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Копія аркуша Рентабельність" sheetId="1" r:id="rId4"/>
    <sheet state="hidden" name="Копія аркуша КОШТОРИС" sheetId="2" r:id="rId5"/>
    <sheet state="hidden" name="ТЕХ_ЛИСТ_1" sheetId="3" r:id="rId6"/>
    <sheet state="visible" name="ТЗ" sheetId="4" r:id="rId7"/>
    <sheet state="visible" name="Розрахунок кріплення" sheetId="5" r:id="rId8"/>
    <sheet state="visible" name="КОШТОРИС" sheetId="6" r:id="rId9"/>
    <sheet state="visible" name="Рентабельність" sheetId="7" r:id="rId10"/>
    <sheet state="visible" name="КП" sheetId="8" r:id="rId11"/>
    <sheet state="visible" name="Вартість монтажу_Приватні СЕС" sheetId="9" r:id="rId12"/>
    <sheet state="visible" name="Вартість монтажу_Промислові СЕС" sheetId="10" r:id="rId13"/>
    <sheet state="visible" name="Розрахунок СЕС" sheetId="11" r:id="rId14"/>
    <sheet state="hidden" name="ФЕМ" sheetId="12" r:id="rId15"/>
    <sheet state="hidden" name="Інвертор" sheetId="13" r:id="rId16"/>
    <sheet state="hidden" name="АКБ" sheetId="14" r:id="rId17"/>
    <sheet state="visible" name="Розрахунок генерації" sheetId="15" r:id="rId18"/>
    <sheet state="visible" name="Показники для розрахунку генера" sheetId="16" r:id="rId19"/>
    <sheet state="visible" name="Довідкові дані" sheetId="17" r:id="rId20"/>
    <sheet state="visible" name="Інструкції з використання табли" sheetId="18" r:id="rId21"/>
    <sheet state="visible" name="Номенклатура_BAF" sheetId="19" r:id="rId22"/>
    <sheet state="hidden" name="РЕЗЕРВ аркуша Номенклатура_BAF" sheetId="20" r:id="rId23"/>
    <sheet state="hidden" name="Прайс" sheetId="21" r:id="rId24"/>
  </sheets>
  <definedNames>
    <definedName hidden="1" localSheetId="7" name="_xlnm._FilterDatabase">'КП'!$A$1</definedName>
    <definedName hidden="1" localSheetId="18" name="_xlnm._FilterDatabase">'Номенклатура_BAF'!$A$1:$I$1143</definedName>
    <definedName hidden="1" localSheetId="19" name="_xlnm._FilterDatabase">'РЕЗЕРВ аркуша Номенклатура_BAF'!$A$1:$H$999</definedName>
    <definedName hidden="1" localSheetId="20" name="_xlnm._FilterDatabase">'Прайс'!$A$1:$H$30</definedName>
    <definedName hidden="1" localSheetId="18" name="Z_01191DBF_59BC_4F01_AC05_C400FC7D42A4_.wvu.FilterData">'Номенклатура_BAF'!$A$1:$I$1143</definedName>
    <definedName hidden="1" localSheetId="19" name="Z_01191DBF_59BC_4F01_AC05_C400FC7D42A4_.wvu.FilterData">'РЕЗЕРВ аркуша Номенклатура_BAF'!$A$1:$H$999</definedName>
    <definedName hidden="1" localSheetId="20" name="Z_01191DBF_59BC_4F01_AC05_C400FC7D42A4_.wvu.FilterData">'Прайс'!$A$1:$H$30</definedName>
    <definedName hidden="1" localSheetId="18" name="Z_C02AF690_BB72_4D47_806D_BBDCE35215FD_.wvu.FilterData">'Номенклатура_BAF'!$A$1:$I$1143</definedName>
    <definedName hidden="1" localSheetId="19" name="Z_C02AF690_BB72_4D47_806D_BBDCE35215FD_.wvu.FilterData">'РЕЗЕРВ аркуша Номенклатура_BAF'!$A$1:$H$999</definedName>
    <definedName hidden="1" localSheetId="20" name="Z_C02AF690_BB72_4D47_806D_BBDCE35215FD_.wvu.FilterData">'Прайс'!$A$1:$H$30</definedName>
    <definedName hidden="1" localSheetId="18" name="Z_F2BFDCC2_EE39_4355_A7CD_BFBD4D8AA63E_.wvu.FilterData">'Номенклатура_BAF'!$A$1:$I$1143</definedName>
    <definedName hidden="1" localSheetId="19" name="Z_F2BFDCC2_EE39_4355_A7CD_BFBD4D8AA63E_.wvu.FilterData">'РЕЗЕРВ аркуша Номенклатура_BAF'!$A$1:$H$999</definedName>
    <definedName hidden="1" localSheetId="20" name="Z_F2BFDCC2_EE39_4355_A7CD_BFBD4D8AA63E_.wvu.FilterData">'Прайс'!$A$1:$H$30</definedName>
    <definedName hidden="1" localSheetId="18" name="Z_B602EFCD_9D7F_4B53_98A1_566DE9A0FEEC_.wvu.FilterData">'Номенклатура_BAF'!$A$1:$I$1143</definedName>
    <definedName hidden="1" localSheetId="19" name="Z_B602EFCD_9D7F_4B53_98A1_566DE9A0FEEC_.wvu.FilterData">'РЕЗЕРВ аркуша Номенклатура_BAF'!$A$1:$H$999</definedName>
    <definedName hidden="1" localSheetId="20" name="Z_B602EFCD_9D7F_4B53_98A1_566DE9A0FEEC_.wvu.FilterData">'Прайс'!$A$1:$H$30</definedName>
  </definedNames>
  <calcPr/>
  <customWorkbookViews>
    <customWorkbookView activeSheetId="0" maximized="1" windowHeight="0" windowWidth="0" guid="{01191DBF-59BC-4F01-AC05-C400FC7D42A4}" name="Захист АC (основне)"/>
    <customWorkbookView activeSheetId="0" maximized="1" windowHeight="0" windowWidth="0" guid="{C02AF690-BB72-4D47-806D-BBDCE35215FD}" name="Електрика"/>
    <customWorkbookView activeSheetId="0" maximized="1" windowHeight="0" windowWidth="0" guid="{B602EFCD-9D7F-4B53-98A1-566DE9A0FEEC}" name="Заземлення"/>
    <customWorkbookView activeSheetId="0" maximized="1" windowHeight="0" windowWidth="0" guid="{F2BFDCC2-EE39-4355-A7CD-BFBD4D8AA63E}" name="Захист АКБ"/>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85">
      <text>
        <t xml:space="preserve">_НАБІР_АВР_1ф:
RD63-22 (контактор модульний, 63A, 230VAC/DC, 2NO+2NC, ETI) 1 шт
ERB4-T (цоколь для проміжного реле ERM4, 4р, ETI) 2 шт
ERM4-230ACL (реле проміжне, 4р, 230VAC, ETI) 2 шт
e.control.t15 0.3-30s (реле, затримка вмикання, E.NEXT) 2 шт
SSQ240 (перемикач навантаження, 3 пол., 2p, 40A, ETI) 2 шт
_НАБІР_АВР_3ф:
RD63-40 (контактор модульный, 63A, 230VAC/DC, 4NO, ETI) 2 шт
RN-11 (1NO+1NC, додаткові контакти для контакторів типу RA/RD, ETI) 2 шт
e.control.t15 0.3-30s (реле, затримка вмикання, E.NEXT) 2 шт
ERB4-T (цоколь для проміжного реле ERM4, 4р, ETI) 3 шт
ERM4-230ACL (реле проміжне, 4р, 230VAC, ETI) 3 шт
SSQ440 (перемикач навантаження, 3 пол., 4р, 40А, ETI) 2 шт
</t>
      </text>
    </comment>
    <comment authorId="0" ref="B96">
      <text>
        <t xml:space="preserve">Актуальні набори із використання бічних кріплень:
Стійка CSV-16U 400 Lite 1 шт
Стаціонарна полиця EServer 1U 19" 420х400 мм (Ш*Г), чорна 1 шт 
або
 Комплект бічних опор 400 мм, чорний 1 шт
Нижня серверна полиця 400 мм, в стійки Lite 1 шт
Комплект кріплення EServer (чорний гвинт 20мм+гайка+шайба) 8 шт
</t>
      </text>
    </comment>
    <comment authorId="0" ref="B101">
      <text>
        <t xml:space="preserve">Захист АКБ:
NH-1/gG KOMBI (250A, 500VAC, 120 kA, запобіжник, ETI)                                1 шт
Коробка 300х220х120 мм (відгалужувальна, розподільча, IP55, ДКС)       1 шт
PT-1 (тримач, роз'єднувач, 1p, 250A, 500VAC, M10-M10, ETI)                          1 шт
SM40 (ізолятор силовий, з болтом М8, АСКО)                                                    2 шт
ШМТ 5х25, 3м Шина мідна                                                                                        0,3 м
NH-2/gG 300A 500V KOMBI, ETI (Запобіжник NH-2/gG 300A 500V KOMBI, ETI)         1 шт
Коробка 380х300х120 мм (відгалужувальна, розподільча, IP55, ДКС)                      1 шт
PT-2 (Тримач запобіжника PT 2 1p 400A (M10-M10), ETI)                                               1 шт
SM40 (ізолятор силовий, з болтом М8, АСКО)                                                                   2 шт
ШМТ 5х25, 3м Шина мідна                                                                                                      0,3 м</t>
      </text>
    </comment>
    <comment authorId="0" ref="B107">
      <text>
        <t xml:space="preserve">Стандартний набір для заземлення:
З'єднувач (діагональний, цинк., ДКС)                                                              1 шт
Стрижень (безмуфтовий, загострений, d16 мм, 1.5 м, цинк., ДКС)         1 шт
Стрижень (безмуфтовий, зі шпількою, d16 мм, 1.5 м, цинк., ДКС)          4 шт
</t>
      </text>
    </comment>
    <comment authorId="0" ref="L166">
      <text>
        <t xml:space="preserve">Фактично витратили менше ніж закладено по проекту - зелений колір
Фактично витратили більше ніж закладено по проекту - червноний колір
Фактично витрачено на  таку ж суму, як і в проекті - без заливки кольором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Стандартний набір для стійки:
Стійка CSV-16U 400 Lite 1 шт
Стаціонарна полиця EServer 1U 19" 420х400 мм (Ш*Г), чорна 1 шт
Нижня серверна полиця 400 мм, в стійки Lite 1 шт
Комплект кріплення EServer (чорний гвинт 20мм+гайка+шайба) 8 шт
	-Zakupka Generaciya</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Q22">
      <text>
        <t xml:space="preserve">БГ з ПДВ - 480 грн/м2
Готівка - 400 грн/м2
	-Zakupka Generaciya</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85">
      <text>
        <t xml:space="preserve">_НАБІР_АВР_1ф:
RD63-22 (контактор модульний, 63A, 230VAC/DC, 2NO+2NC, ETI) 1 шт
ERB4-T (цоколь для проміжного реле ERM4, 4р, ETI) 2 шт
ERM4-230ACL (реле проміжне, 4р, 230VAC, ETI) 2 шт
e.control.t15 0.3-30s (реле, затримка вмикання, E.NEXT) 2 шт
SSQ240 (перемикач навантаження, 3 пол., 2p, 40A, ETI) 2 шт
_НАБІР_АВР_3ф:
RD63-40 (контактор модульный, 63A, 230VAC/DC, 4NO, ETI) 2 шт
RN-11 (1NO+1NC, додаткові контакти для контакторів типу RA/RD, ETI) 2 шт
e.control.t15 0.3-30s (реле, затримка вмикання, E.NEXT) 2 шт
ERB4-T (цоколь для проміжного реле ERM4, 4р, ETI) 3 шт
ERM4-230ACL (реле проміжне, 4р, 230VAC, ETI) 3 шт
SSQ440 (перемикач навантаження, 3 пол., 4р, 40А, ETI) 2 шт
</t>
      </text>
    </comment>
    <comment authorId="0" ref="B96">
      <text>
        <t xml:space="preserve">Актуальні набори із використання бічних кріплень:
Стійка CSV-16U 400 Lite 1 шт
Стаціонарна полиця EServer 1U 19" 420х400 мм (Ш*Г), чорна 1 шт 
або
 Комплект бічних опор 400 мм, чорний 1 шт
Нижня серверна полиця 400 мм, в стійки Lite 1 шт
Комплект кріплення EServer (чорний гвинт 20мм+гайка+шайба) 8 шт (*пропорційно кількості комплектів бічних опор чи полиць)
</t>
      </text>
    </comment>
    <comment authorId="0" ref="B101">
      <text>
        <t xml:space="preserve">Захист АКБ:
NH-1/gG KOMBI (250A, 500VAC, 120 kA, запобіжник, ETI)                                1 шт
Коробка 300х220х120 мм (відгалужувальна, розподільча, IP55, ДКС)       1 шт
PT-1 (тримач, роз'єднувач, 1p, 250A, 500VAC, M10-M10, ETI)                          1 шт
SM40 (ізолятор силовий, з болтом М8, АСКО)                                                    2 шт
ШМТ 5х25, 3м Шина мідна                                                                                        0,3 м
NH-2/gG 300A 500V KOMBI, ETI (Запобіжник NH-2/gG 300A 500V KOMBI, ETI)         1 шт
Коробка 380х300х120 мм (відгалужувальна, розподільча, IP55, ДКС)                      1 шт
PT-2 (Тримач запобіжника PT 2 1p 400A (M10-M10), ETI)                                               1 шт
SM40 (ізолятор силовий, з болтом М8, АСКО)                                                                   2 шт
ШМТ 5х25, 3м Шина мідна                                                                                                      0,3 м</t>
      </text>
    </comment>
    <comment authorId="0" ref="B107">
      <text>
        <t xml:space="preserve">Стандартний набір для заземлення:
З'єднувач (діагональний, цинк., ДКС)                                                              1 шт
Стрижень (безмуфтовий, загострений, d16 мм, 1.5 м, цинк., ДКС)         1 шт
Стрижень (безмуфтовий, зі шпількою, d16 мм, 1.5 м, цинк., ДКС)          4 шт
</t>
      </text>
    </comment>
    <comment authorId="0" ref="L168">
      <text>
        <t xml:space="preserve">Фактично витратили менше ніж закладено по проекту - зелений колір
Фактично витратили більше ніж закладено по проекту - червноний колір
Фактично витрачено на  таку ж суму, як і в проекті - без заливки кольором
</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C7">
      <text>
        <t xml:space="preserve">При використанні монтажною бригадою транспорту компанії.</t>
      </text>
    </comment>
    <comment authorId="0" ref="C8">
      <text>
        <t xml:space="preserve">Розрахунок вказано на 1 людину.
Відповідно в колонку кіль-ть вносяться дані по формулі:
Кількість днів х Кількість людей в бригаді.</t>
      </text>
    </comment>
    <comment authorId="0" ref="C9">
      <text>
        <t xml:space="preserve">В середньому рахується витрата палива:
8 л/100 км</t>
      </text>
    </comment>
    <comment authorId="0" ref="C10">
      <text>
        <t xml:space="preserve">В середньому рахується витрата палива:
8 л/100 км</t>
      </text>
    </comment>
    <comment authorId="0" ref="C24">
      <text>
        <t xml:space="preserve">Комплектом вважається:
- 1шт. щит АС 
- 1шт. щит DС
Але мінімум кіль-ть має бути - 1 (при наявності хоча б одного із щитів захисту)
</t>
      </text>
    </comment>
    <comment authorId="0" ref="C27">
      <text>
        <t xml:space="preserve">Дана послуга повинна бути включена проєктувальником, якщо є потреба заряджати АКБ від генератору через інвертор і він має сумніви стосовно якості генератору на об'єкті.</t>
      </text>
    </comment>
    <comment authorId="0" ref="C29">
      <text>
        <t xml:space="preserve">Якщо вага однієї комірки АКБ більше 50кг!
Pylontech 2000 - 23кг
Pylontech 3000 - 32кг
Pylontech 5000 - 40кг
Deye Pro-B - 45кг
Deye RW-F16 - 122кг
Deye BOS‑G Pro - 46кг
Deye BOS‑G - 44кг</t>
      </text>
    </comment>
  </commentList>
</comments>
</file>

<file path=xl/sharedStrings.xml><?xml version="1.0" encoding="utf-8"?>
<sst xmlns="http://schemas.openxmlformats.org/spreadsheetml/2006/main" count="11642" uniqueCount="3890">
  <si>
    <t xml:space="preserve">Найменування товару </t>
  </si>
  <si>
    <t>К-сть</t>
  </si>
  <si>
    <t>Ціна гурт.</t>
  </si>
  <si>
    <t>Сумм гурт.</t>
  </si>
  <si>
    <t>Націнка</t>
  </si>
  <si>
    <t xml:space="preserve">Ціна </t>
  </si>
  <si>
    <t>Сума</t>
  </si>
  <si>
    <t>Дох</t>
  </si>
  <si>
    <t>Рент</t>
  </si>
  <si>
    <t>Нова ціна</t>
  </si>
  <si>
    <t xml:space="preserve">Загалом обладнання </t>
  </si>
  <si>
    <t/>
  </si>
  <si>
    <t>Загалом монтажні матеріали</t>
  </si>
  <si>
    <t>Кріплення</t>
  </si>
  <si>
    <t>АВР (автоматичне ввімкнення резерву)</t>
  </si>
  <si>
    <t>Стійка для АКБ</t>
  </si>
  <si>
    <t>Захист АКБ</t>
  </si>
  <si>
    <t>Заземлення</t>
  </si>
  <si>
    <t>Монтажні вироби та інше</t>
  </si>
  <si>
    <t>Загалом послуги</t>
  </si>
  <si>
    <t xml:space="preserve"> Загалом</t>
  </si>
  <si>
    <t xml:space="preserve">Прогнозні додаткові витрати </t>
  </si>
  <si>
    <t xml:space="preserve">Під торг </t>
  </si>
  <si>
    <t xml:space="preserve">Партнерський бонус </t>
  </si>
  <si>
    <t>ПДВ</t>
  </si>
  <si>
    <t>Податок на прибуток</t>
  </si>
  <si>
    <t>Прибуток після вирах. прогнозних витрат</t>
  </si>
  <si>
    <t>Заповнюється власноруч</t>
  </si>
  <si>
    <t>Данні для формування КП</t>
  </si>
  <si>
    <t>Кількість панелей</t>
  </si>
  <si>
    <t>Ім'я замовника</t>
  </si>
  <si>
    <t>Сергій</t>
  </si>
  <si>
    <t xml:space="preserve">Потужність одного фотоелемента </t>
  </si>
  <si>
    <t>Потужність інвертора</t>
  </si>
  <si>
    <t>Потужність всіх панелей</t>
  </si>
  <si>
    <t>Емність збереження електроенергії</t>
  </si>
  <si>
    <t>Площа сонячних модулів</t>
  </si>
  <si>
    <t xml:space="preserve">Кут нахилу </t>
  </si>
  <si>
    <t xml:space="preserve">Вартість станції в розрахунку на 1 кВт потужності		</t>
  </si>
  <si>
    <t xml:space="preserve">Вартість станції під ключ	</t>
  </si>
  <si>
    <t xml:space="preserve">Генерація в рік 			</t>
  </si>
  <si>
    <t>Річна економія на рахунках за електроенергію</t>
  </si>
  <si>
    <t>Термін окупності</t>
  </si>
  <si>
    <t>Прогнозний термін експлуатації PV обладнання</t>
  </si>
  <si>
    <t>Ціна фотоелемента за Ват потужності</t>
  </si>
  <si>
    <t>Споживання об'єкта вт/год</t>
  </si>
  <si>
    <t>Річна сума експлуатаційних видатків</t>
  </si>
  <si>
    <t>Річне підвищення тарифу на е/е, %</t>
  </si>
  <si>
    <t>Заміна інвертора</t>
  </si>
  <si>
    <t>Сумарна генарція після 30 років, кВт</t>
  </si>
  <si>
    <t>LCOE 30</t>
  </si>
  <si>
    <t>Сумарний дохід за 30 років</t>
  </si>
  <si>
    <t xml:space="preserve">Розрахунок дохідності </t>
  </si>
  <si>
    <t>липень</t>
  </si>
  <si>
    <t>Місяць</t>
  </si>
  <si>
    <t>Генерація</t>
  </si>
  <si>
    <t>Споживання</t>
  </si>
  <si>
    <t>Дохід</t>
  </si>
  <si>
    <t>% самозабезпечення</t>
  </si>
  <si>
    <t>березень</t>
  </si>
  <si>
    <t>квітень</t>
  </si>
  <si>
    <t>травень</t>
  </si>
  <si>
    <t>червень</t>
  </si>
  <si>
    <t>серпень</t>
  </si>
  <si>
    <t>жовтень</t>
  </si>
  <si>
    <t>вересень</t>
  </si>
  <si>
    <t>листопад</t>
  </si>
  <si>
    <t>грудень</t>
  </si>
  <si>
    <t>Разом за рік</t>
  </si>
  <si>
    <t xml:space="preserve">Проєкт: </t>
  </si>
  <si>
    <t xml:space="preserve">Проєктувальник: </t>
  </si>
  <si>
    <t xml:space="preserve">КУРС ₴/$    </t>
  </si>
  <si>
    <t>Поз.</t>
  </si>
  <si>
    <t>Найменування (марка, модель)</t>
  </si>
  <si>
    <t>Кіл-ть (проєкт)</t>
  </si>
  <si>
    <t>Од. вимір.</t>
  </si>
  <si>
    <t>Ціна, $</t>
  </si>
  <si>
    <t>Коментар</t>
  </si>
  <si>
    <t>Сума (проєкт)</t>
  </si>
  <si>
    <t>Монтаж електрики</t>
  </si>
  <si>
    <t>Монтаж ФЕМ</t>
  </si>
  <si>
    <t>Сума (по факту)</t>
  </si>
  <si>
    <t>Сальдо, к-ть</t>
  </si>
  <si>
    <t>Сальдо, $</t>
  </si>
  <si>
    <t>К-ть модулів</t>
  </si>
  <si>
    <t>Посилання</t>
  </si>
  <si>
    <t>1</t>
  </si>
  <si>
    <t>Сонячні фотомодулі (ФЕМ)</t>
  </si>
  <si>
    <t>1.1</t>
  </si>
  <si>
    <t>Cонячна батарея AE SOLAR METEOR AE580CMD-144BDS 30mm 580W Silver Frame</t>
  </si>
  <si>
    <t>1.2</t>
  </si>
  <si>
    <t>1.3</t>
  </si>
  <si>
    <t>2</t>
  </si>
  <si>
    <t>Інвертор</t>
  </si>
  <si>
    <t>2.1</t>
  </si>
  <si>
    <t>Інвертор мережевий Huawei SUN2000-30KTL-M3</t>
  </si>
  <si>
    <t>2.2</t>
  </si>
  <si>
    <t>2.3</t>
  </si>
  <si>
    <t>2.4</t>
  </si>
  <si>
    <t>3</t>
  </si>
  <si>
    <t>Аккумулятори (низьковольтні)</t>
  </si>
  <si>
    <t>3.1</t>
  </si>
  <si>
    <t>3.2</t>
  </si>
  <si>
    <t>3.3</t>
  </si>
  <si>
    <t>4</t>
  </si>
  <si>
    <t>Аккумулятори (високовольтні)</t>
  </si>
  <si>
    <t>4.1</t>
  </si>
  <si>
    <t>4.2</t>
  </si>
  <si>
    <t>4.3</t>
  </si>
  <si>
    <t>5</t>
  </si>
  <si>
    <t>Блок BMS (для високовольтних АКБ)</t>
  </si>
  <si>
    <t>5.1</t>
  </si>
  <si>
    <t>5.2</t>
  </si>
  <si>
    <t>6</t>
  </si>
  <si>
    <t>Лічильник Smart Meter</t>
  </si>
  <si>
    <t>6.1</t>
  </si>
  <si>
    <t>Лічильник Huawei CHiNT DTSU666-H Smart meter (трёхфазный) до 250A (до 170 кВт)</t>
  </si>
  <si>
    <t>6.2</t>
  </si>
  <si>
    <t>7</t>
  </si>
  <si>
    <t>Моніторинг</t>
  </si>
  <si>
    <t>7.1</t>
  </si>
  <si>
    <t>Модем HUAWEI Wi-Fi Dongle with fast ethernet</t>
  </si>
  <si>
    <t>7.2</t>
  </si>
  <si>
    <t>8</t>
  </si>
  <si>
    <t>Трансформатор струму</t>
  </si>
  <si>
    <t>8.1</t>
  </si>
  <si>
    <t>8.2</t>
  </si>
  <si>
    <t>9</t>
  </si>
  <si>
    <t>9.1</t>
  </si>
  <si>
    <t>Комплект кріплень для ФЕМ_Сх-Зх</t>
  </si>
  <si>
    <t>9.2</t>
  </si>
  <si>
    <t>Тротуарна плитка (баласт 300х300х60 12,6кг)</t>
  </si>
  <si>
    <t>9.3</t>
  </si>
  <si>
    <t>9.4</t>
  </si>
  <si>
    <t>9.5</t>
  </si>
  <si>
    <t>9.6</t>
  </si>
  <si>
    <t>9.7</t>
  </si>
  <si>
    <t>9.8</t>
  </si>
  <si>
    <t>9.9</t>
  </si>
  <si>
    <t>9.10</t>
  </si>
  <si>
    <t>9.11</t>
  </si>
  <si>
    <t>9.12</t>
  </si>
  <si>
    <t>9.13</t>
  </si>
  <si>
    <t>9.14</t>
  </si>
  <si>
    <t>9.15</t>
  </si>
  <si>
    <t>10</t>
  </si>
  <si>
    <t>Захист DC (основне)</t>
  </si>
  <si>
    <t>10.1</t>
  </si>
  <si>
    <t>BB1H-63-25A-4A (4р, 1200VDC, автоматичний вимикач, постійний струм, BENY)</t>
  </si>
  <si>
    <t>10.2</t>
  </si>
  <si>
    <t>BUD-40/3 (обмежувач перенапруг, 3р, 1000VDC, 40kA, SPD, BENY)</t>
  </si>
  <si>
    <t>10.3</t>
  </si>
  <si>
    <t>CH10x38 gPV (15A, 1000VDC, 30 kA, 10 шт., запобіжник, ETI)</t>
  </si>
  <si>
    <t>10.4</t>
  </si>
  <si>
    <t>BR-30 (тримач, роз'єднувач, 1p, 30A, 1000VDC, FUSE HOLDER, BENY)</t>
  </si>
  <si>
    <t>10.5</t>
  </si>
  <si>
    <t>10.6</t>
  </si>
  <si>
    <t>10.7</t>
  </si>
  <si>
    <t>10.8</t>
  </si>
  <si>
    <t>10.9</t>
  </si>
  <si>
    <t>10.10</t>
  </si>
  <si>
    <t>11</t>
  </si>
  <si>
    <t>Щит DC</t>
  </si>
  <si>
    <t>11.1</t>
  </si>
  <si>
    <t>ECH-36PT (щит, розподільчий, 36 модулів, 319х508х144, навісний, IP65, ETI)</t>
  </si>
  <si>
    <t>11.2</t>
  </si>
  <si>
    <t>11.3</t>
  </si>
  <si>
    <t>11.4</t>
  </si>
  <si>
    <t>11.5</t>
  </si>
  <si>
    <t>12</t>
  </si>
  <si>
    <t>Захист AC (основне)</t>
  </si>
  <si>
    <t>12.1</t>
  </si>
  <si>
    <t>ETIMAT 6 (3р, C, 63А, автоматичний вимикач, ETI)</t>
  </si>
  <si>
    <t>12.2</t>
  </si>
  <si>
    <t>ETITEC C T2 275/20 (обмежувач перенапруг, 4р, ETI)</t>
  </si>
  <si>
    <t>12.3</t>
  </si>
  <si>
    <t>Трифазний індикатор наявності напруги SON H-3K (3-х кольоровий)</t>
  </si>
  <si>
    <t>12.4</t>
  </si>
  <si>
    <t>12.5</t>
  </si>
  <si>
    <t>12.6</t>
  </si>
  <si>
    <t>12.7</t>
  </si>
  <si>
    <t>12.8</t>
  </si>
  <si>
    <t>12.9</t>
  </si>
  <si>
    <t>12.10</t>
  </si>
  <si>
    <t>ETIMAT 6 (2р, С, 25А, автоматичний вимикач, ETI)</t>
  </si>
  <si>
    <t>13</t>
  </si>
  <si>
    <t>Щит AC</t>
  </si>
  <si>
    <t>13.1</t>
  </si>
  <si>
    <t>ECH-24PT (щит, розподільчий, 24 модулів, 319х384х144, навісний, IP65, ETI)</t>
  </si>
  <si>
    <t>13.2</t>
  </si>
  <si>
    <t>13.3</t>
  </si>
  <si>
    <t>13.4</t>
  </si>
  <si>
    <t>13.5</t>
  </si>
  <si>
    <t>14</t>
  </si>
  <si>
    <t>14.1</t>
  </si>
  <si>
    <t>e.control.t15 0.3-30s (реле, затримка вмикання, E.NEXT)</t>
  </si>
  <si>
    <t>14.2</t>
  </si>
  <si>
    <t>14.3</t>
  </si>
  <si>
    <t>14.4</t>
  </si>
  <si>
    <t>14.5</t>
  </si>
  <si>
    <t>14.6</t>
  </si>
  <si>
    <t>14.7</t>
  </si>
  <si>
    <t>14.8</t>
  </si>
  <si>
    <t>14.9</t>
  </si>
  <si>
    <t>14.10</t>
  </si>
  <si>
    <t>RD63-40 (контактор модульный, 63A, 230VAC/DC, 4NO, ETI)</t>
  </si>
  <si>
    <t>15</t>
  </si>
  <si>
    <t>15.1</t>
  </si>
  <si>
    <t>Стійка CSV-16U 400 Lite</t>
  </si>
  <si>
    <t>15.2</t>
  </si>
  <si>
    <t>Комплект бічних опор 400 мм, чорний</t>
  </si>
  <si>
    <t>15.3</t>
  </si>
  <si>
    <t>Нижня серверна полиця 400 мм, в стійки Lite</t>
  </si>
  <si>
    <t>15.4</t>
  </si>
  <si>
    <t>Комплект кріплення EServer (чорний гвинт 20мм+гайка+шайба)</t>
  </si>
  <si>
    <t>16</t>
  </si>
  <si>
    <t>16.1</t>
  </si>
  <si>
    <t>16.2</t>
  </si>
  <si>
    <t>16.3</t>
  </si>
  <si>
    <t>16.4</t>
  </si>
  <si>
    <t>16.5</t>
  </si>
  <si>
    <t>17</t>
  </si>
  <si>
    <t>17.1</t>
  </si>
  <si>
    <t>З'єднувач (діагональний, цинк., ДКС)</t>
  </si>
  <si>
    <t>17.2</t>
  </si>
  <si>
    <t>Стрижень (безмуфтовий, загострений, d16 мм, 1.5 м, цинк., ДКС)</t>
  </si>
  <si>
    <t>17.3</t>
  </si>
  <si>
    <t>Стрижень (безмуфтовий, зі шпількою, d16 мм, 1.5 м, цинк., ДКС)</t>
  </si>
  <si>
    <t>17.4</t>
  </si>
  <si>
    <t>Стрічка струмопровідна NC2254.1 25х4мм (сталь, бухта 32 м, DKC)</t>
  </si>
  <si>
    <t>18</t>
  </si>
  <si>
    <t>Кабельна продукція</t>
  </si>
  <si>
    <t>18.1</t>
  </si>
  <si>
    <t>Кабель сонячний 6 кв.мм (чорний, червоний)</t>
  </si>
  <si>
    <t>18.2</t>
  </si>
  <si>
    <t>ПВ3 16.0 (провід, мідний)</t>
  </si>
  <si>
    <t>18.3</t>
  </si>
  <si>
    <t>КППЕ-ВП (100) 4х2х0.51 (кабель, мідний, комп'ютерний, екранований, FTP, вита пара)</t>
  </si>
  <si>
    <t>18.4</t>
  </si>
  <si>
    <t>ПВ3 2.5 (провід, мідний)</t>
  </si>
  <si>
    <t>18.5</t>
  </si>
  <si>
    <t>ПВ3 6.0 (провід, мідний)</t>
  </si>
  <si>
    <t>18.6</t>
  </si>
  <si>
    <t>18.7</t>
  </si>
  <si>
    <t>18.8</t>
  </si>
  <si>
    <t>18.9</t>
  </si>
  <si>
    <t>18.10</t>
  </si>
  <si>
    <t>18.11</t>
  </si>
  <si>
    <t>18.12</t>
  </si>
  <si>
    <t>18.13</t>
  </si>
  <si>
    <t>18.14</t>
  </si>
  <si>
    <t>18.15</t>
  </si>
  <si>
    <t>19</t>
  </si>
  <si>
    <t>19.1</t>
  </si>
  <si>
    <t>Хомут 5х300 мм, e.ct.stand.300.5 (чорний, нейлон, пак. 100шт,  E.NEXT)</t>
  </si>
  <si>
    <t>19.2</t>
  </si>
  <si>
    <t>MC4X-B1 (штекер, гніздо, комплект конекторів MC4)</t>
  </si>
  <si>
    <t>19.3</t>
  </si>
  <si>
    <t>Труба ПВТ 32 мм (гофрована, УФ, чорна, ДКС)</t>
  </si>
  <si>
    <t>19.4</t>
  </si>
  <si>
    <t>EDBJ-1x35-1x35 (клема ввідна, силова, розподільчий блок, сіра, ETI)</t>
  </si>
  <si>
    <t>19.5</t>
  </si>
  <si>
    <t>EDBJ-1x35-1x35/N (клема ввідна, силова, розподільчий блок, синя, ETI)</t>
  </si>
  <si>
    <t>19.6</t>
  </si>
  <si>
    <t>GT-16 (гільза мідна луджена кабельна з'єднувальна, 16 мм2, АСКО)</t>
  </si>
  <si>
    <t>19.7</t>
  </si>
  <si>
    <t>Накінечник DT-16-6 мідний луджений кабельний під опресування</t>
  </si>
  <si>
    <t>19.8</t>
  </si>
  <si>
    <t>JHUKK-80 (розподільчий блок, клема, 80А, АСКО)</t>
  </si>
  <si>
    <t>19.9</t>
  </si>
  <si>
    <t>19.10</t>
  </si>
  <si>
    <t>19.11</t>
  </si>
  <si>
    <t>19.12</t>
  </si>
  <si>
    <t>19.13</t>
  </si>
  <si>
    <t>19.14</t>
  </si>
  <si>
    <t>19.15</t>
  </si>
  <si>
    <t>20</t>
  </si>
  <si>
    <t>Послуги</t>
  </si>
  <si>
    <t>20.1</t>
  </si>
  <si>
    <t>Вартість монтажу станції</t>
  </si>
  <si>
    <t>20.2</t>
  </si>
  <si>
    <t>Оренда спецтехніки</t>
  </si>
  <si>
    <t>20.3</t>
  </si>
  <si>
    <t>Вартість доставки</t>
  </si>
  <si>
    <t>20.4</t>
  </si>
  <si>
    <t>Вартість додаткових матеріалів</t>
  </si>
  <si>
    <t>20.5</t>
  </si>
  <si>
    <t>Вартість додаткових робіт</t>
  </si>
  <si>
    <t>21</t>
  </si>
  <si>
    <t>Номенклатура BAF та додаткові матеріали</t>
  </si>
  <si>
    <t>21.1</t>
  </si>
  <si>
    <t>21.2</t>
  </si>
  <si>
    <t>21.3</t>
  </si>
  <si>
    <t>21.4</t>
  </si>
  <si>
    <t>21.5</t>
  </si>
  <si>
    <t>21.6</t>
  </si>
  <si>
    <t>21.7</t>
  </si>
  <si>
    <t>21.8</t>
  </si>
  <si>
    <t>21.9</t>
  </si>
  <si>
    <t>21.10</t>
  </si>
  <si>
    <t>21.11</t>
  </si>
  <si>
    <t>21.12</t>
  </si>
  <si>
    <t>21.13</t>
  </si>
  <si>
    <t>21.14</t>
  </si>
  <si>
    <t>21.15</t>
  </si>
  <si>
    <t>Облікова ціна БГ з ПДВ:</t>
  </si>
  <si>
    <t>FILTER('Номенклатура_BAF'!$B$2:$B;'ТЕХ_ЛИСТ_1'!D9='Номенклатура_BAF'!$A$2:$A)</t>
  </si>
  <si>
    <t>Категорія номенклатури в Номенклатура_BAF</t>
  </si>
  <si>
    <t>Профіль та з'єднувач (цинк)</t>
  </si>
  <si>
    <t>Профіль та з'єднувач (алюміній)</t>
  </si>
  <si>
    <t>Кронштейни (для кріплення профіля)</t>
  </si>
  <si>
    <t>Прижими Z та Т (кріплення ФЕМ)</t>
  </si>
  <si>
    <t>---------------Шини_Гребінки</t>
  </si>
  <si>
    <t>Мережеві</t>
  </si>
  <si>
    <t>Матеріали для КОШТОРИС (гугл. табл.)</t>
  </si>
  <si>
    <t>Перемикачі_Вимикачі навантаження</t>
  </si>
  <si>
    <t>---------------Елементи монтажу (Стяжки, ізолятори і т.д.)</t>
  </si>
  <si>
    <t>Кабелі та провода (під замовлення)</t>
  </si>
  <si>
    <t>Односторонні</t>
  </si>
  <si>
    <t>Гібридні</t>
  </si>
  <si>
    <t>Літій-залізо-фосфатні(низьковольтні)</t>
  </si>
  <si>
    <t>Літій-залізо-фосфатні(високовольтні)</t>
  </si>
  <si>
    <t>Лічильники SmartMeter</t>
  </si>
  <si>
    <t>Моніторинг для інверторів</t>
  </si>
  <si>
    <t>Трансформатори струму</t>
  </si>
  <si>
    <t>При замовленні у RUDNIK та інших</t>
  </si>
  <si>
    <t>Захист АC (основне)</t>
  </si>
  <si>
    <t>Щити_Розподільчі коробки</t>
  </si>
  <si>
    <t>Кріплення для АКБ</t>
  </si>
  <si>
    <t>Кабелі та провода</t>
  </si>
  <si>
    <t>Список категорій вшитий у формулу</t>
  </si>
  <si>
    <t>Найменування (марка, модель) в кошторисі</t>
  </si>
  <si>
    <t xml:space="preserve">Аккумулятори (низьковольтні)					</t>
  </si>
  <si>
    <t xml:space="preserve">Лічильник Smart Meter					</t>
  </si>
  <si>
    <t xml:space="preserve">Захист DC (основне)                                        </t>
  </si>
  <si>
    <t>Щит DC / Щит AC</t>
  </si>
  <si>
    <t>Формула</t>
  </si>
  <si>
    <t>FILTER('Номенклатура_BAF'!D2:D;'КОШТОРИС'!B32='Номенклатура_BAF'!B2:B)</t>
  </si>
  <si>
    <t>Комірка з формулою</t>
  </si>
  <si>
    <t>ФЕМ</t>
  </si>
  <si>
    <t>точка кріплення</t>
  </si>
  <si>
    <t>Z-прижим</t>
  </si>
  <si>
    <t>BB1H-63-25A-4A (4р, 1200VDC, автоматичний вимикач, постійний струм, BENY) --- 89шт</t>
  </si>
  <si>
    <t>T-прижим</t>
  </si>
  <si>
    <t>BYT.2a-32 (4P, 32A, 1000V, вимикач навантаження, DIN-рейка, BENY)</t>
  </si>
  <si>
    <t>CEM 105.11 (контактор, 105А, 55 кВт, 230V/AC, AC3, ETI)</t>
  </si>
  <si>
    <t>CLBS 100 (вимикач навантаження, 3р, 100А, ETI)</t>
  </si>
  <si>
    <t>CLBS 125 (вимикач навантаження, 3р, 125А, ETI)</t>
  </si>
  <si>
    <t>e.is3.pro.2.63 (перемикач навантаження, 3 пол., 63А, 230В, 2р, E.NEXT) --- 11шт</t>
  </si>
  <si>
    <t>e.is3.pro.4.63 (перемикач навантаження, 3 пол., 63А, 230В, 4р, E.NEXT) --- 4шт</t>
  </si>
  <si>
    <t>e.mcb.pro.60.1.C 25 new (автоматичний вимикач, 1р, 25А, C, 6кА new) --- 9шт</t>
  </si>
  <si>
    <t>EB2 250/3L 200А 3р (25кА), (автоматичний вимикач, ETI)</t>
  </si>
  <si>
    <t>EB2 250/3L 250А 3р (25кА), (автоматичний вимикач, ETI)</t>
  </si>
  <si>
    <t>EB2S 160/3LA (3р, 80А, регульована уставка, автоматичний вимикач, ETI)</t>
  </si>
  <si>
    <t>EB2S 160/3SA 125A 3P (25kA (0.63-1)In/фіксована, автоматичний вимикач, ETI)</t>
  </si>
  <si>
    <t>EB2S 160/3SF 125А 3P Вимикач автоматичний (25kA фикс.настр.)</t>
  </si>
  <si>
    <t>ERM4-012DCL (Реле електромеханічне ERM4-012DCL 4p, ETI) --- 2шт</t>
  </si>
  <si>
    <t>ERM4-230ACL (реле проміжне, 4р, 230VAC, ETI) --- 72шт</t>
  </si>
  <si>
    <t>ESC465 (контактор модульний, 63A, 2НВ+2НЗ, 230В, HAGER)</t>
  </si>
  <si>
    <t>ETIMAT 10 (2р, С, 100А, автоматичний вимикач, ETI)</t>
  </si>
  <si>
    <t>ETIMAT 6 (1р, С, 16А, автоматичний вимикач, ETI) --- 5шт</t>
  </si>
  <si>
    <t>ETIMAT 6 (1р, С, 1А, автоматичний вимикач, ETI)</t>
  </si>
  <si>
    <t>ETIMAT 6 (1р, С, 20А, автоматичний вимикач, ETI)</t>
  </si>
  <si>
    <t>ETIMAT 6 (1р, С, 25А, автоматичний вимикач, ETI) --- 5шт</t>
  </si>
  <si>
    <t>ETIMAT 6 (1р, С, 32А, автоматичний вимикач, ETI)</t>
  </si>
  <si>
    <t>ETIMAT 6 (1р, С, 40А, автоматичний вимикач, ETI)</t>
  </si>
  <si>
    <t>ETIMAT 6 (1р, С, 50А, автоматичний вимикач, ETI)</t>
  </si>
  <si>
    <t>ETIMAT 6 (1р, С, 63А, автоматичний вимикач, ETI)</t>
  </si>
  <si>
    <t>ETIMAT 6 (2р, B, 20А, автоматичний вимикач, ETI)</t>
  </si>
  <si>
    <t>ETIMAT 6 (2р, С, 16А, автоматичний вимикач, ETI)</t>
  </si>
  <si>
    <t>ETIMAT 6 (2р, С, 20А, автоматичний вимикач, ETI)</t>
  </si>
  <si>
    <t>ETIMAT 6 (2р, С, 25А, автоматичний вимикач, ETI) --- 50шт</t>
  </si>
  <si>
    <t>ETIMAT 6 (2р, С, 32А, автоматичний вимикач, ETI) --- 31шт</t>
  </si>
  <si>
    <t>ETIMAT 6 (2р, С, 40А, автоматичний вимикач, ETI) --- 35шт</t>
  </si>
  <si>
    <t>ETIMAT 6 (2р, С, 50А, автоматичний вимикач, ETI)</t>
  </si>
  <si>
    <t>ETIMAT 6 (2р, С, 63А, автоматичний вимикач, ETI)</t>
  </si>
  <si>
    <t>ETIMAT 6 (3р, C, 10А, автоматичний вимикач, ETI) --- 1шт</t>
  </si>
  <si>
    <t>ETIMAT 6 (3р, C, 13А, автоматичний вимикач, ETI)</t>
  </si>
  <si>
    <t>ETIMAT 6 (3р, C, 16А, автоматичний вимикач, ETI)</t>
  </si>
  <si>
    <t>ETIMAT 6 (3р, C, 20А, автоматичний вимикач, ETI) --- 29шт</t>
  </si>
  <si>
    <t>ETIMAT 6 (3р, C, 25А, автоматичний вимикач, ETI) --- 24шт</t>
  </si>
  <si>
    <t>ETIMAT 6 (3р, C, 32А, автоматичний вимикач, ETI) --- 37шт</t>
  </si>
  <si>
    <t>ETIMAT 6 (3р, C, 40А, автоматичний вимикач, ETI) --- 6шт</t>
  </si>
  <si>
    <t>ETIMAT 6 (3р, C, 50А, автоматичний вимикач, ETI) --- 4шт</t>
  </si>
  <si>
    <t>ETIMAT 6 (3р, C, 63А, автоматичний вимикач, ETI) --- 31шт</t>
  </si>
  <si>
    <t>ETIMAT 6 (3р, D, 32А, автоматичний вимикач, ETI) --- 1шт</t>
  </si>
  <si>
    <t>ETIMAT 6 1p+N (2р, C, 16А, автоматичний вимикач, ETI)</t>
  </si>
  <si>
    <t>ETIMAT 6 1p+N (2р, C, 25А, автоматичний вимикач, ETI)</t>
  </si>
  <si>
    <t>ETIMAT 6 1p+N (2р, C, 32А, автоматичний вимикач, ETI)</t>
  </si>
  <si>
    <t>ETIMAT 6 1p+N (2р, C, 50А, автоматичний вимикач, ETI)</t>
  </si>
  <si>
    <t>ETIMAT 6 1p+N (2р, C, 6А, автоматичний вимикач, ETI)</t>
  </si>
  <si>
    <t>ETIMAT 6 3p+N (4р, C,  40А, автоматичний вимикач, ETI)</t>
  </si>
  <si>
    <t>ETIMAT 6 3p+N (4р, C, 10А, автоматичний вимикач, ETI)</t>
  </si>
  <si>
    <t>ETIMAT 6 3p+N (4р, C, 20А, автоматичний вимикач, ETI)</t>
  </si>
  <si>
    <t>ETIMAT 6 3p+N (4р, C, 25А, автоматичний вимикач, ETI)</t>
  </si>
  <si>
    <t>ETIMAT 6 3p+N (4р, C, 50А, автоматичний вимикач, ETI)</t>
  </si>
  <si>
    <t>Ex9BN (2р, С, 40А, автоматичний вимикач, NOARK) --- 2шт</t>
  </si>
  <si>
    <t>HLF380S (3р, С, 80А, 4.5M, автоматичний вимикач, HAGER) --- 1шт</t>
  </si>
  <si>
    <t>KM63-11 (контактор модульний, 230V, 63А, 1NO+1NC, ІЕК) --- 1шт</t>
  </si>
  <si>
    <t>LBS 1000 (вимикач навантаження, 3р, 1000А, ETI)</t>
  </si>
  <si>
    <t>LBS 250 (вимикач навантаження, 3р, 250А, ETI)</t>
  </si>
  <si>
    <t>LBS 400 (вимикач навантаження, 3р, 400А, ETI)</t>
  </si>
  <si>
    <t>LS 32 SMA A2 (вимикач навантаження, 2р, 32А, 1000VDC, ETI)</t>
  </si>
  <si>
    <t>LS 32 SMA A4 (вимикач навантаження, 4р, 32А, 1000VDC, ETI) --- 2шт</t>
  </si>
  <si>
    <t>MC240A (2р, С, 40А, 2M, автоматичний вимикач, HAGER) --- 21шт</t>
  </si>
  <si>
    <t>MC316A (3р, С, 16А, 3M, автоматичний вимикач, HAGER) --- 3шт</t>
  </si>
  <si>
    <t>MC320A (3р, С, 20А, 3M, автоматичний вимикач, HAGER) --- 3шт</t>
  </si>
  <si>
    <t>MC325A (3р, С, 25А, 3M, автоматичний вимикач, HAGER) --- 2шт</t>
  </si>
  <si>
    <t>MC332A (3р, С, 32А, 3M, автоматичний вимикач, HAGER) --- 3шт</t>
  </si>
  <si>
    <t>MC340A (3р, С, 40А, 3M, автоматичний вимикач, HAGER) --- 4шт</t>
  </si>
  <si>
    <t>RA63-40 (контактор модульный, 63A, 230VAC, 4NO, ETI) --- 24шт</t>
  </si>
  <si>
    <t>RD25-22 (230V AC/DC) (AC1), (контактор модульный, 230V AC/DC, ETI --- 2шт</t>
  </si>
  <si>
    <t>RD32-20 32A 230V AC/DC 2NO, ETI (Контактор модульный RD 32-20 32A 230V AC/DC 2NO, ETI) --- 3шт</t>
  </si>
  <si>
    <t>RD40-22 (контактор модульний, 230VAC/DC, 2NO+2NC, ETI)</t>
  </si>
  <si>
    <t>RD63-22 (контактор модульний, 63A, 230VAC/DC, 2NO+2NC, ETI) --- 28шт</t>
  </si>
  <si>
    <t>RD63-31 (контактор модульний, 230VAC/DC, 63А, 3NO+1NC, ETI)</t>
  </si>
  <si>
    <t>RD63-40 (контактор модульный, 63A, 230VAC/DC, 4NO, ETI) --- 1шт</t>
  </si>
  <si>
    <t>RESI9 (2р, С, 40А, автоматичний вимикач, SCHNEIDER)</t>
  </si>
  <si>
    <t>SHT-1 (програмований таймер, 230VAC, 16А, ETI)</t>
  </si>
  <si>
    <t>ST-68 (1р, C, 6А, автоматичний вимикач, ETI)</t>
  </si>
  <si>
    <t>ST-68 (3р, C, 20А, автоматичний вимикач, ETI) --- 1шт</t>
  </si>
  <si>
    <t>ST-68 (3р, C, 32А, автоматичний вимикач, ETI)</t>
  </si>
  <si>
    <t>ST-68 (3р, C, 63А, автоматичний вимикач, ETI)</t>
  </si>
  <si>
    <t>Блок-контакт 1НЗ (додатковий контакт, 1NC, до кнопок ХB2, АСКО) --- 2шт</t>
  </si>
  <si>
    <t>Блок-контакт 1НО (додатковий контакт, 1NO, до кнопок ХB2, АСКО) --- 6шт</t>
  </si>
  <si>
    <t>ВА47-29 (1р, В, 25А, автоматичний вимикач, ІЕК) --- 1шт</t>
  </si>
  <si>
    <t>ВА47-29 (1р, С, 25А, автоматичний вимикач, ІЕК)</t>
  </si>
  <si>
    <t>ВА47-29 (1р, С, 40А, автоматичний вимикач, ІЕК)</t>
  </si>
  <si>
    <t>ВА47-29 (2р, С, 10А, автоматичний вимикач, ІЕК)</t>
  </si>
  <si>
    <t>ВА47-29 (2р, С, 20А, автоматичний вимикач, ІЕК)</t>
  </si>
  <si>
    <t>ВА47-29 (2р, С, 25А, автоматичний вимикач, ІЕК) --- 5шт</t>
  </si>
  <si>
    <t>ВА47-29 (3р, С, 32А, автоматичний вимикач, ІЕК) --- 2шт</t>
  </si>
  <si>
    <t>ВА47-29 (3р, С, 63А, автоматичний вимикач, ІЕК)</t>
  </si>
  <si>
    <t>ВА47-60 (1р, С, 40А, автоматичний вимикач, ІЕК) --- 8шт</t>
  </si>
  <si>
    <t>ВА47-60 (2р, С, 20А, автоматичний вимикач, ІЕК)</t>
  </si>
  <si>
    <t>ВА47-60 (2р, С, 25А, автоматичний вимикач, ІЕК)</t>
  </si>
  <si>
    <t>ВА47-60 (2р, С, 32А, автоматичний вимикач, ІЕК)</t>
  </si>
  <si>
    <t>ВА47-60 (3р, С, 25А, автоматичний вимикач, ІЕК)</t>
  </si>
  <si>
    <t>ВА47-60 (3р, С, 32А, автоматичний вимикач, ІЕК)</t>
  </si>
  <si>
    <t>ВА47-60 (3р, С, 63А, автоматичний вимикач, ІЕК) --- 1шт</t>
  </si>
  <si>
    <t>Вимикач 1НВ (кнопковий, з зеленим індикатором, 230В, 16А, 1NO, HAGER)</t>
  </si>
  <si>
    <t>ВН-32 (вимикач навантаження, 1р, 40А, ІЕК)</t>
  </si>
  <si>
    <t>ВН-32 (вимикач навантаження, 1р, 63А, ІЕК) --- 6шт</t>
  </si>
  <si>
    <t>ВРТ-63 3р (перемикач навантаження, 63А, 3р, ІЕК) --- 1шт</t>
  </si>
  <si>
    <t>Комплект комутаційних кабелів Dyness Power cable for HV51100</t>
  </si>
  <si>
    <t>Комплект комутаційних кабелів для LV5120 W1/R1</t>
  </si>
  <si>
    <t>Комплект комутаційних кабелів для Pylontech Powercube та Sofarsolar --- 4шт</t>
  </si>
  <si>
    <t>Комплект комутаційних кабелів для Pylontech US2000\US3000\US5000 --- 65шт</t>
  </si>
  <si>
    <t>МС363А (3р, С, 63А, 3M, автоматичний вимикач, HAGER)</t>
  </si>
  <si>
    <t>Плата BMS управления АКБ Pylontech US2000С</t>
  </si>
  <si>
    <t>Плата BMS управления АКБ Pylontech US3000С</t>
  </si>
  <si>
    <t>Плата BMS управления АКБ Pylontech US5000С</t>
  </si>
  <si>
    <t>Трифазний індикатор наявності напруги SON H-3K (3-х кольоровий), ETI --- 16шт</t>
  </si>
  <si>
    <t>Аккумулятор Deye RW-M6.1 (6.14kW) 48V LiFePO4</t>
  </si>
  <si>
    <t>Акумулятор Power Sonic PS12280NB 12V28.0AH NB1</t>
  </si>
  <si>
    <t>Акумуляторний блок Deye LiFePO4 (BOS-GM5.1) --- 3шт</t>
  </si>
  <si>
    <t>Акумуляторний блок DEYE RW-M5.3</t>
  </si>
  <si>
    <t>Акумуляторний блок DEYE SE-G5.1 Pro-B --- 6шт</t>
  </si>
  <si>
    <t>Акумуляторний блок FEB LV5120-R1</t>
  </si>
  <si>
    <t>Акумуляторний блок FEB LV5120-W1</t>
  </si>
  <si>
    <t>Акумуляторний блок Genesis 12TD-100</t>
  </si>
  <si>
    <t>Акумуляторний блок Pylontech US2000C (2,4 кВт*год / 48 В) --- 8шт</t>
  </si>
  <si>
    <t>Акумуляторний блок Pylontech US3000С (3,55 кВт*год/48 В) --- 12шт</t>
  </si>
  <si>
    <t>Акумуляторний блок Pylontech US5000C (4,8 кВт*год / 48 В)</t>
  </si>
  <si>
    <t>Акумуляторный блок Pylontech PowerCube H48074 3.55 кВт --- 22шт</t>
  </si>
  <si>
    <t>Блок керування АКБ Deye BOS-G... (HVB750V/100A-EU)</t>
  </si>
  <si>
    <t>Блок управління для системи збереження електроенергії Pylontech Force H2</t>
  </si>
  <si>
    <t>Джерело безперебійного живлення Solis RAI-3K-48ES-5G</t>
  </si>
  <si>
    <t>Зарядна станція Yoobao EN1200Q --- 20шт</t>
  </si>
  <si>
    <t>Модуль для системи збереження електроенергії Pylontech Force-H2 (3,55 КВТ*Ч)</t>
  </si>
  <si>
    <t>Плата для акумуляторний блок Pylontech US2000C (2,4 кВт*год / 48 В)</t>
  </si>
  <si>
    <t>BR-30 (тримач, роз'єднувач, 1p, 30A, 1000VDC, FUSE HOLDER, BENY) --- 239шт</t>
  </si>
  <si>
    <t>CH10x38 gPV (10A, 1000VDC, 30 kA, 10 шт., запобіжник, ETI) --- 2шт</t>
  </si>
  <si>
    <t>CH10x38 gPV (12A, 1000VDC, 30 kA, 10 шт., запобіжник, ETI) --- 59шт</t>
  </si>
  <si>
    <t>CH10x38 gPV (15A, 1000VDC, 30 kA, 10 шт., запобіжник, ETI) --- 2шт</t>
  </si>
  <si>
    <t>CH10x38 gPV (16A, 1000VDC, 30 kA, 10 шт., запобіжник, ETI) --- 1шт</t>
  </si>
  <si>
    <t>CH10x38 gPV (20A, 1000VDC, 30 kA, 10 шт., запобіжник, ETI) --- 1шт</t>
  </si>
  <si>
    <t>CH10x38 gPV (25A, 1000VDC, 30 kA, 10 шт., запобіжник, ETI) --- 2шт</t>
  </si>
  <si>
    <t>EFH10 1p (тримач, роз'єднувач, 25A, 1000VDC, ETI) --- 17шт</t>
  </si>
  <si>
    <t>EFH10 2p (тримач, роз'єднувач, 25A, 1000VDC, ETI)</t>
  </si>
  <si>
    <t>ETITEC C T2 275/20 (обмежувач перенапруг, 1р, ETI) --- 10шт</t>
  </si>
  <si>
    <t>ETITEC C T2 275/20 (обмежувач перенапруг, 3р, ETI) --- 1шт</t>
  </si>
  <si>
    <t>ETITEC C T2 275/20 (обмежувач перенапруг, 4р, ETI) --- 4шт</t>
  </si>
  <si>
    <t>ETITEC M T2 PV 1100/20 Y (обмежувач перенапруг, тип Y, ETI) --- 16шт</t>
  </si>
  <si>
    <t>OSPV-30, 10x38 (15A, 1000VDC,  запобіжник для BR-30,BENY) --- 690шт</t>
  </si>
  <si>
    <t>OSPV-30, 10x38 (30A, 1000VDC,  запобіжник для BR-30,BENY) --- 48шт</t>
  </si>
  <si>
    <t>ОПС1-D 1р (обмежувач перенапруг, D, ІЕК)</t>
  </si>
  <si>
    <t>20/10 мм (трубка, термоусаджувальна, чорна)</t>
  </si>
  <si>
    <t>AD22-22 BM/r (світлосигнальна арматура, зумер, блимаючий, червоний, 220VАC, АСКО) --- 5шт</t>
  </si>
  <si>
    <t>AD22-22DS біла (лампа, світлосигнальна арматура, LED, d22 мм, 230VAC, АСКО)</t>
  </si>
  <si>
    <t>AD22-22DS жовта (лампа, світлосигнальна арматура, LED, d22 мм, 230VAC, АСКО)</t>
  </si>
  <si>
    <t>AD22-22DS зелена (лампа, світлосигнальна арматура, LED, d22 мм, 230VAC, АСКО)</t>
  </si>
  <si>
    <t>AD22-22DS синя (лампа, світлосигнальна арматура, LED, d22 мм, 230VAC, АСКО)</t>
  </si>
  <si>
    <t>AD22-22DS червона (лампа, світлосигнальна арматура, LED, d22 мм, 230VAC, АСКО)</t>
  </si>
  <si>
    <t>ANL-fuse (125A, 80VDC, запобіжник та тримач, VICTRON)</t>
  </si>
  <si>
    <t>ANL-fuse (400A, 80VDC, запобіжник та тримач, VICTRON) --- 3шт</t>
  </si>
  <si>
    <t>AVK 10 мм (клема, сіра, гвинтова, розподільчий блок)</t>
  </si>
  <si>
    <t>AVK 2.5 мм (клема, сіра, гвинтова, розподільчий блок) --- 30шт</t>
  </si>
  <si>
    <t>CLBSV CO "I-0-II" 100 (перемикач навантаження, 3р, 100А, 3 пол., ETI) --- 2шт</t>
  </si>
  <si>
    <t>CLBSV-DH125/B  (рукоятка, ручка, чорна, для CLBSV 63-125A 3P CO "I-0-II", ETI) --- 2шт</t>
  </si>
  <si>
    <t>CS 32 53 PNG (перемикач в корпусі, 3p, 1-0-2, IP65", 32A, ETI) --- 3шт</t>
  </si>
  <si>
    <t>DIN-рейка (1 м, TS-35-1.0, 1.0 мм, АСКО)</t>
  </si>
  <si>
    <t>DIN-рейка (1 м, TS-35-1.5, 1.5 мм, АСКО)</t>
  </si>
  <si>
    <t>DIN-рейка (1.25 м, оцинкована, ІЕК)</t>
  </si>
  <si>
    <t>DIN-рейка (TH 35x7.5L, цинк., 1 м, ETI), --- 5шт</t>
  </si>
  <si>
    <t>DL-25 (накінечник кабельний, алюм., без ізоляції, 25мм2, АСКО) --- 115шт</t>
  </si>
  <si>
    <t>DL-35 (накінечник кабельний, алюм., без ізоляції, 35мм2, АСКО) --- 51шт</t>
  </si>
  <si>
    <t>DL-70 (накінечник кабельний, алюм., без ізоляції, 70мм2, АСКО) --- 6шт</t>
  </si>
  <si>
    <t>DN12 мм (труба гофрована, чорна, УФ, 12 мм, ДКС)</t>
  </si>
  <si>
    <t>DN17 мм (труба гофрована, чорна, УФ, 17 мм, ДКС)</t>
  </si>
  <si>
    <t>DT-35 (накінечник кабельний, мідний, луджений, 35мм2, АСКО) --- 23шт</t>
  </si>
  <si>
    <t>DT-95-12 (накінечник кабельний, мідний, луджений, 95мм2, АСКО) --- 36шт</t>
  </si>
  <si>
    <t>DT(G)-25-6 (накінечник кабельний, мідний, луджений, 25 мм2, АСКО) --- 33шт</t>
  </si>
  <si>
    <t>DT(G)-35 (накінечник кабельний, мідний, луджений, 35 мм2, АСКО) --- 118шт</t>
  </si>
  <si>
    <t>DTL-120 (накінечник кабельний, мідно-алюмінієвий, 120мм2, АСКО) --- 10шт</t>
  </si>
  <si>
    <t>DTL-150 (накінечник кабельний, мідно-алюмінієвий, 150мм2, АСКО)</t>
  </si>
  <si>
    <t>DTL-25 (накінечник кабельний, мідно-алюмінієвий, 25мм2, АСКО) --- 10шт</t>
  </si>
  <si>
    <t>DTL-35 (накінечник кабельний, мідно-алюмінієвий, 35мм2, АСКО) --- 16шт</t>
  </si>
  <si>
    <t>DTL-50 (накінечник кабельний, мідно-алюмінієвий, 50мм2, АСКО) --- 20шт</t>
  </si>
  <si>
    <t>e.bc.stand.1.63, 1п., 63 А(Шина з'єднувальна e.bc.stand.1.63, 1п.,63 А) --- 5шт</t>
  </si>
  <si>
    <t>e.bc.stand.2.63, 2п., 63 А (Шина з'єднувальна e.bc.stand.2.63, 2п., 63 А, E.NEXT) --- 2шт</t>
  </si>
  <si>
    <t>e.bc.stand.3.100 (шина живлення, мідна, 3p, 100А, E.NEXT)</t>
  </si>
  <si>
    <t>e.bc.stand.3.63, 3п., 63 А (Шина з'єднувальна e.bc.stand.3.63, 3п., 63 А, E.NEXT) --- 6,9шт</t>
  </si>
  <si>
    <t>e.control.t15 0.3-30s (реле, затримка вмикання, E.NEXT) --- 38шт</t>
  </si>
  <si>
    <t>e.control.t17 (реле, асиметричне повторення циклу, 24-220V, E.NEXT) --- 19шт</t>
  </si>
  <si>
    <t>e.i.clamp.si.4х10-35 (ізольований анкерний затискач, 4x10-35 мм2, E.Next) --- 6шт</t>
  </si>
  <si>
    <t>e.industrial.i.1.yellow.1.red (індикатор жовто-червоний, DIN-рейка, E.NEXT) --- 2шт</t>
  </si>
  <si>
    <t>e.terminal.stand.e10-12.orange (накінечник втулковий, ізольований, 10.0 кв.мм, помаранчевий, E.NEXT)</t>
  </si>
  <si>
    <t>e.terminal.stand.e10-12.yellow (наконечник втулковий, ізольований, 10,0 кв.мм, жовтий, E.NEXT) --- 1пак</t>
  </si>
  <si>
    <t>e.terminal.stand.e1008.green (наконечник втулковий, ізольований 1,0 кв.мм, зелений, E.NEXT) --- 1пак</t>
  </si>
  <si>
    <t>e.terminal.stand.e1008.red (наконечник втулковий, ізольований, 1,0 кв.мм, червоний, E.NEXT) --- 8пак</t>
  </si>
  <si>
    <t>e.terminal.stand.e16-12.green (наконечник втулковий, ізольований, 16,0 кв.мм, зелений, E.NEXT) --- 3пак</t>
  </si>
  <si>
    <t>e.terminal.stand.e2508.blue (наконечник втулковий, ізольований, 2,5 кв.мм, синій, E.NEXT) --- 1пак</t>
  </si>
  <si>
    <t>e.terminal.stand.e2508.green (наконечник втулковий, ізольований, 2,5 кв.мм, зелений, E.NEXT) --- 3пак</t>
  </si>
  <si>
    <t>e.terminal.stand.e6012.blue (наконечник втулковий, ізольований 6,0 кв.мм, синій, E.NEXT)</t>
  </si>
  <si>
    <t>e.terminal.stand.e6012.red (накінечник втулковий, ізольований, 6.0 кв.мм, червоний, E.NEXT)</t>
  </si>
  <si>
    <t>e.terminal.stand.te.2.1.red (накінечник втулковий, ізольований, подвоєний, 2x1,0 мм², червоний)</t>
  </si>
  <si>
    <t>e.terminal.stand.te.2.1.white (накінечник втулковий, ізольований, подвоєний, 2x1 мм², білий, E.NEXT) --- 1пак</t>
  </si>
  <si>
    <t>e.terminal.stand.te.2.10.brown (накінечник втулковий, ізольований, подвоєний, 2x10 мм², коричневий)</t>
  </si>
  <si>
    <t>e.terminal.stand.te.2.16.grey (накінечник втулковий, ізольований, подвоєний, 2x16 мм², сірий) --- 1пак</t>
  </si>
  <si>
    <t>e.terminal.stand.te.2.2.5.grey (накінечник втулковий, ізольований, подвоєний, 2x2,5 мм², сірий) --- 2пак</t>
  </si>
  <si>
    <t>e.terminal.stand.te.2.6.black (накінечник втулковий, ізольований, подвоєний, 2x6,0 мм², чорний)</t>
  </si>
  <si>
    <t>e.tube.stand.gty.25 (Гільза мідна луджена кабельна з'єднувальна e.tube.stand.gty.25) --- 47шт</t>
  </si>
  <si>
    <t>ECH-12PT (щит, розподільчий, 12 модулів, 319х256х144, навісний, IP65, ETI) --- 10шт</t>
  </si>
  <si>
    <t>ECH-24PT (щит, розподільчий, 24 модулів, 319х384х144, навісний, IP65, ETI) --- 14шт</t>
  </si>
  <si>
    <t>ECH-36PT (щит, розподільчий, 36 модулів, 319х508х144, навісний, IP65, ETI) --- 17шт</t>
  </si>
  <si>
    <t>ECH-48PT (щит, розподільчий, 48 модулів, 319х664х144, навісний, IP65, ETI) --- 16шт</t>
  </si>
  <si>
    <t>ECT-8PT (щит, розподільчий, 8 модулів, зовнішній)</t>
  </si>
  <si>
    <t>EDBJ-1x35-1x35 (клема ввідна, силова, розподільчий блок, сіра, ETI) --- 273шт</t>
  </si>
  <si>
    <t>EDBJ-1x35-1x35/B (клема ввідна, силова, розподільчий блок, чорна, ETI)</t>
  </si>
  <si>
    <t>EDBJ-1x35-1x35/N (клема ввідна, силова, розподільчий блок, синя, ETI) --- 161шт</t>
  </si>
  <si>
    <t>EDBJ-1x35-1x35/R (клема ввідна, силова, розподільчий блок, червона, ETI)</t>
  </si>
  <si>
    <t>EDBJ-1x35-1x35PE (клема ввідна, силова, розподільчий блок, зелена, ETI)</t>
  </si>
  <si>
    <t>EDBJ-4x25-4x25 (блок розподільчий, сірий, ETI, клема) --- 2шт</t>
  </si>
  <si>
    <t>EDBJ-4x25-4x25/B (блок розподільчий, чорний, ETI, клема)</t>
  </si>
  <si>
    <t>EDBM-1 (блок розподільчий, клема, 160А, 1500VAC/DC, ETI) --- 7шт</t>
  </si>
  <si>
    <t>EDBM-7/N (блок розподільчий, синій, ETI, клема)</t>
  </si>
  <si>
    <t>EDBS-50B (клема ввідна, силова, розподільчий блок, сіра, ETI) --- 86шт</t>
  </si>
  <si>
    <t>EDBS-50B/N (клема ввідна, силова, розподільчий блок, нульова, синя, ETI) --- 50шт</t>
  </si>
  <si>
    <t>EDBS-50B/PE (клема ввідна, силова, розподільчий блок, заземлення, ETI)</t>
  </si>
  <si>
    <t>EFB-50FT-15 (ввідна клема 15мм, Fork) --- 4шт</t>
  </si>
  <si>
    <t>ERB4-T (цоколь для проміжного реле ERM4, 4р, ETI) --- 72шт</t>
  </si>
  <si>
    <t>Ex9CH40 11 (контактор, модульний, 40А, 230VAC, 1НВ+1НЗ, NOARK) --- 2шт</t>
  </si>
  <si>
    <t>EZ9 1Р+N (обмежувач імпульсних перенапруг) In=10kA Up=1.3кB Im=20kA, Schneider Electric</t>
  </si>
  <si>
    <t>GL-35 (гільза алюмінієва кабельна з'єднувальна, 35 мм2, АСКО) --- 9шт</t>
  </si>
  <si>
    <t>GT-16 (гільза мідна луджена кабельна з'єднувальна, 16 мм2, АСКО) --- 18шт</t>
  </si>
  <si>
    <t>GT-25 (гільза мідна луджена кабельна з'єднувальна, 25 мм2, АСКО) --- 151шт</t>
  </si>
  <si>
    <t>GT-35 (гільза мідна луджена кабельна з'єднувальна, 35 мм2, АСКО) --- 19шт</t>
  </si>
  <si>
    <t>GT-95 (гільза мідна луджена кабельна з'єднувальна, 95 мм2, АСКО) --- 6шт</t>
  </si>
  <si>
    <t>GTL-25 (гільза мідно-алюмінієва, 25 мм2, АСКО) --- 16шт</t>
  </si>
  <si>
    <t>GTL-35 (гільза мідно-алюмінієва, 35 мм2, АСКО) --- 18шт</t>
  </si>
  <si>
    <t>GTL-50 (гільза мідно-алюмінієва, 50 мм2, АСКО) --- 20шт</t>
  </si>
  <si>
    <t>HIM 306 Перемикач модульний трьохпозиційний I-0-II до 16мм2, 3п40А,Hager --- 2шт</t>
  </si>
  <si>
    <t>HIM306 (перемикач навантаження, 3 пол., 63А, 3р, HAGER) --- 3шт</t>
  </si>
  <si>
    <t>HIM406 (перемикач навантаження, 3 пол., 63А, 4р, HAGER) --- 2шт</t>
  </si>
  <si>
    <t>ITK Комутаційний шнур (патч-корд), кат.6 UTP, LSZH, 3м,сірий --- 4шт</t>
  </si>
  <si>
    <t>IZ 10/3F/54 (шина живлення, мідна, 10 мм², 3р, 1м, Fork, ETI)</t>
  </si>
  <si>
    <t>IZ 12/3F/54 (шина живлення, мідна, 12 мм², 3р, 1м, Fork, ETI)</t>
  </si>
  <si>
    <t>IZS 10/1F/54 1р 1m (шина живлення, IZS 10/1F/54 1р 1m(штирькова), ETI --- 1шт</t>
  </si>
  <si>
    <t>JG-16 (накінечник кабельний, мідний, луджений, 16 мм², ІЕК)</t>
  </si>
  <si>
    <t>JG-25 (накінечник кабельний, мідний, луджений, 25мм2, ІЕК) --- 71шт</t>
  </si>
  <si>
    <t>JG-35 (накінечник кабельний, мідний, луджений, 35мм2, ІЕК) --- 1шт</t>
  </si>
  <si>
    <t>JXB 10/35 (клема, сіра, розподільчий блок, АСКО)</t>
  </si>
  <si>
    <t>JXB 2.5/35 (клема, сіра, розподільчий блок, АСКО) --- 27шт</t>
  </si>
  <si>
    <t>KF09040  40 мм (труба гофрована, чорна, підземна, Kopoflex)</t>
  </si>
  <si>
    <t>KF09040UVFA  40 мм (труба гофрована, підземна, чорна, Kopoflex) --- 80м</t>
  </si>
  <si>
    <t>KVL-1 (тримач, роз'єднувач, 1p, 250A, 500VAC, M10-M10, ETI)</t>
  </si>
  <si>
    <t>LA 2/D 250A 3P CO "1-0-2" (перемикач навантаження, 3р, 250А, 3 пол., ETI)</t>
  </si>
  <si>
    <t>LAN 80x40 (торцева заглушка для кабель-каналів 80х40 мм, DKC) --- 14шт</t>
  </si>
  <si>
    <t>LBS 400 CO "1-0-2" (Перемикач навантаження, 3P, 400А, ETI)</t>
  </si>
  <si>
    <t>LBS-EH 630/G …400/G FLBS  (рукоятка, ручка, чорна, для LBS..CD 160-630А&amp;FLBS 125-400A, ETI) --- 1шт</t>
  </si>
  <si>
    <t>MC4-FUSE (запобіжник 20А, MC4)</t>
  </si>
  <si>
    <t>MC4-VD (блокувальний діод 20А, MC4) --- 12шт</t>
  </si>
  <si>
    <t>MY3 (реле, проміжне, 3р, 220VAC, АСКО) --- 1шт</t>
  </si>
  <si>
    <t>NH-1/gG KOMBI (250A, 500VAC, 120 kA, запобіжник, ETI) --- 15шт</t>
  </si>
  <si>
    <t>NH-2/gG KOMBI (Запобіжник NH-2/gG 315A 500V KOMBI, ETI) --- 1шт</t>
  </si>
  <si>
    <t>NH-2/gG KOMBI(Запобіжник NH-2/gG 300A 500V KOMBI, ETI)</t>
  </si>
  <si>
    <t>NH-2C/gG 200A (Запобіжник NH-2C/gG 200A 500V KOMBI, ETI)</t>
  </si>
  <si>
    <t>NH40-200/3CS (перемикач навантаження, 3 пол., 200А, 3р, CHINT)</t>
  </si>
  <si>
    <t>NH40-200/3CSW (перемикач навантаження, 3 пол., 200А, 3р, виносна рукоятка, CHINT)</t>
  </si>
  <si>
    <t>NPP/AVK 2.5-10 (кришка торцева, сіра, клема) --- 2шт</t>
  </si>
  <si>
    <t>NT1.125, габарит(Запобіжник плавкий e.fuse.NT1.125, габарит 1, 125А --- 1шт</t>
  </si>
  <si>
    <t>NTE8-120В (реле, затримка вмикання, 10-120 с, 220VAC, АСКО)</t>
  </si>
  <si>
    <t>ORT-1 (реле, затримка вмикання, 230VAC, ІЕК)</t>
  </si>
  <si>
    <t>PYF11A (колодка під реле МY3, АСКО) --- 1шт</t>
  </si>
  <si>
    <t>RJ-45 (UTP  (Сat.5e,8P8C), Конектор роз'єм для мережевого кабелю)</t>
  </si>
  <si>
    <t>RJ-45 (UTP cat.6, ITK, роз'єм для мережевого кабелю)</t>
  </si>
  <si>
    <t>RN-11 (1NO+1NC, додаткові контакти для контакторів типу RA/RD, ETI) --- 27шт</t>
  </si>
  <si>
    <t>RV 5.5-6 (накінечник кільцевий під гвинт, ізольований, 4-6 мм² жовтий, ENEXT)</t>
  </si>
  <si>
    <t>RV 5.5-6 (накінечник кільцевий під гвинт, ізольований, 4-6 мм2, АСКО) --- 8пак</t>
  </si>
  <si>
    <t>SB-RSFR-H 5/2.5 (трубка, термоусаджувальна, жовта)</t>
  </si>
  <si>
    <t>SC-16-6 (накінечник кабельний, мідний, луджений, 16 мм2, АСКО) --- 100шт</t>
  </si>
  <si>
    <t>SC-16-8 (накінечник кабельний, мідний, луджений, 16мм2, АСКО) --- 79шт</t>
  </si>
  <si>
    <t>SC-25-8 (накінечник кабельний, мідний, луджений, 25мм2, АСКО) --- 127шт</t>
  </si>
  <si>
    <t>SC-35-8 (накінечник кабельний, мідний, луджений, 35 мм2, АСКО) --- 90шт</t>
  </si>
  <si>
    <t>SC-6-6 (накінечник кабельний, мідний, луджений, 6 мм2, АСКО) --- 90шт</t>
  </si>
  <si>
    <t>SFT240 (перемикач навантаження, 3 пол., 40А, 230В, 2р, HAGER)</t>
  </si>
  <si>
    <t>SFT440 (перемикач навантаження, 3 пол., 40А, 230В, 4р, HAGER)</t>
  </si>
  <si>
    <t>SM25 (ізолятор силовий, з болтом, H25хD27хM6 мм, IEK)</t>
  </si>
  <si>
    <t>SM30 (ізолятор силовий, з болтом М8, АСКО) --- 26шт</t>
  </si>
  <si>
    <t>SM40 (ізолятор силовий, з болтом М8, АСКО) --- 75шт</t>
  </si>
  <si>
    <t>SSQ240 (перемикач навантаження, 3 пол., 2p, 40A, ETI) --- 37шт</t>
  </si>
  <si>
    <t>SSQ425 (перемикач навантаження, 3 пол., 4р, 25А, ETI) --- 1шт</t>
  </si>
  <si>
    <t>SSQ440 (перемикач навантаження, 3 пол., 4р, 40А, ETI) --- 43шт</t>
  </si>
  <si>
    <t>SSQ463 (перемикач навантаження, 3 пол., 4р, 63А, ETI)</t>
  </si>
  <si>
    <t>SSV-35 (колодка клемна, розподільчий блок) --- 1шт</t>
  </si>
  <si>
    <t>SWB-15 біла-прозора (спіраль, 10 м, АСКО) --- 9м</t>
  </si>
  <si>
    <t>TA-EN 40х40 мм (короб з кришкою, 2000 мм, ДКС)</t>
  </si>
  <si>
    <t>TA-GN 100х40 мм (короб з кришкою, 2000 мм, ДКС) --- 14м</t>
  </si>
  <si>
    <t>TA-GN 100х60 мм (короб з кришкою, 2000 мм, ДКС)</t>
  </si>
  <si>
    <t>TA-GN 80х40 мм (короб з кришкою, 2000 мм, ДКС)</t>
  </si>
  <si>
    <t>VSU 150 Клема силова VSU 150 (150 mm2_бежева),ETI --- 19шт</t>
  </si>
  <si>
    <t>VSU 70 Клема силова VSU 70 (70 mm2_бежева), ETI --- 20шт</t>
  </si>
  <si>
    <t>VSU 95 Клема силова VSU 95 (95 mm2_бежева),ETI --- 1шт</t>
  </si>
  <si>
    <t>YC9VA 63А (реле контролю напруги, 1ф, модульне, 230VAC, CNC) --- 2шт</t>
  </si>
  <si>
    <t>YXD10 (обмежувач, металевий, тримач, на DIN-рейку, ІЕК) --- 11шт</t>
  </si>
  <si>
    <t>ZUBR D63 (реле, 1ф, напруги, 63А, ZUBR)</t>
  </si>
  <si>
    <t>Блок-контакт 1НЗ (додатковий контакт, 1NC, "СТОП") --- 1шт</t>
  </si>
  <si>
    <t>Блок-контакт 1НО (додатковий контакт, 1NO, "СТАРТ", "ПУСК")</t>
  </si>
  <si>
    <t>Бокс монтажний МКН 652, IP54 навісний, ВхШхГ 600х500х200 (з монт. панеллю), Елетон</t>
  </si>
  <si>
    <t>Вимикач з фіксацією (2 положення, поворотний, 1НО) --- 2шт</t>
  </si>
  <si>
    <t>ВРТ-63 4р (перемикач навантаження, 3 пол., 4р, 25А, ІЕК)</t>
  </si>
  <si>
    <t>ГМА-25/35 (гільза мідно-алюмінієва з'єднувальна, 25/35 мм2, IEK) --- 7шт</t>
  </si>
  <si>
    <t>Дюбель 8х40 нейлон бурт</t>
  </si>
  <si>
    <t>Дюбель з шурупом 8х120 мм --- 30шт</t>
  </si>
  <si>
    <t>Дюбель розпірний з універсальним шурупом 8x70 мм</t>
  </si>
  <si>
    <t>Дюбель розпірний із гвинтом для дерева 10x100 мм</t>
  </si>
  <si>
    <t>З'єднувач (діагональний, цинк., ДКС) --- 16шт</t>
  </si>
  <si>
    <t>ЗАБу 4х10-35  (затискач анкерний для СІП-4, 10-35 мм2, ІЕК) --- 6шт</t>
  </si>
  <si>
    <t>Запобіжник gPV для СЕС 20А/1000В</t>
  </si>
  <si>
    <t>Запобіжник NH-1/gG 160A 500V KOMBI, ETI --- 14шт</t>
  </si>
  <si>
    <t>Запобіжник NH-1/gG 200A 500VAC 120kA KOMBI, ETI --- 10шт</t>
  </si>
  <si>
    <t>Запобіжник NH-2/gG 400A 500VAC KOMBI, ETI --- 4шт</t>
  </si>
  <si>
    <t>ЗАС 4х16-50/14400  (затискач анкерний для СІП-4, 16-50 мм2, ІЕК)</t>
  </si>
  <si>
    <t>ЗНИ-10 (заглушка для затискача набірного 10мм², клема, сіра, IEK) --- 19шт</t>
  </si>
  <si>
    <t>ЗНИ-10 (затискач набірний, клема, розподільчий блок, 10 мм², сірий, IEK) --- 70шт</t>
  </si>
  <si>
    <t>ЗОИ 25-95/25-95 (затискач відгалужувальний ізольований, IEK)</t>
  </si>
  <si>
    <t>Ізострічка "STENSON" (25 м, різнокольорова)</t>
  </si>
  <si>
    <t>Ізострічка 0.13х19 мм (жовта, 20 м, e.tape.stand.20.yellow, E.NEXT)</t>
  </si>
  <si>
    <t>Ізострічка 0.13х19 мм (червона,10 м , АСКО) --- 1шт</t>
  </si>
  <si>
    <t>Ізострічка 0.13х19 мм (чорна, 20 м, e.tape.stand.20.black, E.NEXT)</t>
  </si>
  <si>
    <t>Ізострічка 0.13х19 мм (чорна, 20 м, АСКО) --- 7шт</t>
  </si>
  <si>
    <t>Ізострічка 0.2х19 мм (біла, 20 м, e.tape.pro.20.white із самозгасаючого ПВХ, E.NEXT) --- 2шт</t>
  </si>
  <si>
    <t>Ізострічка 0.2х19 мм (синя, 20 м, e.tape.pro.20.blue із самозгасаючого ПВХ, E.NEXT) --- 7шт</t>
  </si>
  <si>
    <t>Коробка 190х140х70 мм (відгалужувальна, розподільча, IP55, ДКС)</t>
  </si>
  <si>
    <t>Коробка 240х190х90 мм (відгалужувальна, розподільча, IP55, ДКС)</t>
  </si>
  <si>
    <t>Коробка 300х220х120 мм (відгалужувальна, розподільча, IP55, ДКС) --- 20шт</t>
  </si>
  <si>
    <t>Коробка 300х220х120 мм (відгалужувальна, розподільча, IP56, ДКС) --- 9шт</t>
  </si>
  <si>
    <t>Коробка 380х300х120 мм (відгалужувальна, розподільча, IP55, ДКС) --- 5шт</t>
  </si>
  <si>
    <t>Коробка TY-RA 200х200х80 мм (відгалужувальна, розподільча, АСКО)</t>
  </si>
  <si>
    <t>Коробка TY-RA 255х200х80 мм (відгалужувальна, розподільча, АСКО)</t>
  </si>
  <si>
    <t>Корпус HJ9-4 (для кнопок, 4-місний, білий, АСКО) --- 3шт</t>
  </si>
  <si>
    <t>Кришка бокова 2.5 (пластина бокова, заглушка, 2.5 мм, клема, сіра) --- 4шт</t>
  </si>
  <si>
    <t>Кришка на лоток 50 мм (із заземленням, оцинкована сталь., 3000 мм, ДКС)</t>
  </si>
  <si>
    <t>Лоток 50х50 мм (лоток, неперфорований, оцинкована сталь., 3000 мм, ДКС)</t>
  </si>
  <si>
    <t>ЛС-47М жовта (лампа, світлосигнальна арматура, модульна, LED, ІЕК) --- 3шт</t>
  </si>
  <si>
    <t>ЛС-47М зелена (лампа, світлосигнальна арматура, модульна, LED, ІЕК)</t>
  </si>
  <si>
    <t>Місток з'єднувальний LBS-BR400 1P CO для LBS 400 CO 3P/4P, ETI</t>
  </si>
  <si>
    <t>Муфта д.32 мм (труба-труба, IP67)</t>
  </si>
  <si>
    <t>Муфта д.32 мм (труба-труба, з обмежувачем, IP40)</t>
  </si>
  <si>
    <t>Муфта М32х1.5 (труба-коробка, IP67, 32 мм, ДКС)</t>
  </si>
  <si>
    <t>Муфта М50х1.5 (труба-коробка, IP67, 50 мм, ДКС) --- 1шт</t>
  </si>
  <si>
    <t>НТ 0.75-08 сині (накінечник трубчатий, 0.75 мм2, АСКО)</t>
  </si>
  <si>
    <t>НТ 1.0-08 жовті (накінечник трубчатий, 1 мм2, АСКО)</t>
  </si>
  <si>
    <t>НТ 1.0-08 червоні (накінечник трубчатий, 1 мм2, АСКО) --- 12пак</t>
  </si>
  <si>
    <t>НТ 10.0-12 білі (накінечник трубчатий, 10 мм2, АСКО)</t>
  </si>
  <si>
    <t>НТ 10.0-12 жовті (накінечник трубчатий, 10 мм2, АСКО) --- 3пак</t>
  </si>
  <si>
    <t>НТ 16.0-12 зелені (накінечник трубчатий, 16 мм2, АСКО) --- 1пак</t>
  </si>
  <si>
    <t>НТ 16.0-12 сині (накінечник трубчатий, 16 мм2, АСКО) --- 4пак</t>
  </si>
  <si>
    <t>НТ 2.5-08 сині (накінечник трубчатий, 2.5 мм2, АСКО)</t>
  </si>
  <si>
    <t>НТ 25.0-12 помаранчеві (накінечник трубчатий, 25 мм2, АСКО)</t>
  </si>
  <si>
    <t>НТ 4.0-09 помаранчеві (накінечник трубчатий, 4 мм2, АСКО)</t>
  </si>
  <si>
    <t>НТ 6,0-12 жовті (накінечник трубчатий, 6.0 мм2, АСКО)</t>
  </si>
  <si>
    <t>НТ 6.0-12 зелені (накінечник трубчатий, 6.0 мм2, АСКО) --- 15пак</t>
  </si>
  <si>
    <t>НТ 6.0-12 чорні (накінечник трубчатий, 6.0 мм2, АСКО)</t>
  </si>
  <si>
    <t>ПНД d50 мм (труба гофрована, з зондом, чорна, УФ, ІЕК) --- 15м</t>
  </si>
  <si>
    <t>Розподільчий блок (sn.pro.80 (80 А) на DIN-рейку, E.NEXT) --- 14шт</t>
  </si>
  <si>
    <t>РСВ 25х5 мм (шина мідна, полоса, 4 м, 433А)</t>
  </si>
  <si>
    <t>СТН-2A (майданчик до хомутів, чорний, УФ, АСКО) --- 36пак</t>
  </si>
  <si>
    <t>СТН-2B (майданчик до хомутів, чорний, УФ, АСКО)</t>
  </si>
  <si>
    <t>СТН-2C (майданчик до хомутів, чорний, УФ, АСКО) --- 3пак</t>
  </si>
  <si>
    <t>Стрижень (безмуфтовий, загострений, d16 мм, 1.5 м, цинк., ДКС) --- 45шт</t>
  </si>
  <si>
    <t>Стрижень (безмуфтовий, зі шпількою, d16 мм, 1.5 м, цинк., ДКС) --- 61шт</t>
  </si>
  <si>
    <t>Стрижень-шпилька М10 (1м 4.8 цб., DIN975)</t>
  </si>
  <si>
    <t>Стрижень-шпилька М10 (1м 8.8 цб., DIN975)</t>
  </si>
  <si>
    <t>Табличка 18mm (порожня, бірка, шильдік, для тримача B-ROZET18) --- 4шт</t>
  </si>
  <si>
    <t>ТЕ 0.75-08 сині (накінечник трубчатий, подвоєний, 0.75 мм2, АСКО)</t>
  </si>
  <si>
    <t>ТЕ 1.0-08 червоні (накінечник трубчатий, подвоєний, 1 мм2, АСКО) --- 10пак</t>
  </si>
  <si>
    <t>ТЕ 1.0-10 червоні (накінечник трубчатий, подвоєний, 1 мм2, АСКО)</t>
  </si>
  <si>
    <t>ТЕ 10.0-14 коричневі (накінечник трубчатий, подвоєний, 10 мм2, АСКО)</t>
  </si>
  <si>
    <t>ТЕ 16.0-14 білі (накінечник трубчатий, подвоєний, 16 мм2, АСКО) --- 2пак</t>
  </si>
  <si>
    <t>ТЕ 2.5-10 сині (накінечник трубчатий, подвоєний, 2.5 мм2, АСКО) --- 15пак</t>
  </si>
  <si>
    <t>ТЕ 6.0-14 жовті (накінечник трубчатий, подвоєний, 6 мм2, АСКО) --- 27пак</t>
  </si>
  <si>
    <t>Тримач 16 мм (кліпса, труба ПВТ, УФ, ДКС) --- 95шт</t>
  </si>
  <si>
    <t>Тримач 25 мм (з фіксатором, труба ПВТ, УФ, ДКС) --- 35шт</t>
  </si>
  <si>
    <t>Тримач 32 мм (з фіксатором, труба ПВТ, УФ, ДКС) --- 1364шт</t>
  </si>
  <si>
    <t>Труба ПВТ 16 мм (гофрована, УФ, чорна, ДКС)</t>
  </si>
  <si>
    <t>Труба ПВТ 25 мм (гофрована, УФ, чорна, ДКС) --- 200м</t>
  </si>
  <si>
    <t>Труба ПВТ 32 мм (гофрована, УФ, чорна, ДКС) --- 775м</t>
  </si>
  <si>
    <t>Труба ПВТ 40 мм (гофрована, УФ, чорна, ДКС) --- 60м</t>
  </si>
  <si>
    <t>Труба ПВТ 50 мм (гофрована, УФ, чорна, ДКС)</t>
  </si>
  <si>
    <t>Труба ППР Дn 20х3,4 PN20 Georg Fischer (100)</t>
  </si>
  <si>
    <t>ТСК 12/7.4 мм (трубка, термоусаджувальна, клей, чорна, АСКО)</t>
  </si>
  <si>
    <t>ТСК 15/5 мм (трубка, термоусаджувальна, клей, червона, АСКО) --- 4шт</t>
  </si>
  <si>
    <t>ТСК 15/5 мм (трубка, термоусаджувальна, клей, чорна, АСКО) --- 2шт</t>
  </si>
  <si>
    <t>ТСК 19.1/6.5 мм (трубка, термоусаджувальна, клей, чорна, АСКО)</t>
  </si>
  <si>
    <t>ТСК 25/8.5 мм (трубка, термоусаджувальна, клей, чорна, АСКО)</t>
  </si>
  <si>
    <t>Хімічний анкер SUPERFIX 300 мл Metalvis</t>
  </si>
  <si>
    <t>Хомут 3.6х200 мм (стандартний, білий, поліамід, стяжка)</t>
  </si>
  <si>
    <t>Хомут 3.6х290 мм (стандартний, чорний, поліамід, стяжка, ДКС)</t>
  </si>
  <si>
    <t>Хомут 4,5х300 (нейлон) (пак-100 шт.), колір чорний, SSSEL.3.429</t>
  </si>
  <si>
    <t>Хомут 4.8х290 мм (стандартний, чорний, поліамід, стяжка, ДКС)</t>
  </si>
  <si>
    <t>Шина 2x7 (розподільчий блок, e.cbs.pro.2.7, N, нульова, E.NEXT) --- 23шт</t>
  </si>
  <si>
    <t>Шина 2x7 (розподільчий блок, N, нульова, ІЕК) --- 1шт</t>
  </si>
  <si>
    <t>Шина 2x7 EDB-207 (розподільчий блок, клема, нульова, 2p, 125A, ETI) --- 109шт</t>
  </si>
  <si>
    <t>ШМТ 5х25, 3м Шина мідна --- 7,15м</t>
  </si>
  <si>
    <t>ШМТ 5х30 мм (шина мідна, полоса, 3 м, М1) --- 3,85м</t>
  </si>
  <si>
    <t>ШС 100-1/63, АсКо (Шина з`єднувальна ШС 100-1/63, АсКо )</t>
  </si>
  <si>
    <t>BUD-40/2 (обмежувач перенапруг, 600VDC, 2p, 40kA, BENY) --- 128шт</t>
  </si>
  <si>
    <t>BUD-40/3 (обмежувач перенапруг, 3р, 1000VDC, 40kA, SPD, BENY) --- 45шт</t>
  </si>
  <si>
    <t>ОПС1-B 1р (обмежувач перенапруг, B, ІЕК) --- 15шт</t>
  </si>
  <si>
    <t>ОПС1-C 1р (обмежувач перенапруг, C, ІЕК)</t>
  </si>
  <si>
    <t>APP/AVK 2.5-10  (розмежувач клем, пластина, сіра) --- 4шт</t>
  </si>
  <si>
    <t>B-ROZET18 (тримач шильдіка, для маркування кнопок EMAS) --- 4шт</t>
  </si>
  <si>
    <t>DOT.3 (ящик, щит, для 3ф лічильника, NiK)</t>
  </si>
  <si>
    <t>e.control.t09 (таймер, тижневий, 2 кан., 220VAC, E.NEXT) --- 4шт</t>
  </si>
  <si>
    <t>EKE 100х60 (кабельний канал, короб, білий, ПВХ, 2000мм,KOPOS) --- 82м</t>
  </si>
  <si>
    <t>EKE 100х60 заглушка (Серія EKЕ, ПВХ, KOPOS) --- 29шт</t>
  </si>
  <si>
    <t>EKE 100х60 кут внутрішній (Серія EKЕ, ПВХ, KOPOS) --- 20шт</t>
  </si>
  <si>
    <t>EKE 100х60 кут зовнішній (Серія EKЕ, ПВХ, KOPOS) 8556 --- 19шт</t>
  </si>
  <si>
    <t>EKE 100х60 кут плаский (Серія EKЕ, ПВХ, KOPOS) 8553 --- 33шт</t>
  </si>
  <si>
    <t>EKE 100х60 кут Т-подібний, трійник (Серія EKЕ, ПВХ, KOPOS) 8554 --- 1шт</t>
  </si>
  <si>
    <t>MC4T-A1 (з'єднувачі, комплект конекторів MC4)</t>
  </si>
  <si>
    <t>MC4X-B1 (штекер, гніздо, комплект конекторів MC4) --- 1515шт</t>
  </si>
  <si>
    <t>MC4X-BN2 (роз'єм, комплект конекторів MC4)</t>
  </si>
  <si>
    <t>PG18 (сальник, герметичній ввід, АСКО) --- 50шт</t>
  </si>
  <si>
    <t>PG21 (сальник, герметичній ввід, АСКО) --- 54шт</t>
  </si>
  <si>
    <t>PK-1 (тримач, роз'єднувач, 1p, 250A, 500VAC, S, M10-M10, ETI)</t>
  </si>
  <si>
    <t>PK-2 (тримач, запобіжника, 1p, 400A, S, M10-M10, ETI)</t>
  </si>
  <si>
    <t>PT-1 (тримач, роз'єднувач, 1p, 250A, 500VAC, M10-M10, ETI) --- 22шт</t>
  </si>
  <si>
    <t>PT-2 (Тримач запобіжника PT 2 1p 400A (M10-M10), ETI) --- 3шт</t>
  </si>
  <si>
    <t>QS5-63P/4 Роз'єднувач  (1-0-2) на 63А, АСКО-УКРЕМ --- 3шт</t>
  </si>
  <si>
    <t>RHE-1s (розетка, 1-я, Schuko, IP54, ETI) біла кришка --- 9шт</t>
  </si>
  <si>
    <t>t-2P+Z Schuko (розетка, на DIN-рейку, ETI) --- 59шт</t>
  </si>
  <si>
    <t>Вимикач  2х поз. (поворотний, стандартна ручка, АСКО) --- 1шт</t>
  </si>
  <si>
    <t>Герметик п/урет. SOUDAFLEX 40 чорний 600мл --- 14шт</t>
  </si>
  <si>
    <t>ДП-35 (тримач, роз'єднувач, 1p, 250A, 500VAC, ETI)</t>
  </si>
  <si>
    <t>ЗПЗ-1, АсКо (Знімач запобіжників ЗПЗ-1, АсКо )</t>
  </si>
  <si>
    <t>Кнопка (з підсвіткою, без фіксації, 1НВ+1НЗ, зелена, АСКО) TB5-AW33V5 --- 5шт</t>
  </si>
  <si>
    <t>Кнопка e.pbif.din.green (з індикатором, з фіксатором, на DIN-рейку, зелена, E.NEXT) --- 1шт</t>
  </si>
  <si>
    <t>Кнопка КМУ11 (керування, модульна, червона, зелена, на DIN-рейку, IEK) --- 4шт</t>
  </si>
  <si>
    <t>Наконечник для кабелю до АКБ (високовольт/низьковольт, 120А, помаранчевий) (підходять для Sofar) --- 3шт</t>
  </si>
  <si>
    <t>ПВ1 2.5 (провід мідний, монолітний)</t>
  </si>
  <si>
    <t>ПВ1 4.0 (провід мідний, монолітний) --- 200м</t>
  </si>
  <si>
    <t>ПВ1 6.0 (провід мідний, монолітний) --- 100м</t>
  </si>
  <si>
    <t>ПВС 3х2.5 (провід, мідний)</t>
  </si>
  <si>
    <t>РАр10-3-ОП (розетка, з заземленням, на DIN-рейку, ІЕК) --- 6шт</t>
  </si>
  <si>
    <t>РСб20-3-ФСр (розетка, 1м, зовнішня, IP54, ФОРС, ІЕК) --- 1шт</t>
  </si>
  <si>
    <t>Тримач 25 мм (двокомпонентний, труба, ДКС)</t>
  </si>
  <si>
    <t>Тримач 32 мм (двосторонній, цинк., труба, ДКС)</t>
  </si>
  <si>
    <t>Тримач 38-40 мм (двосторонній, цинк., труба, ДКС)</t>
  </si>
  <si>
    <t>Тримач 40 мм (з фіксатором, труба ПВТ, УФ, ДКС) --- 44шт</t>
  </si>
  <si>
    <t>Тримач 48-50 мм (двосторонній, цинк., труба, ДКС)</t>
  </si>
  <si>
    <t>Тримач 50 мм (з фіксатором, труба ПВТ, УФ, ДКС)</t>
  </si>
  <si>
    <t>Тримач маркувальної бірки (для кнопок і перемикачів ∅22 мм, АСКО) --- 20шт</t>
  </si>
  <si>
    <t>Інвертор автономний Victron MultiPlus 48/5000/70-50</t>
  </si>
  <si>
    <t>Інвертор автономний Victron Quattro 48/10000/140-100/100</t>
  </si>
  <si>
    <t>Інвертор гібридний Deye SUN-10K-SG02LP1-EU-AM3 (1 фаза)</t>
  </si>
  <si>
    <t>Інвертор гібридний Deye SUN-10K-SG04LP3-ЕU (3 фази) --- 6шт</t>
  </si>
  <si>
    <t>Інвертор гібридний Deye SUN-12K-SG02LP1-EU-AM3 (1 фаза)</t>
  </si>
  <si>
    <t>Інвертор гібридний Deye SUN-12K-SG04LP3-ЕU (3 фази) --- 6шт</t>
  </si>
  <si>
    <t>Інвертор гібридний Deye SUN-15K-SG01HP3-EU-AM2 --- 1шт</t>
  </si>
  <si>
    <t>Інвертор гібридний Deye SUN-25K-SG01HP3-EU-AM2</t>
  </si>
  <si>
    <t>Інвертор гібридний Deye SUN-3.6K-SG03LP1-EU</t>
  </si>
  <si>
    <t>Інвертор гібридний Deye SUN-5K-SG03LP1-EU</t>
  </si>
  <si>
    <t>Інвертор гібридний Deye SUN-5K-SG05LP3-EU</t>
  </si>
  <si>
    <t>Інвертор гібридний Deye SUN-6K-SG03LP1-EU --- 4шт</t>
  </si>
  <si>
    <t>Інвертор гібридний Deye SUN-6K-SG05LP1-ЕU --- 16шт</t>
  </si>
  <si>
    <t>Інвертор гібридний Deye SUN-8K-SG01LP1-US/EU</t>
  </si>
  <si>
    <t>Інвертор гібридний IMEON 9.12</t>
  </si>
  <si>
    <t>Інвертор гібридний Sofar HYD 15KTL-3PH</t>
  </si>
  <si>
    <t>Інвертор гібридний Solis RHI-5k-48ЕS-5G</t>
  </si>
  <si>
    <t>Інвертор гібридний Solis S5-EH1P5K-L</t>
  </si>
  <si>
    <t>Інвертор гібридний однофазний Аfore AF5K-SL 5кВт</t>
  </si>
  <si>
    <t>Інвертор Fronius Symo 15.0-3-M</t>
  </si>
  <si>
    <t>Інвертор Fronius Symo 20.0-3-M</t>
  </si>
  <si>
    <t>Інвертор мережевий Deye SUN-100k-G03</t>
  </si>
  <si>
    <t>Інвертор мережевий Deye SUN-80k-G03</t>
  </si>
  <si>
    <t>Інвертор мережевий Huawei SUN2000-100KTL-M2</t>
  </si>
  <si>
    <t>Інвертор мережевий Huawei SUN2000-50KTL-M3</t>
  </si>
  <si>
    <t>Інвертор мережевий Solis-20K-DC-4G</t>
  </si>
  <si>
    <t>Інвертор мережевий Solis-25K-5G-DC --- 1шт</t>
  </si>
  <si>
    <t>Інвертор мережевий Solis-30K-4G-DC</t>
  </si>
  <si>
    <t>Інвертор мережевий Solis-30K-5G-DC</t>
  </si>
  <si>
    <t>Інвертор гібридний Deye SUN-50K-SG01HP3-EU-BM4</t>
  </si>
  <si>
    <t>FTP 15м cat.5E 4х2х0.51 (кабель, мідний, комп'ютерний, FTP, вита пара)</t>
  </si>
  <si>
    <t>АВВГ 4х10 (кабель, алюм.)</t>
  </si>
  <si>
    <t>АВВГ 4х16 (кабель, алюм.) --- 25м</t>
  </si>
  <si>
    <t>АВВГ 4х25 (кабель, алюм.) --- 70м</t>
  </si>
  <si>
    <t>АВВГ 4х35 (кабель, алюм.)</t>
  </si>
  <si>
    <t>АВВГ 4х50 (кабель, алюм.)</t>
  </si>
  <si>
    <t>АВВГ 4х70 (кабель, алюм.)</t>
  </si>
  <si>
    <t>АВВГ 5х25 (кабель, алюм.)</t>
  </si>
  <si>
    <t>ВВГнг 3х6 (кабель, мідний)</t>
  </si>
  <si>
    <t>ВВГнг 4х10 (кабель, мідний)</t>
  </si>
  <si>
    <t>ВВГнг 4х16 (кабель, мідний)</t>
  </si>
  <si>
    <t>ВВГнг 4х25 (кабель, мідний)</t>
  </si>
  <si>
    <t>ВВГнг 4х6 (кабель, мідний)</t>
  </si>
  <si>
    <t>ВВГнг 5х10 (кабель, мідний)</t>
  </si>
  <si>
    <t>ВВГнг 5х16 (кабель, мідний) --- 50м</t>
  </si>
  <si>
    <t>ВВГнг 5х4 (кабель, мідний)</t>
  </si>
  <si>
    <t>ВВГнг-LS 4х10 (кабель, мідний)</t>
  </si>
  <si>
    <t>ВВГнгд 5х6 (кабель, мідний)</t>
  </si>
  <si>
    <t>Кабель сонячний 10 кв.мм (чорний, червоний) --- 336м</t>
  </si>
  <si>
    <t>Кабель сонячний 4 кв.мм КВЕ (червоний) --- 6000м</t>
  </si>
  <si>
    <t>Кабель сонячний 4 кв.мм КВЕ (чорний) --- 6000м</t>
  </si>
  <si>
    <t>Кабель сонячний 6 кв.мм (чорний, червоний) --- 120м</t>
  </si>
  <si>
    <t>Кабель сонячний 6 кв.мм КВЕ (червоний) --- 83230м</t>
  </si>
  <si>
    <t>Кабель сонячний 6 кв.мм КВЕ (чорний) --- 61871,5м</t>
  </si>
  <si>
    <t>КППЕ-ВП (100) 4х2х0.51 (кабель, мідний, комп'ютерний, екранований, FTP, вита пара) --- 712м</t>
  </si>
  <si>
    <t>КППт-ВП (100) 2х2х0.51 (кабель, мідний, комп'ютерний, FTP, вита пара) --- 792м</t>
  </si>
  <si>
    <t>ПВ3 0.75 (провід, мідний)</t>
  </si>
  <si>
    <t>ПВ3 1.0 (провід, мідний) --- 594м</t>
  </si>
  <si>
    <t>ПВ3 10.0 (провід, мідний) --- 100м</t>
  </si>
  <si>
    <t>ПВ3 16.0 (провід, мідний) --- 284м</t>
  </si>
  <si>
    <t>ПВ3 2.5 (провід, мідний) --- 280м</t>
  </si>
  <si>
    <t>ПВ3 25.0 (провід, мідний) --- 295м</t>
  </si>
  <si>
    <t>ПВ3 35.0 (провід, мідний) --- 168м</t>
  </si>
  <si>
    <t>ПВ3 50.0 (провід, мідний) --- 34м</t>
  </si>
  <si>
    <t>ПВ3 6.0 (провід, мідний) --- 1412м</t>
  </si>
  <si>
    <t>ПВ3 70.0 (провід, мідний) --- 29м</t>
  </si>
  <si>
    <t>ПВ3 95.0 (провід, мідний)</t>
  </si>
  <si>
    <t>ПВ3нгд 0.75 (провід, мідний)</t>
  </si>
  <si>
    <t>ПВ3нгд 16.0 (провід, мідний) --- 80м</t>
  </si>
  <si>
    <t>ПВ3нгд 25.0 (провід, мідний) --- 143м</t>
  </si>
  <si>
    <t>ПВ3нгд 35.0 (провід, мідний) --- 72м</t>
  </si>
  <si>
    <t>ПВ3нгд 6.0 (провід, мідний)</t>
  </si>
  <si>
    <t>ПВС 2х0.75 (кабель, мідний)</t>
  </si>
  <si>
    <t>ПВС 2х6 (кабель, мідний) --- 263м</t>
  </si>
  <si>
    <t>ПВС 3х1.5 (кабель, мідний)</t>
  </si>
  <si>
    <t>ПВС 3х10 (кабель, мідний)</t>
  </si>
  <si>
    <t>ПВС 3х4 (кабель, мідний)</t>
  </si>
  <si>
    <t>ПВС 3х6 (кабель, мідний) --- 300м</t>
  </si>
  <si>
    <t>ПВС 4х10 (кабель, мідний)</t>
  </si>
  <si>
    <t>ПВС 5х4 (кабель, мідний)</t>
  </si>
  <si>
    <t>ПВС 5х6 (провід, мідний) --- 321м</t>
  </si>
  <si>
    <t>СІП 1х50 (провід, алюм.) --- 71м</t>
  </si>
  <si>
    <t>СІП 2х10 (провід, алюм.) --- 38м</t>
  </si>
  <si>
    <t>СІП 2х16 (провід, алюм.)</t>
  </si>
  <si>
    <t>СІП 4х120 (провід, алюм.)</t>
  </si>
  <si>
    <t>СІП 4х150 (провід, алюм.)</t>
  </si>
  <si>
    <t>СІП 4х16 (провід, алюм.)</t>
  </si>
  <si>
    <t>СІП 4х25 (провід, алюм.) --- 228м</t>
  </si>
  <si>
    <t>СІП 4х35 (провід, алюм.) --- 45м</t>
  </si>
  <si>
    <t>СІП 4х50 (провід, алюм.)</t>
  </si>
  <si>
    <t>СІП 4х70 (провід, алюм.)</t>
  </si>
  <si>
    <t>СІП 4х95 (провід, алюм.)</t>
  </si>
  <si>
    <t>ШВВП 2х0.75 (кабель, мідний) --- 242м</t>
  </si>
  <si>
    <t>ШВВП 2х2.5 (кабель, мідний)</t>
  </si>
  <si>
    <t>GSM/GPRS контролер MCL 5.10 для лічильників Gama --- 1шт</t>
  </si>
  <si>
    <t xml:space="preserve">Лічильник під зелений тариф GAMA 300 G3B.144.230.F27 5(100)А </t>
  </si>
  <si>
    <t>Панель монтажна 800х600 (Шафа 800х600), 10Р8060</t>
  </si>
  <si>
    <t>Хомут 3х200 мм, e.ct.stand.200.3 (кабельна стяжка, хомут, 200х3 мм, чорний, УФ, , пак. 100шт, ENEXT)</t>
  </si>
  <si>
    <t>Хомут 4х200 мм, e.ct.stand.200.4 (кабельна стяжка, хомут, чорний, 200х4 мм, УФ, E.NEXT)</t>
  </si>
  <si>
    <t>Хомут 5х300 мм, e.ct.stand.300.5 (чорний, нейлон, пак. 100шт,  E.NEXT) --- 85пак</t>
  </si>
  <si>
    <t>Шафа компактна розподільча МК 10-600х600х200 IP65</t>
  </si>
  <si>
    <t>Шафа навісна E.NEXT, 1000x650x300мм, IP54</t>
  </si>
  <si>
    <t>Шафа навісна E.NEXT, 1200x800x300мм, IP54 --- 1шт</t>
  </si>
  <si>
    <t>Шафа навісна ST, 700x500x200мм, IP65,R5ST0752</t>
  </si>
  <si>
    <t>Модем HUAWEI 4G Dongle without Sim card</t>
  </si>
  <si>
    <t>Модем HUAWEI Wi-Fi Dongle with fast ethernet --- 1шт</t>
  </si>
  <si>
    <t>Пристрій GPRS для  моніторингу інверторів Solis DLS-G Data Logging Stick</t>
  </si>
  <si>
    <t>Пристрій WIFI/LAN для моніторингу інверторів Solis DLS-G Data Logging Stick</t>
  </si>
  <si>
    <t>Пристрій WIFI/LAN моніторингу Altek Smart Dongle WLAN-FE  --- 1шт</t>
  </si>
  <si>
    <t>Пристрій моніторингу DEYE LSE-3 (LAN)</t>
  </si>
  <si>
    <t>Acrel DTSD1352-C 3P EPM для Solis (до 150А / 100 КВТ)</t>
  </si>
  <si>
    <t>Лічильник DTSD-1352-СТ ACREL ДЛЯ 3Ф Інвертора  SOLIS з трансформаторами</t>
  </si>
  <si>
    <t>Лічильник EASTRON SDM630-Modbus трифазний з RS485 100A</t>
  </si>
  <si>
    <t>Лічильник EASTRON SDM630MCT  1-9999A  (до 11 МВт)</t>
  </si>
  <si>
    <t>Лічильник Huawei CHiNT DTSU666-H Smart meter, 3ф, із ТС 250A/50mA (до 170 кВт)</t>
  </si>
  <si>
    <t>Лічильник Huawei CHiNT DTSU666-HW Smart meter, 3ф, без ТС --- 1шт</t>
  </si>
  <si>
    <t>Розумний лічильник Fronius Smart Meter 100A</t>
  </si>
  <si>
    <t>Розумний лічильник Fronius Smart Meter 63A-3</t>
  </si>
  <si>
    <t>Розумній лічильник Acrel ACR10R-D16TE</t>
  </si>
  <si>
    <t>Розумній лічильник JANITZA UMG-103</t>
  </si>
  <si>
    <t>Трансформатор струму кліпса SCT-T24 100/5 --- 3шт</t>
  </si>
  <si>
    <t>Трансформатор струму кліпса SCT-T36 400/5</t>
  </si>
  <si>
    <t>Лічильник GAMA 100 G1B.151.320.F3.B2.P4.C310.V1, 10(100)А,"ЗЕЛЕНИЙ" ТАРИФ --- 1шт</t>
  </si>
  <si>
    <t>Стійка CSV-16U 400 Lite --- 11шт</t>
  </si>
  <si>
    <t>Стійка CSV-24U 400 Lite --- 6шт</t>
  </si>
  <si>
    <t>L-подібний кутник 40х40 мм у зборі для кронштейну кріплення до мет.черепиці</t>
  </si>
  <si>
    <t>Z-прижим (кінцевий) 40мм --- 132шт</t>
  </si>
  <si>
    <t>Z-прижим Н35 --- 200шт</t>
  </si>
  <si>
    <t>Z-прижим у зборі Н30 L50 Black --- 236шт</t>
  </si>
  <si>
    <t>Z-прижим у зборі Н35 L50 --- 661шт</t>
  </si>
  <si>
    <t>Базовий Трикутник 20 градусів Al</t>
  </si>
  <si>
    <t>Бітумна стрічка 50мм (10м) Sika --- 13шт</t>
  </si>
  <si>
    <t>Блок боковий для профнастилу H 70  L310</t>
  </si>
  <si>
    <t>Блок центральний для профнастилу L310</t>
  </si>
  <si>
    <t>Болт М12х30 цинк шестигран. --- 65шт</t>
  </si>
  <si>
    <t>Болт М12х40 цинк шестігран. --- 20шт</t>
  </si>
  <si>
    <t>Болт М8х20 н/ж шестигран. --- 2шт</t>
  </si>
  <si>
    <t>Болт М8х25 н/ж (INBUS, Jackson) --- 93шт</t>
  </si>
  <si>
    <t>Болт М8х30 5.8 цб пр</t>
  </si>
  <si>
    <t>Болт М8х30 н/ж (INBUS, Jackson) --- 65шт</t>
  </si>
  <si>
    <t>Болт М8х30 н/ж шестигран.</t>
  </si>
  <si>
    <t>Болт М8х35 н/ж (INBUS, Jackson) --- 45шт</t>
  </si>
  <si>
    <t>Болт М8х40 н/ж (INBUS, Jackson) --- 58шт</t>
  </si>
  <si>
    <t>Болт М8х40, DIN933, 8.8 цб пр (ISO 4017)</t>
  </si>
  <si>
    <t>Болт М8х50 н/ж (INBUS, Jackson) --- 65шт</t>
  </si>
  <si>
    <t>Болт М8х60 н/ж (INBUS, Jackson) --- 111шт</t>
  </si>
  <si>
    <t>Болт М8х80 н/ж (INBUS, Jackson)</t>
  </si>
  <si>
    <t>Гайка з фланцем зубчаста М8 н/ж --- 155шт</t>
  </si>
  <si>
    <t>Гайка М12 цинк --- 83шт</t>
  </si>
  <si>
    <t>Гайка М8 6 цб</t>
  </si>
  <si>
    <t>Гайка М8 8 цб, ISO4032, (ГОСТ 5915/5927) для кл.пр. 8.8</t>
  </si>
  <si>
    <t>Гайка М8 н/ж --- 1шт</t>
  </si>
  <si>
    <t>Гайка монтажна М8 (молоткова) цинк --- 359шт</t>
  </si>
  <si>
    <t>Гайка шестигранна DIN934 гаряч.цинк М10</t>
  </si>
  <si>
    <t>Гайка-фланець з насічкою DIN 6923 нерж. M10 --- 788шт</t>
  </si>
  <si>
    <t>Гайка-фланець з насічкою DIN 6923 оцинк. M10</t>
  </si>
  <si>
    <t>Гвинт самосвердлювальний для дерева 4,8х35мм</t>
  </si>
  <si>
    <t>Гвинт самосвердлювальний н/ж 16мм шестігран. --- 300шт</t>
  </si>
  <si>
    <t>Гвинт самосвердлювальний цинк 16мм шестігран.</t>
  </si>
  <si>
    <t>Гвинт-шуруп М10х180 н/ж --- 19шт</t>
  </si>
  <si>
    <t>Гумовий ущільнювач М10 (EPDM) --- 150шт</t>
  </si>
  <si>
    <t>З'єднувач для профілю Al LD з гвинтами --- 769шт</t>
  </si>
  <si>
    <t>Комплект кріплення EServer (чорний гвинт 20мм+гайка+шайба) --- 576шт</t>
  </si>
  <si>
    <t>Комплект кріплення ряду 9ФЕМ (Книга)</t>
  </si>
  <si>
    <t>Комплект кріплень для ФЕМ / Замовляється у постачальника</t>
  </si>
  <si>
    <t>Комплект кріплень для ФЕМ_Пд / Замовляється у постачальника</t>
  </si>
  <si>
    <t>Комплект кріплень для ФЕМ_Сх-Зх / Замовляється у постачальника</t>
  </si>
  <si>
    <t>Кріплення Z-30 до профтруби 40мм (композит) у зборі --- 40шт</t>
  </si>
  <si>
    <t>Кріплення для серверних полиць</t>
  </si>
  <si>
    <t>Кріплення П-30 до профтруби 40мм (композит) у зборі --- 173шт</t>
  </si>
  <si>
    <t>Кронштейн кріплення до металочерепиці (шиферу) у зборі L45а-Met М10х200 нерж --- 1347шт</t>
  </si>
  <si>
    <t>Кронштейн кріплення Т-подібний на бітумну покрівлю у зборі Tbit-2 Al з гвинт 4,8 і прокл --- 110шт</t>
  </si>
  <si>
    <t>Наземна конструкція (цинк) для ФЕМ / Замовляється у постачальника</t>
  </si>
  <si>
    <t>Наземна конструкція (чорний метал) для ФЕМ / Замовляється у постачальника</t>
  </si>
  <si>
    <t>Нижня серверна полиця 400 мм, в стійки Lite --- 19шт</t>
  </si>
  <si>
    <t>Пластина підкладна (композит, алюміній, 60х60х3мм М8) --- 250шт</t>
  </si>
  <si>
    <t>Полиця 400мм 1U 19", 4 точки кріпл., EServer, чорна, 1,5 мм</t>
  </si>
  <si>
    <t>Прижим торцевий UNO-30 у зборі</t>
  </si>
  <si>
    <t>Притиск у зборі Z30 гвинт А2, гайка монт, фікс --- 728шт</t>
  </si>
  <si>
    <t>Профіль прогону L-1230 Al LD Anod --- 309шт</t>
  </si>
  <si>
    <t>Профіль прогону L-1550 Al LD Anod --- 312шт</t>
  </si>
  <si>
    <t>Профіль прогону L-2060 Al LD Anod --- 201шт</t>
  </si>
  <si>
    <t>Профіль прогону L-2200 Al LD Anod --- 30шт</t>
  </si>
  <si>
    <t>Профіль прогону L-2460 Al LD Anod --- 236шт</t>
  </si>
  <si>
    <t>Профіль прогону L-3100 Al LD Anod --- 9шт</t>
  </si>
  <si>
    <t>Стаціонарна полиця EServer 1U 19" 420х400 мм (Ш*Г), чорна --- 6шт</t>
  </si>
  <si>
    <t>Т-прижим (чорний, анодований) --- 33шт</t>
  </si>
  <si>
    <t>Т-прижим Н35 --- 299шт</t>
  </si>
  <si>
    <t>Т-прижим у зборі H30 L50 --- 15шт</t>
  </si>
  <si>
    <t>Т-прижим у зборі H30 L50 Black --- 704шт</t>
  </si>
  <si>
    <t>Т-стійка (для бітумної черепиці) --- 20шт</t>
  </si>
  <si>
    <t>Шайба  збільшена цинк 10х34 --- 80шт</t>
  </si>
  <si>
    <t>Шайба 12 цинк --- 224шт</t>
  </si>
  <si>
    <t>Шайба 8 н/ж --- 26шт</t>
  </si>
  <si>
    <t>Шайба 8 цб 140HV до кл.м. 4.6-8.8</t>
  </si>
  <si>
    <t>Шайба гровер DIN7980 оцинк М10</t>
  </si>
  <si>
    <t>Шайба збільшена DIN9021 оцинк. М10</t>
  </si>
  <si>
    <t>Шайба збільшена цинк 8х24мм --- 106шт</t>
  </si>
  <si>
    <t>Шайба пружинна 12 цинк --- 107шт</t>
  </si>
  <si>
    <t>Шайба пружинна 8 н/ж --- 1145шт</t>
  </si>
  <si>
    <t>Шуруп 5,0х45 цж пот PZ пр</t>
  </si>
  <si>
    <t>Моніторинг Deye SUN (Wi-Fi)</t>
  </si>
  <si>
    <t>Діагностика обладнання</t>
  </si>
  <si>
    <t>Додаткові витрати (різниця)</t>
  </si>
  <si>
    <t>Додаткові матеріали та доставка</t>
  </si>
  <si>
    <t>Додаткові послуги</t>
  </si>
  <si>
    <t>Електромонтажні роботи</t>
  </si>
  <si>
    <t>Електротехнічний розрахунок сонячної станції</t>
  </si>
  <si>
    <t>Захист (постійний струм)</t>
  </si>
  <si>
    <t xml:space="preserve">Збільшення допуску потужності електромережі </t>
  </si>
  <si>
    <t>Комплект заземлення</t>
  </si>
  <si>
    <t xml:space="preserve">Монтаж металоконструкції </t>
  </si>
  <si>
    <t>Монтаж сонячної станції та пусконалагодження</t>
  </si>
  <si>
    <t>Нестачі</t>
  </si>
  <si>
    <t>Обстеження об'єкта</t>
  </si>
  <si>
    <t>Оплата в ДТЕК  за приєднання до електромереж</t>
  </si>
  <si>
    <t>Оплата в РЕМ за демонтаж-установку лічільника</t>
  </si>
  <si>
    <t xml:space="preserve">Оплата в РЕМ за допуску потужності електромережі </t>
  </si>
  <si>
    <t>Оплата в РЕМ за опломбування лічильника</t>
  </si>
  <si>
    <t>Оплата в РЕМ за параметризацію лічільника</t>
  </si>
  <si>
    <t>Підвищення кваліфікації</t>
  </si>
  <si>
    <t xml:space="preserve">Підключення "Зеленого тарифу" </t>
  </si>
  <si>
    <t>Послуги з доставки</t>
  </si>
  <si>
    <t>Послуги нотаріуса</t>
  </si>
  <si>
    <t>Расходники на монтаж</t>
  </si>
  <si>
    <t>Расходники на офис/склад</t>
  </si>
  <si>
    <t>Расходники на сервис</t>
  </si>
  <si>
    <t>Роботи з облаштування контуру заземлення</t>
  </si>
  <si>
    <t>Cонячна батарея AE METEOR AE430CMD-108BDE Full Black, Double glass --- 205шт</t>
  </si>
  <si>
    <t>Cонячна батарея AE METEOR AE435CMD-108BDE --- 405шт</t>
  </si>
  <si>
    <t>Cонячна батарея AE METEOR AE615CMER-132BDS --- 243шт</t>
  </si>
  <si>
    <t>Cонячна батарея AE SOLAR METEOR AE580CMD-144BDS 30mm 580W Silver Frame --- 15шт</t>
  </si>
  <si>
    <t>Cонячна батарея HANERSUN 590W Topcon Bifacial solar module HN18N-72HT590W (1200mm cables) --- 12шт</t>
  </si>
  <si>
    <t>Cонячна батарея Jinko Solar Tiger Neo 580W (72HL4-BDV) --- 11шт</t>
  </si>
  <si>
    <t>Cонячна батарея SunPower Flexible Solar Panels</t>
  </si>
  <si>
    <t>Cонячна батарея SunPower SPR-P3-365-UPP</t>
  </si>
  <si>
    <t>Cонячна батарея SunPower SPR-P3-375-RES-BLK</t>
  </si>
  <si>
    <t>Cонячна батарея SunPower SPR-P3-475-UPP</t>
  </si>
  <si>
    <t>Cонячна батарея SunPower SPR-P6-545-COM-M-BF</t>
  </si>
  <si>
    <t>Сонячна батарея AE AURORA 550MD-144 30mm 550W Silver Frame --- 6шт</t>
  </si>
  <si>
    <t>Сонячна батарея AE AURORA 550MD-144 35mm 550W Silver Frame --- 1шт</t>
  </si>
  <si>
    <t>Сонячна батарея AE AURORA AE415MD-108 35mm 415W Black frame</t>
  </si>
  <si>
    <t>Сонячна батарея JA Solar JAM72S20-455/MR 455 Wp, mono</t>
  </si>
  <si>
    <t>Сонячна батарея Longi LR5-72HPH 455Wp</t>
  </si>
  <si>
    <t>Сонячна батарея Risen RSM110-8-540M Titan 540 Вт --- 1шт</t>
  </si>
  <si>
    <t>Сонячна батарея Risen RSM144-6-450M</t>
  </si>
  <si>
    <t>Сонячна батарея AE AURORA AE415MD-108 30mm 415W Black frame --- 14шт</t>
  </si>
  <si>
    <t>Сонячна батарея HYUNDAI HIT-H450CE-BF --- 736шт</t>
  </si>
  <si>
    <t>Сонячна панель SunPower Performance P3  365 BLK</t>
  </si>
  <si>
    <t>Сонячний фотоелектричний модуль Sunova Solar SS-550-72MDH, 550 Wp, Mono 182HC</t>
  </si>
  <si>
    <t>e.is3.pro.4.40 4р,40А Вимикач на DIN-рейку на три положення --- 4шт</t>
  </si>
  <si>
    <t>Додаткові матеріали</t>
  </si>
  <si>
    <t>Пакетний перемикач в корпусі e.industrial.sb.1-0-2.4.40 4р 40А (1-0-2), E.NEXT</t>
  </si>
  <si>
    <t>Розподільча коробка e.db.pro.100.100.50u --- 4шт</t>
  </si>
  <si>
    <t>Розподільча коробка e.db.pro.85.85.50u --- 2шт</t>
  </si>
  <si>
    <t>Система збереження енергії  Pylontech Force-H2 (14.21 КВТ*Ч)</t>
  </si>
  <si>
    <t>Система збереження енергії  Pylontech Force-H2 (7,1 КВТ*Ч)</t>
  </si>
  <si>
    <t>Інвертор гібридний Fronius Primo GEN24 3.0 Plus</t>
  </si>
  <si>
    <t>Інвертор гібридний Fronius Primo GEN24 3.6 Plus</t>
  </si>
  <si>
    <t>Інвертор гібридний Fronius Primo GEN24 4.0 Plus</t>
  </si>
  <si>
    <t>Інвертор гібридний Fronius Primo GEN24 4.6 Plus</t>
  </si>
  <si>
    <t>Інвертор гібридний Fronius Primo GEN24 5.0 Plus</t>
  </si>
  <si>
    <t>Інвертор гібридний Fronius Primo GEN24 6.0 Plus</t>
  </si>
  <si>
    <t>Інвертор гібридний Fronius Symo GEN24 10.0 Plus</t>
  </si>
  <si>
    <t>Інвертор гібридний Fronius Symo GEN24 6.0 Plus</t>
  </si>
  <si>
    <t>Інвертор гібридний Fronius Symo GEN24 8.0 Plus</t>
  </si>
  <si>
    <t>Інвертор гібридний Solis RHI-3P10K-HVES-5G</t>
  </si>
  <si>
    <t>Інвертор Fronius ECO 25.0-3-S</t>
  </si>
  <si>
    <t>Інвертор Fronius ECO 25.0-3-S Light</t>
  </si>
  <si>
    <t>Інвертор Fronius ECO 27.0-3-S</t>
  </si>
  <si>
    <t>Інвертор Fronius ECO 27.0-3-S Light</t>
  </si>
  <si>
    <t>Інвертор Fronius Symo 10.0-3-M</t>
  </si>
  <si>
    <t>Інвертор Fronius Symo 10.0-3-M Light</t>
  </si>
  <si>
    <t>Інвертор Fronius Symo 12.5-3-M</t>
  </si>
  <si>
    <t>Інвертор Fronius Symo 15.0-3-M Light</t>
  </si>
  <si>
    <t>Інвертор Fronius Symo 17.5-3-M</t>
  </si>
  <si>
    <t>Інвертор Fronius Symo 20.0-3-M Light</t>
  </si>
  <si>
    <t>Інвертор Fronius Symo 5.0-3-M</t>
  </si>
  <si>
    <t>Інвертор Fronius Symo 6.0-3-M</t>
  </si>
  <si>
    <t>Інвертор Fronius Symo 7.0-3-M</t>
  </si>
  <si>
    <t>Інвертор Fronius Symo 8.2-3-M</t>
  </si>
  <si>
    <t>Інвертор мережевий Huawei SUN2000-10KTL-M0</t>
  </si>
  <si>
    <t>Інвертор мережевий Huawei SUN2000-12KTL-M0</t>
  </si>
  <si>
    <t>Інвертор мережевий Huawei SUN2000-15KTL-M5</t>
  </si>
  <si>
    <t>Інвертор мережевий Huawei SUN2000-17KTL-M2</t>
  </si>
  <si>
    <t>Інвертор мережевий Huawei SUN2000-20KTL-M5</t>
  </si>
  <si>
    <t>Інвертор мережевий Huawei SUN2000-3KTL-M0</t>
  </si>
  <si>
    <t>Інвертор мережевий Huawei SUN2000-4KTL-M0</t>
  </si>
  <si>
    <t>Інвертор мережевий Huawei SUN2000-50KTL-M0</t>
  </si>
  <si>
    <t>Інвертор мережевий Huawei SUN2000-5KTL-M0</t>
  </si>
  <si>
    <t>Інвертор мережевий Huawei SUN2000-60KTL-M0</t>
  </si>
  <si>
    <t>Інвертор мережевий Huawei SUN2000-6KTL-M0</t>
  </si>
  <si>
    <t>Інвертор мережевий Huawei SUN2000-8KTL-M0</t>
  </si>
  <si>
    <t>Інвертор мережевий S5-GR1P(2.5-6)K</t>
  </si>
  <si>
    <t>Інвертор мережевий SolarEdge SE30 Full</t>
  </si>
  <si>
    <t>Інвертор мережевий Solis S5-GC25K</t>
  </si>
  <si>
    <t>Інвертор мережевий Solis-100K-5G-DC</t>
  </si>
  <si>
    <t>Інвертор мережевий Solis-10K-DC-4G</t>
  </si>
  <si>
    <t>Інвертор мережевий Solis-12K-DC-4G</t>
  </si>
  <si>
    <t>Інвертор мережевий Solis-15K-DC-4G</t>
  </si>
  <si>
    <t>Інвертор мережевий Solis-1P5K-4G-DC</t>
  </si>
  <si>
    <t>Інвертор мережевий Solis-25K</t>
  </si>
  <si>
    <t>Інвертор мережевий Solis-40K-5G</t>
  </si>
  <si>
    <t>Інвертор мережевий Solis-50K-DC</t>
  </si>
  <si>
    <t>Сонячна панель SunPower E20-435-COM</t>
  </si>
  <si>
    <t>Сонячна панель SunPower MAX2-350-RES</t>
  </si>
  <si>
    <t>Сонячна панель SunPower MAX2-360-COM</t>
  </si>
  <si>
    <t>Сонячна панель SunPower MAX3-375-BLK-RES</t>
  </si>
  <si>
    <t>Сонячна панель SunPower MAX3-390-COM</t>
  </si>
  <si>
    <t>Сонячна панель SunPower MAX3-390-RES</t>
  </si>
  <si>
    <t>Сонячна панель SunPower MAX3-395-RES</t>
  </si>
  <si>
    <t>Сонячна панель SunPower MAX3-400-COM</t>
  </si>
  <si>
    <t>Сонячна панель SunPower MAX3-400-RES</t>
  </si>
  <si>
    <t>Сонячна панель SunPower P3 325-RES BLK</t>
  </si>
  <si>
    <t>Сонячна панель SunPower P3 330-RES BLK</t>
  </si>
  <si>
    <t>Сонячна панель SunPower P3 370 RES BLK</t>
  </si>
  <si>
    <t>Сонячна панель SunPower P3 380 RES BLK</t>
  </si>
  <si>
    <t>Сонячна панель SunPower X21-460-COM</t>
  </si>
  <si>
    <t>Сонячна панель SunPower X21-470-COM</t>
  </si>
  <si>
    <t>Сонячна панель SunPower Performance 405 W BLK</t>
  </si>
  <si>
    <t>DS-PDPC12P-EG2-WE RIVELATORE CONTELECAMERA PET IMMUNE</t>
  </si>
  <si>
    <t>Nest Cam (indoor wired) Snow &amp; Nest Cam (outdoor orindoor battery)</t>
  </si>
  <si>
    <t>Доплата за посилку</t>
  </si>
  <si>
    <t>Доставка по країні 2x Belagband / Bandage /Бандаж для стрічкової пили/ Gummis für Lissmac Mauerstein</t>
  </si>
  <si>
    <t>_НАБІР_АВР_1ф</t>
  </si>
  <si>
    <t>_НАБІР_АВР_3ф</t>
  </si>
  <si>
    <t>_НАБІР_стійка _16U (стійка 16U, полиця нижня, полиця стаціонарна, гвинти+гайки+шайби)</t>
  </si>
  <si>
    <t>_НАБІР_стійка _24U (стійка 24U, полиця нижня, полиця стаціонарна, гвинти+гайки+шайби)</t>
  </si>
  <si>
    <t>17 1/2” O-Ring Sizing Cone with measurement Chart Combo Kit</t>
  </si>
  <si>
    <t>BB1H-63-25A-2B (2р, 600VDC, автоматичний вимикач, постійний струм, BENY) --- 44шт</t>
  </si>
  <si>
    <t>BB1H-63-32A-2B (2р, 600VDC, автоматичний вимикач, постійний струм, BENY)</t>
  </si>
  <si>
    <t>BB1H-63-40A-2B (2р, 600VDC, автоматичний вимикач, постійний струм, BENY) --- 38шт</t>
  </si>
  <si>
    <t>BlockR-Alum 50 міжпан П30 L=310</t>
  </si>
  <si>
    <t>BlockR-Alum 50 старт/фініш Z30 L=310</t>
  </si>
  <si>
    <t>BMS для батарей DEYE BOS-G PRO 200-1000Vdc 120A (BOS-G-PDU-2)</t>
  </si>
  <si>
    <t>BYT.2a-32 (4P, 32A, 1200V, вимикач навантаження, DIN-рейка, BENY) --- 221шт</t>
  </si>
  <si>
    <t>Cонячна панель Longi LR5-54HIH-410M (black)</t>
  </si>
  <si>
    <t>DIN125 Шайба 10 A2</t>
  </si>
  <si>
    <t>DIN7980 Шайба 10 пруж цб до кл.м. 4.6-6.8</t>
  </si>
  <si>
    <t>DIN933 Болт М10х20 8.8 цб пр (ISO 4017)</t>
  </si>
  <si>
    <t>DIN934 Гайка М10 A2</t>
  </si>
  <si>
    <t>DL-150 (накінечник кабельний, алюм., без ізоляції, 150мм2, АСКО) --- 10шт</t>
  </si>
  <si>
    <t>DL-16 (накінечник кабельний, алюм., без ізоляції, 16мм2, АСКО)</t>
  </si>
  <si>
    <t>DL-185 (накінечник кабельний, алюм., без ізоляції, 185мм2, АСКО)</t>
  </si>
  <si>
    <t>DL-240 (накінечник кабельний, алюм., без ізоляції, 240мм2, АСКО)</t>
  </si>
  <si>
    <t>DL-50 (накінечник кабельний, алюм., без ізоляції, 50мм2, IEK) --- 20шт</t>
  </si>
  <si>
    <t>DL-50 (накінечник кабельний, алюм., без ізоляції, 50мм2, АСКО)</t>
  </si>
  <si>
    <t>DL-95 (накінечник кабельний, алюм., без ізоляції, 95мм2, АСКО)</t>
  </si>
  <si>
    <t>DT-16 (накінечник кабельний, мідний, луджений, 16мм2, АСКО) --- 34шт</t>
  </si>
  <si>
    <t>DT-25-8 (накінечник кабельний, мідний, луджений, 25 мм2, АСКО) --- 92шт</t>
  </si>
  <si>
    <t>DT-50-10 (накінечник кабельний, мідний, луджений, 50мм2, АСКО) --- 16шт</t>
  </si>
  <si>
    <t>DT-70 (накінечник кабельний, мідний, луджений, 70мм2, АСКО) --- 4шт</t>
  </si>
  <si>
    <t>e.pro.spd.1D.275 1p (обмежувач імпульсних перенапруг, хар-ка "D", ENEXT) --- 132шт</t>
  </si>
  <si>
    <t>EFI6-P2 Диференційне реле (ПЗВ)  2p 25А/0,03А тип AC (6kA), ETI --- 1шт</t>
  </si>
  <si>
    <t>EKD 80х40 (кабельний канал, короб, білий, ПВХ, 2000мм, KOPOS)</t>
  </si>
  <si>
    <t>G-DT-35/10 (накінечник кабельний, мідний, луджений, 35мм2) --- 40шт</t>
  </si>
  <si>
    <t>HDW-211 (обмежувач, металевий, тримач, на DIN-рейку, АСКО) аналог YXD10 --- 80шт</t>
  </si>
  <si>
    <t>Huawei SmartLogger 3000 A01 (with MBUS)</t>
  </si>
  <si>
    <t>Huawei SmartLogger 3000 A01 (without MBUS)</t>
  </si>
  <si>
    <t>IZ 10/1F/54 (шина живлення, мідна, 10 мм², 1р, 1м, Fork, ETI) --- 2шт</t>
  </si>
  <si>
    <t>JG-70 (накінечник кабельний, мідний, луджений, 70мм2, ІЕК) --- 10шт</t>
  </si>
  <si>
    <t>LBS-DH CO 630/B (рукоятка, ручка, чорна, для LBS 160-630А CO, ETI)</t>
  </si>
  <si>
    <t>LHD 40х40 (кабельний канал, короб, білий, ПВХ, 2000мм, KOPOS) --- 194м</t>
  </si>
  <si>
    <t>LHD 40х40 заглушка (білий, Серія LH/LHD, ПВХ, KOPOS) 8641 --- 14шт</t>
  </si>
  <si>
    <t>LHD 40х40 кут внутрішній (білий, Серія LH/LHD, ПВХ, KOPOS) 8645 --- 28шт</t>
  </si>
  <si>
    <t>LHD 40х40 кут зовнішній (білий, Серія LH/LHD, ПВХ, KOPOS) 8646 --- 30шт</t>
  </si>
  <si>
    <t>LHD 40х40 кут плаский (білий, Серія LH/LHD, ПВХ, KOPOS) 8643 --- 29шт</t>
  </si>
  <si>
    <t>LHD 40х40 кут Т-подібний, трійник  8644 (білий, Серія LH/LHD, ПВХ, KOPOS) 8644 --- 5шт</t>
  </si>
  <si>
    <t>NTE8-10В (реле, затримка вмикання, 1-10 с, 220VAC, АСКО)</t>
  </si>
  <si>
    <t>OSPV-30A Запобіжник gPV для СЕС 30A/1000В --- 54шт</t>
  </si>
  <si>
    <t>PG11 (сальник, герметичній ввід, АСКО) --- 30шт</t>
  </si>
  <si>
    <t>PG29 (сальник, герметичній ввід, АСКО) --- 37шт</t>
  </si>
  <si>
    <t>PV-ZH203 (штекер, гніздо, комплект конекторів MC4, трійник) --- 3шт</t>
  </si>
  <si>
    <t>RA25-40 (контактор модульный, 25A, 230VAC, 4NO, ETI) --- 1шт</t>
  </si>
  <si>
    <t>SSV-95 (колодка клемна, розподільчий блок)</t>
  </si>
  <si>
    <t>T-подібний прижим для блочної системи  у зборі</t>
  </si>
  <si>
    <t>Z-подібний прижим Al H30 L50</t>
  </si>
  <si>
    <t>ZB2 160&amp;250/3 (перехідники шинні розширювальні (комплект 3 шт.), ETI)</t>
  </si>
  <si>
    <t>Zinc Spray антикороз. цинк. засіб 400мл</t>
  </si>
  <si>
    <t>АВВГ 4х120 (кабель, алюм.)</t>
  </si>
  <si>
    <t>АВВГ 4х150 (кабель, алюм.)</t>
  </si>
  <si>
    <t>АВВГ 4х185 (кабель, алюм.)</t>
  </si>
  <si>
    <t>АВВГнг-1 (3х185+1х95, кабель, алюм.)</t>
  </si>
  <si>
    <t>АВВГнг-1 (3х240+1х150, кабель, алюм.)</t>
  </si>
  <si>
    <t>АВВГнг-1 (3х95+1х50, кабель, алюм.)</t>
  </si>
  <si>
    <t>АВВГнг-1 (4х+16, кабель, алюм.)</t>
  </si>
  <si>
    <t>АВВГнг-1 (4х+50, кабель, алюм.)</t>
  </si>
  <si>
    <t>Авт. вимикач NBS-TMD 100/3L 80A (36kA,(0.8-1)In/фікс.) 3P, ETI --- 5шт</t>
  </si>
  <si>
    <t>Авт. вимикач NBS-TMD 100/3S 80A (50kA,(0.8-1)In/фікс.) 3P, ETI</t>
  </si>
  <si>
    <t>Авт. вимикач NBS-TMD 160/3S 125A (50kA,(0.8-1)In/фікс.) 3P, ETI</t>
  </si>
  <si>
    <t>Авт. вимикач NBS-TMD 250/3L 200A (36kA,(0.8-1)In/(5-10)In) 3P --- 1шт</t>
  </si>
  <si>
    <t>Авт. вимикач NBS-TMD 250/3L 250A (36kA,(0.8-1)In/(5-10)In) 3P --- 1шт</t>
  </si>
  <si>
    <t>Автоматичний вимикач NBS-TMS 160/3L 160A 3 полюси 36kA ETI</t>
  </si>
  <si>
    <t>Автономний інвертор ALTEK Atlas 3,6KW-24V</t>
  </si>
  <si>
    <t>АД31 4х30х3000мм (шина алюмінієва, полоса) --- 3м</t>
  </si>
  <si>
    <t>АД31 4х40х3000мм (шина алюмінієва, полоса) --- 5,3м</t>
  </si>
  <si>
    <t>Аккумулятор Kijo JDG 12V 100Ah GEL</t>
  </si>
  <si>
    <t>Акумуляторна батарея DEYE BOS-G PRO LiFePO4 HV 51.2v 100AH 5.12kwh no BMS (BOS-GPRO)</t>
  </si>
  <si>
    <t>Акумуляторний блок DEYE RW-F16 (LiFePO4 LV 51.2V 314Ah 14.4kWh)</t>
  </si>
  <si>
    <t>Акумуляторный блок Dyness HV51100 51.2v 100ah, 5.12кw LiFePo4</t>
  </si>
  <si>
    <t>Базовий Трикутник 15 градусів Al у зборі</t>
  </si>
  <si>
    <t>Базовий Трикутник індивідуальний  ZN 20</t>
  </si>
  <si>
    <t>Базовий Трикутник Сх/Зх 15 градусів  Zn</t>
  </si>
  <si>
    <t>Бездротовий Хаб для розумних пристроїв</t>
  </si>
  <si>
    <t>Бетонирование материалы и доставка</t>
  </si>
  <si>
    <t>Блок посилений Р50-Z30 боковий (Р50Z30-310)</t>
  </si>
  <si>
    <t>Блок посилений Р50-П30 рядовий (Р50П30-310)</t>
  </si>
  <si>
    <t>Блок профнастильний H50 L3150</t>
  </si>
  <si>
    <t>Блок розподільчий e.sn.pro.125 (125 А) на DIN-рейку, E.NEXT</t>
  </si>
  <si>
    <t>Блок розподільчий e.sn.pro.400 (400 А) на DIN-рейку, E.NEXT --- 4шт</t>
  </si>
  <si>
    <t>Блок центральний для профнастилу  H 70 L310</t>
  </si>
  <si>
    <t>Болт М8х25 н/ж шестигран.</t>
  </si>
  <si>
    <t>Бонус за проект</t>
  </si>
  <si>
    <t>ВВГнг 3х1,5 (кабель, мідний) --- 78м</t>
  </si>
  <si>
    <t>ВВГнг 3х2,5 (кабель, мідний)</t>
  </si>
  <si>
    <t>ВВГнг 4х50 (кабель, мідний)</t>
  </si>
  <si>
    <t>Вимикач з фіксацією (2 положення, 1НВ, зелений, EMAS) --- 1шт</t>
  </si>
  <si>
    <t>Витрати на життєдіяльність офісу</t>
  </si>
  <si>
    <t>Відрядження</t>
  </si>
  <si>
    <t>Вітровий спойлер 2350х300</t>
  </si>
  <si>
    <t>Вітровий спойлер 2350х400</t>
  </si>
  <si>
    <t>Выезд на замеры</t>
  </si>
  <si>
    <t>Гайка-фланець з насічкою M6</t>
  </si>
  <si>
    <t>Гак універсальний сталевий для СІП (KBU-16, КБУ-16) --- 26шт</t>
  </si>
  <si>
    <t>Гарантійний сервіс сонячної станції</t>
  </si>
  <si>
    <t>Гвинт зі шляпкою під хрест. викрутку, M6x10мм</t>
  </si>
  <si>
    <t>Герметик силіконовий Sika універсальний Sikasil Universal прозорий 280 мл</t>
  </si>
  <si>
    <t>Діагностика обладнання /запас</t>
  </si>
  <si>
    <t>Додаткові витрати (для замовлення)</t>
  </si>
  <si>
    <t>Доставка матеріалів</t>
  </si>
  <si>
    <t>Дротяний лоток GRM 55х100х3050, G (2,5-10 мкм), OBO</t>
  </si>
  <si>
    <t>Дротяний лоток GRM 55х150х3050, G (2,5-10 мкм), OBO</t>
  </si>
  <si>
    <t>Дротяний лоток GRM 55х200х3050, G (2,5-10 мкм), OBO</t>
  </si>
  <si>
    <t>Дротяний лоток GRM 55х300х3050, G (2,5-10 мкм), OBO</t>
  </si>
  <si>
    <t>Дротяний лоток GRM 55х50х3050, G (2,5-10 мкм), OBO</t>
  </si>
  <si>
    <t>Енергомонітор smart-MAIC D103-R2000 трифазний, кільця Роговского на 2000А</t>
  </si>
  <si>
    <t>Енергомонітор smart-MAIC D103-R2000- TC</t>
  </si>
  <si>
    <t>З'єднувач для Алюмінієвого профілю Жук (NSP-1) --- 230шт</t>
  </si>
  <si>
    <t>З'єднувач дротяного лотка, G (2,5-10 мкм), OBO --- 16шт</t>
  </si>
  <si>
    <t>закладна 2х (RUDNIK_Edition)</t>
  </si>
  <si>
    <t>Заклепка 3-пелюсткова 4,8х20,5 Al/Al з шайбою 4,8х14 оц. з EPDM</t>
  </si>
  <si>
    <t>Заклепка 4-пелюст. Al/Al 5,2х15,5  100% герметична з ущільнювачем</t>
  </si>
  <si>
    <t>Затискач анкерний двохпластинчатий для СІП 4х35-50 (ЗА-3.2)</t>
  </si>
  <si>
    <t>Затискач анкерний дротяний для СІП 4х16-25 (ЗА-1.2)</t>
  </si>
  <si>
    <t>Затискач підтримуючий прохідний універсальний для СІП (ЗПУ 2-4х10-120, ZPU) --- 4шт</t>
  </si>
  <si>
    <t>Захисна кришка ZP 200 для клеми VSU, ETI</t>
  </si>
  <si>
    <t>Знижка</t>
  </si>
  <si>
    <t>ЗТ Підключення "Зеленого тарифу" физ. особи</t>
  </si>
  <si>
    <t>Зумер на DIN-рейку BE 220, ETI --- 1шт</t>
  </si>
  <si>
    <t>Ізолятор ступінчастий e.step.ct4-30 450A силовий без болтів, E.NEXT --- 2шт</t>
  </si>
  <si>
    <t>Ізострічка "STENSON" (25 м, біла)</t>
  </si>
  <si>
    <t>Ізострічка "STENSON" (25 м, синя)</t>
  </si>
  <si>
    <t>Ізострічка "STENSON" (25 м, чорна)</t>
  </si>
  <si>
    <t>Ізострічка 0.13х19 мм (біла, 20 м, e.tape.stand.20.white, E.NEXT)</t>
  </si>
  <si>
    <t>Ізострічка 0.13х19 мм (біла, 20 м, АСКО) --- 10шт</t>
  </si>
  <si>
    <t>Ізострічка 0.13х19 мм (жовта, 20 м, АСКО) --- 6шт</t>
  </si>
  <si>
    <t>Ізострічка 0.13х19 мм (зелена, 20 м, e.tape.stand.20.green, E.NEXT)</t>
  </si>
  <si>
    <t>Ізострічка 0.13х19 мм (зелена, 20 м, АСКО) --- 6шт</t>
  </si>
  <si>
    <t>Ізострічка 0.13х19 мм (синя, 20 м, e.tape.stand.20.blue, E.NEXT)</t>
  </si>
  <si>
    <t>Ізострічка 0.13х19 мм (синя, 20 м, АСКО) --- 10шт</t>
  </si>
  <si>
    <t>Ізострічка 0.13х19 мм (червона, 20 м , АСКО) --- 1шт</t>
  </si>
  <si>
    <t>Ізострічка 0.13х19 мм (червона, 20 м, e.tape.stand.20.red, E.NEXT)</t>
  </si>
  <si>
    <t>Інвертор гібридний Deye SUN-12K-SG01HP3-ЕU (3 фази)</t>
  </si>
  <si>
    <t>Інвертор гібридний Deye SUN-14K-SG05LP3-EU-SM2</t>
  </si>
  <si>
    <t>Інвертор гібридний Deye SUN-15K-SG05LP3-EU-SM2</t>
  </si>
  <si>
    <t>Інвертор гібридний Deye SUN-16K-SG01LP1-EU (1 фаза)</t>
  </si>
  <si>
    <t>Інвертор гібридний Deye SUN-16K-SG05LP3-EU-SM2 (3 фази)</t>
  </si>
  <si>
    <t>Інвертор гібридний Deye SUN-18K-SG05LP3-EU-SM2</t>
  </si>
  <si>
    <t>Інвертор гібридний Deye SUN-20K-SG01HP3-EU-AM2</t>
  </si>
  <si>
    <t>Інвертор гібридний Deye SUN-20K-SG05LP3-EU-SM2</t>
  </si>
  <si>
    <t>Інвертор гібридний Deye SUN-30K-SG01HP3-EU-BM2</t>
  </si>
  <si>
    <t>Інвертор гібридний Deye SUN-30K-SG01HP3-EU-BM3</t>
  </si>
  <si>
    <t>Інвертор гібридний Deye SUN-40K-SG01HP3-EU-BM4</t>
  </si>
  <si>
    <t>Інвертор гібридний Deye SUN-60K-SG02HP3-EU-EM6</t>
  </si>
  <si>
    <t>Інвертор гібридний Deye SUN-75K-SG02HP3-EU-EM6</t>
  </si>
  <si>
    <t>Інвертор гібридний Deye SUN-80K-SG02HP3-EU-EM6</t>
  </si>
  <si>
    <t>Інвертор гібридний Deye SUN-8K-SG05LP1-EU</t>
  </si>
  <si>
    <t>Інвертор гібридний LuxPower SNA5000 Wide PV (5 кВт, 1 фаза)</t>
  </si>
  <si>
    <t xml:space="preserve">Інвертор гібридний Sungrow SH10.0RT </t>
  </si>
  <si>
    <t>Інвертор гібридний Victron Energy EasySolar-II 48/5000/70-50 MPPT 250/100 GX (1 фаза)</t>
  </si>
  <si>
    <t>Інвертор гібридний Victron Energy MultiPlus-II 48/10000/140-100</t>
  </si>
  <si>
    <t>Інвертор гібридний Victron Energy MultiPlus-II 48/15000/200-100</t>
  </si>
  <si>
    <t>Інвертор гібридний Victron Energy MultiPlus-II 48/3000/35-32 GX</t>
  </si>
  <si>
    <t>Інвертор гібридний Victron Energy MultiPlus-II 48/8000/110-100/100</t>
  </si>
  <si>
    <t>Інвертор гібридний Victron Energy Quattro 48/10000/140-100/100</t>
  </si>
  <si>
    <t>Інвертор гібридний Victron Energy Quattro 48/15000/200-100/100</t>
  </si>
  <si>
    <t>Інвертор гібридний Victron Energy Quattro 48/5000/70-100/100</t>
  </si>
  <si>
    <t>Інвертор гібридний Victron Energy Quattro 48/8000/110-100/100</t>
  </si>
  <si>
    <t>Інвертор гібридний Victron Multi RS Solar 48/6000</t>
  </si>
  <si>
    <t>Інвертор мережевий Deye SUN-100К-G03</t>
  </si>
  <si>
    <t>Інвертор мережевий Deye SUN-10K-G WiFi</t>
  </si>
  <si>
    <t>Інвертор мережевий Deye SUN-10K-G06</t>
  </si>
  <si>
    <t>Інвертор мережевий Deye SUN-10K-G06P3-EU-AM2-P1</t>
  </si>
  <si>
    <t>Інвертор мережевий Deye SUN-15K-G0</t>
  </si>
  <si>
    <t>Інвертор мережевий Deye SUN-15K-G06</t>
  </si>
  <si>
    <t>Інвертор мережевий Deye SUN-15K-G06P3-EU-AM2-P1</t>
  </si>
  <si>
    <t>Інвертор мережевий Deye SUN-18K-G05</t>
  </si>
  <si>
    <t>Інвертор мережевий Deye SUN-20K-G04 WiFi</t>
  </si>
  <si>
    <t>Інвертор мережевий Deye SUN-20K-G05</t>
  </si>
  <si>
    <t>Інвертор мережевий Deye SUN-25K-G05</t>
  </si>
  <si>
    <t>Інвертор мережевий Deye SUN-30K-G04 WiFi</t>
  </si>
  <si>
    <t>Інвертор мережевий Deye SUN-35K-G04</t>
  </si>
  <si>
    <t>Інвертор мережевий Deye SUN-45K-G04</t>
  </si>
  <si>
    <t>Інвертор мережевий Deye SUN-50K-G03</t>
  </si>
  <si>
    <t>Інвертор мережевий Deye SUN-50K-G04</t>
  </si>
  <si>
    <t>Інвертор мережевий Deye SUN-60K-G04P3-EU-AM4</t>
  </si>
  <si>
    <t>Інвертор мережевий Deye SUN-80K-G04P3-EU-AM4</t>
  </si>
  <si>
    <t>Інвертор мережевий Fronius Verto 30.0 SPD 1+2 (30 кВт, 3 фази, 4 МРРТ)</t>
  </si>
  <si>
    <t>Інвертор мережевий Huawei SUN2000-10KTL-M1</t>
  </si>
  <si>
    <t>Інвертор мережевий Huawei SUN2000-115KTL-M2</t>
  </si>
  <si>
    <t>Інвертор мережевий Huawei SUN2000-12KTL-M5</t>
  </si>
  <si>
    <t>Інвертор мережевий Huawei SUN2000-17KTL-M5</t>
  </si>
  <si>
    <t>Інвертор мережевий Huawei SUN2000-25KTL-M5</t>
  </si>
  <si>
    <t>Інвертор мережевий Huawei SUN2000-40KTL-M3</t>
  </si>
  <si>
    <t>Інвертор мережевий Solis S5-GC30K</t>
  </si>
  <si>
    <t>Інвертор мережевий Solis S5-GR1P5K</t>
  </si>
  <si>
    <t>Інвертор мережевий Solis S5-GR3P10K</t>
  </si>
  <si>
    <t>Інвертор мережевий Solis S5-GR3P15K</t>
  </si>
  <si>
    <t>Інвертор мережевий Solis S5-GR3P20K</t>
  </si>
  <si>
    <t>Інвертор мережевий Solis S5-GR3P5K</t>
  </si>
  <si>
    <t>Інвертор мережевий Solis-100K-5G-PRO</t>
  </si>
  <si>
    <t>Кабель Category 5e F/UTP PE 4х2х24 AWG</t>
  </si>
  <si>
    <t>Кабельна продукція,гофра, кріплення</t>
  </si>
  <si>
    <t>Кабельний ввід (D20мм IP55, DKC) --- 20шт</t>
  </si>
  <si>
    <t>Кабельний ввід (D32мм IP55, DKC)</t>
  </si>
  <si>
    <t>Кабельний ввід (D40мм IP55, DKC) --- 20шт</t>
  </si>
  <si>
    <t>Кабельний ввід e.pg.stand.21 --- 10шт</t>
  </si>
  <si>
    <t>Кабельний ввід e.pg.stand.29 --- 11шт</t>
  </si>
  <si>
    <t>Кабельний ввід e.pg.stand.9 --- 10шт</t>
  </si>
  <si>
    <t>Кабельний ввід e.pgl.stand.36, з подовженою різьбою і ущільнювачем --- 6шт</t>
  </si>
  <si>
    <t>Каркас опорний (RUDNIK_Edition)</t>
  </si>
  <si>
    <t>Клема заземлення G (2.5-10 мкм), OBO --- 23шт</t>
  </si>
  <si>
    <t>Клема силова VSU 120 (120 mm2_бежева) --- 7шт</t>
  </si>
  <si>
    <t>Клемна колодка ділима, 12групп e.tc.stand.12.10, 10 А</t>
  </si>
  <si>
    <t>Клемна колодка ділима, 12групп e.tc.stand.12.16, 30 А --- 5шт</t>
  </si>
  <si>
    <t>Комплект бічних опор 400 мм, чорний --- 58шт</t>
  </si>
  <si>
    <t>Комплект кріплення EServer (сірий гвинт 20мм+гайка+шайба) --- 52шт</t>
  </si>
  <si>
    <t>Комплект регульованих бічних опор 600-800 мм</t>
  </si>
  <si>
    <t>Консоль DW основа 300 мм ( оцинкована сталь, ДКС)</t>
  </si>
  <si>
    <t>Корпус металевий e.mbox.pro.p.160.80.40 IP31 з монтажною панеллю (1600х800х400), E.NEXT</t>
  </si>
  <si>
    <t>Корпус металевий e.mbox.pro.p.160.80.40 IP54 з монтажною панеллю (1600х800х400), E.NEXT</t>
  </si>
  <si>
    <t>Корпус металевий e.mbox.pro.p.50.40.20 IP54 з монтажною панеллю, E.NEXT</t>
  </si>
  <si>
    <t>Косультаційні послуги з роботи сонячної станції</t>
  </si>
  <si>
    <t>КПВ-ВП (350) 4х2х0.51 (кабель, мідний, комп'ютерний, FTP, вита пара) --- 270м</t>
  </si>
  <si>
    <t>КПП-ВП (100) 4*2*0,51 (кабель, мідний, комп'ютерний, FTP, вита пара, чорна ізоляція) --- 260м</t>
  </si>
  <si>
    <t>Кришка CD90, на кут вертикальний зовнішній 90°, основа 300мм (оцинкована сталь., ДКС) --- 1шт</t>
  </si>
  <si>
    <t>Кришка CPO90, на кут горизонтальний 90°, основа 200мм (оцинкована сталь., ДКС)</t>
  </si>
  <si>
    <t>Кришка CPO90, на кут горизонтальний 90°, основа 300мм (оцинкована сталь., ДКС) --- 1шт</t>
  </si>
  <si>
    <t>Кришка на лоток 100 мм (із заземленням, оцинкована сталь., 3000 мм, ДКС)</t>
  </si>
  <si>
    <t>Кришка на лоток 200 мм (із заземленням, оцинкована сталь., 3000 мм, ДКС) --- 4,5м</t>
  </si>
  <si>
    <t>Кришка на лоток 300 мм (із заземленням, оцинкована сталь., 3000 мм, ДКС) --- 6м</t>
  </si>
  <si>
    <t>Кришка на лоток 500 мм (із заземленням, оцинкована сталь., 3000 мм, ДКС)</t>
  </si>
  <si>
    <t>Кріплення баласту (анкер різьбовий, захисний  гумовий мат)</t>
  </si>
  <si>
    <t>Кріплення до стіни ТМ 200 для вертикального монтажу осн.200 (30692) --- 10шт</t>
  </si>
  <si>
    <t>Кріплення дротяного лотка під шпильку/болт М6, FS (18-22 мкм), OBO --- 35шт</t>
  </si>
  <si>
    <t>Кронштейн 95-крюк А2 під керамічну черепицю</t>
  </si>
  <si>
    <t>Кут CD90 вертикальний зовнішній 90°, 300х100 (оцинкована сталь, ДКС) --- 1шт</t>
  </si>
  <si>
    <t>Кут CPO90 горизонтальний 90°, 200х50 (оцинкована сталь, ДКС)</t>
  </si>
  <si>
    <t>Кут CPO90 горизонтальний 90°, 300х100 (оцинкована сталь, ДКС) --- 1шт</t>
  </si>
  <si>
    <t>Лічильник DTSU666 (трёхфазный) 250A (до 170 кВт)</t>
  </si>
  <si>
    <t>Лічильник Huawei Linyang DTSU71 Smart meter, 3ф. (аналог DTSU666-Н) із ТС 250A/50mA (до 170 кВт)</t>
  </si>
  <si>
    <t>Лічильник Huawei Wisdom DHSU1079-CT Smart meter, 3ф. (аналог DTSU666-Н) із ТС 250A/50mA (до 170 кВт) --- 2шт</t>
  </si>
  <si>
    <t>Лічильник Huawei Yada YDS60-80 Smart meter, 3ф. (аналог DTSU666-HW) без ТС</t>
  </si>
  <si>
    <t>Лічильник Huawei Yada YDS60-C24 Smart meter, 3ф. (аналог DTSU666-HW) без ТС</t>
  </si>
  <si>
    <t>Лоток 100х80 мм (лоток, перфорований, оцинкована сталь., 3000 мм, ДКС)</t>
  </si>
  <si>
    <t>Лоток 105х200 мм (дротовий, оцинкована сталь., 3000 мм, ДКС)</t>
  </si>
  <si>
    <t>Лоток 105х300 мм (дротовий, оцинкована сталь., 3000 мм, ДКС)</t>
  </si>
  <si>
    <t>Лоток 105х400 мм (дротовий, оцинкована сталь., 3000 мм, ДКС)</t>
  </si>
  <si>
    <t>Лоток 200х100 мм (лоток, перфорований, оцинкована сталь., 3000 мм, ДКС)</t>
  </si>
  <si>
    <t>Лоток 200х50 мм (лоток, перфорований, оцинкована сталь., 3000 мм, ДКС) --- 4,5м</t>
  </si>
  <si>
    <t>Лоток 300х100 мм (лоток, перфорований, оцинкована сталь., 3000 мм, ДКС) --- 6м</t>
  </si>
  <si>
    <t>Лоток 500х100 мм (лоток, перфорований, оцинкована сталь., 3000 мм, ДКС)</t>
  </si>
  <si>
    <t>Лоток 55х100 мм (дротовий, оцинкована сталь., 3000 мм, ДКС)</t>
  </si>
  <si>
    <t>Лоток 55х50 мм (дротовий, оцинкована сталь., 3000 мм, ДКС)</t>
  </si>
  <si>
    <t>Мат гумовий МГ 320х320х3 --- 20шт</t>
  </si>
  <si>
    <t>мийка машини</t>
  </si>
  <si>
    <t xml:space="preserve">Миття сонячних панелей </t>
  </si>
  <si>
    <t>Модуль управління Deye HVB750V/100A-EU</t>
  </si>
  <si>
    <t>Монтажні послуги</t>
  </si>
  <si>
    <t>Монтажні послуги ПРОМ</t>
  </si>
  <si>
    <t>МС4 EVO-2  (штекер, гніздо, комплект конекторів MC4, Stäubli)</t>
  </si>
  <si>
    <t>МС4 PV-KBT 4/6II-UR (штекер, гніздо, комплект конекторів MC4, Stäubli)</t>
  </si>
  <si>
    <t xml:space="preserve">Обслуговування сонячної станції </t>
  </si>
  <si>
    <t>ОПС1-D 1р (обмежувач перенапруг, D, УЕК) --- 1шт</t>
  </si>
  <si>
    <t>Оптимізатор потужності Huawei SUN2000-450W-P</t>
  </si>
  <si>
    <t>Оптимізатор потужності SolarEdge SE P950</t>
  </si>
  <si>
    <t>Оренда навантажувача (погрузчика)</t>
  </si>
  <si>
    <t>Оренда спецтехніки/обладнання /інструментів</t>
  </si>
  <si>
    <t>Офісні витрати</t>
  </si>
  <si>
    <t>П-подібний прижим Al L50</t>
  </si>
  <si>
    <t>Панель 19" 3U з DIN-рейкою, для 24-х автоматичних вимикачів, сіра</t>
  </si>
  <si>
    <t>ПВС 5х2,5 (кабель, мідний)</t>
  </si>
  <si>
    <t>Перемикач ANC-22-2 (2 фіксованих положення, 1НВ+1НЗ, зелений, ІЕК)</t>
  </si>
  <si>
    <t>Підкладка композитна 60х60х4мм М8</t>
  </si>
  <si>
    <t>Полиця 19" 4 точки кріпл., 850мм глиб., перфорована, сталь, 2 мм, сіра</t>
  </si>
  <si>
    <t>послуги доставки замовлення</t>
  </si>
  <si>
    <t>Послуги зв'язку</t>
  </si>
  <si>
    <t>Послуги по проектованню станції</t>
  </si>
  <si>
    <t>Послуги по проектованню станції (запас)</t>
  </si>
  <si>
    <t>Прижим середній T-SP у зборі ZN</t>
  </si>
  <si>
    <t>Прижим торцевий SP-30 у зборі ZN</t>
  </si>
  <si>
    <t>Пристрій WIFI/LAN моніторингу Huawei Smart Dongle WLAN-FE (AP+STA) з точкою доступу</t>
  </si>
  <si>
    <t>Притиск Z30 болт А2, гайк 6гр</t>
  </si>
  <si>
    <t>Притиск у зборі П30 гвинт А2, гайка монт, фікс --- 734шт</t>
  </si>
  <si>
    <t>Програмування обладнання, пусконалагоджувальні роботи</t>
  </si>
  <si>
    <t>Продольний з'єднувач ZN41 у зборі  --- 48шт</t>
  </si>
  <si>
    <t>Профіль алюмінієвий Жук (NSP-1) L-3100 --- 288шт</t>
  </si>
  <si>
    <t>Профіль монтажний 72х41х2 L2800 (RUDNIK_Edition)</t>
  </si>
  <si>
    <t>Профіль прогону L-3100 Al LD --- 772шт</t>
  </si>
  <si>
    <t>Профіль цинк L2060 (41х41х1.5, бічна перфорація)</t>
  </si>
  <si>
    <t>Профіль цинк L3100 (35х21х1.5, бічна перфорація)</t>
  </si>
  <si>
    <t>Профіль цинк L3100 (41х21х1.5, 1d перфорація) --- 10шт</t>
  </si>
  <si>
    <t>Профіль цинк L3100 (41х41х1.5, бічна перфорація) --- 35шт</t>
  </si>
  <si>
    <t>Профіль-сполучення сталевий EW у зборі</t>
  </si>
  <si>
    <t>Прохідний елемент Solar Classic (сірий) --- 1шт</t>
  </si>
  <si>
    <t>ПРР (погрузо-разгрузочные работы) (ЗАПАС)</t>
  </si>
  <si>
    <t>Расходники (метизы, сверла, краска и тд)</t>
  </si>
  <si>
    <t>РБД-80А (розподільчий блок, клема, 80А, TNSy) --- 3шт</t>
  </si>
  <si>
    <t>Рекламні послуги</t>
  </si>
  <si>
    <t>Реле контролю напруги e.control.v16 трифазне 63А з індикацією</t>
  </si>
  <si>
    <t>Реле контролю напруги однофазне 63А з індикацією (e.control.v09, E.NEXT) --- 4шт</t>
  </si>
  <si>
    <t>Реле напруги, перекосу та послідовності фаз RNPP-311M, Novatek --- 1шт</t>
  </si>
  <si>
    <t>Реле напруги, перекосу та послідовності фаз RNPP-312, Novatek</t>
  </si>
  <si>
    <t>Ремонт інвертора</t>
  </si>
  <si>
    <t>Ремонт помещений /монтаж оборудования</t>
  </si>
  <si>
    <t>Ретро-бонус за проект</t>
  </si>
  <si>
    <t>Розкіс каркасу (RUDNIK_Edition)</t>
  </si>
  <si>
    <t>Розкоси_Профіль AL 40х40хLenght</t>
  </si>
  <si>
    <t>Розумне реле 1P+N, 63A, без лічильника zigBee --- 3шт</t>
  </si>
  <si>
    <t>Розумне реле 1P+N, 63A, з лічильником електроенергії</t>
  </si>
  <si>
    <t>Серверна шафа 18U, EServer 600х600х907 (Ш*Г*В), скло, чорна (ES-Е1860B)</t>
  </si>
  <si>
    <t>Система управління BMS Battery Disconnection Unit Dyness HV</t>
  </si>
  <si>
    <t>Система управління BMS SC0500-100S для PYLONTECH H48050, H48074 --- 1шт</t>
  </si>
  <si>
    <t>Система управління BMS SC1000-100S для PYLONTECH H48050, H48074 --- 2шт</t>
  </si>
  <si>
    <t>СІМ-карта</t>
  </si>
  <si>
    <t>Скрепа для СІП (CF-20 SICAME)</t>
  </si>
  <si>
    <t>Собівартість додаткових робіт</t>
  </si>
  <si>
    <t>Собівартість основних робіт</t>
  </si>
  <si>
    <t>Сонячна батарея Abi Solar AB375-60MHC, 375Wp, Mono</t>
  </si>
  <si>
    <t>Сонячна батарея AE SOLAR AE435CMD-108DBS 30mm</t>
  </si>
  <si>
    <t>Сонячна батарея DAH SOLAR 590W DHN-72X16/DG N type double glass 2278*1134*30mm 1.25/1.25m cable</t>
  </si>
  <si>
    <t>Сонячна батарея DAH SOLAR 620W DHN-66Z20/DG N type double glass 2382*1134*30mm 1.35/1.35m cable</t>
  </si>
  <si>
    <t>Сонячна батарея MAXEON 3, 400 W COM</t>
  </si>
  <si>
    <t>Сонячна батарея Risen RSM156-6-440M</t>
  </si>
  <si>
    <t xml:space="preserve">Сонячна батарея Trina Solar TSM-450DE17M(II) </t>
  </si>
  <si>
    <t>Сонячна батарея Trina Solar TSM-DE09.08  395W</t>
  </si>
  <si>
    <t>Сонячна батарея Trina Solar TSM-DE09.08  400W</t>
  </si>
  <si>
    <t>Сонячна батарея Trina Vertex TSM-DE19 545W</t>
  </si>
  <si>
    <t>Сонячна панель Ja Solar JAM72S30-545/MR</t>
  </si>
  <si>
    <t>Сонячна панель Longi LR5-54HTH-430M (black)</t>
  </si>
  <si>
    <t>Сонячна панель Longi LR5-72HPH 550W (black)</t>
  </si>
  <si>
    <t>Сонячна панель Longi LR5-72HTH 580W (black)</t>
  </si>
  <si>
    <t>Сонячна панель Risen RSM108-9-430N</t>
  </si>
  <si>
    <t>Сонячна панель Risen RSM110-8-545M</t>
  </si>
  <si>
    <t>Сонячна панель Risen RSM40-8-410M (black)</t>
  </si>
  <si>
    <t>Сонячна панель SunPower MAX6-450-COM</t>
  </si>
  <si>
    <t>Сонячна панель SunPower P6 500 COM S
Bifacial</t>
  </si>
  <si>
    <t>Сонячна панель SunPower P6 545 COM M
Bifacial</t>
  </si>
  <si>
    <t>Сонячна панель SunPower P6-405-BLK</t>
  </si>
  <si>
    <t>Сонячна панель SunPower P7  550W  (SPR-P7-550-COM-S)</t>
  </si>
  <si>
    <t>Сонячна панель Trina Solar Vertex S TSM-DE19R-570</t>
  </si>
  <si>
    <t>Сполучення трикутників баластної системи у зборі 1200мм цинк</t>
  </si>
  <si>
    <t>Сполучник Bal20 Al з кріпленням</t>
  </si>
  <si>
    <t>Сполучник Bal30 Al з кріпленням</t>
  </si>
  <si>
    <t>Стійка 19" Deye 3U-HRACK (12 АКБ + 1 блок керування)</t>
  </si>
  <si>
    <t>Стійка 19" Deye 3U-LRACK (8 АКБ + 1 блок керування)</t>
  </si>
  <si>
    <t>Стійка 49U (подвійна, сіра)</t>
  </si>
  <si>
    <t>Стрижень-шпилька М8 (шпилька, М8, 1 м, цинк., ДКС) --- 19шт</t>
  </si>
  <si>
    <t>Стрічка бандажна для СІП (SS-201-2В-0,7х19мм, 50м)</t>
  </si>
  <si>
    <t>Стрічка струмопровідна NC2254.1 25х4мм (сталь, бухта 32 м, DKC) --- 22м</t>
  </si>
  <si>
    <t>Транспортные расходы МОНТАЖ</t>
  </si>
  <si>
    <t>Трансформатор вимірювальний TA540 600/5А 50,5x12,5мм (d=40мм.) (кл. 0.5 6,0 ВА) IME</t>
  </si>
  <si>
    <t>ТРАНСФОРМАТОР СТРУМУ (Ктр визначити при продажу станції)</t>
  </si>
  <si>
    <t>ТРАНСФОРМАТОР СТРУМУ 100/5 (Новатек-електро)</t>
  </si>
  <si>
    <t>Трансформатор струму 100/5 TA32750C100, IME</t>
  </si>
  <si>
    <t>ТРАНСФОРМАТОР СТРУМУ 200/5 (Новатек-електро)</t>
  </si>
  <si>
    <t>ТРАНСФОРМАТОР СТРУМУ 400/5 (Новатек-Електро)</t>
  </si>
  <si>
    <t>Трансформатор струму 400/5 TA54050C400, IME</t>
  </si>
  <si>
    <t>ТРАНСФОРМАТОР СТРУМУ 600/5 (Новатек- Електро)</t>
  </si>
  <si>
    <t>Трансформатор струму кліпса ESCT-T24 250/5</t>
  </si>
  <si>
    <t>Труба 63/52мм (гофрована двостінна, e.kor.tube.black.63.52, чорна, ENEXT)</t>
  </si>
  <si>
    <t>Труба д.25 мм (поліетиленова, чорна)</t>
  </si>
  <si>
    <t>Труба ПВХ 16 мм (гофрована, УФ, чорна, KOPOS)</t>
  </si>
  <si>
    <t>Труба ПВХ 32 мм (гофрована, сіра, ДКС) --- 50м</t>
  </si>
  <si>
    <t>Труба ПВХ д.32 мм (жорстка, гладка, 32/29.2, 3 м, сіра)</t>
  </si>
  <si>
    <t>ТС-1004 (колодка клемна, розподільчий блок, 100А, 4р, АСКО)</t>
  </si>
  <si>
    <t>ТС-2004 (колодка клемна, розподільчий блок, 200А, 4р, АСКО)</t>
  </si>
  <si>
    <t>Турбогвинт 7,5х6x50 по бетону</t>
  </si>
  <si>
    <t>Харчування</t>
  </si>
  <si>
    <t>Хімічний анкер PROFIX 300 мл Metalvis --- 6шт</t>
  </si>
  <si>
    <t>Шафа компактна розподільча МК 10-600х500х250 IP 65+ мп</t>
  </si>
  <si>
    <t>Шафа компактна розподільча МК 10-600х500х300 IP 65+ мп</t>
  </si>
  <si>
    <t>Шафа компактна розподільча МК 10-700х500х200 IP 65+ мп</t>
  </si>
  <si>
    <t>ШВВП 2х1.5 (кабель, мідний)</t>
  </si>
  <si>
    <t>ШМТ 3х20 мм (шина мідна, полоса)</t>
  </si>
  <si>
    <r>
      <rPr>
        <rFont val="Comfortaa"/>
        <b/>
        <color theme="1"/>
        <sz val="16.0"/>
      </rPr>
      <t xml:space="preserve">Технічне завдання на монтаж сонячної електростанції 
</t>
    </r>
    <r>
      <rPr>
        <rFont val="Comfortaa"/>
        <b/>
        <color theme="1"/>
        <sz val="12.0"/>
      </rPr>
      <t>(для монтажних бригад)</t>
    </r>
  </si>
  <si>
    <t>1. При монтажі маркувати жили та кабелі.
2. Монтаж ФЕМ виконувати згідно проектованої розкладки (або за потреби погодити зміну із відповідальною особою).
3. Монтаж електричної частини виконувати згідно схеми (або за потреби погодити зміну із відповідальною особою). При монтажі всі правки відобразити на електричній схемі.
4. Всі елементи повинні бути підписані згідно електричної схеми.
5. В щиті захисні апарати повинні бути підписані (для розуміння клієнта та сервісу).
6. Влаштувати інформаційну наліпку "Генерація" на інвертор.
7. По завершенню монтажу протестувати всі режими роботи згідно електричної схеми та потреб замовника.
8. Налаштувати моніторинг СЕС, а також надати доступ клієнту.
9. Провести інструктаж клієнту по користуванню СЕС.
10. По закінченню робіт надати звіт по використаним матеріалам.
11. Місце влаштування контуру заземлення повинно бути погоджено із замовником.
12. Спосіб прокладання кабельних мереж затвердити із клієнтом перед початком робіт.</t>
  </si>
  <si>
    <r>
      <rPr>
        <rFont val="Comfortaa"/>
        <b/>
        <color theme="1"/>
        <sz val="14.0"/>
      </rPr>
      <t>ПРИМІТКИ:</t>
    </r>
    <r>
      <rPr>
        <rFont val="Comfortaa"/>
        <color theme="1"/>
        <sz val="12.0"/>
      </rPr>
      <t xml:space="preserve">
Якщо при виконанні монтажних робіт необхідно внести зміни в проект попередньо вони мають бути погоджені із менеджером проекту та клієнтом.  
Уточнити можливі додаткові матеріали для виконання додаткових робіт.
Зміни в проект вносяться після погодження менеджерів та клієнта.
Всі зміни які вносяться в проект мають бути документально зафіксовані.</t>
    </r>
  </si>
  <si>
    <t xml:space="preserve"> </t>
  </si>
  <si>
    <t>ширина 1ФЕМ</t>
  </si>
  <si>
    <t>мм</t>
  </si>
  <si>
    <t>Вказати ширину фотомодуля</t>
  </si>
  <si>
    <t>Розрахунок підходить для таких типів покрівлі:</t>
  </si>
  <si>
    <t>між ФЕМ</t>
  </si>
  <si>
    <t>Вказати відстань між фотомодулями</t>
  </si>
  <si>
    <t>металочерепиця</t>
  </si>
  <si>
    <t>виліт з країв по</t>
  </si>
  <si>
    <t>Вказати відстань по краям фотомодулю</t>
  </si>
  <si>
    <t>керамічна черепиця</t>
  </si>
  <si>
    <t>профілів в одному ряду</t>
  </si>
  <si>
    <t>шт</t>
  </si>
  <si>
    <t xml:space="preserve">Вказати кількість направляючих для фотомодулів (2шт. чи 3шт.?) </t>
  </si>
  <si>
    <t>бітумна черепиця</t>
  </si>
  <si>
    <t>макс. дод. виліт з країв</t>
  </si>
  <si>
    <t>Вказати макс. виліт профіля по краям фотомодуля</t>
  </si>
  <si>
    <t>шифер</t>
  </si>
  <si>
    <t>між точками кріплення</t>
  </si>
  <si>
    <t>ширинаФМ+1</t>
  </si>
  <si>
    <t>ширинаФМ+1 або діапазон 1200-1400 мм</t>
  </si>
  <si>
    <t>профіль 2200 мм</t>
  </si>
  <si>
    <t>ні</t>
  </si>
  <si>
    <t>Чи використовувати в розрахунку профіль довжиною 2200 мм</t>
  </si>
  <si>
    <t>Профіль прогону L-1230 Al LD Anod</t>
  </si>
  <si>
    <t>Профіль прогону L-1550 Al LD Anod</t>
  </si>
  <si>
    <t>Профіль прогону L-2060 Al LD Anod</t>
  </si>
  <si>
    <t>Профіль прогону L-2200 Al LD Anod</t>
  </si>
  <si>
    <t>Профіль прогону L-2460 Al LD Anod</t>
  </si>
  <si>
    <t>Профіль прогону L-3100 Al LD Anod</t>
  </si>
  <si>
    <t>З'єднувач для профілю Al LD з гвинтами</t>
  </si>
  <si>
    <t>Всього:</t>
  </si>
  <si>
    <t>Рядів</t>
  </si>
  <si>
    <t>ФЕМ в ряду</t>
  </si>
  <si>
    <t>ПРОФІЛЬ</t>
  </si>
  <si>
    <t>з'єднувач профілів</t>
  </si>
  <si>
    <t>точка кріплення (гвинт-шуруп/
кронштейн)</t>
  </si>
  <si>
    <t>прижим</t>
  </si>
  <si>
    <t>Довжина ряду</t>
  </si>
  <si>
    <t>Z</t>
  </si>
  <si>
    <t>T</t>
  </si>
  <si>
    <t>Баластний блок</t>
  </si>
  <si>
    <t>Довжина, м</t>
  </si>
  <si>
    <t>Ширина, м</t>
  </si>
  <si>
    <t>Штук</t>
  </si>
  <si>
    <t>Площа, м2</t>
  </si>
  <si>
    <t>Ціна, грн/м2</t>
  </si>
  <si>
    <t>Ціна, $/м2</t>
  </si>
  <si>
    <t>Ціна, грн/шт</t>
  </si>
  <si>
    <t>Ціна, $/шт</t>
  </si>
  <si>
    <t>Вага, 1шт</t>
  </si>
  <si>
    <t>Вага разом</t>
  </si>
  <si>
    <t>Сума, грн</t>
  </si>
  <si>
    <t>Сума, $</t>
  </si>
  <si>
    <t>Гуртова ціна</t>
  </si>
  <si>
    <t>КУРС $/₴</t>
  </si>
  <si>
    <t>Кількість (проєкт)</t>
  </si>
  <si>
    <t>Сума 
(по факту)</t>
  </si>
  <si>
    <t>Різниця, кількість</t>
  </si>
  <si>
    <t>Розробка технічного рішення з установки сонячної станції</t>
  </si>
  <si>
    <t>Доставка обладнання, оренда спецтехніки та підйомних механізмів</t>
  </si>
  <si>
    <t>Будівельно-монтажні роботи (монтаж сонячних модулів, опорних конструкцій)</t>
  </si>
  <si>
    <t>Електромонтажні роботи (прокладання кабелів AC/DC, монтаж щитів захисту, монтаж основного обладнання)</t>
  </si>
  <si>
    <t>20.6</t>
  </si>
  <si>
    <t>Транспортні витрати монтажної бригади</t>
  </si>
  <si>
    <t>20.7</t>
  </si>
  <si>
    <t>Знижка на послузі проектування станції у разі розміщення замовлення</t>
  </si>
  <si>
    <t>Облікова/Гуртова БГ з ПДВ:</t>
  </si>
  <si>
    <t>ФМ</t>
  </si>
  <si>
    <t>КП</t>
  </si>
  <si>
    <t>И</t>
  </si>
  <si>
    <t>знижка</t>
  </si>
  <si>
    <t>Адреса об’єкта</t>
  </si>
  <si>
    <t>АКБ</t>
  </si>
  <si>
    <t>КП зі знижкою</t>
  </si>
  <si>
    <t>Дата формування КП</t>
  </si>
  <si>
    <t>Потужність одного фотоелемента</t>
  </si>
  <si>
    <t>Потужність інвертора(-ів)</t>
  </si>
  <si>
    <t>Вартість станції в розрахунку на 1 кВт потужності по ФЕМ</t>
  </si>
  <si>
    <t>Вартість станції в розрахунку на 1 кВт потужності по інвертору(-ам)</t>
  </si>
  <si>
    <t>Ємність збереження електроенергії</t>
  </si>
  <si>
    <t xml:space="preserve">Автономність без сонця 
</t>
  </si>
  <si>
    <t xml:space="preserve">Курс
</t>
  </si>
  <si>
    <t xml:space="preserve">Тариф на споживання  для фізичної особи </t>
  </si>
  <si>
    <t xml:space="preserve">Тариф на споживання  для юридичної особи </t>
  </si>
  <si>
    <t xml:space="preserve">Гарантія на монтаж, років
</t>
  </si>
  <si>
    <t>Передплата</t>
  </si>
  <si>
    <t>січень</t>
  </si>
  <si>
    <t xml:space="preserve">лютий
</t>
  </si>
  <si>
    <t>Розрахунок LCOE</t>
  </si>
  <si>
    <t>Рік</t>
  </si>
  <si>
    <t xml:space="preserve"> Сумарний дохід</t>
  </si>
  <si>
    <t>Розрахунок деградації ФЕМ</t>
  </si>
  <si>
    <t>Річна генерація, кВт</t>
  </si>
  <si>
    <t xml:space="preserve">Експлуатаційні видатки </t>
  </si>
  <si>
    <t>Вартість заміщеної електроенергії</t>
  </si>
  <si>
    <r>
      <rPr>
        <rFont val="Comfortaa"/>
        <color theme="1"/>
        <sz val="9.0"/>
      </rPr>
      <t xml:space="preserve">менеджер: </t>
    </r>
    <r>
      <rPr>
        <rFont val="Comfortaa"/>
        <color rgb="FFFF00FF"/>
        <sz val="9.0"/>
      </rPr>
      <t>Катерина Цапенко</t>
    </r>
  </si>
  <si>
    <t>email: sales@generacia.energy</t>
  </si>
  <si>
    <r>
      <rPr>
        <rFont val="Comfortaa"/>
        <color theme="1"/>
        <sz val="9.0"/>
      </rPr>
      <t xml:space="preserve">телефон: </t>
    </r>
    <r>
      <rPr>
        <rFont val="Comfortaa"/>
        <color rgb="FFFF00FF"/>
        <sz val="9.0"/>
      </rPr>
      <t>0 800 337 264</t>
    </r>
  </si>
  <si>
    <r>
      <rPr>
        <rFont val="Comfortaa"/>
        <b/>
        <color theme="1"/>
        <sz val="14.0"/>
      </rPr>
      <t xml:space="preserve">Комерційна пропозиція № </t>
    </r>
    <r>
      <rPr>
        <rFont val="Comfortaa"/>
        <b/>
        <color rgb="FFFF00FF"/>
        <sz val="14.0"/>
      </rPr>
      <t>93</t>
    </r>
    <r>
      <rPr>
        <rFont val="Comfortaa"/>
        <b/>
        <color theme="1"/>
        <sz val="14.0"/>
      </rPr>
      <t xml:space="preserve"> від </t>
    </r>
  </si>
  <si>
    <t>Виконавець:</t>
  </si>
  <si>
    <t>ТОВАРИСТВО З ОБМЕЖЕНОЮ ВІДПОВІДАЛЬНІСТЮ "ГЕНЕРАЦІЯ ЕНЕРДЖІ”
Україна, 65048, Одеська обл., місто Одеса, вул.Велика Арнаутська, будинок 15, тел.: (0800) 33-72-64</t>
  </si>
  <si>
    <t>Замовник:</t>
  </si>
  <si>
    <t>№</t>
  </si>
  <si>
    <t>Товари (роботи, послуги)</t>
  </si>
  <si>
    <t>Кіль-ть</t>
  </si>
  <si>
    <t>Ціна</t>
  </si>
  <si>
    <t>Основне обладнання</t>
  </si>
  <si>
    <t>Кріплення, електрика та витратні матеріали</t>
  </si>
  <si>
    <t xml:space="preserve">Послуги </t>
  </si>
  <si>
    <t xml:space="preserve"> Разом з ПДВ</t>
  </si>
  <si>
    <t xml:space="preserve">Пропозиція дійсна 7 днів з моменту отримання </t>
  </si>
  <si>
    <t>курс</t>
  </si>
  <si>
    <t>Затверджую</t>
  </si>
  <si>
    <t xml:space="preserve">Директор  "Генерація енерджі" </t>
  </si>
  <si>
    <t>Доскевич Д.О.</t>
  </si>
  <si>
    <t>Наряд-завдання</t>
  </si>
  <si>
    <t>№
п/п</t>
  </si>
  <si>
    <t>Найменування робіт</t>
  </si>
  <si>
    <t>Од.
вим.</t>
  </si>
  <si>
    <t>Кількість</t>
  </si>
  <si>
    <t>Оплата, дол</t>
  </si>
  <si>
    <t>за од.</t>
  </si>
  <si>
    <t>всього</t>
  </si>
  <si>
    <t>Аренда вантажного автомобіля</t>
  </si>
  <si>
    <t>діб</t>
  </si>
  <si>
    <t xml:space="preserve">Відрядження </t>
  </si>
  <si>
    <t>люд./днів</t>
  </si>
  <si>
    <t>Компенсація на паливо-мастильні матеріали (панелі)</t>
  </si>
  <si>
    <t>літрів</t>
  </si>
  <si>
    <t>Компенсація на паливо-мастильні матеріали (електрика)</t>
  </si>
  <si>
    <t>Монтаж сонячних панелей:</t>
  </si>
  <si>
    <t>- на даху</t>
  </si>
  <si>
    <t>кВт</t>
  </si>
  <si>
    <t xml:space="preserve">- на даху (кут крутіше 45 та або вище 2 поверхів, cтраховка) </t>
  </si>
  <si>
    <t>- на даху гвинт-шуруп (натуральна черепиця / шифер)</t>
  </si>
  <si>
    <t>- на даху крюки (натуральна черепиця)</t>
  </si>
  <si>
    <t>- на металоконструкції</t>
  </si>
  <si>
    <t xml:space="preserve">- перекомутація фотомодулів </t>
  </si>
  <si>
    <t>- монтаж заземлення фотомодулів</t>
  </si>
  <si>
    <t>- збирання риштувань</t>
  </si>
  <si>
    <t>шт.</t>
  </si>
  <si>
    <t>Зварювання металоконструкції</t>
  </si>
  <si>
    <t>Всього за монтаж сонячних панелей (без премії):</t>
  </si>
  <si>
    <t>Монтаж електричної частини:</t>
  </si>
  <si>
    <t xml:space="preserve">- монтаж інвертора </t>
  </si>
  <si>
    <t>- монтаж щитів захисту (АС+DC) із підписами елементів захисту</t>
  </si>
  <si>
    <t>компл.</t>
  </si>
  <si>
    <t>- АВР (автоматичне ввімкнення резерву)</t>
  </si>
  <si>
    <t>- реалізація "автозапуск/блокування" генератору</t>
  </si>
  <si>
    <t>- ремонт/налаштування генератору</t>
  </si>
  <si>
    <t>послуга</t>
  </si>
  <si>
    <t xml:space="preserve">- щит для АКБ </t>
  </si>
  <si>
    <t>- монтаж (влаштування) комірок АКБ (більше 50 кг/од.)</t>
  </si>
  <si>
    <t>- пусконаладка інвертора згідно схеми</t>
  </si>
  <si>
    <t>- монтаж контуру заземлення</t>
  </si>
  <si>
    <t>- перекомутація щитової клієнта</t>
  </si>
  <si>
    <t>- збирання стійки для АКБ</t>
  </si>
  <si>
    <t>- влаштування металевих кабельних лотків (від 25 м)</t>
  </si>
  <si>
    <t>м</t>
  </si>
  <si>
    <t>6.13</t>
  </si>
  <si>
    <t>- прокладання силового кабеля до 16мм2 (від 50 м)</t>
  </si>
  <si>
    <t>6.14</t>
  </si>
  <si>
    <t>- прокладання силового кабеля від 16мм2 (від 50 м)</t>
  </si>
  <si>
    <t>Всього за електричну частину (без премії):</t>
  </si>
  <si>
    <t>Критерії монтажних робіт:</t>
  </si>
  <si>
    <t>Панелі</t>
  </si>
  <si>
    <t>Електрика</t>
  </si>
  <si>
    <t>Виконання монтажу у визначені терміни: (так/ні)?</t>
  </si>
  <si>
    <t>Позитивна оцінка від клієнта (від "8" та вище): (так/ні) ?</t>
  </si>
  <si>
    <t>Чи зроблена станція за проєктом: (так/ні) ?</t>
  </si>
  <si>
    <t>Чи зданий кошторис в термін: (так/ні) ?</t>
  </si>
  <si>
    <t>Чи вчасно передали штрих коди, фотографії: (так/ні) ?</t>
  </si>
  <si>
    <t>Чи зробили фото монтажу та завантажили на гугл диск: (так/ні) ?</t>
  </si>
  <si>
    <t>Чи зробили звіт за витраченими матеріалами: (так/ні) ?</t>
  </si>
  <si>
    <t>Чи пояснили клієнту як користуватись станцією: (так/ні) ?</t>
  </si>
  <si>
    <t>Чи протестували всі режими роботи станції за схемою: (так/ні) ?</t>
  </si>
  <si>
    <r>
      <rPr>
        <rFont val="Comfortaa"/>
        <color theme="1"/>
        <sz val="10.0"/>
      </rPr>
      <t>Премія за виконання критеріїв (</t>
    </r>
    <r>
      <rPr>
        <rFont val="Comfortaa"/>
        <i/>
        <color theme="1"/>
        <sz val="10.0"/>
      </rPr>
      <t>панелі</t>
    </r>
    <r>
      <rPr>
        <rFont val="Comfortaa"/>
        <color theme="1"/>
        <sz val="10.0"/>
      </rPr>
      <t>):</t>
    </r>
  </si>
  <si>
    <t>%</t>
  </si>
  <si>
    <r>
      <rPr>
        <rFont val="Comfortaa"/>
        <color theme="1"/>
        <sz val="10.0"/>
      </rPr>
      <t>Премія за виконання критеріїв (</t>
    </r>
    <r>
      <rPr>
        <rFont val="Comfortaa"/>
        <i/>
        <color theme="1"/>
        <sz val="10.0"/>
      </rPr>
      <t>електрика</t>
    </r>
    <r>
      <rPr>
        <rFont val="Comfortaa"/>
        <color theme="1"/>
        <sz val="10.0"/>
      </rPr>
      <t>):</t>
    </r>
  </si>
  <si>
    <r>
      <rPr>
        <rFont val="Comfortaa"/>
        <color theme="1"/>
        <sz val="10.0"/>
      </rPr>
      <t>Компенсація (</t>
    </r>
    <r>
      <rPr>
        <rFont val="Comfortaa"/>
        <i/>
        <color theme="1"/>
        <sz val="10.0"/>
      </rPr>
      <t>панелі</t>
    </r>
    <r>
      <rPr>
        <rFont val="Comfortaa"/>
        <color theme="1"/>
        <sz val="10.0"/>
      </rPr>
      <t>)</t>
    </r>
  </si>
  <si>
    <r>
      <rPr>
        <rFont val="Comfortaa"/>
        <color theme="1"/>
        <sz val="10.0"/>
      </rPr>
      <t>Компенсація (</t>
    </r>
    <r>
      <rPr>
        <rFont val="Comfortaa"/>
        <i/>
        <color theme="1"/>
        <sz val="10.0"/>
      </rPr>
      <t>електрика</t>
    </r>
    <r>
      <rPr>
        <rFont val="Comfortaa"/>
        <color theme="1"/>
        <sz val="10.0"/>
      </rPr>
      <t>)</t>
    </r>
  </si>
  <si>
    <t>Всього із надбавками за монтаж сонячних панелей:</t>
  </si>
  <si>
    <t>Всього із надбавками за електричну частину:</t>
  </si>
  <si>
    <t>Всього за монтаж станції:</t>
  </si>
  <si>
    <t>USD/UAH</t>
  </si>
  <si>
    <t>Проживання</t>
  </si>
  <si>
    <t xml:space="preserve">- на даху (кут крутіше 45 (та/або) cтраховка) </t>
  </si>
  <si>
    <t>- монтаж інвертора(-ів)</t>
  </si>
  <si>
    <t>- монтаж щитів захисту АС із підписами елементів захисту</t>
  </si>
  <si>
    <t>- монтаж щитів захисту DC із підписами елементів захисту</t>
  </si>
  <si>
    <t>- введення резерву (автоматичне/ручне)</t>
  </si>
  <si>
    <t>- влаштування обмеження генерації (Smart Meter + CT)</t>
  </si>
  <si>
    <t>- монтаж комірок АКБ</t>
  </si>
  <si>
    <t>7.13</t>
  </si>
  <si>
    <t>- влаштування металевих кабельних лотків</t>
  </si>
  <si>
    <t>7.14</t>
  </si>
  <si>
    <t>- влаштування силового кабеля (за лінію) перерізом від 25мм2 (від 50м)</t>
  </si>
  <si>
    <r>
      <rPr>
        <rFont val="Comfortaa"/>
        <color theme="1"/>
        <sz val="10.0"/>
      </rPr>
      <t>Премія за виконання критеріїв (</t>
    </r>
    <r>
      <rPr>
        <rFont val="Comfortaa"/>
        <i/>
        <color theme="1"/>
        <sz val="10.0"/>
      </rPr>
      <t>панелі</t>
    </r>
    <r>
      <rPr>
        <rFont val="Comfortaa"/>
        <color theme="1"/>
        <sz val="10.0"/>
      </rPr>
      <t>):</t>
    </r>
  </si>
  <si>
    <r>
      <rPr>
        <rFont val="Comfortaa"/>
        <color theme="1"/>
        <sz val="10.0"/>
      </rPr>
      <t>Премія за виконання критеріїв (</t>
    </r>
    <r>
      <rPr>
        <rFont val="Comfortaa"/>
        <i/>
        <color theme="1"/>
        <sz val="10.0"/>
      </rPr>
      <t>електрика</t>
    </r>
    <r>
      <rPr>
        <rFont val="Comfortaa"/>
        <color theme="1"/>
        <sz val="10.0"/>
      </rPr>
      <t>):</t>
    </r>
  </si>
  <si>
    <r>
      <rPr>
        <rFont val="Comfortaa"/>
        <color theme="1"/>
        <sz val="10.0"/>
      </rPr>
      <t>Компенсація (</t>
    </r>
    <r>
      <rPr>
        <rFont val="Comfortaa"/>
        <i/>
        <color theme="1"/>
        <sz val="10.0"/>
      </rPr>
      <t>панелі</t>
    </r>
    <r>
      <rPr>
        <rFont val="Comfortaa"/>
        <color theme="1"/>
        <sz val="10.0"/>
      </rPr>
      <t>)</t>
    </r>
  </si>
  <si>
    <r>
      <rPr>
        <rFont val="Comfortaa"/>
        <color theme="1"/>
        <sz val="10.0"/>
      </rPr>
      <t>Компенсація (</t>
    </r>
    <r>
      <rPr>
        <rFont val="Comfortaa"/>
        <i/>
        <color theme="1"/>
        <sz val="10.0"/>
      </rPr>
      <t>електрика</t>
    </r>
    <r>
      <rPr>
        <rFont val="Comfortaa"/>
        <color theme="1"/>
        <sz val="10.0"/>
      </rPr>
      <t>)</t>
    </r>
  </si>
  <si>
    <t>Розрахунок кіль-ті ФЕМ в стрінгі</t>
  </si>
  <si>
    <t>ФОТОМОДУЛЬ:</t>
  </si>
  <si>
    <t>ІНВЕРТОР:</t>
  </si>
  <si>
    <t>N min   &gt;</t>
  </si>
  <si>
    <t>N трекерів</t>
  </si>
  <si>
    <t>N стрингів</t>
  </si>
  <si>
    <t>N nom  &gt;</t>
  </si>
  <si>
    <t>Струм розрах.</t>
  </si>
  <si>
    <t>N max  &lt;</t>
  </si>
  <si>
    <t>👇</t>
  </si>
  <si>
    <t>Трекер</t>
  </si>
  <si>
    <t>Стрінг</t>
  </si>
  <si>
    <t>N в стрінгу</t>
  </si>
  <si>
    <t>Р стрінга</t>
  </si>
  <si>
    <t>Вкл/Вимк.</t>
  </si>
  <si>
    <t>Р сум.</t>
  </si>
  <si>
    <t>N фотомод.</t>
  </si>
  <si>
    <t>Uстр. min</t>
  </si>
  <si>
    <t>Uстр. ном</t>
  </si>
  <si>
    <t>Uстр. max</t>
  </si>
  <si>
    <t>I трекера</t>
  </si>
  <si>
    <t>I тр1</t>
  </si>
  <si>
    <t>I тр2</t>
  </si>
  <si>
    <t>I тр3</t>
  </si>
  <si>
    <t>коментарій</t>
  </si>
  <si>
    <t>(номер)</t>
  </si>
  <si>
    <t>(кіль-ть)</t>
  </si>
  <si>
    <t>(кВт)</t>
  </si>
  <si>
    <t>on/off</t>
  </si>
  <si>
    <t>В</t>
  </si>
  <si>
    <t>А</t>
  </si>
  <si>
    <t>Параметри фотомодуля</t>
  </si>
  <si>
    <t>Акумулятор</t>
  </si>
  <si>
    <t>DHN 2278x1134x30 590W (DHN-72X16/DG)</t>
  </si>
  <si>
    <t>Pylontech FORCE H2   (384V37AH)   FH9637M</t>
  </si>
  <si>
    <t>Isc max, A</t>
  </si>
  <si>
    <t>Full cap.</t>
  </si>
  <si>
    <t>kWh</t>
  </si>
  <si>
    <t>Umin, V</t>
  </si>
  <si>
    <t>Usable cap.</t>
  </si>
  <si>
    <t>Unom, V</t>
  </si>
  <si>
    <t>Udisc</t>
  </si>
  <si>
    <t>V</t>
  </si>
  <si>
    <t>Umax, V</t>
  </si>
  <si>
    <t>Unom</t>
  </si>
  <si>
    <t>Pmpp, W</t>
  </si>
  <si>
    <t>Uchrg</t>
  </si>
  <si>
    <t>Inom, A</t>
  </si>
  <si>
    <t>Ichrg</t>
  </si>
  <si>
    <t>A</t>
  </si>
  <si>
    <t>Ichrg max</t>
  </si>
  <si>
    <t>Idisc</t>
  </si>
  <si>
    <t>Параметри інвертора</t>
  </si>
  <si>
    <t>Idisc max</t>
  </si>
  <si>
    <t>SUN-80K-SG02HP3-EU-EM6  (3ф гибрид 80 квт)</t>
  </si>
  <si>
    <t>string max</t>
  </si>
  <si>
    <t>pcs</t>
  </si>
  <si>
    <t>P AC, kW</t>
  </si>
  <si>
    <t>Pmax</t>
  </si>
  <si>
    <t>kW</t>
  </si>
  <si>
    <t>U DC start, V</t>
  </si>
  <si>
    <t>Discharge</t>
  </si>
  <si>
    <t>Umin MPPT, V</t>
  </si>
  <si>
    <t>Capacity</t>
  </si>
  <si>
    <t>Ah</t>
  </si>
  <si>
    <t>Umax MPPT, V</t>
  </si>
  <si>
    <t>U DC max, V</t>
  </si>
  <si>
    <t>MPPT _ STRING</t>
  </si>
  <si>
    <t>Расчёты по аккумулятору</t>
  </si>
  <si>
    <t>I тр1, A</t>
  </si>
  <si>
    <t>В стринге</t>
  </si>
  <si>
    <t>Isc тр1, A</t>
  </si>
  <si>
    <t>U str</t>
  </si>
  <si>
    <t>I тр2, A</t>
  </si>
  <si>
    <t>N str parall.</t>
  </si>
  <si>
    <t>Isc тр2, A</t>
  </si>
  <si>
    <t>I тр3, A</t>
  </si>
  <si>
    <t>Isc тр3, A</t>
  </si>
  <si>
    <t>U АКБ min, V</t>
  </si>
  <si>
    <t>U АКБ max, V</t>
  </si>
  <si>
    <t>Оценка стоимости АКБ</t>
  </si>
  <si>
    <t>I charge, A</t>
  </si>
  <si>
    <t>курс у.е.</t>
  </si>
  <si>
    <t>грн/$</t>
  </si>
  <si>
    <t>I discharge, A</t>
  </si>
  <si>
    <t>цена АКБ</t>
  </si>
  <si>
    <t>грн</t>
  </si>
  <si>
    <t>емкость</t>
  </si>
  <si>
    <t>Ач</t>
  </si>
  <si>
    <t xml:space="preserve">N:  </t>
  </si>
  <si>
    <t xml:space="preserve"> шт.</t>
  </si>
  <si>
    <t>напряжение</t>
  </si>
  <si>
    <t>Р:</t>
  </si>
  <si>
    <t xml:space="preserve"> Вт</t>
  </si>
  <si>
    <t>энергия</t>
  </si>
  <si>
    <t>Втч</t>
  </si>
  <si>
    <t>70С</t>
  </si>
  <si>
    <t>U min, V</t>
  </si>
  <si>
    <t>25С</t>
  </si>
  <si>
    <t>U nom, V</t>
  </si>
  <si>
    <t xml:space="preserve">цена 1 кВтч:  </t>
  </si>
  <si>
    <t xml:space="preserve"> $</t>
  </si>
  <si>
    <t>- 25C</t>
  </si>
  <si>
    <t>U max, V</t>
  </si>
  <si>
    <t xml:space="preserve"> грн</t>
  </si>
  <si>
    <t>конец листа</t>
  </si>
  <si>
    <t>Найменування</t>
  </si>
  <si>
    <t>Тип (Модель, Марка)</t>
  </si>
  <si>
    <t>Код</t>
  </si>
  <si>
    <t>Цена, $</t>
  </si>
  <si>
    <t>Umpp, V</t>
  </si>
  <si>
    <t>Uxx, V</t>
  </si>
  <si>
    <t>Isc, A</t>
  </si>
  <si>
    <t>kU, %/C</t>
  </si>
  <si>
    <t>kI, %/C</t>
  </si>
  <si>
    <t>Fuse, A</t>
  </si>
  <si>
    <t>Tmin, C</t>
  </si>
  <si>
    <t>Tmax, C</t>
  </si>
  <si>
    <t>КПД, %</t>
  </si>
  <si>
    <t>Длина</t>
  </si>
  <si>
    <t>Ширина</t>
  </si>
  <si>
    <t>Толщина</t>
  </si>
  <si>
    <t>Площадь</t>
  </si>
  <si>
    <t>Масса, кг</t>
  </si>
  <si>
    <t>Фотомодуль</t>
  </si>
  <si>
    <t>AE Solar 1724х1133х35 415W (AE415MD-108)</t>
  </si>
  <si>
    <t>AE Solar 1724x1133x30 430W (AE430CMD-108)</t>
  </si>
  <si>
    <t>AE Solar 1722x1134x30 430W (AE430CMD-108BDE)_Full Black</t>
  </si>
  <si>
    <t>AE Solar 1721x1133x30 435W (AE435CMD-108BDS)</t>
  </si>
  <si>
    <t xml:space="preserve">AE Solar 2094х1038х35 450W   </t>
  </si>
  <si>
    <t>AE Solar 1910x1133x30 480W (AE480CMD-120)</t>
  </si>
  <si>
    <t xml:space="preserve">AE Solar 2094х1133х35 505W   </t>
  </si>
  <si>
    <t>AE Solar 2278х1133х35 550W (AE550MD-144)</t>
  </si>
  <si>
    <t>AE Solar 2278х1133х30 580W (AE580CMD-144)</t>
  </si>
  <si>
    <t>AE Solar 2278х1133х30 585W (AE CMD-144BDS)</t>
  </si>
  <si>
    <t>AE Solar 2382х1133х30 615W (AE CMER-132BDS)</t>
  </si>
  <si>
    <t>SunPower 1690х1160х35 365W Performance 3 BLK</t>
  </si>
  <si>
    <t>SunPower 1690х1160х35 370W Performance 3</t>
  </si>
  <si>
    <t>SunPower 1690х1046х40 375W Maxeon 3 BLK</t>
  </si>
  <si>
    <t>SunPower 1690х1046х40 400W (SPR-MAX3-400-COM) Maxeon 3</t>
  </si>
  <si>
    <t>SunPower 1808х1086х30 405W (SPR-P6-405-BLK)</t>
  </si>
  <si>
    <t>SunPower 2066х998х40 415W (SPR-P3-415-COM) Performance 3</t>
  </si>
  <si>
    <t>SunPower 2047х1039х35 450W (SPR-MAX6-450-COM) Maxeon 6</t>
  </si>
  <si>
    <t>SunPower 2066х1160х35 475W</t>
  </si>
  <si>
    <t>SunPower 2185х1092х35 505W (SPR-P6-505-COMS-BF)</t>
  </si>
  <si>
    <t>SunPower 2384х1092х35 545W (SPR-P6-545-COM-M-BF)</t>
  </si>
  <si>
    <t>Jinko 2278х1134х30 580W (JKM580N-72HL4-BDV)</t>
  </si>
  <si>
    <t>Altek 1650x992x40 250W (ALM-250P)</t>
  </si>
  <si>
    <t>EGING PV 1674х990х35 325W (EG-325M60-HC )</t>
  </si>
  <si>
    <t xml:space="preserve">SCHUCO  1100x1300 71.6W   </t>
  </si>
  <si>
    <t>SUNOVA 2279х1134х35 550W (SS-550-72MDH)</t>
  </si>
  <si>
    <t>ULICA 310W (UL-310M-60)</t>
  </si>
  <si>
    <t>DAH Solar 1680х995х35 280W (HCP60-280)</t>
  </si>
  <si>
    <t>Vertex 2384х1096х35 530W bifacial</t>
  </si>
  <si>
    <t>Vertex 2384х1303х35 635W bifacial</t>
  </si>
  <si>
    <t>Leapton 1724х1134х30 400W (LP182*182-M-54-MH)</t>
  </si>
  <si>
    <t>AbiSolar AB370-60MHC 1765х1048х35 375W</t>
  </si>
  <si>
    <t>AbiSolar AB455-72MHC 2108х1048х35 455W</t>
  </si>
  <si>
    <t>AbiSolar AB460-72MHC 2108х1048х35 460W</t>
  </si>
  <si>
    <t>Trina Solar 2102х1040х35 450W (TSM-DE17M(II))</t>
  </si>
  <si>
    <t>Trina Solar 1754х1096х30 400W (TSM-DE09.08)</t>
  </si>
  <si>
    <t>Trina Solar 2384х1096х35 540W (TSM-DE19)</t>
  </si>
  <si>
    <t>Longi 2094х1038х35 455W</t>
  </si>
  <si>
    <t>Longi 2094х1038х35 455W (LR4-72HPH-455M)</t>
  </si>
  <si>
    <t>Longi 2094х1038х35 455W (актуальный)</t>
  </si>
  <si>
    <t>Longi 2278x1134x35 580W (LR5-72HTH-580M)</t>
  </si>
  <si>
    <t>Longi 2278x1134x35 580W (LR5-72HGD-580M)</t>
  </si>
  <si>
    <t>JaSolar 2000х991х40 325W</t>
  </si>
  <si>
    <t>JaSolar 1722х1134х30 405W (JAM54S30-405/MR)</t>
  </si>
  <si>
    <t>JaSolar 1722х1134х30 420W (JAM54S30-420/GR)</t>
  </si>
  <si>
    <t xml:space="preserve">JaSolar 2128х1052х40 455W   </t>
  </si>
  <si>
    <t>JaSolar 2112х1052х35 455W (актуальный)</t>
  </si>
  <si>
    <t xml:space="preserve">JaSolar 2094х1134х35 495W   </t>
  </si>
  <si>
    <t>JaSolar 2285х1134х35 530W bifacial</t>
  </si>
  <si>
    <t>JaSolar 2279х1134х35 540W (JAM72S30-540/MR)</t>
  </si>
  <si>
    <t>JaSolar 2278х1134х30 560W (JAM72D40-560/GB)</t>
  </si>
  <si>
    <t>JaSolar 2278х1135х30 570W (JAM72D40 570/MB) BIFACIAL</t>
  </si>
  <si>
    <t xml:space="preserve">Risen 1685х992х35 320W   </t>
  </si>
  <si>
    <t>low V</t>
  </si>
  <si>
    <t xml:space="preserve">Risen 1956х992х40 320W   </t>
  </si>
  <si>
    <t>high V</t>
  </si>
  <si>
    <t>Risen 1685x992x35 320W (RSM-120-6-320M)</t>
  </si>
  <si>
    <t>Risen 1689x996x35 330W (RSM-120-6-330M)</t>
  </si>
  <si>
    <t>Risen 1852х996х35 380W</t>
  </si>
  <si>
    <t xml:space="preserve">Risen 1754х1096х30 405W   </t>
  </si>
  <si>
    <t xml:space="preserve">Risen 2178х996х35 450W   </t>
  </si>
  <si>
    <t>Risen Energy 450W (RSM156-6-450M JAGER Plus 9BB)</t>
  </si>
  <si>
    <t>Risen Energy 450W (RSM156-6-440M Half-cell 9BB)</t>
  </si>
  <si>
    <t>Risen 2108х1048х35 450W (RSM144-7-450M)</t>
  </si>
  <si>
    <t>Risen 2384х1096х35 540W (RSM110-8-540M)</t>
  </si>
  <si>
    <t>Risen 2384х1096х35 545W (RSM110-8-545M)</t>
  </si>
  <si>
    <t xml:space="preserve">Risen 2172х1303х35 595W   </t>
  </si>
  <si>
    <t>Hanersun 2278x1134x30 590W (HN18N-72HT)</t>
  </si>
  <si>
    <t>Фотомоудуль</t>
  </si>
  <si>
    <t>Hyundai 1762x1134x30 450W (HiT-H450CE-BF)</t>
  </si>
  <si>
    <t>DHN 2384x1303x30 710W (DHN-66Y18/DG)</t>
  </si>
  <si>
    <t>Наименование</t>
  </si>
  <si>
    <t>P DC, kW</t>
  </si>
  <si>
    <t>MPPT, pcs</t>
  </si>
  <si>
    <t>STRING, pcs</t>
  </si>
  <si>
    <t>Iзар., А</t>
  </si>
  <si>
    <t>Iразр., А</t>
  </si>
  <si>
    <t>Рзар/разр., кВт</t>
  </si>
  <si>
    <t>-</t>
  </si>
  <si>
    <t>Инвертор</t>
  </si>
  <si>
    <t>Fronius 15.0-3-M</t>
  </si>
  <si>
    <t>49.5</t>
  </si>
  <si>
    <t>Fronius 10.0-3-M</t>
  </si>
  <si>
    <t>Fronius 20.0-3-M</t>
  </si>
  <si>
    <t>Fronius TAURO 50-3-P</t>
  </si>
  <si>
    <t>Fronius TAURO ECO 50-3-P</t>
  </si>
  <si>
    <t>Fronius Sumo 6.0-3-m</t>
  </si>
  <si>
    <t>Fronius Eco 27.0-3-S</t>
  </si>
  <si>
    <t>47.7</t>
  </si>
  <si>
    <t>71.6</t>
  </si>
  <si>
    <t>Fronius Sumo 5.0-3-m</t>
  </si>
  <si>
    <t>Primo GEN 24 5.0 Plus  (гибридный)</t>
  </si>
  <si>
    <t>Solis 30k-4G-DC   (старая модель)</t>
  </si>
  <si>
    <t>1 old</t>
  </si>
  <si>
    <t>Solis-10K-4G</t>
  </si>
  <si>
    <t>Solis-8K-4G 3р</t>
  </si>
  <si>
    <t>Solis RHI-3P10K-HVES-5G</t>
  </si>
  <si>
    <t>Solis-3P20K-4G</t>
  </si>
  <si>
    <t>Solis S5-GR1P-5K  (сетевой)</t>
  </si>
  <si>
    <t>Solis-3Р15K-4G-DC</t>
  </si>
  <si>
    <t>34.3</t>
  </si>
  <si>
    <t>Solis S5-GR1P5K сетевой 1ф</t>
  </si>
  <si>
    <t>Solis  RAI-3K-48ES-5G  (1ф ИБП)</t>
  </si>
  <si>
    <t>Solis RHI-5K-48ES-5G</t>
  </si>
  <si>
    <t>Solis 30k-5G</t>
  </si>
  <si>
    <t>Solis 25k-5G</t>
  </si>
  <si>
    <t>Solis S5-EH1P5K-L  (1ф ГИБРИД)</t>
  </si>
  <si>
    <t>Инвертор MPPT</t>
  </si>
  <si>
    <t>AX-M 1000-24   (1000VA, 800W, BAT24V)</t>
  </si>
  <si>
    <t>AX-M 2000-24   (2000VA, 1600W, BAT24V)</t>
  </si>
  <si>
    <t>AX-M 3000-24   (3000VA, 2400W, BAT24V)</t>
  </si>
  <si>
    <t>AX-M 3000-48   (3000VA, 2400W, BAT48V)</t>
  </si>
  <si>
    <t>AX-M1 4000-48   (4000VA, 4000W, BAT48V)</t>
  </si>
  <si>
    <t>AX-M1 5000-24   (5000VA, 5000W, BAT24V)</t>
  </si>
  <si>
    <t>AX-M1 5000-48   (5000VA, 5000W, BAT48V)</t>
  </si>
  <si>
    <t>AX-M2 5000-48   (5000VA, 5000W, BAT48V)</t>
  </si>
  <si>
    <t>AX-P 2000-24   (2000VA, 1600W, BAT24V)</t>
  </si>
  <si>
    <t>AX-P 2000-48   (2000VA, 1600W, BAT48V)</t>
  </si>
  <si>
    <t>AX-P1 3000-24   (3000VA, 3000W, BAT24V)</t>
  </si>
  <si>
    <t>AX-P1 3000-48   (3000VA, 3000W, BAT48V)</t>
  </si>
  <si>
    <t>Инвертор PWM</t>
  </si>
  <si>
    <t>AX-K1 1000-12   (1000VA, 1000W, BAT12V)</t>
  </si>
  <si>
    <t>AX-K1 2000-24   (2000VA, 2000W, BAT24V)</t>
  </si>
  <si>
    <t>AX-K1 3000-24   (3000VA, 3000W, BAT24V)</t>
  </si>
  <si>
    <t>AX-K1 4000-48   (4000VA, 4000W, BAT48V)</t>
  </si>
  <si>
    <t>AX-K1 5000-48   (5000VA, 5000W, BAT48V)</t>
  </si>
  <si>
    <t>Axpert VM IV 5600-48   (5кВт, гибрид 1ф)</t>
  </si>
  <si>
    <t>InfiniSolar V II-3kW   (3кВт, гибрид 1ф)</t>
  </si>
  <si>
    <t>Axioma ISMPPT-BFP 5000   (5кВт, гибрид 1ф)</t>
  </si>
  <si>
    <t>PIP5048MSD   (5кВт, гибрид 1ф)</t>
  </si>
  <si>
    <t>PS 5kVA   (5кВт, гибрид 1ф _ 36-105V_50A)</t>
  </si>
  <si>
    <t>50-A</t>
  </si>
  <si>
    <t>LogicPower LPY-C-PSW-2000VA-MPPT24V</t>
  </si>
  <si>
    <t>Axioma Energy ISMPPT 3000   (3кВт, гибрид 1ф)</t>
  </si>
  <si>
    <t>GROWATT 30000TL3-S</t>
  </si>
  <si>
    <t>POWMR 5 kW (1ф гибрид)</t>
  </si>
  <si>
    <t>TOMMATECH 11 kW (1ф гибрид)</t>
  </si>
  <si>
    <t>61-11</t>
  </si>
  <si>
    <t>SMA   STP10000TL-20</t>
  </si>
  <si>
    <t>25-15</t>
  </si>
  <si>
    <t>TL-5000 48V 60A MPPT 65-150V</t>
  </si>
  <si>
    <t>Alex</t>
  </si>
  <si>
    <t>Stromherz  S-20K-40А-3Р-ESS-UA  (гибрид 3ф)</t>
  </si>
  <si>
    <t>Afore AF5K-SL   (5кВт, гибрид 1ф)</t>
  </si>
  <si>
    <t>LuxPower SNA5000   (5кВт, гибрид 1ф)</t>
  </si>
  <si>
    <t>DEYE   SUN-15K-SG05LP3-EU-SM2   (3ф гибрид низьковольт)</t>
  </si>
  <si>
    <t>2+1</t>
  </si>
  <si>
    <t>DEYE SUN-15k-SG01HP3-EU-AM2   (3ф гибрид 15 квт)</t>
  </si>
  <si>
    <t>Deye SUN-30K-SG01HP3-EU-BM4   3ф гибрид</t>
  </si>
  <si>
    <t>Deye SUN-50K-SG01HP3-EU-BM4   3ф гибрид</t>
  </si>
  <si>
    <t>DEYE SUN-80K-G   (3ф сетевой  80 квт)</t>
  </si>
  <si>
    <t>75_4</t>
  </si>
  <si>
    <t>DEYE SUN-75K-G   (3ф сетевой  75 квт)</t>
  </si>
  <si>
    <t>75_3</t>
  </si>
  <si>
    <t>DEYE SUN-70K-G   (3ф сетевой  70 квт)</t>
  </si>
  <si>
    <t>75_2</t>
  </si>
  <si>
    <t>DEYE SUN-60K-G   (3ф сетевой  60 квт)</t>
  </si>
  <si>
    <t>75_1</t>
  </si>
  <si>
    <t>DEYE SUN-20K-SG01HP3-EU-AM2   (3ф гибрид 20 квт)</t>
  </si>
  <si>
    <t>DEYE SUN-30K-SG01HP3-EU-BM3   (3ф гибрид 30 квт)</t>
  </si>
  <si>
    <t>50+50</t>
  </si>
  <si>
    <t>DEYE   SUN-12K-SG04LP3   3ф гибрид</t>
  </si>
  <si>
    <t>13 + 13</t>
  </si>
  <si>
    <t>17 + 17</t>
  </si>
  <si>
    <t>DEYE   SUN-10K-SG01HP3-EU-AM2   3ф гибрид</t>
  </si>
  <si>
    <t>DEYE   SUN-10K-SG04LP3-EU   3ф гибрид</t>
  </si>
  <si>
    <t>DEYE   SUN-10K-SG02LP1-AM3   1ф гибрид</t>
  </si>
  <si>
    <t>DEYE   SUN-8K-SG01LP1-US/EU   1ф гибрид</t>
  </si>
  <si>
    <t>Deye  SUN-5K-SG03LP1-EU (5кВт)</t>
  </si>
  <si>
    <t>Deye  SUN-6K-SG03LP1-EU (6кВт)</t>
  </si>
  <si>
    <t>60а</t>
  </si>
  <si>
    <t>DEYE SUN-50K-G03   (3ф сетевой  50 квт)</t>
  </si>
  <si>
    <t>DEYE SUN-100K-G03   (3ф сетевой  100 квт)</t>
  </si>
  <si>
    <t>75_5</t>
  </si>
  <si>
    <t>80+80</t>
  </si>
  <si>
    <t>SOFAR  HYD15KTL-3PH</t>
  </si>
  <si>
    <t>180 (300)</t>
  </si>
  <si>
    <t>50 (25/25)</t>
  </si>
  <si>
    <t>SOFAR  110KTLX-G4  (100кВт 3ф)</t>
  </si>
  <si>
    <t>Altek Atlas Max 7,2KW-48V</t>
  </si>
  <si>
    <t>59 Серж</t>
  </si>
  <si>
    <t>Victron   Multi RS Solar 48/6000</t>
  </si>
  <si>
    <t>МРРТ Victron</t>
  </si>
  <si>
    <t>Smart Solar 250/70</t>
  </si>
  <si>
    <t>Victron Quattro 48/15000/200-100/100</t>
  </si>
  <si>
    <t>Victron MultiPlus-||</t>
  </si>
  <si>
    <t>SmartSolar MPPT RS 450/200</t>
  </si>
  <si>
    <t>SmartSolar MPPT RS 450/100</t>
  </si>
  <si>
    <t>Imeon 9.12</t>
  </si>
  <si>
    <t>160/200</t>
  </si>
  <si>
    <t>SolarEdge 30K</t>
  </si>
  <si>
    <t>Huawei SUN2000-150KTL-МG0</t>
  </si>
  <si>
    <t>Huawei SUN2000-115KTL-М2</t>
  </si>
  <si>
    <t>Huawei SUN2000-100KTL-М2</t>
  </si>
  <si>
    <t>Huawei SUN2000-100KTL-М0</t>
  </si>
  <si>
    <t>Huawei SUN2000-50KTL-М0</t>
  </si>
  <si>
    <t>Huawei SUN2000-20KTL-М2</t>
  </si>
  <si>
    <t>Huawei SUN2000-15KTL-М2</t>
  </si>
  <si>
    <t>Huawei SUN2000-30KTL</t>
  </si>
  <si>
    <t>Huawei SUN2000-60KTL-М0</t>
  </si>
  <si>
    <t>Huawei SUN2000-50KTL-М3</t>
  </si>
  <si>
    <t>18-A</t>
  </si>
  <si>
    <t>SUN2000-(3KTL-10KTL)-M1 Huawei гибрид 3ф</t>
  </si>
  <si>
    <t>***   (NONAME)</t>
  </si>
  <si>
    <t>Full cap., kWh</t>
  </si>
  <si>
    <t>Usable cap., kWh</t>
  </si>
  <si>
    <t>Udisc, V</t>
  </si>
  <si>
    <t>Uchrg, V</t>
  </si>
  <si>
    <t>Ichrg, A</t>
  </si>
  <si>
    <t>Ichrg max, A</t>
  </si>
  <si>
    <t>Idisc, A</t>
  </si>
  <si>
    <t>Idisc max, A</t>
  </si>
  <si>
    <t>string max, pcs</t>
  </si>
  <si>
    <t>Discharge, %</t>
  </si>
  <si>
    <t>Capacity, Ah</t>
  </si>
  <si>
    <t>Dimension, mm</t>
  </si>
  <si>
    <t>Weight, kg</t>
  </si>
  <si>
    <t>Аккумулятор</t>
  </si>
  <si>
    <t>Pylontech US2000   2200Wh</t>
  </si>
  <si>
    <t>53.5</t>
  </si>
  <si>
    <t>442x410x89</t>
  </si>
  <si>
    <t>Pylontech US3000   3000 Wh</t>
  </si>
  <si>
    <t>442x420x132</t>
  </si>
  <si>
    <t>LUNA2000-4.95-5 Huawei</t>
  </si>
  <si>
    <t>LUNA2000-4.95-10 Huawei</t>
  </si>
  <si>
    <t>LUNA2000-4.95-15 Huawei</t>
  </si>
  <si>
    <t>450x296x355</t>
  </si>
  <si>
    <t>Модульный блок управления (голова стойки АКБ)</t>
  </si>
  <si>
    <t>SC0500-100S</t>
  </si>
  <si>
    <t>Pylontech H48074   3.55kWh  48V</t>
  </si>
  <si>
    <t xml:space="preserve">Вхідні дані </t>
  </si>
  <si>
    <t>Потужність 1 фотомодуля, Вт</t>
  </si>
  <si>
    <t xml:space="preserve">Кількість фотомодулей, шт </t>
  </si>
  <si>
    <t>Загальна потужність фотомодулей</t>
  </si>
  <si>
    <t xml:space="preserve">Регіон </t>
  </si>
  <si>
    <t>Одеса</t>
  </si>
  <si>
    <t>Орієнтація</t>
  </si>
  <si>
    <t>схід-захід</t>
  </si>
  <si>
    <t>лютий</t>
  </si>
  <si>
    <t>рік</t>
  </si>
  <si>
    <t xml:space="preserve">питома продуктивність </t>
  </si>
  <si>
    <t>Сімферополь</t>
  </si>
  <si>
    <t>Вінниця</t>
  </si>
  <si>
    <t>Луцьк</t>
  </si>
  <si>
    <t>Дніпро</t>
  </si>
  <si>
    <t>Донецьк</t>
  </si>
  <si>
    <t>Житомир</t>
  </si>
  <si>
    <t>Ужгород</t>
  </si>
  <si>
    <t>Запоріжжя</t>
  </si>
  <si>
    <t>Івано-Франківськ</t>
  </si>
  <si>
    <t>...Пример:</t>
  </si>
  <si>
    <t>Київ</t>
  </si>
  <si>
    <t>регион : Одесса 3,55 кВтхч/м.кв/день</t>
  </si>
  <si>
    <t>Кропивницький</t>
  </si>
  <si>
    <t>мощность ст.: 5 квт</t>
  </si>
  <si>
    <t>Луганськ</t>
  </si>
  <si>
    <t>Выработка ( 1год ) = 5 кВт. х 365 дней х 3,55 кВтхч/м.кв/день = 6478 кВт/час</t>
  </si>
  <si>
    <t>Львів</t>
  </si>
  <si>
    <t>Миколаїв</t>
  </si>
  <si>
    <t>все просто Одесса 3,55 добавляется в формулу</t>
  </si>
  <si>
    <t>Полтава</t>
  </si>
  <si>
    <t>Рівне</t>
  </si>
  <si>
    <t>Суми</t>
  </si>
  <si>
    <t>Тернопіль</t>
  </si>
  <si>
    <t>Харків</t>
  </si>
  <si>
    <t>Херсон</t>
  </si>
  <si>
    <t>Хмельницький</t>
  </si>
  <si>
    <t>Черкаси</t>
  </si>
  <si>
    <t>Чернігів</t>
  </si>
  <si>
    <t>Чернівці</t>
  </si>
  <si>
    <t>Коефіцієнт пониження, %</t>
  </si>
  <si>
    <t>схід</t>
  </si>
  <si>
    <t>захід</t>
  </si>
  <si>
    <t>південь</t>
  </si>
  <si>
    <t>СЕЧЕНИЕ КАБЕЛЯ/ПРОВОДА</t>
  </si>
  <si>
    <t>КАБЕЛЬ</t>
  </si>
  <si>
    <t>Мощность</t>
  </si>
  <si>
    <t>Ток 1ф</t>
  </si>
  <si>
    <t>МЕДЬ</t>
  </si>
  <si>
    <t>АЛЮМИНИЙ</t>
  </si>
  <si>
    <t>Ток авт.</t>
  </si>
  <si>
    <t>РЭС</t>
  </si>
  <si>
    <t>Р, кВт</t>
  </si>
  <si>
    <t>I, A</t>
  </si>
  <si>
    <t>без авт.</t>
  </si>
  <si>
    <t>с авт.</t>
  </si>
  <si>
    <t>Ампер</t>
  </si>
  <si>
    <t>1ф</t>
  </si>
  <si>
    <t>M</t>
  </si>
  <si>
    <t>3ф</t>
  </si>
  <si>
    <t>36*</t>
  </si>
  <si>
    <t>45*</t>
  </si>
  <si>
    <t>2х 95</t>
  </si>
  <si>
    <t>2х 150</t>
  </si>
  <si>
    <t>2х150</t>
  </si>
  <si>
    <t>2х 185</t>
  </si>
  <si>
    <t>2х 120</t>
  </si>
  <si>
    <t>3х 150</t>
  </si>
  <si>
    <t>4х150</t>
  </si>
  <si>
    <t>ПРЕДЕЛЬНЫЕ ПАРАМЕТРЫ, при них будет ещё работать, но уже с повышенным нагревом</t>
  </si>
  <si>
    <t>НОМИНАЛ</t>
  </si>
  <si>
    <t>*</t>
  </si>
  <si>
    <t>ИЗГОТАВЛИВАЮТСЯ ПОД ЗАКАЗ</t>
  </si>
  <si>
    <t>1. Копіювання шаблону Кошторис Генерація_New як нового екземпляру</t>
  </si>
  <si>
    <t>1) При створенні копії з основного файлу під конкретний проект файл має бути збережений за посиланням:</t>
  </si>
  <si>
    <t>https://drive.google.com/drive/folders/1VS0WNUuwrOxJN91OwOW-NUmVqg_fZrGI</t>
  </si>
  <si>
    <t>2) Посилання на конкретний файл кошторису під проект зберігається в окремому полі де для всіх зацікавлених буде швидкий доступ (див. скрін)</t>
  </si>
  <si>
    <t>2. Імпорт номенклатури з BAF</t>
  </si>
  <si>
    <t>1. Експортуємо номенклатуру BAF в файл ексель: Номенклатура - Ще - Вивести список. Необхідні колонки та їх черговість вказані на картинці.
2. Імпортуємо його в таблицю Кошторис Генерація_New як новий лист. Назву залишаємо за замовчуванням - TDSheet
2.1 Теж саме робимо із Гуртовою ціною
3. Тицяєм зверху таблиці МЕНЮ - 'Імпортувати номенклатуру з BAF'
4. Чекаємо поки відпрацює скрипт
5. Хеппі-енд, лист TDSheet можна видалити
Функціонал скрипта:
- На листі Номенклатура_BAF додає в кінець таблиці нові позиції номеклатури з BAF та заливає зеленим кольором колонку "Найменування" для кращої ідентифікації нових позицій.
- На листі Номенклатура_BAF оновлює ціну та артикул для всіх позицій.
- На листі TDSheet заливє кольором: 1)зеленим - позиції, що були знайдені на листі Номенклатура_BAF. 2) червоним - позиції, що НЕ були знайдені на листі Номенклатура_BAF 3) Залишає без заливки позиції та категорії, що непотрібні</t>
  </si>
  <si>
    <t>3. Лист "Розрахунок кріплення"</t>
  </si>
  <si>
    <t>Блок 1:</t>
  </si>
  <si>
    <t>В цьому блоці можна встановити бажані налаштування: розміри ФЕМ, міжпанельну відстаньб мін виліт профілей по краям, макс додатковий виліт профілей по краям, кількість профілей в ряду, відстань між точками кріплення, включення в розрахунок профіля 2200</t>
  </si>
  <si>
    <t>Блок 2:</t>
  </si>
  <si>
    <t>Внесення даних для розрахунку кріплення. Дані потрібно вносити без пропусків рядків, якщо потрібно зробити одразу декількох груп кріплення, то їх розділення виконується шляхом заливки відповідних клітинок різними кольорами в ручному режимі на свій смак та розсуд.</t>
  </si>
  <si>
    <t>Блок 3:</t>
  </si>
  <si>
    <t>Кнопка "Розрахувати" - виконує розрахунок на основі внесених даних у блоці 2</t>
  </si>
  <si>
    <t>Кнопка "Очистити" - виконує очищення внесених даних в блоці 2 та результатів розрахунку</t>
  </si>
  <si>
    <t>Кнопка "Перенести дані розрахунку в КОШТОРИС" - переносить результат обчислення на лист "КОШТОРИС"</t>
  </si>
  <si>
    <t>4. Лист "КОШТОРИС"</t>
  </si>
  <si>
    <t>1: Внесення матеріалів</t>
  </si>
  <si>
    <t>- Після того як результат розрахунку кріплення було перенесено на лист "КОШТОРИС" в комірках, що залиті жовтим кольором потрібно обрати конкретні позиції із спадних списків, а саме відповідний тип ФЕМ, точки кріплення, притисків. 
- В колонках C та D обираємо інші матеріали та їх кількість, всі інші дані підтягнуться із листа "Номенклатура_BAF" автоматично. 
- Кількість модулів розраховується автоматично та відображається навпроти відповідного щита, кількість модулів АВР самостійно додається до щита АС, окремо додавати не потрібно. 
- В розділі 21 "Додаткові матеріали" можна обрати будь-які матеріали із усієї номеклатур або внести нові матеріали, що відсутні у номенклатурі.
- Якщо потрібно видалити який попередньо доданий матеріал, то потрібно видалити лише дані із колонок  C та D</t>
  </si>
  <si>
    <t>- При необхідності додавання нового рядка в якийсь із розділів. Для цього необхідно скопіювати формули із колонок А:M із попереднього рядка. Для кращого розуміння: можна перемкнути відображення формул у комірці за допомогою натискання CTRL+~  (~ - тильда, знаходиться під ESCAPE) та виправити номер відповідного пунку в колонці А</t>
  </si>
  <si>
    <t>2: Друк</t>
  </si>
  <si>
    <t>Після внесення всіх необхідних матеріалів через кастомний пункт &lt;-&lt; МЕНЮ&gt;-&gt; є можливість завантажити PDF файли для подальшого їх друку:
1. Кошторис із указанням цін
2. Накладна без указання цін для монтажних бригад</t>
  </si>
  <si>
    <t>Категорія</t>
  </si>
  <si>
    <t>Од.вим</t>
  </si>
  <si>
    <t>Облікова ціна б.г. з ПДВ $</t>
  </si>
  <si>
    <t>Гуртова ціна з ПДВ, авт% $</t>
  </si>
  <si>
    <t>Артикул</t>
  </si>
  <si>
    <t>Кількість модулів</t>
  </si>
  <si>
    <t>Вільно на складі</t>
  </si>
  <si>
    <t>BB1H-63-20A-2B (2р, 600VDC, автоматичний вимикач, постійний струм, BENY)</t>
  </si>
  <si>
    <t>BB1H-63-20A-2B</t>
  </si>
  <si>
    <t>https://www.beny.com/ru/product-item/dc-disconnect-switch-up-to-1200v-bb1h-63/</t>
  </si>
  <si>
    <t>BB1H-63-25A-4A</t>
  </si>
  <si>
    <t>https://www.beny.com/product-item/dc-disconnect-switch-up-to-1200v-bb1h-63/</t>
  </si>
  <si>
    <t>BYT.2-32</t>
  </si>
  <si>
    <t>https://001.com.ua/uk/obmezhuvach-perenaprugy-etitec-m-t2-pv-1100-20-y-dlya-pv-system-eti</t>
  </si>
  <si>
    <t>https://001.com.ua/uk/kontaktor-cem-105-11-230v-ac-105a-55kw-ac3-eti</t>
  </si>
  <si>
    <t>https://001.com.ua/uk/vymykach-navantazhennya-clbs-100-3p-bez-rukoyatky-1-0-100a-eti</t>
  </si>
  <si>
    <t>https://001.com.ua/uk/vymykach-navantazhennya-clbs-125-3p-bez-rukoyatky-1-0-125a-eti</t>
  </si>
  <si>
    <t>e.is3.pro.2.63 (перемикач навантаження, 3 пол., 63А, 230В, 2р, E.NEXT)</t>
  </si>
  <si>
    <t>p008014</t>
  </si>
  <si>
    <t>https://001.com.ua/uk/peremykach-na-din-reyku-na-3-polozhennya-e-is3-pro-2-63-2r-63a-e-next</t>
  </si>
  <si>
    <t>e.is3.pro.4.63 (перемикач навантаження, 3 пол., 63А, 230В, 4р, E.NEXT)</t>
  </si>
  <si>
    <t>p008016</t>
  </si>
  <si>
    <t>https://001.com.ua/uk/peremykach-na-din-reyku-na-3-polozhennya-e-is3-pro-4-63-4r-63a-e-next</t>
  </si>
  <si>
    <t>Автоматичні вимикачі</t>
  </si>
  <si>
    <t>e.mcb.pro.60.1.C 25 new (автоматичний вимикач, 1р, 25А, C, 6кА new)</t>
  </si>
  <si>
    <t>p042010</t>
  </si>
  <si>
    <t>https://001.com.ua/uk/avtomatychnyy-vymykach-e-mcb-pro-60-1-c-25-new-1p-25-a-harakterystyka-c-e-next</t>
  </si>
  <si>
    <t>https://001.com.ua/uk/avtomatychnyy-vymykach-eb2-250-3l-3p-200a-25ka-eti</t>
  </si>
  <si>
    <t>https://001.com.ua/uk/avtomatychnyy-vymykach-eb2-250-3l-3p-250a-25ka-eti</t>
  </si>
  <si>
    <t>https://001.com.ua/uk/avtomatychnyy-vymykach-eb2s-160-3la-3p-80a-16ka-eti</t>
  </si>
  <si>
    <t>https://electrocontrol.com.ua/ua/avtomaticheskie-vyklyuchateli/4671904-avtomaticheskii-vykluchatel-eti-eb2s-160-3sa-125a-25ka-0-63-1in-fiks-3p</t>
  </si>
  <si>
    <t>https://001.com.ua/uk/avtomatychnyy-vymykach-eb2s-160-3sf-3p-125a-25ka-eti</t>
  </si>
  <si>
    <t>ERM4-012DCL (Реле електромеханічне ERM4-012DCL 4p, ETI)</t>
  </si>
  <si>
    <t>https://001.com.ua/uk/rele-elektromehanichne-erm4-012dcl-4co-12v-dc-6a-ac1-eti</t>
  </si>
  <si>
    <t>ERM4-230ACL (реле проміжне, 4р, 230VAC, ETI)</t>
  </si>
  <si>
    <t>https://001.com.ua/uk/rele-elektromehanichne-erm4-230acl-4co-230v-ac-6a-ac1-eti</t>
  </si>
  <si>
    <t>Реле_Контактори</t>
  </si>
  <si>
    <t>ESC465</t>
  </si>
  <si>
    <t>https://001.com.ua/uk/kontaktor-modulnyy-esc465-63a-230v-ac-2nv-2nz-hager</t>
  </si>
  <si>
    <t>https://001.com.ua/uk/avtomatychnyy-vymykach-etimat-10-20ka-2p-100-a-har-ka-c-eti</t>
  </si>
  <si>
    <t>ETIMAT 6 (1р, С, 16А, автоматичний вимикач, ETI)</t>
  </si>
  <si>
    <t>https://001.com.ua/uk/avtomatychnyy-vymykach-etimat-6-6ka-1p-16-a-har-ka-c-eti</t>
  </si>
  <si>
    <t>https://001.com.ua/uk/avtomatychnyy-vymykach-etimat-6-6ka-1p-1-a-har-ka-c-eti</t>
  </si>
  <si>
    <t>https://001.com.ua/uk/avtomatychnyy-vymykach-etimat-6-6ka-1p-20-a-har-ka-c-eti</t>
  </si>
  <si>
    <t>ETIMAT 6 (1р, С, 25А, автоматичний вимикач, ETI)</t>
  </si>
  <si>
    <t>https://001.com.ua/uk/avtomatychnyy-vymykach-etimat-6-6ka-1p-25-a-har-ka-c-eti</t>
  </si>
  <si>
    <t>https://001.com.ua/uk/avtomatychnyy-vymykach-etimat-6-6ka-1p-32-a-har-ka-c-eti</t>
  </si>
  <si>
    <t>https://001.com.ua/uk/avtomatychnyy-vymykach-etimat-6-6ka-1p-40-a-har-ka-c-eti</t>
  </si>
  <si>
    <t>https://001.com.ua/uk/avtomatychnyy-vymykach-etimat-6-6ka-1p-50-a-har-ka-c-eti</t>
  </si>
  <si>
    <t>https://001.com.ua/uk/avtomatychnyy-vymykach-etimat-6-6ka-1p-63-a-har-ka-c-eti</t>
  </si>
  <si>
    <t>https://001.com.ua/uk/avtomatychnyy-vymykach-etimat-6-6ka-2p-20-a-har-ka-b-eti</t>
  </si>
  <si>
    <t>https://001.com.ua/uk/avtomatychnyy-vymykach-etimat-6-6ka-2p-16-a-har-ka-c-eti</t>
  </si>
  <si>
    <t>https://001.com.ua/uk/avtomatychnyy-vymykach-etimat-6-6ka-2p-20-a-har-ka-c-eti</t>
  </si>
  <si>
    <t>https://001.com.ua/uk/avtomatychnyy-vymykach-etimat-6-6ka-2p-25-a-har-ka-c-eti</t>
  </si>
  <si>
    <t>ETIMAT 6 (2р, С, 32А, автоматичний вимикач, ETI)</t>
  </si>
  <si>
    <t>https://001.com.ua/uk/avtomatychnyy-vymykach-etimat-6-6ka-2p-32-a-har-ka-c-eti</t>
  </si>
  <si>
    <t>ETIMAT 6 (2р, С, 40А, автоматичний вимикач, ETI)</t>
  </si>
  <si>
    <t>https://001.com.ua/uk/avtomatychnyy-vymykach-etimat-6-6ka-2p-40-a-har-ka-c-eti</t>
  </si>
  <si>
    <t>https://001.com.ua/uk/avtomatychnyy-vymykach-etimat-6-6ka-2p-50-a-har-ka-c-eti</t>
  </si>
  <si>
    <t>https://001.com.ua/uk/avtomatychnyy-vymykach-etimat-6-6ka-2p-63-a-har-ka-c-eti</t>
  </si>
  <si>
    <t>ETIMAT 6 (3р, C, 10А, автоматичний вимикач, ETI)</t>
  </si>
  <si>
    <t>https://001.com.ua/uk/avtomatychnyy-vymykach-etimat-6-6ka-3p-10-a-har-ka-c-eti</t>
  </si>
  <si>
    <t>https://001.com.ua/uk/avtomatychnyy-vymykach-etimat-6-6ka-3p-13-a-har-ka-c-eti</t>
  </si>
  <si>
    <t>https://001.com.ua/uk/avtomatychnyy-vymykach-etimat-6-6ka-3p-16-a-har-ka-c-eti</t>
  </si>
  <si>
    <t>ETIMAT 6 (3р, C, 20А, автоматичний вимикач, ETI)</t>
  </si>
  <si>
    <t>https://001.com.ua/uk/avtomatychnyy-vymykach-etimat-6-6ka-3p-20-a-har-ka-c-eti</t>
  </si>
  <si>
    <t>ETIMAT 6 (3р, C, 25А, автоматичний вимикач, ETI)</t>
  </si>
  <si>
    <t>https://001.com.ua/uk/avtomatychnyy-vymykach-etimat-6-6ka-3p-25-a-har-ka-c-eti</t>
  </si>
  <si>
    <t>ETIMAT 6 (3р, C, 32А, автоматичний вимикач, ETI)</t>
  </si>
  <si>
    <t>https://001.com.ua/uk/avtomatychnyy-vymykach-etimat-6-6ka-3p-32-a-har-ka-c-eti</t>
  </si>
  <si>
    <t>ETIMAT 6 (3р, C, 40А, автоматичний вимикач, ETI)</t>
  </si>
  <si>
    <t>https://001.com.ua/uk/avtomatychnyy-vymykach-etimat-6-6ka-3p-40-a-har-ka-c-eti</t>
  </si>
  <si>
    <t>ETIMAT 6 (3р, C, 50А, автоматичний вимикач, ETI)</t>
  </si>
  <si>
    <t>https://001.com.ua/uk/avtomatychnyy-vymykach-etimat-6-6ka-3p-50-a-har-ka-c-eti</t>
  </si>
  <si>
    <t>https://001.com.ua/uk/avtomatychnyy-vymykach-etimat-6-6ka-3p-63-a-har-ka-c-eti</t>
  </si>
  <si>
    <t>ETIMAT 6 (3р, D, 32А, автоматичний вимикач, ETI)</t>
  </si>
  <si>
    <t>https://001.com.ua/uk/avtomatychnyy-vymykach-etimat-6-6ka-3p-32-a-har-ka-d-eti</t>
  </si>
  <si>
    <t>https://001.com.ua/uk/avtomatychnyy-vymykach-etimat-6-6ka-1p-n-16-a-har-ka-c-eti</t>
  </si>
  <si>
    <t>https://001.com.ua/uk/avtomatychnyy-vymykach-etimat-6-6ka-1p-n-25-a-har-ka-c-eti</t>
  </si>
  <si>
    <t>https://001.com.ua/uk/avtomatychnyy-vymykach-etimat-6-6ka-1p-n-1-modul-32-a-har-ka-c-eti</t>
  </si>
  <si>
    <t>https://001.com.ua/uk/avtomatychnyy-vymykach-etimat-6-6ka-1p-n-50-a-har-ka-c-eti</t>
  </si>
  <si>
    <t>https://001.com.ua/uk/avtomatychnyy-vymykach-etimat-6-6ka-1p-n-6-a-har-ka-c-eti</t>
  </si>
  <si>
    <t>https://001.com.ua/uk/avtomatychnyy-vymykach-etimat-6-6ka-3p-n-40-a-har-ka-c-eti</t>
  </si>
  <si>
    <t>https://001.com.ua/uk/avtomatychnyy-vymykach-etimat-6-6ka-3p-n-10-a-har-ka-c-eti</t>
  </si>
  <si>
    <t>https://001.com.ua/uk/avtomatychnyy-vymykach-etimat-6-6ka-3p-n-20-a-har-ka-c-eti</t>
  </si>
  <si>
    <t>https://001.com.ua/uk/avtomatychnyy-vymykach-etimat-6-6ka-3p-n-25-a-har-ka-c-eti</t>
  </si>
  <si>
    <t>https://001.com.ua/uk/avtomatychnyy-vymykach-etimat-6-6ka-3p-n-50-a-har-ka-c-eti</t>
  </si>
  <si>
    <t>Ex9BN (2р, С, 40А, автоматичний вимикач, NOARK)</t>
  </si>
  <si>
    <t>https://001.com.ua/uk/modulnyy-avtomatychnyy-vymykach-ex9bn-6ka-har-ka-c-40a-2p-noark</t>
  </si>
  <si>
    <t>HLF380S (3р, С, 80А, 4.5M, автоматичний вимикач, HAGER)</t>
  </si>
  <si>
    <t>HLF380S</t>
  </si>
  <si>
    <t>https://001.com.ua/uk/avtomatychnyy-vymykach-hlf380s-3p-10ka-c-80a-4-5m-hager</t>
  </si>
  <si>
    <t>KM63-11 (контактор модульний, 230V, 63А, 1NO+1NC, ІЕК)</t>
  </si>
  <si>
    <t>MKK10-63-11</t>
  </si>
  <si>
    <t>https://001.com.ua/uk/vymykach-navantazhennya-lbs-1000-3p-1-0-1000a-eti</t>
  </si>
  <si>
    <t>https://001.com.ua/uk/vymykach-navantazhennya-lbs-250-3p-1-0-250a-eti</t>
  </si>
  <si>
    <t>https://001.com.ua/uk/vymykach-navantazhennya-lbs-400-3p-1-0-400a-eti</t>
  </si>
  <si>
    <t>https://mtk.com.ua/alternativnaya-energetika/oborudovanie-dlya-zaschity-po-postoyannomu-toku/glavnyj-vyklyuchatel-dlya-massiva-solnechnyh-batarej-byt-2-32-4p-32a-1000v-na-din-rejku</t>
  </si>
  <si>
    <t>LS 32 SMA A4 (вимикач навантаження, 4р, 32А, 1000VDC, ETI)</t>
  </si>
  <si>
    <t>https://001.com.ua/uk/vymykach-navantazhennya-ls-32-sma-a2-2p-1-0-32a-1000v-dc-eti</t>
  </si>
  <si>
    <t>MC240A (2р, С, 40А, 2M, автоматичний вимикач, HAGER)</t>
  </si>
  <si>
    <t>MC240A</t>
  </si>
  <si>
    <t>https://hager-shop.com.ua/ua/avtomaticheskiy_viklyuchatel_in-40_a_2p_s_6ka_2m_mc240a</t>
  </si>
  <si>
    <t>MC316A (3р, С, 16А, 3M, автоматичний вимикач, HAGER)</t>
  </si>
  <si>
    <t>MC316A</t>
  </si>
  <si>
    <t>https://hager-shop.com.ua/ua/avtomaticheskiy_viklyuchatel_in-16a_3p_s_6_ka_3m_mc316a</t>
  </si>
  <si>
    <t>MC320A (3р, С, 20А, 3M, автоматичний вимикач, HAGER)</t>
  </si>
  <si>
    <t>MC320A</t>
  </si>
  <si>
    <t>https://hager-shop.com.ua/ua/avtomaticheskiy_viklyuchatel_in-20_a_3p_s_6_ka_3m_mc320a</t>
  </si>
  <si>
    <t>MC325A (3р, С, 25А, 3M, автоматичний вимикач, HAGER)</t>
  </si>
  <si>
    <t>MC325A</t>
  </si>
  <si>
    <t>https://hager-shop.com.ua/ua/avtomaticheskiy_viklyuchatel_in-25_a_3p_s_6_ka_3m_mc325a</t>
  </si>
  <si>
    <t>MC332A (3р, С, 32А, 3M, автоматичний вимикач, HAGER)</t>
  </si>
  <si>
    <t>MC332A</t>
  </si>
  <si>
    <t>https://hager-shop.com.ua/ua/avtomaticheskiy_viklyuchatel_in-32_a_3p_s_6_ka_3m_mc332a</t>
  </si>
  <si>
    <t>MC340A (3р, С, 40А, 3M, автоматичний вимикач, HAGER)</t>
  </si>
  <si>
    <t>MC340A</t>
  </si>
  <si>
    <t>https://hager-shop.com.ua/ua/avtomaticheskiy_viklyuchatel_in-40_a_3p_s_6_ka_3m_mc340a</t>
  </si>
  <si>
    <t>RA63-40 (контактор модульный, 63A, 230VAC, 4NO, ETI)</t>
  </si>
  <si>
    <t>https://001.com.ua/uk/kontaktor-modulnyy-ra-63-40-63a-230v-ac-4no-eti</t>
  </si>
  <si>
    <t>RD25-22 (230V AC/DC) (AC1), (контактор модульный, 230V AC/DC, ETI</t>
  </si>
  <si>
    <t>https://001.com.ua/uk/kontaktor-modulnyy-rd-25-22-25a-230v-ac-dc-2no-2nc-eti</t>
  </si>
  <si>
    <t>RD32-20 32A 230V AC/DC 2NO, ETI (Контактор модульный RD 32-20 32A 230V AC/DC 2NO, ETI)</t>
  </si>
  <si>
    <t>https://001.com.ua/uk/kontaktor-modulnyy-rd-32-20-32a-230v-ac-dc-2no-eti</t>
  </si>
  <si>
    <t>https://001.com.ua/uk/kontaktor-modulnyy-rd-40-22-40a-230v-ac-dc-2no-2nc-eti</t>
  </si>
  <si>
    <t>RD63-22 (контактор модульний, 63A, 230VAC/DC, 2NO+2NC, ETI)</t>
  </si>
  <si>
    <t>https://001.com.ua/uk/kontaktor-modulnyy-rd-63-22-63a-230v-ac-dc-2no-2nc-eti</t>
  </si>
  <si>
    <t>https://001.com.ua/uk/kontaktor-modulnyy-rd-63-31-63a-230v-ac-dc-3no-1nc-eti</t>
  </si>
  <si>
    <t>https://001.com.ua/uk/kontaktor-modulnyy-rd-63-40-63a-230v-ac-dc-4no-eti</t>
  </si>
  <si>
    <t>R9F12240</t>
  </si>
  <si>
    <t>https://www.se.com/ua/uk/product/R9F12240/%D0%B0%D0%B2%D1%82%D0%BE%D0%BC%D0%B0%D1%82%D0%B8%D1%87%D0%BD%D0%B8%D0%B9-%D0%B2%D0%B8%D0%BC%D0%B8%D0%BA%D0%B0%D1%87-resi9-40-%D0%B0-2p-%D0%BA%D1%80%D0%B8%D0%B2%D0%B0-%D1%81-6%D0%BA%D0%B0/</t>
  </si>
  <si>
    <t>https://001.com.ua/uk/programovanyy-tsyfrovyy-taymer-sht-1-230v-ac-16a-eti</t>
  </si>
  <si>
    <t>https://001.com.ua/uk/avtomatychnyy-vymykach-st-68-4-5-ka-1p-6-a-har-ka-c-eti</t>
  </si>
  <si>
    <t>ST-68 (3р, C, 20А, автоматичний вимикач, ETI)</t>
  </si>
  <si>
    <t>https://001.com.ua/uk/avtomatychnyy-vymykach-st-68-4-5-ka-3p-20-a-har-ka-c-eti</t>
  </si>
  <si>
    <t>https://001.com.ua/uk/avtomatychnyy-vymykach-st-68-4-5-ka-3p-32-a-har-ka-c-eti</t>
  </si>
  <si>
    <t>https://001.com.ua/uk/avtomatychnyy-vymykach-st-68-4-5-ka-3p-63-a-har-ka-c-eti</t>
  </si>
  <si>
    <t>Елементи керування, сигналізації, індикації</t>
  </si>
  <si>
    <t>Блок-контакт 1НЗ (додатковий контакт, 1NC, до кнопок ХB2, АСКО)</t>
  </si>
  <si>
    <t>A0140010026</t>
  </si>
  <si>
    <t>https://001.com.ua/uk/dodatkovyy-kontakt-zb2-be102-nz-dlya-knopok-asko-ukrem</t>
  </si>
  <si>
    <t>Блок-контакт 1НО (додатковий контакт, 1NO, до кнопок ХB2, АСКО)</t>
  </si>
  <si>
    <t>A0140010025</t>
  </si>
  <si>
    <t>https://001.com.ua/uk/dodatkovyy-kontakt-zb2-be101-no-dlya-knopok-asko-ukrem</t>
  </si>
  <si>
    <t>ВА47-29 (1р, В, 25А, автоматичний вимикач, ІЕК)</t>
  </si>
  <si>
    <t>MVA20-1-025-B</t>
  </si>
  <si>
    <t>https://001.com.ua/uk/avtomatychnyy-vymykach-va47-29-1p-25-a-h-ka-b-iek</t>
  </si>
  <si>
    <t>MVA20-1-025-C</t>
  </si>
  <si>
    <t>https://001.com.ua/uk/avtomatychnyy-vymykach-va47-29-1p-25-a-h-ka-c-iek</t>
  </si>
  <si>
    <t>MVA20-1-040-C</t>
  </si>
  <si>
    <t>https://001.com.ua/uk/avtomatychnyy-vymykach-va47-29-1p-40-a-h-ka-c-iek</t>
  </si>
  <si>
    <t>MVA20-2-010-C</t>
  </si>
  <si>
    <t>https://001.com.ua/uk/avtomatychnyy-vymykach-va47-29-2p-10-a-h-ka-c-iek</t>
  </si>
  <si>
    <t>MVA20-2-020-C</t>
  </si>
  <si>
    <t>https://001.com.ua/uk/avtomatychnyy-vymykach-va47-29-2p-20-a-h-ka-c-iek</t>
  </si>
  <si>
    <t>ВА47-29 (2р, С, 25А, автоматичний вимикач, ІЕК)</t>
  </si>
  <si>
    <t>MVA20-2-025-C</t>
  </si>
  <si>
    <t>https://001.com.ua/avtomaticheskiy-vyklyuchatel-va47-60-2p-32-a-h-ka-c-iek</t>
  </si>
  <si>
    <t>ВА47-29 (3р, С, 32А, автоматичний вимикач, ІЕК)</t>
  </si>
  <si>
    <t>MVA20-3-032-C</t>
  </si>
  <si>
    <t>https://001.com.ua/uk/avtomatychnyy-vymykach-va47-29-3p-32-a-h-ka-c-iek</t>
  </si>
  <si>
    <t>MVA20-3-063-C</t>
  </si>
  <si>
    <t>https://001.com.ua/uk/avtomatychnyy-vymykach-va47-29-3p-63-a-h-ka-c-iek</t>
  </si>
  <si>
    <t>ВА47-60 (1р, С, 40А, автоматичний вимикач, ІЕК)</t>
  </si>
  <si>
    <t>MVA41-1-040-C</t>
  </si>
  <si>
    <t>https://001.com.ua/uk/avtomatychnyy-vymykach-va47-60-1p-40-a-h-ka-c-iek</t>
  </si>
  <si>
    <t>https://ecshop.com.ua/p28623-avtomaticheskiy_viklyuchatel_va47-29_2p_20a_4-5ka_harakteristika_c_mva20-2-020-c_iek</t>
  </si>
  <si>
    <t>MVA41-2-025-C</t>
  </si>
  <si>
    <t>https://001.com.ua/uk/avtomatychnyy-vymykach-va47-60-2p-25-a-h-ka-c-iek</t>
  </si>
  <si>
    <t>MVA41-2-032-C</t>
  </si>
  <si>
    <t>https://001.com.ua/uk/avtomatychnyy-vymykach-va47-60-2p-32-a-h-ka-c-iek</t>
  </si>
  <si>
    <t>MVA41-3-025-C</t>
  </si>
  <si>
    <t>https://001.com.ua/uk/avtomatychnyy-vymykach-va47-60-3p-25-a-h-ka-c-iek</t>
  </si>
  <si>
    <t>MVA41-3-032-C</t>
  </si>
  <si>
    <t>https://001.com.ua/uk/avtomatychnyy-vymykach-va47-60-3p-32-a-h-ka-c-iek</t>
  </si>
  <si>
    <t>ВА47-60 (3р, С, 63А, автоматичний вимикач, ІЕК)</t>
  </si>
  <si>
    <t>MVA41-3-063-C</t>
  </si>
  <si>
    <t>https://001.com.ua/uk/avtomatychnyy-vymykach-va47-60-3p-63-a-h-ka-c-iek</t>
  </si>
  <si>
    <t>SVN413</t>
  </si>
  <si>
    <t>https://001.com.ua/uk/knopka-modulna-na-din-reyku-z-fiksatsiyeyu-z-zelenym-indykatorom-16a-230v-1nv-hager</t>
  </si>
  <si>
    <t>MNV10-1-040</t>
  </si>
  <si>
    <t>https://001.com.ua/uk/vymykach-navantazhennya-vn-32-1p-40-a-iek</t>
  </si>
  <si>
    <t>ВН-32 (вимикач навантаження, 1р, 63А, ІЕК)</t>
  </si>
  <si>
    <t>MNV10-1-063</t>
  </si>
  <si>
    <t>https://001.com.ua/uk/vymykach-navantazhennya-vn-32-1p-63-a-iek</t>
  </si>
  <si>
    <t>ВРТ-63 3р (перемикач навантаження, 63А, 3р, ІЕК)</t>
  </si>
  <si>
    <t>MPR10-3-063</t>
  </si>
  <si>
    <t>https://001.com.ua/uk/vymykach-rozyednuvach-trypozytsiynyy-vrt-63-3p-63a-iek</t>
  </si>
  <si>
    <t>Комплект комутаційних кабелів для Pylontech Powercube та Sofarsolar</t>
  </si>
  <si>
    <t>Комплект комутаційних кабелів для Pylontech US2000\US3000\US5000</t>
  </si>
  <si>
    <t>MC363A</t>
  </si>
  <si>
    <t>https://hager-shop.com.ua/ua/avtomaticheskiy_viklyuchatel_in-63_a_3p_s_6_ka_3m_mc363a</t>
  </si>
  <si>
    <t>Комплектуючі Pylontech</t>
  </si>
  <si>
    <t>Трифазний індикатор наявності напруги SON H-3K (3-х кольоровий), ETI</t>
  </si>
  <si>
    <t>https://001.com.ua/uk/indykator-modulnyy-na-din-reyku-son-h-3k-3-kolorovyy-led-eti</t>
  </si>
  <si>
    <t>Акумуляторний блок Deye LiFePO4 (BOS-GM5.1)</t>
  </si>
  <si>
    <t>BOS-GM5.1</t>
  </si>
  <si>
    <t>Акумуляторний блок DEYE SE-G5.1 Pro-B</t>
  </si>
  <si>
    <t>SE-G5.1 Pro-B</t>
  </si>
  <si>
    <t>Акумуляторний блок Pylontech US2000C (2,4 кВт*год / 48 В)</t>
  </si>
  <si>
    <t>Акумуляторний блок Pylontech US3000С (3,55 кВт*год/48 В)</t>
  </si>
  <si>
    <t>Акумуляторный блок Pylontech PowerCube H48074 3.55 кВт</t>
  </si>
  <si>
    <t>HVB750V/100A-EU</t>
  </si>
  <si>
    <t>Зарядна станція Yoobao EN1200Q</t>
  </si>
  <si>
    <t>https://generacia.energy/ru/product/zarjadnaja-stancija-yoobao-en1200q/</t>
  </si>
  <si>
    <t>BR-30</t>
  </si>
  <si>
    <t>https://mtk.com.ua/alternativnaya-energetika/oborudovanie-dlya-zaschity-po-postoyannomu-toku/derzhatel-dlya-predohranitelej-fuse-holder-br-30-1p-1000v</t>
  </si>
  <si>
    <t>Запобіжники</t>
  </si>
  <si>
    <t>CH10x38 gPV (10A, 1000VDC, 30 kA, 10 шт., запобіжник, ETI)</t>
  </si>
  <si>
    <t>https://001.com.ua/uk/plavka-vstavka-tsylindrychna-ch-10x38-gpv-10a-1000v-10ka-eti</t>
  </si>
  <si>
    <t>CH10x38 gPV (12A, 1000VDC, 30 kA, 10 шт., запобіжник, ETI)</t>
  </si>
  <si>
    <t>https://001.com.ua/uk/vymykach-navantazhennya-ls-32-sma-a4-4p-1-0-32a-1000v-dc-eti</t>
  </si>
  <si>
    <t>https://001.com.ua/uk/plavka-vstavka-tsylindrychna-ch-10x38-gpv-12a-1000v-30ka-eti</t>
  </si>
  <si>
    <t>CH10x38 gPV (16A, 1000VDC, 30 kA, 10 шт., запобіжник, ETI)</t>
  </si>
  <si>
    <t>https://ecshop.com.ua/p47668-predohranitel_ch_10x38_gpv_16a_1000v_30ka</t>
  </si>
  <si>
    <t>CH10x38 gPV (20A, 1000VDC, 30 kA, 10 шт., запобіжник, ETI)</t>
  </si>
  <si>
    <t>https://001.com.ua/uk/plavka-vstavka-tsylindrychna-ch-10x38-gpv-15a-1000v-30ka-eti</t>
  </si>
  <si>
    <t>CH10x38 gPV (25A, 1000VDC, 30 kA, 10 шт., запобіжник, ETI)</t>
  </si>
  <si>
    <t>https://001.com.ua/uk/plavka-vstavka-tsylindrychna-ch-10x38-gpv-20a-1000v-30ka-eti</t>
  </si>
  <si>
    <t>EFH10 1p (тримач, роз'єднувач, 25A, 1000VDC, ETI)</t>
  </si>
  <si>
    <t>https://001.com.ua/uk/trymach-plavkoyi-vstavky-rozyednuvach-efh-10-1p-25a-1000v-dc-eti</t>
  </si>
  <si>
    <t>ETITEC C T2 275/20 (обмежувач перенапруг, 1р, ETI)</t>
  </si>
  <si>
    <t>https://001.com.ua/uk/obmezhuvach-perenaprugy-etitec-c-t2-275-20-1-0-1p-eti</t>
  </si>
  <si>
    <t>ETITEC C T2 275/20 (обмежувач перенапруг, 3р, ETI)</t>
  </si>
  <si>
    <t>https://001.com.ua/uk/obmezhuvach-perenaprugy-etitec-c-t2-275-20-3-0-3p-eti</t>
  </si>
  <si>
    <t>https://001.com.ua/uk/obmezhuvach-perenaprugy-etitec-c-t2-275-20-4-0-4p-eti</t>
  </si>
  <si>
    <t>ETITEC M T2 PV 1100/20 Y (обмежувач перенапруг, тип Y, ETI)</t>
  </si>
  <si>
    <t>https://001.com.ua/uk/pzip-ops1-c-1p-klas-ii-c-iek</t>
  </si>
  <si>
    <t>OSPV-30, 10x38 (15A, 1000VDC,  запобіжник для BR-30,BENY)</t>
  </si>
  <si>
    <t>OSPV-30, 10x38 (30A, 1000VDC,  запобіжник для BR-30,BENY)</t>
  </si>
  <si>
    <t>MOP20-1-D</t>
  </si>
  <si>
    <t>https://001.com.ua/uk/pzip-ops1-d-1p-klas-iii-d-iek</t>
  </si>
  <si>
    <t>Ізоляція</t>
  </si>
  <si>
    <t>A0150040400</t>
  </si>
  <si>
    <t>https://001.com.ua/uk/termozbizhna-trubka-empty-20-0-10-0-mm-chorna-vidrizok-1-m-asko-ukrem</t>
  </si>
  <si>
    <t>AD22-22 BM/r (світлосигнальна арматура, зумер, блимаючий, червоний, 220VАC, АСКО)</t>
  </si>
  <si>
    <t>A0140030159</t>
  </si>
  <si>
    <t>https://001.com.ua/uk/svitlosygnalna-armatura-ad22-22-bm-r-blymayuchyy-chervonyy-220v-ac-asko-ukrem</t>
  </si>
  <si>
    <t>A0140030044</t>
  </si>
  <si>
    <t>https://001.com.ua/uk/svitlosygnalna-armatura-ad22-22ds-bila-220v-ac-asko-ukrem</t>
  </si>
  <si>
    <t>A0140030046</t>
  </si>
  <si>
    <t>https://001.com.ua/uk/svitlosygnalna-armatura-ad22-22ds-zhovta-220v-ac-asko-ukrem</t>
  </si>
  <si>
    <t>A0140030045</t>
  </si>
  <si>
    <t>https://001.com.ua/uk/svitlosygnalna-armatura-ad22-22ds-zelena-220v-ac-asko-ukrem</t>
  </si>
  <si>
    <t>A0140030152</t>
  </si>
  <si>
    <t>https://001.com.ua/uk/svitlosygnalna-armatura-ad22-22ds-synya-220v-ac-asko-ukrem</t>
  </si>
  <si>
    <t>A0140030038</t>
  </si>
  <si>
    <t>https://001.com.ua/uk/svitlosygnalna-armatura-ad22-22ds-chervona-220v-ac-asko-ukrem</t>
  </si>
  <si>
    <t>ANL-fuse (400A, 80VDC, запобіжник та тримач, VICTRON)</t>
  </si>
  <si>
    <t>Клеми_Розподільчі блоки</t>
  </si>
  <si>
    <t>0.0.0.3.04150RP</t>
  </si>
  <si>
    <t>AVK 2.5 мм (клема, сіра, гвинтова, розподільчий блок)</t>
  </si>
  <si>
    <t>0.0.0.3.04120 RP</t>
  </si>
  <si>
    <t>CLBSV CO "I-0-II" 100 (перемикач навантаження, 3р, 100А, 3 пол., ETI)</t>
  </si>
  <si>
    <t>https://001.com.ua/uk/peremykach-navantazhennya-clbsv-100-3p-co-i-0-ii-bez-rukoyatky-1-0-2-100a-eti</t>
  </si>
  <si>
    <t>CLBSV-DH125/B  (рукоятка, ручка, чорна, для CLBSV 63-125A 3P CO "I-0-II", ETI)</t>
  </si>
  <si>
    <t>https://001.com.ua/uk/rukoyatka-na-korpus-clbsv-dh125-b-i-0-ii-chorna-dlya-clbsv-63-125a-3p-co-i-0-ii-eti</t>
  </si>
  <si>
    <t>CS 32 53 PNG (перемикач в корпусі, 3p, 1-0-2, IP65", 32A, ETI)</t>
  </si>
  <si>
    <t>https://001.com.ua/uk/peremykach-kulachkovyy-cs-32-53-png-3p-1-0-2-32a-v-korpusi-ip65-eti-sloveniya</t>
  </si>
  <si>
    <t>Елементи монтажу (Стяжки, ізолятори і т.д.)</t>
  </si>
  <si>
    <t>A0150010100</t>
  </si>
  <si>
    <t>https://001.com.ua/uk/din-reyka-ts-35-1-0-t3501-1m-asko-ukrem</t>
  </si>
  <si>
    <t>A0150010101</t>
  </si>
  <si>
    <t>https://001.com.ua/uk/din-reyka-th-ts-35-1-5-1m-asko-ukrem</t>
  </si>
  <si>
    <t>DIN-рейка (TH 35x7.5L, цинк., 1 м, ETI),</t>
  </si>
  <si>
    <t>https://001.com.ua/uk/din-reyka-th-35x7-5l-1m-eti</t>
  </si>
  <si>
    <t>Накінечники_Гільзи</t>
  </si>
  <si>
    <t>DL-25 (накінечник кабельний, алюм., без ізоляції, 25мм2, АСКО)</t>
  </si>
  <si>
    <t>A0060090003</t>
  </si>
  <si>
    <t>https://001.com.ua/uk/nakinechnyk-dl-25-alyuminiyevyy-kabelnyy-pid-opresuvannya-asko-ukrem</t>
  </si>
  <si>
    <t>DL-35 (накінечник кабельний, алюм., без ізоляції, 35мм2, АСКО)</t>
  </si>
  <si>
    <t>A0060090004</t>
  </si>
  <si>
    <t>https://001.com.ua/uk/nakinechnyk-dl-35-alyuminiyevyy-kabelnyy-pid-opresuvannya-asko-ukrem</t>
  </si>
  <si>
    <t>DL-70 (накінечник кабельний, алюм., без ізоляції, 70мм2, АСКО)</t>
  </si>
  <si>
    <t>A0060090006</t>
  </si>
  <si>
    <t>https://001.com.ua/uk/nakinechnyk-dl-70-alyuminiyevyy-kabelnyy-pid-opresuvannya-asko-ukrem</t>
  </si>
  <si>
    <t>Гофра_Фурнітура</t>
  </si>
  <si>
    <t>PA611216F2</t>
  </si>
  <si>
    <t>РА611721F2</t>
  </si>
  <si>
    <t>DT-35 (накінечник кабельний, мідний, луджений, 35мм2, АСКО)</t>
  </si>
  <si>
    <t>A0060070004</t>
  </si>
  <si>
    <t>https://001.com.ua/uk/nakinechnyk-dt-35-midnyy-ludzhenyy-kabelnyy-pid-opresuvannya-asko-ukrem</t>
  </si>
  <si>
    <t>DT-95-12 (накінечник кабельний, мідний, луджений, 95мм2, АСКО)</t>
  </si>
  <si>
    <t>A0060070007</t>
  </si>
  <si>
    <t>https://001.com.ua/uk/nakinechnyk-dt-95-midnyy-ludzhenyy-kabelnyy-pid-opresuvannya-asko-ukrem</t>
  </si>
  <si>
    <t>DT(G)-25-6 (накінечник кабельний, мідний, луджений, 25 мм2, АСКО)</t>
  </si>
  <si>
    <t>A0060180003</t>
  </si>
  <si>
    <t>https://001.com.ua/uk/nakinechnyk-dt-g-25-midnyy-ludzhenyy-kabelnyy-pid-opresuvannya-asko-ukrem</t>
  </si>
  <si>
    <t>DT(G)-35 (накінечник кабельний, мідний, луджений, 35 мм2, АСКО)</t>
  </si>
  <si>
    <t>A0060180004</t>
  </si>
  <si>
    <t>https://001.com.ua/uk/nakinechnyk-dt-g-35-midnyy-ludzhenyy-kabelnyy-pid-opresuvannya-asko-ukrem</t>
  </si>
  <si>
    <t>DTL-120 (накінечник кабельний, мідно-алюмінієвий, 120мм2, АСКО)</t>
  </si>
  <si>
    <t>A0060100007</t>
  </si>
  <si>
    <t>https://001.com.ua/uk/nakinechnyk-dtl-120-midno-alyuminiyevyy-kabelnyy-pid-opresuvannya-asko-ukrem</t>
  </si>
  <si>
    <t>A0060100008</t>
  </si>
  <si>
    <t>https://001.com.ua/uk/nakinechnyk-dtl-150-midno-alyuminiyevyy-kabelnyy-pid-opresuvannya-asko-ukrem</t>
  </si>
  <si>
    <t>DTL-25 (накінечник кабельний, мідно-алюмінієвий, 25мм2, АСКО)</t>
  </si>
  <si>
    <t>A0060100003</t>
  </si>
  <si>
    <t>https://001.com.ua/uk/nakinechnyk-dtl-25-midno-alyuminiyevyy-kabelnyy-pid-opresuvannya-asko-ukrem</t>
  </si>
  <si>
    <t>DTL-35 (накінечник кабельний, мідно-алюмінієвий, 35мм2, АСКО)</t>
  </si>
  <si>
    <t>A0060100012</t>
  </si>
  <si>
    <t>https://001.com.ua/uk/nakinechnyk-dtl-35-midno-alyuminiyevyy-kabelnyy-pid-opresuvannya-asko-ukrem</t>
  </si>
  <si>
    <t>DTL-50 (накінечник кабельний, мідно-алюмінієвий, 50мм2, АСКО)</t>
  </si>
  <si>
    <t>A0060100004</t>
  </si>
  <si>
    <t>https://001.com.ua/uk/nakinechnyk-dtl-50-midno-alyuminiyevyy-kabelnyy-pid-opresuvannya-asko-ukrem</t>
  </si>
  <si>
    <t>Шини_Гребінки</t>
  </si>
  <si>
    <t>e.bc.stand.1.63, 1п., 63 А(Шина з'єднувальна e.bc.stand.1.63, 1п.,63 А)</t>
  </si>
  <si>
    <t>s017001</t>
  </si>
  <si>
    <t>https://001.com.ua/uk/shyna-zapos-yednuvalna-e-bc-stand-1-63-1p-63a-e-next</t>
  </si>
  <si>
    <t>e.bc.stand.2.63, 2п., 63 А (Шина з'єднувальна e.bc.stand.2.63, 2п., 63 А, E.NEXT)</t>
  </si>
  <si>
    <t>s017002</t>
  </si>
  <si>
    <t>https://001.com.ua/uk/shyna-zapos-yednuvalna-e-bc-stand-2-63-2p-63a-e-next</t>
  </si>
  <si>
    <t>s017006</t>
  </si>
  <si>
    <t>https://001.com.ua/uk/shyna-zapos-yednuvalna-e-bc-stand-3-100-3p-100a-e-next</t>
  </si>
  <si>
    <t>e.bc.stand.3.63, 3п., 63 А (Шина з'єднувальна e.bc.stand.3.63, 3п., 63 А, E.NEXT)</t>
  </si>
  <si>
    <t>s017003</t>
  </si>
  <si>
    <t>https://001.com.ua/uk/shyna-zapos-yednuvalna-e-bc-stand-3-63-3p-63a-e-next</t>
  </si>
  <si>
    <t>i0310027</t>
  </si>
  <si>
    <t>https://001.com.ua/uk/rele-zatrymky-chasu-na-vklyuchennya-0-3-30-s-e-control-t15-e-next</t>
  </si>
  <si>
    <t>e.control.t17 (реле, асиметричне повторення циклу, 24-220V, E.NEXT)</t>
  </si>
  <si>
    <t>i0310029</t>
  </si>
  <si>
    <t>https://001.com.ua/uk/rele-chasu-asymetrychnogo-povtorennya-tsyklu-e-control-t17-e-next</t>
  </si>
  <si>
    <t>Арматура СІП</t>
  </si>
  <si>
    <t>e.i.clamp.si.4х10-35 (ізольований анкерний затискач, 4x10-35 мм2, E.Next)</t>
  </si>
  <si>
    <t>p025102</t>
  </si>
  <si>
    <t>https://001.com.ua/uk/zatyskach-ankernyy-izolovanyy-4x-16-35-mm2-z-provolochnoyu-skoboyu-e-i-clamp-si-4-16-35-e-next</t>
  </si>
  <si>
    <t>e.industrial.i.1.yellow.1.red (індикатор жовто-червоний, DIN-рейка, E.NEXT)</t>
  </si>
  <si>
    <t>i0270002</t>
  </si>
  <si>
    <t>https://001.com.ua/uk/indykator-na-din-reyku-e-industrial-i-1-yellow-1-red-zhovto-chervonyy-e-next</t>
  </si>
  <si>
    <t>пак</t>
  </si>
  <si>
    <t>s3036049</t>
  </si>
  <si>
    <t>https://001.com.ua/uk/nakinechnyk-vtulkovyy-izolovanyy-10-0-mm2-pomaranchevyy-upakovka-100-sht-e-terminal-stand-e10-12-orange-e-next</t>
  </si>
  <si>
    <t>e.terminal.stand.e10-12.yellow (наконечник втулковий, ізольований, 10,0 кв.мм, жовтий, E.NEXT)</t>
  </si>
  <si>
    <t>s3036044</t>
  </si>
  <si>
    <t>https://001.com.ua/uk/nakinechnyk-vtulkovyy-izolovanyy-10-0-mm2-zhovtyy-upakovka-100-sht-e-terminal-stand-e10-12-yellow-e-next</t>
  </si>
  <si>
    <t>e.terminal.stand.e1008.green (наконечник втулковий, ізольований 1,0 кв.мм, зелений, E.NEXT)</t>
  </si>
  <si>
    <t>s3036019</t>
  </si>
  <si>
    <t>https://001.com.ua/uk/nakinechnyk-vtulkovyy-izolovanyy-1-0-mm2-zelenyy-upakovka-100-sht-e-terminal-stand-e1008-green-e-next</t>
  </si>
  <si>
    <t>e.terminal.stand.e1008.red (наконечник втулковий, ізольований, 1,0 кв.мм, червоний, E.NEXT)</t>
  </si>
  <si>
    <t>s3036015</t>
  </si>
  <si>
    <t>https://001.com.ua/uk/nakinechnyk-vtulkovyy-izolovanyy-1-0-mm2-chervonyy-upakovka-100-sht-e-terminal-stand-e1008-red-e-next</t>
  </si>
  <si>
    <t>e.terminal.stand.e16-12.green (наконечник втулковий, ізольований, 16,0 кв.мм, зелений, E.NEXT)</t>
  </si>
  <si>
    <t>s3036054</t>
  </si>
  <si>
    <t>https://001.com.ua/uk/nakinechnyk-vtulkovyy-izolovanyy-16-0-mm2-zelenyy-upakovka-100-sht-e-terminal-stand-e16-12-green-e-next</t>
  </si>
  <si>
    <t>e.terminal.stand.e2508.blue (наконечник втулковий, ізольований, 2,5 кв.мм, синій, E.NEXT)</t>
  </si>
  <si>
    <t>s3036032</t>
  </si>
  <si>
    <t>https://001.com.ua/uk/nakinechnyk-vtulkovyy-izolovanyy-2-5-mm2-syniy-upakovka-100-sht-e-terminal-stand-e2508-blue-e-next</t>
  </si>
  <si>
    <t>e.terminal.stand.e2508.green (наконечник втулковий, ізольований, 2,5 кв.мм, зелений, E.NEXT)</t>
  </si>
  <si>
    <t>s3036033</t>
  </si>
  <si>
    <t>https://001.com.ua/uk/nakinechnyk-vtulkovyy-izolovanyy-2-5-mm2-zelenyy-upakovka-100-sht-e-terminal-stand-e2508-green-e-next</t>
  </si>
  <si>
    <t>s3036053</t>
  </si>
  <si>
    <t>https://001.com.ua/uk/nakinechnyk-vtulkovyy-izolovanyy-6-0-mm2-syniy-upakovka-100-sht-e-terminal-stand-e6012-blue-e-next</t>
  </si>
  <si>
    <t>s3036052</t>
  </si>
  <si>
    <t>https://001.com.ua/uk/nakinechnyk-vtulkovyy-izolovanyy-6-0-mm2-chervonyy-upakovka-100-sht-e-terminal-stand-e6012-red-e-next</t>
  </si>
  <si>
    <t>s4037004</t>
  </si>
  <si>
    <t>https://001.com.ua/uk/nakinechnyk-vtulkovyy-izolovanyy-na-2-provody-2x1-0-mm2-chervonyy-upakovka-100-sht-e-terminal-stand-te-2-1-red-e-next</t>
  </si>
  <si>
    <t>e.terminal.stand.te.2.1.white (накінечник втулковий, ізольований, подвоєний, 2x1 мм², білий, E.NEXT)</t>
  </si>
  <si>
    <t>s4037003</t>
  </si>
  <si>
    <t>https://001.com.ua/uk/nakinechnyk-vtulkovyy-izolovanyy-na-2-provody-2x1-0-mm2-bilyy-upakovka-100-sht-e-terminal-stand-te-2-1-white-e-next</t>
  </si>
  <si>
    <t>s4037011</t>
  </si>
  <si>
    <t>https://001.com.ua/uk/nakinechnyk-vtulkovyy-izolovanyy-na-2-provody-2x10-mm2-korychnevyy-upakovka-100-sht-e-terminal-stand-te-2-10-brown-e-next</t>
  </si>
  <si>
    <t>e.terminal.stand.te.2.16.grey (накінечник втулковий, ізольований, подвоєний, 2x16 мм², сірий)</t>
  </si>
  <si>
    <t>s4037012</t>
  </si>
  <si>
    <t>https://001.com.ua/uk/nakinechnyk-vtulkovyy-izolovanyy-na-2-provody-2x16-mm2-siryy-upakovka-100-sht-e-terminal-stand-te-2-16-grey-e-next</t>
  </si>
  <si>
    <t>e.terminal.stand.te.2.2.5.grey (накінечник втулковий, ізольований, подвоєний, 2x2,5 мм², сірий)</t>
  </si>
  <si>
    <t>s4037008</t>
  </si>
  <si>
    <t>https://001.com.ua/uk/nakinechnyk-vtulkovyy-izolovanyy-na-2-provody-2x2-5-mm2-siryy-upakovka-100-sht-e-terminal-stand-te-2-2-5-grey-e-next</t>
  </si>
  <si>
    <t>s4037010</t>
  </si>
  <si>
    <t>https://001.com.ua/uk/nakinechnyk-vtulkovyy-izolovanyy-na-2-provody-2x6-0-mm2-chornyy-upakovka-100-sht-e-terminal-stand-te-2-6-black-e-next</t>
  </si>
  <si>
    <t>e.tube.stand.gty.25 (Гільза мідна луджена кабельна з'єднувальна e.tube.stand.gty.25)</t>
  </si>
  <si>
    <t>s041007</t>
  </si>
  <si>
    <t>https://001.com.ua/uk/gilza-e-tube-stand-gty-25-midna-ludzhena-kabelna-zyednuvalna-e-next</t>
  </si>
  <si>
    <t>ECH-12PT (щит, розподільчий, 12 модулів, 319х256х144, навісний, IP65, ETI)</t>
  </si>
  <si>
    <t>https://ecshop.com.ua/p3684-shchit_raspredelitelniy_ech_12pt_12_moduley_naruzhnogo_ispolneniya_ip65</t>
  </si>
  <si>
    <t>https://ecshop.com.ua/p3685-shchit_raspredelitelniy_ech_24pt_24_modulya_naruzhnogo_ispolneniya_ip65</t>
  </si>
  <si>
    <t>https://ecshop.com.ua/p3686-shchit_raspredelitelniy_ech_36pt_36_moduley_naruzhnogo_ispolneniya_ip65</t>
  </si>
  <si>
    <t>ECH-48PT (щит, розподільчий, 48 модулів, 319х664х144, навісний, IP65, ETI)</t>
  </si>
  <si>
    <t>https://www.eti.ua/produktsiya-ua/001100304-ech-surface-mounted-ip-65-48-12-plastic-transparent</t>
  </si>
  <si>
    <t>https://001.com.ua/uk/schyt-zovnishniy-rozpodilnyy-ect-8-pt-8-moduliv-prozori-dvertsyata-eti</t>
  </si>
  <si>
    <t>https://001.com.ua/uk/klema-vvidna-sylova-edbj-1x35-1x35-125a-1000v-ac-1500v-dc-35-mm2-sira-eti</t>
  </si>
  <si>
    <t>https://001.com.ua/uk/klema-vvidna-sylova-edbj-1x35-1x35b-125a-1000v-ac-1500v-dc-35-mm2-chorna-eti</t>
  </si>
  <si>
    <t>https://001.com.ua/uk/klema-vvidna-sylova-edbj-1x35-1x35n-125a-1000v-ac-1500v-dc-35-mm2-synya-eti</t>
  </si>
  <si>
    <t>https://001.com.ua/uk/klema-vvidna-sylova-edbj-1x35-1x35r-125a-1000v-ac-1500v-dc-35-mm2-chervona-eti</t>
  </si>
  <si>
    <t>https://001.com.ua/uk/klema-vvidna-sylova-edbj-1x35-1x35pe-125a-1000v-ac-1500v-dc-35-mm2-zhovto-zelena-eti</t>
  </si>
  <si>
    <t>EDBJ-4x25-4x25 (блок розподільчий, сірий, ETI, клема)</t>
  </si>
  <si>
    <t>https://001.com.ua/uk/blok-rozpodilchyy-edbj-4x25-4x25-100a-vhid-4x25-vyhid-4x25-mm2-siryy-eti</t>
  </si>
  <si>
    <t>https://001.com.ua/uk/blok-rozpodilchyy-edbj-4x25-4x25b-100a-vhid-4x25-vyhid-4x25-mm2-chornyy-eti</t>
  </si>
  <si>
    <t>EDBM-1 (блок розподільчий, клема, 160А, 1500VAC/DC, ETI)</t>
  </si>
  <si>
    <t>https://001.com.ua/uk/blok-rozpodilchyy-edbm-1-160a-vyhid-1x4-50-3x2-5-25-4x2-5-16-mm2-eti</t>
  </si>
  <si>
    <t>https://001.com.ua/uk/blok-rozpodilchyy-edbm-7-n-192a-vyhid-1x4-70-3x2-5-25-4x2-5-16-mm2-eti</t>
  </si>
  <si>
    <t>EDBS-50B (клема ввідна, силова, розподільчий блок, сіра, ETI)</t>
  </si>
  <si>
    <t>https://001.com.ua/uk/klema-vvidna-sylova-edbs-50b-150a-690v-ac-16-70-mm2-eti</t>
  </si>
  <si>
    <t>EDBS-50B/N (клема ввідна, силова, розподільчий блок, нульова, синя, ETI)</t>
  </si>
  <si>
    <t>https://001.com.ua/uk/klema-vvidna-sylova-edbs-50b-n-150a-690v-ac-16-70-mm2-eti</t>
  </si>
  <si>
    <t>https://001.com.ua/uk/klema-vvidna-sylova-edbs-50b-pe-150a-690v-ac-16-70-mm2-eti</t>
  </si>
  <si>
    <t>EFB-50FT-15 (ввідна клема 15мм, Fork)</t>
  </si>
  <si>
    <t>https://001.com.ua/uk/klema-vvidna-efb-50ft-15-fork-15mm-zverhu-6-50-mm2-125a-690v-ac-1500v-dc-eti</t>
  </si>
  <si>
    <t>ERB4-T (цоколь для проміжного реле ERM4, 4р, ETI)</t>
  </si>
  <si>
    <t>https://001.com.ua/uk/tsokol-erb4-t-typ-t-dlya-elektromehanichnyh-rele-erm4-eti</t>
  </si>
  <si>
    <t>Ex9CH40 11 (контактор, модульний, 40А, 230VAC, 1НВ+1НЗ, NOARK)</t>
  </si>
  <si>
    <t>EZ9L33620</t>
  </si>
  <si>
    <t>https://001.com.ua/uk/prystriy-zahystu-vid-impulsnyh-perenaprug-pzip-ez9-1r-n-20ka-10ka-1-3kv-schneider-electric</t>
  </si>
  <si>
    <t>GL-35 (гільза алюмінієва кабельна з'єднувальна, 35 мм2, АСКО)</t>
  </si>
  <si>
    <t>A00600800024</t>
  </si>
  <si>
    <t>https://001.com.ua/uk/gilza-gl-35-alyuminiyeva-kabelna-zyednuvalna-asko-ukrem</t>
  </si>
  <si>
    <t>A0060080032</t>
  </si>
  <si>
    <t>https://001.com.ua/uk/gilza-gt-16-midna-ludzhena-kabelna-zyednuvalna-asko-ukrem</t>
  </si>
  <si>
    <t>GT-25 (гільза мідна луджена кабельна з'єднувальна, 25 мм2, АСКО)</t>
  </si>
  <si>
    <t>A0060080033</t>
  </si>
  <si>
    <t>https://001.com.ua/uk/gilza-gt-25-midna-ludzhena-kabelna-zyednuvalna-asko-ukrem</t>
  </si>
  <si>
    <t>GT-35 (гільза мідна луджена кабельна з'єднувальна, 35 мм2, АСКО)</t>
  </si>
  <si>
    <t>A0060080034</t>
  </si>
  <si>
    <t>https://001.com.ua/uk/gilza-gt-35-midna-ludzhena-kabelna-zyednuvalna-asko-ukrem</t>
  </si>
  <si>
    <t>GT-95 (гільза мідна луджена кабельна з'єднувальна, 95 мм2, АСКО)</t>
  </si>
  <si>
    <t>A0060080011</t>
  </si>
  <si>
    <t>https://001.com.ua/uk/gilza-gt-95-midna-ludzhena-kabelna-zyednuvalna-asko-ukrem</t>
  </si>
  <si>
    <t>GTL-25 (гільза мідно-алюмінієва, 25 мм2, АСКО)</t>
  </si>
  <si>
    <t>A0060080042</t>
  </si>
  <si>
    <t>https://001.com.ua/uk/gilza-gtl-25-midno-alyuminiyeva-kabelna-zyednuvalna-asko-ukrem</t>
  </si>
  <si>
    <t>GTL-35 (гільза мідно-алюмінієва, 35 мм2, АСКО)</t>
  </si>
  <si>
    <t>A0060080043</t>
  </si>
  <si>
    <t>https://001.com.ua/uk/gilza-gtl-35-midno-alyuminiyeva-kabelna-zyednuvalna-asko-ukrem</t>
  </si>
  <si>
    <t>GTL-50 (гільза мідно-алюмінієва, 50 мм2, АСКО)</t>
  </si>
  <si>
    <t>A0060080044</t>
  </si>
  <si>
    <t>https://001.com.ua/uk/gilza-gtl-50-midno-alyuminiyeva-kabelna-zyednuvalna-asko-ukrem</t>
  </si>
  <si>
    <t>HIM 306 Перемикач модульний трьохпозиційний I-0-II до 16мм2, 3п40А,Hager</t>
  </si>
  <si>
    <t>HIM304</t>
  </si>
  <si>
    <t>https://001.com.ua/uk/peremykach-modulnyy-him304-trypozytsiynyy-i-0-ii-3p-40a-hager</t>
  </si>
  <si>
    <t>HIM306 (перемикач навантаження, 3 пол., 63А, 3р, HAGER)</t>
  </si>
  <si>
    <t>HIM306</t>
  </si>
  <si>
    <t>https://001.com.ua/uk/peremykach-modulnyy-him306-trypozytsiynyy-i-0-ii-3p-63a-hager</t>
  </si>
  <si>
    <t>HIM406 (перемикач навантаження, 3 пол., 63А, 4р, HAGER)</t>
  </si>
  <si>
    <t>HIM406</t>
  </si>
  <si>
    <t>https://001.com.ua/uk/peremykach-modulnyy-him406-trypozytsiynyy-i-0-ii-4p-63a-hager</t>
  </si>
  <si>
    <t>ITK Комутаційний шнур (патч-корд), кат.6 UTP, LSZH, 3м,сірий</t>
  </si>
  <si>
    <t>PC01-C6UL-3M</t>
  </si>
  <si>
    <t>https://001.com.ua/uk/shyna-zyednuvalna-iz-10-3f-54-10-mm2-3p-1m-fork-54-moduli-eti</t>
  </si>
  <si>
    <t>https://001.com.ua/uk/shyna-zyednuvalna-iz-12-3f-54-12-mm2-3p-1m-fork-54-moduli-eti</t>
  </si>
  <si>
    <t>IZS 10/1F/54 1р 1m (шина живлення, IZS 10/1F/54 1р 1m(штирькова), ETI</t>
  </si>
  <si>
    <t>https://001.com.ua/uk/shyna-zyednuvalna-izs-10-1f-54-10-mm2-1p-1m-pin-54-moduli-eti</t>
  </si>
  <si>
    <t>UNP40-016-06-08</t>
  </si>
  <si>
    <t>JG-25 (накінечник кабельний, мідний, луджений, 25мм2, ІЕК)</t>
  </si>
  <si>
    <t>UNP40-025-07-08</t>
  </si>
  <si>
    <t>JG-35 (накінечник кабельний, мідний, луджений, 35мм2, ІЕК)</t>
  </si>
  <si>
    <t>UNP40-035-08-08</t>
  </si>
  <si>
    <t>A0130010004</t>
  </si>
  <si>
    <t>https://001.com.ua/uk/gvyntovyy-kontaktnyy-zatyskach-jxb-10-35-na-din-reyku-siryy-asko-ukrem</t>
  </si>
  <si>
    <t>JXB 2.5/35 (клема, сіра, розподільчий блок, АСКО)</t>
  </si>
  <si>
    <t>A0130010001</t>
  </si>
  <si>
    <t>https://001.com.ua/uk/gvyntovyy-kontaktnyy-zatyskach-jxb-2-5-35-na-din-reyku-siryy-asko-ukrem</t>
  </si>
  <si>
    <t>KF09040UVFA  40 мм (труба гофрована, підземна, чорна, Kopoflex)</t>
  </si>
  <si>
    <t>https://001.com.ua/uk/rozyednuvach-pid-zapobizhnyky-kvl-1-1p-250a-m10-m10-eti</t>
  </si>
  <si>
    <t>https://001.com.ua/uk/peremykach-navantazhennya-la-2-d-250a-3p-co-1-0-2-z-vynosnoyu-rukoyatkoyu-eti</t>
  </si>
  <si>
    <t>Кабельні короба_Труби_Фурнітура</t>
  </si>
  <si>
    <t>LAN 80x40 (торцева заглушка для кабель-каналів 80х40 мм, DKC)</t>
  </si>
  <si>
    <t>https://001.com.ua/uk/zaglushka-lan-80x40-mm-bila-dkc</t>
  </si>
  <si>
    <t>https://001.com.ua/uk/peremykach-navantazhennya-lbs-400-3p-co-1-0-2-400a-eti</t>
  </si>
  <si>
    <t>LBS-EH 630/G …400/G FLBS  (рукоятка, ручка, чорна, для LBS..CD 160-630А&amp;FLBS 125-400A, ETI)</t>
  </si>
  <si>
    <t>https://001.com.ua/uk/rukoyatka-vynosna-lbs-eh-630-g-hellip-400-g-flbs-chorna-dlya-lbs-cd-160-630aamp-flbs-125-400a-eti</t>
  </si>
  <si>
    <t>MC4_Конектори</t>
  </si>
  <si>
    <t>MC4-VD (блокувальний діод 20А, MC4)</t>
  </si>
  <si>
    <t>20SQ045</t>
  </si>
  <si>
    <t>MY3 (реле, проміжне, 3р, 220VAC, АСКО)</t>
  </si>
  <si>
    <t>A0090010007</t>
  </si>
  <si>
    <t>https://001.com.ua/uk/rele-promizhne-my3-3a-220v-ac-asko-ukrem</t>
  </si>
  <si>
    <t>NH-1/gG KOMBI (250A, 500VAC, 120 kA, запобіжник, ETI)</t>
  </si>
  <si>
    <t>https://001.com.ua/uk/zapobizhnyk-plavkyy-vstavka-nh-1-gg-250a-500v-kombi-upakovka-3-sht-eti</t>
  </si>
  <si>
    <t>NH-2/gG KOMBI (Запобіжник NH-2/gG 315A 500V KOMBI, ETI)</t>
  </si>
  <si>
    <t>https://001.com.ua/uk/zapobizhnyk-plavkyy-vstavka-nh-2-gg-315a-500v-kombi-upakovka-3-sht-eti</t>
  </si>
  <si>
    <t>https://001.com.ua/uk/zapobizhnyk-plavkyy-vstavka-nh-2-gg-300a-500v-kombi-upakovka-3-sht-eti</t>
  </si>
  <si>
    <t>https://001.com.ua/uk/zapobizhnyk-plavkyy-vstavka-nh-2c-gg-200a-500v-kombi-upakovka-3-sht-eti</t>
  </si>
  <si>
    <t>https://001.com.ua/uk/peremykach-navantazhennya-nh40-200-3cs-3p-200a-i-0-ii-standartna-rukoyatka-chint</t>
  </si>
  <si>
    <t>https://001.com.ua/uk/peremykach-navantazhennya-nh40-200-3csw-3p-200a-i-0-ii-vynosna-rukoyatka-chint</t>
  </si>
  <si>
    <t>NPP/AVK 2.5-10 (кришка торцева, сіра, клема)</t>
  </si>
  <si>
    <t>0.0.0.4.44120</t>
  </si>
  <si>
    <t>NT1.125, габарит(Запобіжник плавкий e.fuse.NT1.125, габарит 1, 125А</t>
  </si>
  <si>
    <t>i0760056</t>
  </si>
  <si>
    <t>https://001.com.ua/uk/zapobizhnyk-plavkyy-vstavka-e-fuse-nt1-125-125-a-gabaryt-1-e-next</t>
  </si>
  <si>
    <t>A0090050004</t>
  </si>
  <si>
    <t>https://001.com.ua/uk/rele-chasu-nte8-120v-zatrymka-vklyuchennya-10-120-s-asko-ukrem</t>
  </si>
  <si>
    <t>ORT-A1-AC230V</t>
  </si>
  <si>
    <t>PYF11A (колодка під реле МY3, АСКО)</t>
  </si>
  <si>
    <t>A0090020004</t>
  </si>
  <si>
    <t>https://001.com.ua/uk/kolodka-pyf11a-pid-promizhne-rele-my3-asko-ukrem</t>
  </si>
  <si>
    <t>A0010230005</t>
  </si>
  <si>
    <t>https://001.com.ua/uk/konektor-rj-45-utp-kat-5e-8p8c-asko-ukrem</t>
  </si>
  <si>
    <t>CS3-1C6U</t>
  </si>
  <si>
    <t>RN-11 (1NO+1NC, додаткові контакти для контакторів типу RA/RD, ETI)</t>
  </si>
  <si>
    <t>0.5</t>
  </si>
  <si>
    <t>https://001.com.ua/uk/kontakty-dodatkovi-rn-11-1nv-1nz-eti</t>
  </si>
  <si>
    <t>s036004</t>
  </si>
  <si>
    <t>https://001.com.ua/uk/nakinechnyk-kiltsevyy-izolovanyy-4-6-mm2-zhovtyy-upakovka-100-sht-e-terminal-stand-rv5-5-6-yellow-e-next</t>
  </si>
  <si>
    <t>RV 5.5-6 (накінечник кільцевий під гвинт, ізольований, 4-6 мм2, АСКО)</t>
  </si>
  <si>
    <t>A0060030013</t>
  </si>
  <si>
    <t>https://001.com.ua/uk/nakinechnyk-rv-5-5-6-pid-gvynt-v-izolyatsiyi-upakovka-100-sht-asko-ukrem</t>
  </si>
  <si>
    <t>SC-16-6 (накінечник кабельний, мідний, луджений, 16 мм2, АСКО)</t>
  </si>
  <si>
    <t>A0060050029</t>
  </si>
  <si>
    <t>https://001.com.ua/uk/nakinechnyk-sc-16-6-midnyy-ludzhenyy-kabelnyy-pid-payku-asko-ukrem</t>
  </si>
  <si>
    <t>SC-16-8 (накінечник кабельний, мідний, луджений, 16мм2, АСКО)</t>
  </si>
  <si>
    <t>A0060050006</t>
  </si>
  <si>
    <t>https://001.com.ua/uk/nakinechnyk-sc-16-8-midnyy-ludzhenyy-kabelnyy-pid-payku-asko-ukrem</t>
  </si>
  <si>
    <t>SC-25-8 (накінечник кабельний, мідний, луджений, 25мм2, АСКО)</t>
  </si>
  <si>
    <t>A0060050007</t>
  </si>
  <si>
    <t>https://001.com.ua/uk/nakinechnyk-sc-25-8-midnyy-ludzhenyy-kabelnyy-pid-payku-asko-ukrem</t>
  </si>
  <si>
    <t>SC-35-8 (накінечник кабельний, мідний, луджений, 35 мм2, АСКО)</t>
  </si>
  <si>
    <t>A0060050034</t>
  </si>
  <si>
    <t>https://001.com.ua/uk/nakinechnyk-sc-35-8-midnyy-ludzhenyy-kabelnyy-pid-payku-asko-ukrem</t>
  </si>
  <si>
    <t>SC-6-6 (накінечник кабельний, мідний, луджений, 6 мм2, АСКО)</t>
  </si>
  <si>
    <t>A0060050004</t>
  </si>
  <si>
    <t>https://001.com.ua/uk/nakinechnyk-sc-6-6-midnyy-ludzhenyy-kabelnyy-pid-payku-asko-ukrem</t>
  </si>
  <si>
    <t>SFT240</t>
  </si>
  <si>
    <t>https://001.com.ua/uk/peremykach-sft240-i-0-ii-z-zagalnym-vyhodom-zverhu-2p-40a-230v-hager</t>
  </si>
  <si>
    <t>SFT440</t>
  </si>
  <si>
    <t>https://001.com.ua/uk/peremykach-sft440-i-0-ii-z-zagalnym-vyhodom-zverhu-4p-40a-400v-hager</t>
  </si>
  <si>
    <t>YIS11-25-06-B</t>
  </si>
  <si>
    <t>SM30 (ізолятор силовий, з болтом М8, АСКО)</t>
  </si>
  <si>
    <t>A0150100002</t>
  </si>
  <si>
    <t>https://001.com.ua/uk/izolyator-trymach-sylovoyi-shyny-sm30-z-boltom-m8-asko-ukrem</t>
  </si>
  <si>
    <t>SM40 (ізолятор силовий, з болтом М8, АСКО)</t>
  </si>
  <si>
    <t>A0150100004</t>
  </si>
  <si>
    <t>https://001.com.ua/uk/izolyator-trymach-sylovoyi-shyny-sm40-z-boltom-m8-asko-ukrem</t>
  </si>
  <si>
    <t>SSQ240 (перемикач навантаження, 3 пол., 2p, 40A, ETI)</t>
  </si>
  <si>
    <t>https://001.com.ua/uk/peremykach-navantazhennya-ssq-240-1-0-2-2p-40a-eti</t>
  </si>
  <si>
    <t>SSQ425 (перемикач навантаження, 3 пол., 4р, 25А, ETI)</t>
  </si>
  <si>
    <t>https://001.com.ua/uk/peremykach-navantazhennya-ssq-425-1-0-2-4p-25a-eti</t>
  </si>
  <si>
    <t>SSQ440 (перемикач навантаження, 3 пол., 4р, 40А, ETI)</t>
  </si>
  <si>
    <t>https://001.com.ua/uk/peremykach-navantazhennya-ssq-440-1-0-2-4p-40a-eti</t>
  </si>
  <si>
    <t>https://001.com.ua/uk/peremykach-navantazhennya-ssq-463-1-0-2-4p-63a-eti</t>
  </si>
  <si>
    <t>SSV-35 (колодка клемна, розподільчий блок)</t>
  </si>
  <si>
    <t>SWB-15 біла-прозора (спіраль, 10 м, АСКО)</t>
  </si>
  <si>
    <t>A0150070005</t>
  </si>
  <si>
    <t>https://001.com.ua/uk/spiralna-obvyazka-dlya-provodu-empty-12-75-mm-swb-15-bila-10-m-asko-ukrem</t>
  </si>
  <si>
    <t>https://001.com.ua/uk/kabel-kanal-iz-kryshkoyu-ta-en-40x40-mm-iz-ploskoyu-osnovoyu-bilyy-dkc</t>
  </si>
  <si>
    <t>TA-GN 100х40 мм (короб з кришкою, 2000 мм, ДКС)</t>
  </si>
  <si>
    <t>https://001.com.ua/uk/kabel-kanal-iz-kryshkoyu-ta-gn-100x40-mm-z-napravlyayuchymy-bilyy-dkc</t>
  </si>
  <si>
    <t>https://001.com.ua/uk/kabel-kanal-iz-kryshkoyu-ta-gn-100x60-mm-z-napravlyayuchymy-bilyy-dkc</t>
  </si>
  <si>
    <t>https://001.com.ua/uk/kabel-kanal-iz-kryshkoyu-ta-gn-80x40-mm-z-napravlyayuchymy-bilyy-dkc</t>
  </si>
  <si>
    <t>VSU 150 Клема силова VSU 150 (150 mm2_бежева),ETI</t>
  </si>
  <si>
    <t>https://001.com.ua/uk/klema-sylova-vsu-150-150-mm2-bezheva-eti</t>
  </si>
  <si>
    <t>VSU 70 Клема силова VSU 70 (70 mm2_бежева), ETI</t>
  </si>
  <si>
    <t>https://001.com.ua/uk/klema-sylova-vsu-70-70-mm2-bezheva-eti</t>
  </si>
  <si>
    <t>VSU 95 Клема силова VSU 95 (95 mm2_бежева),ETI</t>
  </si>
  <si>
    <t>https://001.com.ua/uk/klema-sylova-vsu-95-95-mm2-bezheva-eti</t>
  </si>
  <si>
    <t>YC9VA 63А (реле контролю напруги, 1ф, модульне, 230VAC, CNC)</t>
  </si>
  <si>
    <t>YXD10 (обмежувач, металевий, тримач, на DIN-рейку, ІЕК)</t>
  </si>
  <si>
    <t>YXD10</t>
  </si>
  <si>
    <t>https://electrocontrol.com.ua/ua/montazh/yxd10-ogranichitel-metallicheskii-na-din-reiku-iek</t>
  </si>
  <si>
    <t>ZUBR D63</t>
  </si>
  <si>
    <t>https://001.com.ua/uk/rele-naprugy-zubr-d63-odnofazne-na-din-reyku-63a</t>
  </si>
  <si>
    <t>Блок-контакт 1НЗ (додатковий контакт, 1NC, "СТОП")</t>
  </si>
  <si>
    <t>B2</t>
  </si>
  <si>
    <t>https://001.com.ua/uk/blok-kontakt-1nz-stop-dlya-seriyi-b-emas</t>
  </si>
  <si>
    <t>МКН 6.5.2</t>
  </si>
  <si>
    <t>https://electrocontrol.com.ua/ua/elektrotehnicheskie-shity-boksy-i-korpusa/metallokonstrukciya-elektrotehnicheskaya-navesnogo-ispolneniya-mkn-6-5-2-l1-z2-ip21-s-montazhnoi-panelu</t>
  </si>
  <si>
    <t>Вимикач з фіксацією (2 положення, поворотний, 1НО)</t>
  </si>
  <si>
    <t>B100S20</t>
  </si>
  <si>
    <t>https://001.com.ua/uk/peremykach-na-2-polozhennya-z-fiksatsiyeyu-1nv-chornyy-plastyk-ip50-seriya-b-emas</t>
  </si>
  <si>
    <t>MPR10-4-025</t>
  </si>
  <si>
    <t>https://001.com.ua/uk/vymykach-rozyednuvach-trypozytsiynyy-vrt-63-4p-25a-iek</t>
  </si>
  <si>
    <t>ГМА-25/35 (гільза мідно-алюмінієва з'єднувальна, 25/35 мм2, IEK)</t>
  </si>
  <si>
    <t>UGTL10-025-07</t>
  </si>
  <si>
    <t>Різне (Кріплення)</t>
  </si>
  <si>
    <t>Дюбель з шурупом 8х120 мм</t>
  </si>
  <si>
    <t xml:space="preserve"> 23-062</t>
  </si>
  <si>
    <t>NG3126</t>
  </si>
  <si>
    <t>https://axiomplus.com.ua/ua/zazemlenie-molniezashhita/product-90535/</t>
  </si>
  <si>
    <t>ЗАБу 4х10-35  (затискач анкерний для СІП-4, 10-35 мм2, ІЕК)</t>
  </si>
  <si>
    <t>UZA-14-D10-D35</t>
  </si>
  <si>
    <t>https://001.com.ua/uk/zatyskach-ankernyy-zabu-4x10-35-iek</t>
  </si>
  <si>
    <t>FUSE20A</t>
  </si>
  <si>
    <t>http://shop.mtk.com.ua/id/predohranitel-20a-adler-elektrotechnik-a73-gpv-cilindricheskiy-1038--803.html</t>
  </si>
  <si>
    <t>Запобіжник NH-1/gG 160A 500V KOMBI, ETI</t>
  </si>
  <si>
    <t>https://001.com.ua/uk/zapobizhnyk-plavkyy-vstavka-nh-1-gg-160a-500v-kombi-upakovka-3-sht-eti</t>
  </si>
  <si>
    <t>Запобіжник NH-1/gG 200A 500VAC 120kA KOMBI, ETI</t>
  </si>
  <si>
    <t>https://001.com.ua/uk/zapobizhnyk-plavkyy-vstavka-nh-1-gg-200a-500v-kombi-upakovka-3-sht-eti</t>
  </si>
  <si>
    <t>Запобіжник NH-2/gG 400A 500VAC KOMBI, ETI</t>
  </si>
  <si>
    <t>https://001.com.ua/uk/zapobizhnyk-plavkyy-vstavka-nh-2-gg-400a-500v-kombi-upakovka-3-sht-eti</t>
  </si>
  <si>
    <t>UZA-14-D16-D50-14400</t>
  </si>
  <si>
    <t>https://axiomplus.com.ua/ua/zazhimyi/product-48169/</t>
  </si>
  <si>
    <t>ЗНИ-10 (заглушка для затискача набірного 10мм², клема, сіра, IEK)</t>
  </si>
  <si>
    <t>YZN10D-ZGL010-K03</t>
  </si>
  <si>
    <t>ЗНИ-10 (затискач набірний, клема, розподільчий блок, 10 мм², сірий, IEK)</t>
  </si>
  <si>
    <t>YZN10-010-K03</t>
  </si>
  <si>
    <t>UZA-11-D25-D95</t>
  </si>
  <si>
    <t>https://001.com.ua/uk/zatyskach-vidgaluzhuvalnyy-izolovanyy-zoy-25-95-25-95-iek</t>
  </si>
  <si>
    <t>s022012</t>
  </si>
  <si>
    <t>https://001.com.ua/uk/izostrichka-0-13x19-mm-zhovta-20-m-e-tape-stand-20-yellow-e-next</t>
  </si>
  <si>
    <t>Ізострічка 0.13х19 мм (червона,10 м , АСКО)</t>
  </si>
  <si>
    <t>A0150020035</t>
  </si>
  <si>
    <t>https://001.com.ua/uk/izostrichka-0-13x19-mm-chervona-10-metriv-asko-ukrem</t>
  </si>
  <si>
    <t>s022016</t>
  </si>
  <si>
    <t>https://001.com.ua/uk/izostrichka-0-13x19-mm-chorna-20-m-e-tape-stand-20-black-e-next</t>
  </si>
  <si>
    <t>Ізострічка 0.13х19 мм (чорна, 20 м, АСКО)</t>
  </si>
  <si>
    <t>A0150020043</t>
  </si>
  <si>
    <t>https://001.com.ua/uk/izostrichka-0-13x19-mm-chorna-20-metriv-asko-ukrem</t>
  </si>
  <si>
    <t>Ізострічка 0.2х19 мм (біла, 20 м, e.tape.pro.20.white із самозгасаючого ПВХ, E.NEXT)</t>
  </si>
  <si>
    <t>p0450011</t>
  </si>
  <si>
    <t>https://001.com.ua/uk/izostrichka-0-2x19-mm-bila-20-m-e-tape-pro-20-white-e-next</t>
  </si>
  <si>
    <t>Ізострічка 0.2х19 мм (синя, 20 м, e.tape.pro.20.blue із самозгасаючого ПВХ, E.NEXT)</t>
  </si>
  <si>
    <t>p0450012</t>
  </si>
  <si>
    <t>https://001.com.ua/uk/izostrichka-0-2x19-mm-synya-20-m-e-tape-pro-20-blue-e-next</t>
  </si>
  <si>
    <t>https://001.com.ua/uk/korobka-rozpodilcha-190x140x70mm-ip55-z-kabelnymy-vvodamy-dkc</t>
  </si>
  <si>
    <t>https://001.com.ua/uk/korobka-rozpodilcha-240x190x90mm-ip55-z-kabelnymy-vvodamy-dkc</t>
  </si>
  <si>
    <t>Коробка 300х220х120 мм (відгалужувальна, розподільча, IP55, ДКС)</t>
  </si>
  <si>
    <t>https://001.com.ua/uk/korobka-rozpodilcha-300x220x120mm-ip55-z-kabelnymy-vvodamy-dkc</t>
  </si>
  <si>
    <t>Коробка 300х220х120 мм (відгалужувальна, розподільча, IP56, ДКС)</t>
  </si>
  <si>
    <t>https://001.com.ua/uk/korobka-rozpodilcha-300x220x120mm-ip56-z-gladkymy-stinkamy-dkc</t>
  </si>
  <si>
    <t>Коробка 380х300х120 мм (відгалужувальна, розподільча, IP55, ДКС)</t>
  </si>
  <si>
    <t>https://001.com.ua/uk/korobka-rozpodilcha-380x300x120mm-ip55-z-kabelnymy-vvodamy-dkc</t>
  </si>
  <si>
    <t>A0150170023</t>
  </si>
  <si>
    <t>https://www.acko.ua/e-store/xml_catalog/rozpodilchi_korobki_serii_ty_ra/21648/</t>
  </si>
  <si>
    <t>A0150170024</t>
  </si>
  <si>
    <t>https://www.acko.ua/e-store/xml_catalog/rozpodilchi_korobki_serii_ty_ra/21649/</t>
  </si>
  <si>
    <t>Корпус HJ9-4 (для кнопок, 4-місний, білий, АСКО)</t>
  </si>
  <si>
    <t>A0140020039</t>
  </si>
  <si>
    <t>https://001.com.ua/korpus-posta-upravleniya-4-mestnyy-hj9-4-belyy-asko-ukrem</t>
  </si>
  <si>
    <t>Кришка бокова 2.5 (пластина бокова, заглушка, 2.5 мм, клема, сіра)</t>
  </si>
  <si>
    <t>https://001.com.ua/uk/plastyna-bichna-zaglushka-2-5-mm-asko-ukrem</t>
  </si>
  <si>
    <t>https://001.com.ua/uk/lotok-neperforovanyy-50x50x3000-mm-garyachogo-tsynkuvannya-metod-sendzimira-dkc</t>
  </si>
  <si>
    <t>ЛС-47М жовта (лампа, світлосигнальна арматура, модульна, LED, ІЕК)</t>
  </si>
  <si>
    <t>MLS20-230-K05</t>
  </si>
  <si>
    <t>https://001.com.ua/uk/sygnalna-lampa-ls-47m-zhovta-matrytsya-iek</t>
  </si>
  <si>
    <t>MLS20-230-K06</t>
  </si>
  <si>
    <t>https://001.com.ua/uk/sygnalna-lampa-ls-47m-zelena-matrytsya-iek</t>
  </si>
  <si>
    <t>https://001.com.ua/uk/mistok-zyednuvalnyy-lbs-br400-1p-co-dlya-lbs-400-co-3p-4p-eti</t>
  </si>
  <si>
    <t>https://001.com.ua/uk/mufta-truba-truba-ip67-d32-mm-dkc</t>
  </si>
  <si>
    <t>https://001.com.ua/uk/mufta-truba-truba-z-obmezhuvachem-ip40-d32-mm-dkc</t>
  </si>
  <si>
    <t>https://001.com.ua/uk/mufta-truba-korobka-ip67-m32x1-5-d32-mm-dkc</t>
  </si>
  <si>
    <t>Муфта М50х1.5 (труба-коробка, IP67, 50 мм, ДКС)</t>
  </si>
  <si>
    <t>https://001.com.ua/uk/mufta-truba-korobka-ip67-m50x1-5-d50-mm-dkc</t>
  </si>
  <si>
    <t>A0060010002</t>
  </si>
  <si>
    <t>https://001.com.ua/uk/nakinechnyk-nt-0-75-08-trubchastyy-v-izolyatsiyi-synyy-upakovka-100-sht-asko-ukrem</t>
  </si>
  <si>
    <t>A0060010084</t>
  </si>
  <si>
    <t>https://001.com.ua/uk/nakinechnyk-nt-1-0-08-trubchastyy-v-izolyatsiyi-zhovtyy-upakovka-100-sht-asko-ukrem</t>
  </si>
  <si>
    <t>НТ 1.0-08 червоні (накінечник трубчатий, 1 мм2, АСКО)</t>
  </si>
  <si>
    <t>A0060010003</t>
  </si>
  <si>
    <t>https://001.com.ua/uk/nakinechnyk-nt-1-0-08-trubchastyy-v-izolyatsiyi-chervonyy-upakovka-100-sht-asko-ukrem</t>
  </si>
  <si>
    <t>A0060010009</t>
  </si>
  <si>
    <t>https://001.com.ua/uk/nakinechnyk-nt-10-0-12-trubchastyy-v-izolyatsiyi-bilyy-upakovka-100-sht-asko-ukrem</t>
  </si>
  <si>
    <t>НТ 10.0-12 жовті (накінечник трубчатий, 10 мм2, АСКО)</t>
  </si>
  <si>
    <t>A0060010145</t>
  </si>
  <si>
    <t>https://001.com.ua/uk/nakinechnyk-nt-10-0-12-trubchastyy-v-izolyatsiyi-zhovtyy-upakovka-100-sht-asko-ukrem</t>
  </si>
  <si>
    <t>НТ 16.0-12 зелені (накінечник трубчатий, 16 мм2, АСКО)</t>
  </si>
  <si>
    <t>A0060010100</t>
  </si>
  <si>
    <t>https://001.com.ua/uk/nakinechnyk-nt-16-0-12-trubchastyy-v-izolyatsiyi-zelenyy-upakovka-100-sht-asko-ukrem</t>
  </si>
  <si>
    <t>НТ 16.0-12 сині (накінечник трубчатий, 16 мм2, АСКО)</t>
  </si>
  <si>
    <t>A0060010061</t>
  </si>
  <si>
    <t>https://001.com.ua/uk/nakinechnyk-nt-16-0-12-trubchastyy-v-izolyatsiyi-synyy-upakovka-100-sht-asko-ukrem</t>
  </si>
  <si>
    <t>A0060010005</t>
  </si>
  <si>
    <t>https://001.com.ua/uk/nakinechnyk-nt-2-5-08-trubchastyy-v-izolyatsiyi-synyy-upakovka-100-sht-asko-ukrem</t>
  </si>
  <si>
    <t>A0060010122</t>
  </si>
  <si>
    <t>https://001.com.ua/uk/nakinechnyk-nt-25-0-12-trubchastyy-v-izolyatsiyi-pomaranchevyy-upakovka-100-sht-asko-ukrem</t>
  </si>
  <si>
    <t>A0060010006</t>
  </si>
  <si>
    <t>https://001.com.ua/uk/nakinechnyk-nt-4-0-09-trubchastyy-v-izolyatsiyi-pomaranchevyy-upakovka-100-sht-asko-ukrem</t>
  </si>
  <si>
    <t>A0060010144</t>
  </si>
  <si>
    <t>https://001.com.ua/uk/nakinechnyk-nt-6-0-12-trubchastyy-v-izolyatsiyi-zhovtyy-upakovka-100-sht-asko-ukrem</t>
  </si>
  <si>
    <t>НТ 6.0-12 зелені (накінечник трубчатий, 6.0 мм2, АСКО)</t>
  </si>
  <si>
    <t>A0060010134</t>
  </si>
  <si>
    <t>https://001.com.ua/uk/nakinechnyk-nt-6-0-12-trubchastyy-v-izolyatsiyi-zelenyy-upakovka-100-sht-asko-ukrem</t>
  </si>
  <si>
    <t>A0060010007</t>
  </si>
  <si>
    <t>https://001.com.ua/uk/nakinechnyk-nt-6-0-12-trubchastyy-v-izolyatsiyi-chornyy-upakovka-100-sht-asko-ukrem</t>
  </si>
  <si>
    <t>ПНД d50 мм (труба гофрована, з зондом, чорна, УФ, ІЕК)</t>
  </si>
  <si>
    <t>CTG20-50-K02-015-1</t>
  </si>
  <si>
    <t>Розподільчий блок (sn.pro.80 (80 А) на DIN-рейку, E.NEXT)</t>
  </si>
  <si>
    <t>p0680001</t>
  </si>
  <si>
    <t>https://001.com.ua/uk/blok-rozpodilchyy-e-sn-pro-80-80-a-na-din-reyku-e-next</t>
  </si>
  <si>
    <t>СТН-2A (майданчик до хомутів, чорний, УФ, АСКО)</t>
  </si>
  <si>
    <t>A0150090104</t>
  </si>
  <si>
    <t>https://001.com.ua/uk/maydanchyk-dlya-homutiv-cth-2a-chornyy-upakovka-100-sht-asko-ukrem</t>
  </si>
  <si>
    <t>A0150090105</t>
  </si>
  <si>
    <t>https://001.com.ua/uk/maydanchyk-dlya-homutiv-cth-2b-chornyy-upakovka-100-sht-asko-ukrem</t>
  </si>
  <si>
    <t>СТН-2C (майданчик до хомутів, чорний, УФ, АСКО)</t>
  </si>
  <si>
    <t>A0150090106</t>
  </si>
  <si>
    <t>https://001.com.ua/uk/maydanchyk-dlya-homutiv-cth-2c-chornyy-upakovka-100-sht-asko-ukrem</t>
  </si>
  <si>
    <t>NE1231</t>
  </si>
  <si>
    <t>https://axiomplus.com.ua/ua/zazemlenie-molniezashhita/product-90866/</t>
  </si>
  <si>
    <t>NE1232</t>
  </si>
  <si>
    <t>https://axiomplus.com.ua/ua/zazemlenie-molniezashhita/product-90867/</t>
  </si>
  <si>
    <t>Табличка 18mm (порожня, бірка, шильдік, для тримача B-ROZET18)</t>
  </si>
  <si>
    <t>A0060120002</t>
  </si>
  <si>
    <t>https://001.com.ua/uk/nakinechnyk-te-0-75-08-trubchastyy-v-izolyatsiyi-dlya-dvoh-provodiv-syniy-upakovka-100-sht-asko-ukrem</t>
  </si>
  <si>
    <t>ТЕ 1.0-08 червоні (накінечник трубчатий, подвоєний, 1 мм2, АСКО)</t>
  </si>
  <si>
    <t>A0060120004</t>
  </si>
  <si>
    <t>https://001.com.ua/uk/nakinechnyk-te-1-0-08-trubchastyy-v-izolyatsiyi-dlya-dvoh-provodiv-chervonyy-upakovka-100-sht-asko-ukrem</t>
  </si>
  <si>
    <t>A0060120005</t>
  </si>
  <si>
    <t>https://001.com.ua/uk/nakinechnyk-te-1-0-10-trubchastyy-v-izolyatsiyi-dlya-dvoh-provodiv-chervonyy-upakovka-100-sht-asko-ukrem</t>
  </si>
  <si>
    <t>A0060120012</t>
  </si>
  <si>
    <t>https://001.com.ua/uk/nakinechnyk-te-10-0-14-trubchastyy-v-izolyatsiyi-dlya-dvoh-provodiv-korychnevyy-upakovka-100-sht-asko-ukrem</t>
  </si>
  <si>
    <t>ТЕ 16.0-14 білі (накінечник трубчатий, подвоєний, 16 мм2, АСКО)</t>
  </si>
  <si>
    <t>A0060120013</t>
  </si>
  <si>
    <t>https://001.com.ua/uk/nakinechnyk-te-16-0-14-trubchastyy-v-izolyatsiyi-dlya-dvoh-provodiv-bilyy-upakovka-100-sht-asko-ukrem</t>
  </si>
  <si>
    <t>ТЕ 2.5-10 сині (накінечник трубчатий, подвоєний, 2.5 мм2, АСКО)</t>
  </si>
  <si>
    <t>A0060120008</t>
  </si>
  <si>
    <t>https://001.com.ua/uk/nakinechnyk-te-2-5-10-trubchastyy-v-izolyatsiyi-dlya-dvoh-provodiv-syniy-upakovka-100-sht-asko-ukrem</t>
  </si>
  <si>
    <t>ТЕ 6.0-14 жовті (накінечник трубчатий, подвоєний, 6 мм2, АСКО)</t>
  </si>
  <si>
    <t>A0060120011</t>
  </si>
  <si>
    <t>https://001.com.ua/uk/nakinechnyk-te-6-0-14-trubchastyy-v-izolyatsiyi-dlya-dvoh-provodiv-zhovtyy-upakovka-100-sht-asko-ukrem</t>
  </si>
  <si>
    <t>Тримач 16 мм (кліпса, труба ПВТ, УФ, ДКС)</t>
  </si>
  <si>
    <t>51016M</t>
  </si>
  <si>
    <t>Тримач 25 мм (з фіксатором, труба ПВТ, УФ, ДКС)</t>
  </si>
  <si>
    <t>https://001.com.ua/uk/trymach-z-fiksatorom-d25-mm-dkc</t>
  </si>
  <si>
    <t>Тримач 32 мм (з фіксатором, труба ПВТ, УФ, ДКС)</t>
  </si>
  <si>
    <t>https://001.com.ua/uk/trymach-z-fiksatorom-d32-mm-dkc</t>
  </si>
  <si>
    <t>https://001.com.ua/uk/truba-pvt-gnuchka-gofrovana-d16-mm-standartna-z-protyazhkoyu-chorna-100m-dkc</t>
  </si>
  <si>
    <t>Труба ПВТ 25 мм (гофрована, УФ, чорна, ДКС)</t>
  </si>
  <si>
    <t>https://001.com.ua/uk/truba-pvt-gnuchka-gofrovana-d25-mm-standartna-z-protyazhkoyu-chorna-50m-dkc</t>
  </si>
  <si>
    <t>https://001.com.ua/uk/truba-pvt-gnuchka-gofrovana-d32-mm-standartna-z-protyazhkoyu-chorna-25m-dkc</t>
  </si>
  <si>
    <t>Труба ПВТ 40 мм (гофрована, УФ, чорна, ДКС)</t>
  </si>
  <si>
    <t>https://001.com.ua/uk/truba-pvt-gnuchka-gofrovana-d40-mm-standartna-z-protyazhkoyu-chorna-20m-dkc</t>
  </si>
  <si>
    <t>https://oldimarket.com.ua/product/8113553-truba-ppr-georg-fischer-dn-20-pn20-4001002000121/</t>
  </si>
  <si>
    <t>A0150040077</t>
  </si>
  <si>
    <t>https://001.com.ua/uk/termozbizhna-trubka-na-kleyoviy-osnovi-tsk-empty-12-7-mm-chorna-asko-ukrem</t>
  </si>
  <si>
    <t>ТСК 15/5 мм (трубка, термоусаджувальна, клей, червона, АСКО)</t>
  </si>
  <si>
    <t>A0150040102</t>
  </si>
  <si>
    <t>https://001.com.ua/uk/termozbizhna-trubka-na-kleyoviy-osnovi-tsk-empty-15-mm-chervona-asko-ukrem</t>
  </si>
  <si>
    <t>ТСК 15/5 мм (трубка, термоусаджувальна, клей, чорна, АСКО)</t>
  </si>
  <si>
    <t>A0150040078</t>
  </si>
  <si>
    <t>https://001.com.ua/uk/termozbizhna-trubka-na-kleyoviy-osnovi-tsk-empty-15-mm-chorna-asko-ukrem</t>
  </si>
  <si>
    <t>A0150040079</t>
  </si>
  <si>
    <t>https://001.com.ua/uk/termozbizhna-trubka-na-kleyoviy-osnovi-tsk-empty-19-1-mm-chorna-asko-ukrem</t>
  </si>
  <si>
    <t>A0150040060</t>
  </si>
  <si>
    <t>https://001.com.ua/uk/termozbizhna-trubka-na-kleyoviy-osnovi-tsk-empty-25-mm-chorna-asko-ukrem</t>
  </si>
  <si>
    <t>https://001.com.ua/uk/homut-kabelnyy-3-6x200-mm-poliamid-6-6-bilyy-dkc</t>
  </si>
  <si>
    <t>https://001.com.ua/uk/homut-kabelnyy-3-6x290-mm-poliamid-6-6-chornyy-dkc</t>
  </si>
  <si>
    <t>https://001.com.ua/uk/homut-kabelnyy-4-8x290-mm-poliamid-6-6-chornyy-dkc</t>
  </si>
  <si>
    <t>Шина 2x7 (розподільчий блок, e.cbs.pro.2.7, N, нульова, E.NEXT)</t>
  </si>
  <si>
    <t>p0650001</t>
  </si>
  <si>
    <t>https://001.com.ua/uk/shyna-nulova-e-cbs-pro-2-7-v-korpusi-na-din-reyku-2x7-grup-e-next</t>
  </si>
  <si>
    <t>Шина 2x7 (розподільчий блок, N, нульова, ІЕК)</t>
  </si>
  <si>
    <t>YND10-2-07-100</t>
  </si>
  <si>
    <t>Шина 2x7 EDB-207 (розподільчий блок, клема, нульова, 2p, 125A, ETI)</t>
  </si>
  <si>
    <t>https://001.com.ua/uk/shyna-nulova-v-korpusi-kros-modul-edb-207-2p-l-pe-n-125a-7-vyhodiv-eti</t>
  </si>
  <si>
    <t>ШМТ 5х25, 3м Шина мідна</t>
  </si>
  <si>
    <t>ШМТ 25х5 3м</t>
  </si>
  <si>
    <t>ШМТ 5х30 мм (шина мідна, полоса, 3 м, М1)</t>
  </si>
  <si>
    <t>ШМТ 5х30х3000 M1</t>
  </si>
  <si>
    <t>A0150110001</t>
  </si>
  <si>
    <t>https://001.com.ua/uk/shyna-zyednuvalna-shs-100-1-63-typ-pin-asko-ukrem</t>
  </si>
  <si>
    <t>BUD-40/2 (обмежувач перенапруг, 600VDC, 2p, 40kA, BENY)</t>
  </si>
  <si>
    <t>BUD-40/2_600V</t>
  </si>
  <si>
    <t>https://mtk.com.ua/dc-spd-bud-40-2-2p-600v-40ka-ua</t>
  </si>
  <si>
    <t>BUD-40/3_1000VDC</t>
  </si>
  <si>
    <t>https://www.beny.com/product-item/dc-spd-type2-up-to-1000v-bud-40-3/</t>
  </si>
  <si>
    <t>ОПС1-B 1р (обмежувач перенапруг, B, ІЕК)</t>
  </si>
  <si>
    <t>MOP20-1-B</t>
  </si>
  <si>
    <t>https://mtk.com.ua/alternativnaya-energetika/oborudovanie-dlya-zaschity-po-postoyannomu-toku/ogranichitel-perenapryazheniya-grozorazryadnik-dc-spd-bud-40-3-3p-1000v-40ka</t>
  </si>
  <si>
    <t>MOP20-1-С</t>
  </si>
  <si>
    <t>https://001.com.ua/uk/pzip-ops1-b-1p-klas-i-b-iek</t>
  </si>
  <si>
    <t>APP/AVK 2.5-10  (розмежувач клем, пластина, сіра)</t>
  </si>
  <si>
    <t>0.0.0.4.62120</t>
  </si>
  <si>
    <t>B-ROZET18 (тримач шильдіка, для маркування кнопок EMAS)</t>
  </si>
  <si>
    <t>https://001.com.ua/uk/trymach-shyldika-18mm-dlya-markuvannya-knopok-emas</t>
  </si>
  <si>
    <t>https://001.com.ua/uk/yaschyk-dlya-3-faznogo-lichylnyka-dot-3-ip54-nik</t>
  </si>
  <si>
    <t>e.control.t09 (таймер, тижневий, 2 кан., 220VAC, E.NEXT)</t>
  </si>
  <si>
    <t>i0310012</t>
  </si>
  <si>
    <t>https://001.com.ua/uk/taymer-elektronnyy-tyzhnevyy-dvokanalnyy-e-control-t09-e-next</t>
  </si>
  <si>
    <t>EKE 100х60 (кабельний канал, короб, білий, ПВХ, 2000мм,KOPOS)</t>
  </si>
  <si>
    <t>EKE 100X60 HD</t>
  </si>
  <si>
    <t>https://001.com.ua/uk/kabelnyy-kanal-pvh-100x60-mm-eke-bilyy-kopos</t>
  </si>
  <si>
    <t>EKE 100х60 заглушка (Серія EKЕ, ПВХ, KOPOS)</t>
  </si>
  <si>
    <t>8551_HB</t>
  </si>
  <si>
    <t>https://001.com.ua/uk/zaglushka-pvh-do-kabelnyh-kanaliv-eke-100x60-mm-bila-kopos</t>
  </si>
  <si>
    <t>EKE 100х60 кут внутрішній (Серія EKЕ, ПВХ, KOPOS)</t>
  </si>
  <si>
    <t>8555_HB</t>
  </si>
  <si>
    <t>https://001.com.ua/uk/kut-vnutrishniy-pvh-do-kabelnyh-kanaliv-eke-100x60-mm-bilyy-kopos</t>
  </si>
  <si>
    <t>EKE 100х60 кут зовнішній (Серія EKЕ, ПВХ, KOPOS) 8556</t>
  </si>
  <si>
    <t>8556_HB</t>
  </si>
  <si>
    <t>https://001.com.ua/uk/kut-zovnishniy-pvh-do-kabelnyh-kanaliv-eke-100x60-mm-bilyy-kopos</t>
  </si>
  <si>
    <t>EKE 100х60 кут плаский (Серія EKЕ, ПВХ, KOPOS) 8553</t>
  </si>
  <si>
    <t>8553_HB</t>
  </si>
  <si>
    <t>https://001.com.ua/uk/kut-plaskyy-pvh-do-kabelnyh-kanaliv-eke-100x60-mm-bilyy-kopos</t>
  </si>
  <si>
    <t>EKE 100х60 кут Т-подібний, трійник (Серія EKЕ, ПВХ, KOPOS) 8554</t>
  </si>
  <si>
    <t>8554_HB</t>
  </si>
  <si>
    <t>https://001.com.ua/uk/triynyk-pvh-do-kabelnyh-kanaliv-eke-100x60-mm-bilyy-kopos</t>
  </si>
  <si>
    <t>A0130010100</t>
  </si>
  <si>
    <t>https://001.com.ua/uk/blok-rozpodilchyy-jhukk-80-asko-ukrem</t>
  </si>
  <si>
    <t>https://shop.mtk.com.ua/id/komplekt-konnektorov-mc4-tipa-mc4x-b1-864.html</t>
  </si>
  <si>
    <t>PG18 (сальник, герметичній ввід, АСКО)</t>
  </si>
  <si>
    <t>A0150050006</t>
  </si>
  <si>
    <t>https://001.com.ua/uk/salnyk-pg18-diametr-kabelyu-12-15-mm-ip54-asko-ukrem</t>
  </si>
  <si>
    <t>PG21 (сальник, герметичній ввід, АСКО)</t>
  </si>
  <si>
    <t>A0150050007</t>
  </si>
  <si>
    <t>https://001.com.ua/uk/salnyk-pg21-diametr-kabelyu-13-18-mm-ip54-asko-ukrem</t>
  </si>
  <si>
    <t>https://001.com.ua/uk/trymach-plavkogo-zapobizhnyka-pk-1-1p-250a-m10-m10-s-eti</t>
  </si>
  <si>
    <t>https://001.com.ua/uk/trymach-plavkogo-zapobizhnyka-pk-2-1p-400a-m10-m10-s-eti</t>
  </si>
  <si>
    <t>PT-1 (тримач, роз'єднувач, 1p, 250A, 500VAC, M10-M10, ETI)</t>
  </si>
  <si>
    <t>https://001.com.ua/uk/trymach-plavkogo-zapobizhnyka-pt-1-1p-250a-m10-m10-eti</t>
  </si>
  <si>
    <t>PT-2 (Тримач запобіжника PT 2 1p 400A (M10-M10), ETI)</t>
  </si>
  <si>
    <t>https://001.com.ua/uk/trymach-plavkogo-zapobizhnyka-pt-2-1p-400a-m10-m10-eti</t>
  </si>
  <si>
    <t>QS5-63P/4 Роз'єднувач  (1-0-2) на 63А, АСКО-УКРЕМ</t>
  </si>
  <si>
    <t>A0100010009</t>
  </si>
  <si>
    <t>https://001.com.ua/uk/rozyednuvach-qs5-63p-4-4p-63a-i-0-ii-perekydnyy-asko-ukrem</t>
  </si>
  <si>
    <t>Розетки</t>
  </si>
  <si>
    <t>RHE-1s (розетка, 1-я, Schuko, IP54, ETI) біла кришка</t>
  </si>
  <si>
    <t>https://001.com.ua/uk/rozetka-1-misna-z-zazemlennyam-ip44-bila-z-neprozoroyu-biloyu-kryshkoyu-rhe-1s-seriya-hermetics-eti-slovenyya</t>
  </si>
  <si>
    <t>t-2P+Z Schuko (розетка, на DIN-рейку, ETI)</t>
  </si>
  <si>
    <t>https://001.com.ua/uk/rozetka-na-din-reyku-schuko-t-2p-z-eti</t>
  </si>
  <si>
    <t>Вимикач  2х поз. (поворотний, стандартна ручка, АСКО)</t>
  </si>
  <si>
    <t>A0140010004</t>
  </si>
  <si>
    <t>https://001.com.ua/uk/peremykach-na-2-polozhennya-xb2-bd21-asko-ukrem</t>
  </si>
  <si>
    <t>Герметик п/урет. SOUDAFLEX 40 чорний 600мл</t>
  </si>
  <si>
    <t>DPP30D-DP-250</t>
  </si>
  <si>
    <t>https://001.com.ua/uk/trymach-plavkogo-zapobizhnyka-dp-35-gabaryt-1-250a-iek</t>
  </si>
  <si>
    <t>A0050020006</t>
  </si>
  <si>
    <t>https://001.com.ua/uk/znimach-zapobizhnykiv-zpz-1-asko-ukrem</t>
  </si>
  <si>
    <t>Кнопка (з підсвіткою, без фіксації, 1НВ+1НЗ, зелена, АСКО) TB5-AW33V5</t>
  </si>
  <si>
    <t>A0140010173</t>
  </si>
  <si>
    <t>https://001.com.ua/uk/knopka-z-pidsvichuvannyam-bez-fiksatsiyi-1nv-1nz-zelena-tb5-aw33m5-asko-ukrem</t>
  </si>
  <si>
    <t>Кнопка e.pbif.din.green (з індикатором, з фіксатором, на DIN-рейку, зелена, E.NEXT)</t>
  </si>
  <si>
    <t>i0790006</t>
  </si>
  <si>
    <t>https://001.com.ua/uk/knopka-z-fiksatsiyeyu-ta-indykatorom-na-din-reyku-e-pbif-din-green-zelena-e-next</t>
  </si>
  <si>
    <t>Кнопка КМУ11 (керування, модульна, червона, зелена, на DIN-рейку, IEK)</t>
  </si>
  <si>
    <t>MBD10-11-K51</t>
  </si>
  <si>
    <t>https://001.com.ua/uk/knopka-keruvannya-modulna-kmu11-iek</t>
  </si>
  <si>
    <t>Наконечник для кабелю до АКБ (високовольт/низьковольт, 120А, помаранчевий) (підходять для Sofar)</t>
  </si>
  <si>
    <t>SLPPA16BSO</t>
  </si>
  <si>
    <t>ПВ1 4.0 (провід мідний, монолітний)</t>
  </si>
  <si>
    <t>ПВ1 6.0 (провід мідний, монолітний)</t>
  </si>
  <si>
    <t>РАр10-3-ОП (розетка, з заземленням, на DIN-рейку, ІЕК)</t>
  </si>
  <si>
    <t>MRD10-16</t>
  </si>
  <si>
    <t>https://001.com.ua/uk/rozetka-rar10-3-op-z-zazemlyuyuchym-kontaktom-na-din-reyku-shuko-iek</t>
  </si>
  <si>
    <t>РСб20-3-ФСр (розетка, 1м, зовнішня, IP54, ФОРС, ІЕК)</t>
  </si>
  <si>
    <t>ERS12-K03-16-54-DC</t>
  </si>
  <si>
    <t>https://001.com.ua/uk/trymach-dvokomponentnyy-d25-mm-dkc</t>
  </si>
  <si>
    <t>https://001.com.ua/uk/skoba-dvolapkova-otsynkovana-d32-mm-dkc</t>
  </si>
  <si>
    <t>https://001.com.ua/uk/skoba-dvolapkova-otsynkovana-d38-40-mm-dkc</t>
  </si>
  <si>
    <t>Тримач 40 мм (з фіксатором, труба ПВТ, УФ, ДКС)</t>
  </si>
  <si>
    <t>https://001.com.ua/uk/trymach-z-fiksatorom-d40-mm-dkc</t>
  </si>
  <si>
    <t>https://001.com.ua/uk/skoba-dvolapkova-otsynkovana-d48-50-mm-dkc</t>
  </si>
  <si>
    <t>https://001.com.ua/uk/trymach-z-fiksatorom-d50-mm-dkc</t>
  </si>
  <si>
    <t>Тримач маркувальної бірки (для кнопок і перемикачів ∅22 мм, АСКО)</t>
  </si>
  <si>
    <t>A0140010072</t>
  </si>
  <si>
    <t>https://001.com.ua/uk/trymach-markuvalnoyi-byrky-dlya-knopok-i-peremykachiv-empty-22-mm-asko-ukrem</t>
  </si>
  <si>
    <t>Інвертор гібридний Deye SUN-10K-SG04LP3-ЕU (3 фази)</t>
  </si>
  <si>
    <t>Інвертор гібридний Deye SUN-12K-SG04LP3-ЕU (3 фази)</t>
  </si>
  <si>
    <t>Інвертор гібридний Deye SUN-15K-SG01HP3-EU-AM2</t>
  </si>
  <si>
    <t>Інвертор гібридний Deye SUN-6K-SG03LP1-EU</t>
  </si>
  <si>
    <t>Інвертор гібридний Deye SUN-6K-SG05LP1-ЕU</t>
  </si>
  <si>
    <t>Інвертор мережевий Solis-25K-5G-DC</t>
  </si>
  <si>
    <t>https://e-server.com.ua/patch-kordy/patch-kordy-ftp/patch-kord-litoj-ftp-rj45-15m-kat-5e-detail</t>
  </si>
  <si>
    <t>https://001.com.ua/kabel-silovoy-avvg-4x10-mm2-s-alyuminievymi-zhilami</t>
  </si>
  <si>
    <t>АВВГ 4х16 (кабель, алюм.)</t>
  </si>
  <si>
    <t>АВВГ 4х25 (кабель, алюм.)</t>
  </si>
  <si>
    <t>АВВГнг 4х70</t>
  </si>
  <si>
    <t>https://ecshop.com.ua/p108159-kabel_vvgng_3h6</t>
  </si>
  <si>
    <t>https://ecshop.com.ua/p108195-kabel_vvgng_4h10</t>
  </si>
  <si>
    <t>https://ecshop.com.ua/p108196-kabel_vvgng_4h16</t>
  </si>
  <si>
    <t>https://ecshop.com.ua/p123476-kabel_vvgng_4h25_0-66kv</t>
  </si>
  <si>
    <t>https://ecshop.com.ua/p108194-kabel_vvgng_4h6</t>
  </si>
  <si>
    <t>https://ecshop.com.ua/p108219-kabel_vvgng_5h10</t>
  </si>
  <si>
    <t>ВВГнг 5х16 (кабель, мідний)</t>
  </si>
  <si>
    <t>https://ecshop.com.ua/p108220-kabel_vvgng_5h16</t>
  </si>
  <si>
    <t>https://ecshop.com.ua/p108217-kabel_vvgng_5h4</t>
  </si>
  <si>
    <t>Кабель сонячний 10 кв.мм (чорний, червоний)</t>
  </si>
  <si>
    <t>Кабель сонячний 4 кв.мм КВЕ (червоний)</t>
  </si>
  <si>
    <t>Кабель сонячний 4 кв.мм КВЕ (чорний)</t>
  </si>
  <si>
    <t>Кабель сонячний 6 кв.мм КВЕ (червоний)</t>
  </si>
  <si>
    <t>Кабель сонячний 6 кв.мм КВЕ (чорний)</t>
  </si>
  <si>
    <t>КППт-ВП (100) 2х2х0.51 (кабель, мідний, комп'ютерний, FTP, вита пара)</t>
  </si>
  <si>
    <t>https://ecshop.com.ua/p108132-provod_pv3_0-75</t>
  </si>
  <si>
    <t>ПВ3 1.0 (провід, мідний)</t>
  </si>
  <si>
    <t>https://ecshop.com.ua/p108133-provod_pv3_1</t>
  </si>
  <si>
    <t>ПВ3 10.0 (провід, мідний)</t>
  </si>
  <si>
    <t>https://ecshop.com.ua/p108138-provod_pv3_10</t>
  </si>
  <si>
    <t>https://ecshop.com.ua/p108139-provod_pv3_16</t>
  </si>
  <si>
    <t>https://ecshop.com.ua/p108135-provod_pv3_2-5</t>
  </si>
  <si>
    <t>ПВ3 25.0 (провід, мідний)</t>
  </si>
  <si>
    <t>https://ecshop.com.ua/p108140-provod_pv3_25</t>
  </si>
  <si>
    <t>ПВ3 35.0 (провід, мідний)</t>
  </si>
  <si>
    <t>https://ecshop.com.ua/p108141-provod_pv3_35</t>
  </si>
  <si>
    <t>ПВ3 50.0 (провід, мідний)</t>
  </si>
  <si>
    <t>https://ecshop.com.ua/p108137-provod_pv3_6</t>
  </si>
  <si>
    <t>ПВ3 70.0 (провід, мідний)</t>
  </si>
  <si>
    <t>ПВ3нгд 16.0 (провід, мідний)</t>
  </si>
  <si>
    <t>ПВ3нгд 25.0 (провід, мідний)</t>
  </si>
  <si>
    <t>ПВ3нгд 35.0 (провід, мідний)</t>
  </si>
  <si>
    <t>ПВС 2х6 (кабель, мідний)</t>
  </si>
  <si>
    <t>https://ecshop.com.ua/p108107-provod_pvs_2h6</t>
  </si>
  <si>
    <t>https://ecshop.com.ua/p108113-provod_pvs_3h4</t>
  </si>
  <si>
    <t>ПВС 3х6 (кабель, мідний)</t>
  </si>
  <si>
    <t>https://ecshop.com.ua/p108114-provod_pvs_3h6</t>
  </si>
  <si>
    <t>https://ecshop.com.ua/p108111-provod_pvs_4h10</t>
  </si>
  <si>
    <t>https://ecshop.com.ua/p108129-provod_pvs_5h4</t>
  </si>
  <si>
    <t>ПВС 5х6 (провід, мідний)</t>
  </si>
  <si>
    <t>https://ecshop.com.ua/p108130-provod_pvs_5h6</t>
  </si>
  <si>
    <t>СІП 1х50 (провід, алюм.)</t>
  </si>
  <si>
    <t>СІП 2х10 (провід, алюм.)</t>
  </si>
  <si>
    <t>СІП 4х25 (провід, алюм.)</t>
  </si>
  <si>
    <t>СІП 4х35 (провід, алюм.)</t>
  </si>
  <si>
    <t>ШВВП 2х0.75 (кабель, мідний)</t>
  </si>
  <si>
    <t>https://ecshop.com.ua/p108092-provod_shvvp_2h2-5</t>
  </si>
  <si>
    <t>Лічильники електроенергії</t>
  </si>
  <si>
    <t>GSM/GPRS контролер MCL 5.10 для лічильників Gama</t>
  </si>
  <si>
    <t>s015014</t>
  </si>
  <si>
    <t>https://001.com.ua/uk/homut-kabelnyy-e-ct-stand-200-3-black-3x200-mm-neylon-chornyy-upakovka-100-sht-e-next</t>
  </si>
  <si>
    <t>s015102</t>
  </si>
  <si>
    <t>https://001.com.ua/uk/homut-kabelnyy-e-ct-stand-200-4-black-4x200-mm-neylon-chornyy-upakovka-100-sht-e-next</t>
  </si>
  <si>
    <t>s015044</t>
  </si>
  <si>
    <t>https://001.com.ua/uk/homut-kabelnyy-e-ct-stand-300-5-black-5x300-mm-neylon-chornyy-upakovka-100-sht-e-next</t>
  </si>
  <si>
    <t>10606020P65</t>
  </si>
  <si>
    <t>p0100250</t>
  </si>
  <si>
    <t>https://001.com.ua/uk/korpus-metalevyy-e-mbox-pro-p-100-65-30-ip54-z-montazhnoyu-panellyu-e-next</t>
  </si>
  <si>
    <t>Шафа навісна E.NEXT, 1200x800x300мм, IP54</t>
  </si>
  <si>
    <t>p0100251</t>
  </si>
  <si>
    <t>https://001.com.ua/uk/korpus-metalevyy-e-mbox-pro-p-120-80-30-ip54-z-montazhnoyu-panellyu-e-next</t>
  </si>
  <si>
    <t>R5ST0752</t>
  </si>
  <si>
    <t xml:space="preserve">Пристрій WIFI/LAN моніторингу Altek Smart Dongle WLAN-FE </t>
  </si>
  <si>
    <t>https://ecshop.com.ua/ua/p129161-analizator_seti_s_rs485_vh_100a_na_din_kl_1-0</t>
  </si>
  <si>
    <t>SDM630MCT</t>
  </si>
  <si>
    <t>https://ecshop.com.ua/p122849-sdm630mct_5a_ct_analizator_seti_s_rs485_vh-1-5a_na_din_kl_1-0_bi-directional_measurement</t>
  </si>
  <si>
    <t>https://ecshop.com.ua/ua/p143962-schetchik_energii_dtsu666-h_smartmeter_250a_max</t>
  </si>
  <si>
    <t>Лічильник Huawei CHiNT DTSU666-HW Smart meter, 3ф, без ТС</t>
  </si>
  <si>
    <t>https://www.fronius.com/uk-ua/ukraine/sonyachna-enerhiya/instalyatory-ta-partnery/tekhnichni-dani/%D0%B2%D1%81%D1%96-%D0%BF%D1%80%D0%BE%D0%B4%D1%83%D0%BA%D1%82%D0%B8/%D0%BC%D0%BE%D0%BD%D1%96%D1%82%D0%BE%D1%80%D0%B8%D0%BD%D0%B3-%D1%81%D0%B8%D1%81%D1%82%D0%B5%D0%BC%D0%B8/%D0%B0%D0%BF%D0%B0%D1%80%D0%B0%D1%82%D0%BD%D0%B5-%D0%B7%D0%B0%D0%B1%D0%B5%D0%B7%D0%BF%D0%B5%D1%87%D0%B5%D0%BD%D0%BD%D1%8F/fronius-smart-meter/fronius-smart-meter-63a-3</t>
  </si>
  <si>
    <t>https://www.acrel.sg/uk/acr10r-d16te-single-phase-energy-meter-for-solar-inverters-product/</t>
  </si>
  <si>
    <t>Трансформатор струму кліпса SCT-T24 100/5</t>
  </si>
  <si>
    <t>https://ecshop.com.ua/ua/p129150-mini_transformator_toka_100-5a_s_razemnim_serdechnikom_d-24mm_kl_0-5</t>
  </si>
  <si>
    <t>Лічильник GAMA 100 G1B.151.320.F3.B2.P4.C310.V1, 10(100)А,"ЗЕЛЕНИЙ" ТАРИФ</t>
  </si>
  <si>
    <t>16U400BL</t>
  </si>
  <si>
    <t>https://e-server.com.ua/uk/serverni-stijki/serverni-stijki-lite/serverna-stijka-16u-400-lite-detail</t>
  </si>
  <si>
    <t>Стійка CSV-24U 400 Lite</t>
  </si>
  <si>
    <t>24U400BL</t>
  </si>
  <si>
    <t>https://e-server.com.ua/uk/serverni-stijki/serverni-stijki-lite/serverna-stijka-24u-400-lite-detail</t>
  </si>
  <si>
    <t>Комплектуючі RUDNIK</t>
  </si>
  <si>
    <t>met-0</t>
  </si>
  <si>
    <t>Прижими Z та Т (Не зовсім актуальні)</t>
  </si>
  <si>
    <t>Z-прижим (кінцевий) 40мм</t>
  </si>
  <si>
    <t>Z-прижим Н35</t>
  </si>
  <si>
    <t>Z-прижим у зборі Н30 L50 Black</t>
  </si>
  <si>
    <t>Z-прижим у зборі Н35 L50</t>
  </si>
  <si>
    <t>z35</t>
  </si>
  <si>
    <t>WinS20</t>
  </si>
  <si>
    <t>Бітумна стрічка 50мм (10м) Sika</t>
  </si>
  <si>
    <t>БП50-40</t>
  </si>
  <si>
    <t>Blok310Z</t>
  </si>
  <si>
    <t>Blok310U</t>
  </si>
  <si>
    <t>Болт М12х30 цинк шестигран.</t>
  </si>
  <si>
    <t>Болт М12х40 цинк шестігран.</t>
  </si>
  <si>
    <t>Болт М8х20 н/ж шестигран.</t>
  </si>
  <si>
    <t>Болт М8х25 н/ж (INBUS, Jackson)</t>
  </si>
  <si>
    <t>Болт М8х30 н/ж (INBUS, Jackson)</t>
  </si>
  <si>
    <t>Болт М8х35 н/ж (INBUS, Jackson)</t>
  </si>
  <si>
    <t>Болт М8х40 н/ж (INBUS, Jackson)</t>
  </si>
  <si>
    <t>https://metalvis.ua/ru/catalog/sku-din933-bolt-m8h40-88-cb-pr/</t>
  </si>
  <si>
    <t>Болт М8х50 н/ж (INBUS, Jackson)</t>
  </si>
  <si>
    <t>Болт М8х60 н/ж (INBUS, Jackson)</t>
  </si>
  <si>
    <t>Гайка з фланцем зубчаста М8 н/ж</t>
  </si>
  <si>
    <t>Гайка М12 цинк</t>
  </si>
  <si>
    <t>https://metalvis.ua/ru/catalog/sku-iso4032-gajka-m8-8-cb/</t>
  </si>
  <si>
    <t>Гайка М8 н/ж</t>
  </si>
  <si>
    <t>https://metalvis.ua/ru/catalog/sku-din934-gajka-m8-a2</t>
  </si>
  <si>
    <t>Гайка монтажна М8 (молоткова) цинк</t>
  </si>
  <si>
    <t>Гайка-фланець з насічкою DIN 6923 нерж. M10</t>
  </si>
  <si>
    <t>https://metalvis.ua/ru/catalog/sku-din6923-gajka-m10-flanc-8-cb-zubch/</t>
  </si>
  <si>
    <t>Гвинт самосвердлювальний н/ж 16мм шестігран.</t>
  </si>
  <si>
    <t>Гвинт-шуруп М10х180 н/ж</t>
  </si>
  <si>
    <t>Гумовий ущільнювач М10 (EPDM)</t>
  </si>
  <si>
    <t>2818LD-Sm4</t>
  </si>
  <si>
    <t>WT-2055D-M6</t>
  </si>
  <si>
    <t>https://e-server.com.ua/uk/aksesuari-kriplennja/kriplennja-rizne/komplekt-kriplennja-chornij-gvint-20mm-gajka-shajba-detail</t>
  </si>
  <si>
    <t>Кріплення для станції в офісі</t>
  </si>
  <si>
    <t>Кріплення Z-30 до профтруби 40мм (композит) у зборі</t>
  </si>
  <si>
    <t>Кріплення П-30 до профтруби 40мм (композит) у зборі</t>
  </si>
  <si>
    <t>Кронштейн кріплення до металочерепиці (шиферу) у зборі L45а-Met М10х200 нерж</t>
  </si>
  <si>
    <t>L45а-Met200н</t>
  </si>
  <si>
    <t>Кронштейн кріплення Т-подібний на бітумну покрівлю у зборі Tbit-2 Al з гвинт 4,8 і прокл</t>
  </si>
  <si>
    <t>KT104-I3М8-t5</t>
  </si>
  <si>
    <t>https://e-server.com.ua/uk/aksesuari-kriplennja/serverni-polici/policja-nizhnja-400-mm-detail</t>
  </si>
  <si>
    <t>Пластина підкладна (композит, алюміній, 60х60х3мм М8)</t>
  </si>
  <si>
    <t>К5050-9</t>
  </si>
  <si>
    <t>PS-1U-400-B</t>
  </si>
  <si>
    <t>https://e-server.com.ua/aksessuary-krepleniya/servernye-polki/polka-19-4-tochki-krepl-400mm-glub-perforirovannaya-stal-1-5mm-detail</t>
  </si>
  <si>
    <t>z30-uno</t>
  </si>
  <si>
    <t>Притиск у зборі Z30 гвинт А2, гайка монт, фікс</t>
  </si>
  <si>
    <t>Z30inbМ8х30нMF</t>
  </si>
  <si>
    <t>LD22M8-1230.An</t>
  </si>
  <si>
    <t>LD22M8-1550.An</t>
  </si>
  <si>
    <t>LD22M8-2060.An</t>
  </si>
  <si>
    <t>LD22M8-2220.An</t>
  </si>
  <si>
    <t>LD22M8-2460.An</t>
  </si>
  <si>
    <t>LD22M8-3100.An</t>
  </si>
  <si>
    <t>Стаціонарна полиця EServer 1U 19" 420х400 мм (Ш*Г), чорна</t>
  </si>
  <si>
    <t>PS-1U-400-B-E</t>
  </si>
  <si>
    <t>https://e-server.com.ua/uk/stacionarna-policia-eserver-1u-19-420x400-mm-sg-corna-ps-1u-400-b-e</t>
  </si>
  <si>
    <t>Т-прижим (чорний, анодований)</t>
  </si>
  <si>
    <t>Т-прижим Н35</t>
  </si>
  <si>
    <t>Т-прижим у зборі H30 L50</t>
  </si>
  <si>
    <t>t30</t>
  </si>
  <si>
    <t>Т-прижим у зборі H30 L50 Black</t>
  </si>
  <si>
    <t>Т-стійка (для бітумної черепиці)</t>
  </si>
  <si>
    <t>Шайба  збільшена цинк 10х34</t>
  </si>
  <si>
    <t>Шайба 12 цинк</t>
  </si>
  <si>
    <t>Шайба 8 н/ж</t>
  </si>
  <si>
    <t>https://metalvis.ua/ru/catalog/sku-shajba-ploska-m8-nerzha2</t>
  </si>
  <si>
    <t>Шайба збільшена цинк 8х24мм</t>
  </si>
  <si>
    <t>Шайба пружинна 12 цинк</t>
  </si>
  <si>
    <t>Шайба пружинна 8 н/ж</t>
  </si>
  <si>
    <t>Нові комплектуючі</t>
  </si>
  <si>
    <t>м2</t>
  </si>
  <si>
    <t>Послуги, як запас для собівартості продаж</t>
  </si>
  <si>
    <t>год</t>
  </si>
  <si>
    <t>Cонячна батарея AE METEOR AE430CMD-108BDE Full Black, Double glass</t>
  </si>
  <si>
    <t>Cонячна батарея AE METEOR AE435CMD-108BDE</t>
  </si>
  <si>
    <t>Cонячна батарея AE METEOR AE615CMER-132BDS</t>
  </si>
  <si>
    <t>Cонячна батарея HANERSUN 590W Topcon Bifacial solar module HN18N-72HT590W (1200mm cables)</t>
  </si>
  <si>
    <t>https://pl.hanersun.com/wp-content/uploads/download/datasheet/HItouch5N/HN18N-72HT.pdf</t>
  </si>
  <si>
    <t>Cонячна батарея Jinko Solar Tiger Neo 580W (72HL4-BDV)</t>
  </si>
  <si>
    <t>Сонячна батарея AE AURORA 550MD-144 30mm 550W Silver Frame</t>
  </si>
  <si>
    <t>Сонячна батарея AE AURORA 550MD-144 35mm 550W Silver Frame</t>
  </si>
  <si>
    <t>Сонячна батарея Risen RSM110-8-540M Titan 540 Вт</t>
  </si>
  <si>
    <t>Сонячна батарея AE AURORA AE415MD-108 30mm 415W Black frame</t>
  </si>
  <si>
    <t>Сонячна батарея HYUNDAI HIT-H450CE-BF</t>
  </si>
  <si>
    <t>e.is3.pro.4.40 4р,40А Вимикач на DIN-рейку на три положення</t>
  </si>
  <si>
    <t>p008025</t>
  </si>
  <si>
    <t>https://001.com.ua/uk/peremykach-na-din-reyku-na-3-polozhennya-e-is3-pro-4-40-4r-40a-e-next</t>
  </si>
  <si>
    <t>i0360013</t>
  </si>
  <si>
    <t>https://001.com.ua/uk/paketnyy-peremykach-v-korpusi-e-industrial-sb-1-0-2-4-40-4p-40-a-1-0-2-ip65-e-next</t>
  </si>
  <si>
    <t>Розподільча коробка e.db.pro.100.100.50u</t>
  </si>
  <si>
    <t>p016103</t>
  </si>
  <si>
    <t>https://001.com.ua/uk/korobka-rozpodilcha-e-db-pro-100-100-50u-e-next</t>
  </si>
  <si>
    <t>Розподільча коробка e.db.pro.85.85.50u</t>
  </si>
  <si>
    <t>p016102</t>
  </si>
  <si>
    <t>https://001.com.ua/uk/korobka-rozpodilcha-e-db-pro-85-85-50u-e-next</t>
  </si>
  <si>
    <t>https://nartex.ua/tiles/pavement/</t>
  </si>
  <si>
    <t>BB1H-63-25A-2B (2р, 600VDC, автоматичний вимикач, постійний струм, BENY)</t>
  </si>
  <si>
    <t>BB1H-63-25A-2B</t>
  </si>
  <si>
    <t>BB1H-63-32A-2B</t>
  </si>
  <si>
    <t>BB1H-63-40A-2B (2р, 600VDC, автоматичний вимикач, постійний струм, BENY)</t>
  </si>
  <si>
    <t>BB1H-63-40A-2B</t>
  </si>
  <si>
    <t>комп.</t>
  </si>
  <si>
    <t>P50П30-310</t>
  </si>
  <si>
    <t>P50Z30-310</t>
  </si>
  <si>
    <t>BOS-G-PDU-2</t>
  </si>
  <si>
    <t>BYT.2a-32 (4P, 32A, 1200V, вимикач навантаження, DIN-рейка, BENY)</t>
  </si>
  <si>
    <t>https://www.beny.com/product-item/dc-isolator-up-to-1200v-open-type-byt-2a-32/</t>
  </si>
  <si>
    <t>https://metalvis.ua/ru/catalog/sku-shajba-ploska-m10-nerzha2/</t>
  </si>
  <si>
    <t>https://metalvis.ua/uk/catalog/sku-shajba-pruzhkvsch10-cb/</t>
  </si>
  <si>
    <t>https://metalvis.ua/ru/catalog/sku-din933-bolt-m10h20-88-cb-pr/</t>
  </si>
  <si>
    <t>https://metalvis.ua/ru/catalog/sku-din934-gajka-m10-a2/</t>
  </si>
  <si>
    <t>DL-150 (накінечник кабельний, алюм., без ізоляції, 150мм2, АСКО)</t>
  </si>
  <si>
    <t>A0060090009</t>
  </si>
  <si>
    <t>A0060090002</t>
  </si>
  <si>
    <t>A0060090010</t>
  </si>
  <si>
    <t>A0060090011</t>
  </si>
  <si>
    <t>DL-50 (накінечник кабельний, алюм., без ізоляції, 50мм2, IEK)</t>
  </si>
  <si>
    <t>UNP10-050-09-10</t>
  </si>
  <si>
    <t>https://001.com.ua/uk/nakinechnyk-dl-50-alyuminiyevyy-kabelnyy-iek</t>
  </si>
  <si>
    <t>A0060090005</t>
  </si>
  <si>
    <t>A0060090007</t>
  </si>
  <si>
    <t>DT-16 (накінечник кабельний, мідний, луджений, 16мм2, АСКО)</t>
  </si>
  <si>
    <t>A0060070002</t>
  </si>
  <si>
    <t>DT-25-8 (накінечник кабельний, мідний, луджений, 25 мм2, АСКО)</t>
  </si>
  <si>
    <t>A0060070003</t>
  </si>
  <si>
    <t>https://001.com.ua/uk/nakinechnyk-dt-25-midnyy-ludzhenyy-kabelnyy-pid-opresuvannya-asko-ukrem</t>
  </si>
  <si>
    <t>DT-50-10 (накінечник кабельний, мідний, луджений, 50мм2, АСКО)</t>
  </si>
  <si>
    <t>A0060070005</t>
  </si>
  <si>
    <t>https://001.com.ua/uk/nakinechnyk-dt-50-midnyy-ludzhenyy-kabelnyy-pid-opresuvannya-asko-ukrem</t>
  </si>
  <si>
    <t>DT-70 (накінечник кабельний, мідний, луджений, 70мм2, АСКО)</t>
  </si>
  <si>
    <t>A0060070006</t>
  </si>
  <si>
    <t>https://001.com.ua/uk/nakinechnyk-dt-70-midnyy-ludzhenyy-kabelnyy-pid-opresuvannya-asko-ukrem</t>
  </si>
  <si>
    <t>e.pro.spd.1D.275 1p (обмежувач імпульсних перенапруг, хар-ка "D", ENEXT)</t>
  </si>
  <si>
    <t>p076009</t>
  </si>
  <si>
    <t>https://enext.ua/uk/catalog/pzip_serii_e_pro/pristriy_dlya_zakhistu_vid_impulsnikh_perenaprug_e_pro_spd_1d_275_1p_klas_d/</t>
  </si>
  <si>
    <t>EFI6-P2 Диференційне реле (ПЗВ)  2p 25А/0,03А тип AC (6kA), ETI</t>
  </si>
  <si>
    <t>EKD 80X40_HD</t>
  </si>
  <si>
    <t>G-DT-35/10 (накінечник кабельний, мідний, луджений, 35мм2)</t>
  </si>
  <si>
    <t>TNSy5504430</t>
  </si>
  <si>
    <t>HDW-211 (обмежувач, металевий, тримач, на DIN-рейку, АСКО) аналог YXD10</t>
  </si>
  <si>
    <t>A0130030018</t>
  </si>
  <si>
    <t>https://001.com.ua/uk/fiksator-metalevyy-na-din-reyku-hdw-211-asko-ukrem</t>
  </si>
  <si>
    <t>IZ 10/1F/54 (шина живлення, мідна, 10 мм², 1р, 1м, Fork, ETI)</t>
  </si>
  <si>
    <t>JG-70 (накінечник кабельний, мідний, луджений, 70мм2, ІЕК)</t>
  </si>
  <si>
    <t>UNP40-070-11-12</t>
  </si>
  <si>
    <t>https://001.com.ua/uk/rukoyatka-na-korpus-lbs-dh-co-630-b-chorna-dlya-lbs-160-630a-co-eti</t>
  </si>
  <si>
    <t>LHD 40х40 (кабельний канал, короб, білий, ПВХ, 2000мм, KOPOS)</t>
  </si>
  <si>
    <t>LHD 40X40_HD</t>
  </si>
  <si>
    <t>https://001.com.ua/uk/kabelnyy-kanal-pvh-40x40-mm-lhd-bilyy-kopos</t>
  </si>
  <si>
    <t>LHD 40х40 заглушка (білий, Серія LH/LHD, ПВХ, KOPOS) 8641</t>
  </si>
  <si>
    <t>8641_HB</t>
  </si>
  <si>
    <t>LHD 40х40 кут внутрішній (білий, Серія LH/LHD, ПВХ, KOPOS) 8645</t>
  </si>
  <si>
    <t>8645_HB</t>
  </si>
  <si>
    <t>LHD 40х40 кут зовнішній (білий, Серія LH/LHD, ПВХ, KOPOS) 8646</t>
  </si>
  <si>
    <t>8646_HB</t>
  </si>
  <si>
    <t>LHD 40х40 кут плаский (білий, Серія LH/LHD, ПВХ, KOPOS) 8643</t>
  </si>
  <si>
    <t>8643_HB</t>
  </si>
  <si>
    <t>LHD 40х40 кут Т-подібний, трійник  8644 (білий, Серія LH/LHD, ПВХ, KOPOS) 8644</t>
  </si>
  <si>
    <t>8644_HB</t>
  </si>
  <si>
    <t>A0090050002</t>
  </si>
  <si>
    <t>https://001.com.ua/uk/rele-chasu-nte8-10v-zatrymka-vklyuchennya-1-10-s-asko-ukrem</t>
  </si>
  <si>
    <t>OSPV-30A Запобіжник gPV для СЕС 30A/1000В</t>
  </si>
  <si>
    <t>FUSE30A</t>
  </si>
  <si>
    <t>http://shop.mtk.com.ua/id/predohranitel-30a-adler-elektrotechnik-a73-gpv-cilindricheskiy-1038--804.html</t>
  </si>
  <si>
    <t>PG11 (сальник, герметичній ввід, АСКО)</t>
  </si>
  <si>
    <t>A0150050003</t>
  </si>
  <si>
    <t>PG29 (сальник, герметичній ввід, АСКО)</t>
  </si>
  <si>
    <t>A0150050008</t>
  </si>
  <si>
    <t>https://001.com.ua/uk/salnyk-pg29-diametr-kabelyu-18-25-mm-ip54-asko-ukrem</t>
  </si>
  <si>
    <t>PV-ZH203 (штекер, гніздо, комплект конекторів MC4, трійник)</t>
  </si>
  <si>
    <t>https://mtk.com.ua/montazhnye-aksessuary-alt/komplekt-y-soedinitelej-mc4</t>
  </si>
  <si>
    <t>RA25-40 (контактор модульный, 25A, 230VAC, 4NO, ETI)</t>
  </si>
  <si>
    <t>https://001.com.ua/uk/kontaktor-modulnyy-ra-25-40-25a-230v-ac-4no-eti</t>
  </si>
  <si>
    <t>T-blok</t>
  </si>
  <si>
    <t>https://001.com.ua/uk/perehidnyky-shynni-zb2-160amp-250-3-rozshyryuvalni-komplekt-3-sht-eti</t>
  </si>
  <si>
    <t>Авт. вимикач NBS-TMD 100/3L 80A (36kA,(0.8-1)In/фікс.) 3P, ETI</t>
  </si>
  <si>
    <t>https://www.eti.ua/produktsiya-ua//004673006-nbs</t>
  </si>
  <si>
    <t>https://www.eti.ua/produktsiya-ua/004673026</t>
  </si>
  <si>
    <t>https://ecshop.com.ua/ua/p138133-avtomaticheskiy_viklyuchatel_etibreak_nbs-tms_160-3s_125a_3p</t>
  </si>
  <si>
    <t>Авт. вимикач NBS-TMD 250/3L 200A (36kA,(0.8-1)In/(5-10)In) 3P</t>
  </si>
  <si>
    <t>https://electrocontrol.com.ua/ua/avtomaticheskie-vyklyuchateli/4673071-avtomaticheskii-vykluchatel-eti-nbs-tmd-250-3l-200a-36ka-0-8-1in-5-10in-3p</t>
  </si>
  <si>
    <t>Авт. вимикач NBS-TMD 250/3L 250A (36kA,(0.8-1)In/(5-10)In) 3P</t>
  </si>
  <si>
    <t>https://electrocontrol.com.ua/ua/avtomaticheskie-vyklyuchateli/4673072-avtomaticheskii-vykluchatel-eti-nbs-tmd-250-3l-250a-36ka-0-8-1in-5-10in-3p</t>
  </si>
  <si>
    <t>https://www.eti.ua/produktsiya-ua/etibreak/nbs/004673009-nbs</t>
  </si>
  <si>
    <t>АД31 4х30х3000мм (шина алюмінієва, полоса)</t>
  </si>
  <si>
    <t>TNSy5503678</t>
  </si>
  <si>
    <t>https://tnsy.com.ua/product/shina-alyum-ad31-4h30h3000mm-tnsy/</t>
  </si>
  <si>
    <t>АД31 4х40х3000мм (шина алюмінієва, полоса)</t>
  </si>
  <si>
    <t>TNSy5503507</t>
  </si>
  <si>
    <t>BOS-G PRO</t>
  </si>
  <si>
    <t>RW-F16</t>
  </si>
  <si>
    <t>wins15</t>
  </si>
  <si>
    <t>WinS-I-ZN20</t>
  </si>
  <si>
    <t>WinS15EWZn</t>
  </si>
  <si>
    <t>Елементи розумного дому</t>
  </si>
  <si>
    <t>м3 станд</t>
  </si>
  <si>
    <t>Р50Z30-310</t>
  </si>
  <si>
    <t>Р50П30-310</t>
  </si>
  <si>
    <t>LP50M8-3150</t>
  </si>
  <si>
    <t>p0680002</t>
  </si>
  <si>
    <t>https://001.com.ua/uk/blok-rozpodilchyy-e-sn-pro-125-125-a-na-din-reyku-e-next</t>
  </si>
  <si>
    <t>Блок розподільчий e.sn.pro.400 (400 А) на DIN-рейку, E.NEXT</t>
  </si>
  <si>
    <t>p0680005</t>
  </si>
  <si>
    <t>https://001.com.ua/uk/blok-rozpodilchyy-e-sn-pro-400-400-a-na-din-reyku-e-next</t>
  </si>
  <si>
    <t>Blok310T</t>
  </si>
  <si>
    <t>ВВГнг 3х1,5 (кабель, мідний)</t>
  </si>
  <si>
    <t>https://ecshop.com.ua/p108201-kabel_vvgng_4h50</t>
  </si>
  <si>
    <t>Вимикач з фіксацією (2 положення, 1НВ, зелений, EMAS)</t>
  </si>
  <si>
    <t>B100SL20Y</t>
  </si>
  <si>
    <t>https://001.com.ua/uk/peremykach-na-2-polozhennya-z-fiksatsiyeyu-1nv-zelenyy-plastyk-ip50-seriya-b-emas</t>
  </si>
  <si>
    <t>доб</t>
  </si>
  <si>
    <t>CM100600</t>
  </si>
  <si>
    <t>Гак універсальний сталевий для СІП (KBU-16, КБУ-16)</t>
  </si>
  <si>
    <t>p039003</t>
  </si>
  <si>
    <t>https://001.com.ua/uk/gak-universalnyy-kbu-16-e-next</t>
  </si>
  <si>
    <t>CM010610</t>
  </si>
  <si>
    <t>https://epicentrk.ua/ua/shop/germetik-silikonovyy-universalnyy-sika-sikasil-universal-prozrachnyy-280-ml.html</t>
  </si>
  <si>
    <t>https://www.obo.ua/produkts-ia/drotianyi-lotok-gr-magic-55-g-3000-100-55-3-9-40-tak-6001442.html?sel=11e6e0a04d20f50967c64dac2d639a577|</t>
  </si>
  <si>
    <t>https://www.obo.ua/produkts-ia/drotianyi-lotok-gr-magic-55-g-3000-150-55-3-9-63-tak-6001444.html?sel=12b38c2df6a49b97f706ec9148ce48d86||</t>
  </si>
  <si>
    <t>https://www.obo.ua/produkts-ia/drotianyi-lotok-gr-magic-55-g-3000-200-55-3-9-87-tak-6001446.html?sel=1fe2d010308a6b3799a3d9c728ee74244||</t>
  </si>
  <si>
    <t>https://www.obo.ua/produkts-ia/drotianyi-lotok-gr-magic-55-g-3000-300-55-4-8-129-tak-6001448.html?sel=16f3e29a35278d71c7f65495871231324||</t>
  </si>
  <si>
    <t>https://www.obo.ua/produkts-ia/drotianyi-lotok-gr-magic-55-g-3000-50-55-3-9-16-tak-6001441.html</t>
  </si>
  <si>
    <t>D103-R20</t>
  </si>
  <si>
    <t>На продаж</t>
  </si>
  <si>
    <t>З'єднувач для Алюмінієвого профілю Жук (NSP-1)</t>
  </si>
  <si>
    <t>https://namato.prom.ua/ua/p2413126124-soedinitel-dlya-alyuminievogo.html</t>
  </si>
  <si>
    <t>З'єднувач дротяного лотка, G (2,5-10 мкм), OBO</t>
  </si>
  <si>
    <t>https://www.obo.ua/produkts-ia/z-jednuvalnyi-element-kabelnoho-lotka-g-29-24-stal-halvan-chno-otsynkovanyi-6016596.html</t>
  </si>
  <si>
    <t>Rp4/8*20,5Al/EPDM</t>
  </si>
  <si>
    <t>https://amperok.com.ua/zatyskach_ankernyj_za_4_25-50_za_3_2e_bilmaks_b00012606</t>
  </si>
  <si>
    <t>https://amperok.com.ua/zatyskach_ankernyj_za_4_10-25_skoba_za_1_2e_bilmaks_b00043734</t>
  </si>
  <si>
    <t>Затискач підтримуючий прохідний універсальний для СІП (ЗПУ 2-4х10-120, ZPU)</t>
  </si>
  <si>
    <t>https://001.com.ua/uk/zatyskach-pidtrymuvalnyy-zpu-4x-10-120-bilmax</t>
  </si>
  <si>
    <t>https://001.com.ua/uk/kryshka-zahysna-zp-200-do-klemy-vsu-eti</t>
  </si>
  <si>
    <t>Зумер на DIN-рейку BE 220, ETI</t>
  </si>
  <si>
    <t>https://001.com.ua/uk/zumer-na-din-reyku-be-220-eti</t>
  </si>
  <si>
    <t>Ізолятор ступінчастий e.step.ct4-30 450A силовий без болтів, E.NEXT</t>
  </si>
  <si>
    <t>s054102</t>
  </si>
  <si>
    <t>https://001.com.ua/uk/izolyator-stupinchastyy-e-step-ct4-30-450a-sylovyy-bez-boltiv-e-next</t>
  </si>
  <si>
    <t>МН-0064</t>
  </si>
  <si>
    <t>MH-0026</t>
  </si>
  <si>
    <t>МН-0027</t>
  </si>
  <si>
    <t>s022014</t>
  </si>
  <si>
    <t>https://001.com.ua/uk/izostrichka-0-13x19-mm-bila-20-m-e-tape-stand-20-white-e-next</t>
  </si>
  <si>
    <t>Ізострічка 0.13х19 мм (біла, 20 м, АСКО)</t>
  </si>
  <si>
    <t>A0150020038</t>
  </si>
  <si>
    <t>https://001.com.ua/uk/izostrichka-0-13x19-mm-bila-20-metriv-asko-ukrem</t>
  </si>
  <si>
    <t>Ізострічка 0.13х19 мм (жовта, 20 м, АСКО)</t>
  </si>
  <si>
    <t>A0150020039</t>
  </si>
  <si>
    <t>https://001.com.ua/uk/izostrichka-0-13x19-mm-zhovta-20-metriv-asko-ukrem</t>
  </si>
  <si>
    <t>s022013</t>
  </si>
  <si>
    <t>https://001.com.ua/uk/izostrichka-0-13x19-mm-zelena-20-m-e-tape-stand-20-green-e-next</t>
  </si>
  <si>
    <t>Ізострічка 0.13х19 мм (зелена, 20 м, АСКО)</t>
  </si>
  <si>
    <t>A0150020040</t>
  </si>
  <si>
    <t>https://001.com.ua/uk/izostrichka-0-13x19-mm-zelena-20-metriv-asko-ukrem</t>
  </si>
  <si>
    <t>s022015</t>
  </si>
  <si>
    <t>https://001.com.ua/uk/izostrichka-0-13x19-mm-synya-20-m-e-tape-stand-20-blue-e-next</t>
  </si>
  <si>
    <t>Ізострічка 0.13х19 мм (синя, 20 м, АСКО)</t>
  </si>
  <si>
    <t>A0150020041</t>
  </si>
  <si>
    <t>https://001.com.ua/uk/izostrichka-0-13x19-mm-synya-20-metriv-asko-ukrem</t>
  </si>
  <si>
    <t>Ізострічка 0.13х19 мм (червона, 20 м , АСКО)</t>
  </si>
  <si>
    <t>A0150020042</t>
  </si>
  <si>
    <t>https://001.com.ua/uk/izostrichka-0-13x19-mm-chervona-20-metriv-asko-ukrem</t>
  </si>
  <si>
    <t>s022011</t>
  </si>
  <si>
    <t>https://001.com.ua/uk/izostrichka-0-13x19-mm-chervona-20-m-e-tape-stand-20-red-e-next</t>
  </si>
  <si>
    <t>PMP482507010</t>
  </si>
  <si>
    <t>https://www.fronius.com/en-gb/uk/solar-energy/installers-partners/technical-data/all-products/inverters/fronius-verto/verto-30-0</t>
  </si>
  <si>
    <t>Кабельний ввід (D20мм IP55, DKC)</t>
  </si>
  <si>
    <t>https://001.com.ua/uk/vvid-kabelnyy-d20mm-ip55-dkc</t>
  </si>
  <si>
    <t>https://001.com.ua/uk/vvid-kabelnyy-d32mm-ip55-dkc</t>
  </si>
  <si>
    <t>Кабельний ввід (D40мм IP55, DKC)</t>
  </si>
  <si>
    <t>https://001.com.ua/uk/vvid-kabelnyy-d40mm-ip55-dkc</t>
  </si>
  <si>
    <t>Кабельний ввід e.pg.stand.21</t>
  </si>
  <si>
    <t>s018006</t>
  </si>
  <si>
    <t>https://001.com.ua/uk/vvid-kabelnyy-germetychnyy-e-pg-stand-21-diametr-kabelyu-13-18-mm-ip54-e-next</t>
  </si>
  <si>
    <t>Кабельний ввід e.pg.stand.29</t>
  </si>
  <si>
    <t>s018007</t>
  </si>
  <si>
    <t>https://001.com.ua/uk/vvid-kabelnyy-germetychnyy-e-pg-stand-29-diametr-kabelyu-18-25-mm-ip54-e-next</t>
  </si>
  <si>
    <t>Кабельний ввід e.pg.stand.9</t>
  </si>
  <si>
    <t>s018002</t>
  </si>
  <si>
    <t>https://001.com.ua/uk/vvid-kabelnyy-germetychnyy-e-pg-stand-9-diametr-kabelyu-4-8-mm-ip54-e-next</t>
  </si>
  <si>
    <t>Кабельний ввід e.pgl.stand.36, з подовженою різьбою і ущільнювачем</t>
  </si>
  <si>
    <t>s048008</t>
  </si>
  <si>
    <t>https://001.com.ua/uk/vvid-kabelnyy-germetychnyy-e-pgl-stand-36-z-podovzhenoyu-rizboyu-i-uschilnyuvachem-diametr-kabelyu-22-32-mm-ip54-e-next</t>
  </si>
  <si>
    <t>Клема заземлення G (2.5-10 мкм), OBO</t>
  </si>
  <si>
    <t>https://www.obo.ua/produkts-ia/klema-uzemliuvannia-kruhlyi-prov-dnyk-5043107.html</t>
  </si>
  <si>
    <t>Клема силова VSU 120 (120 mm2_бежева)</t>
  </si>
  <si>
    <t>https://001.com.ua/uk/klema-sylova-vsu-120-120-mm2-bezheva-eti</t>
  </si>
  <si>
    <t>s016003</t>
  </si>
  <si>
    <t>https://001.com.ua/uk/kolodka-klemna-dilyma-10-mm2-10a-12-grup-e-tc-stand-12-10-e-next</t>
  </si>
  <si>
    <t>Клемна колодка ділима, 12групп e.tc.stand.12.16, 30 А</t>
  </si>
  <si>
    <t>s016007</t>
  </si>
  <si>
    <t>https://001.com.ua/uk/kolodka-klemna-dilyma-16-mm2-30a-12-grup-e-tc-stand-12-16-e-next</t>
  </si>
  <si>
    <t>https://e-server.com.ua/uk/komplekt-bicnix-opor-400-mm-cornii</t>
  </si>
  <si>
    <t>Комплект кріплення EServer (сірий гвинт 20мм+гайка+шайба)</t>
  </si>
  <si>
    <t>WT-2055B-M6</t>
  </si>
  <si>
    <t>https://e-server.com.ua/uk/komplekt-kriplennia-sirii-gvint-20mmgaikasaiba-wt-2055b-m6</t>
  </si>
  <si>
    <t>https://e-server.com.ua/uk/aksesuari-kriplennja/aksesuari-do-korpusiv/komplekt-regulovanih-bichnih-opor-600-800-mm-detail</t>
  </si>
  <si>
    <t>BBC3030</t>
  </si>
  <si>
    <t>p0100242</t>
  </si>
  <si>
    <t>https://001.com.ua/uk/korpus-metalevyy-e-mbox-pro-p-160-80-40-ip31-z-montazhnoyu-panellyu-e-next</t>
  </si>
  <si>
    <t>p0100253</t>
  </si>
  <si>
    <t>https://001.com.ua/uk/korpus-metalevyy-e-mbox-pro-p-160-80-40-ip54-z-montazhnoyu-panellyu-e-next</t>
  </si>
  <si>
    <t>s0105009</t>
  </si>
  <si>
    <t>https://enext.ua/uk/catalog/korpusi_z_montazhnoyu_panellyu_mbox_serii_stand/korpus_metaleviy_e_mbox_stand_p_50_40_20_ip54_z_montazhnoyu_panellyu_500x400x200/</t>
  </si>
  <si>
    <t>КПВ-ВП (350) 4х2х0.51 (кабель, мідний, комп'ютерний, FTP, вита пара)</t>
  </si>
  <si>
    <t>КПП-ВП (100) 4*2*0,51 (кабель, мідний, комп'ютерний, FTP, вита пара, чорна ізоляція)</t>
  </si>
  <si>
    <t>Кришка CD90, на кут вертикальний зовнішній 90°, основа 300мм (оцинкована сталь., ДКС)</t>
  </si>
  <si>
    <t>https://001.com.ua/uk/kryshka-na-kut-cd-90-vertykalnyy-zovnishniy-90-grad-osnova-300-mm-garyachogo-tsynkuvannya-metod-sendzimira-dkc</t>
  </si>
  <si>
    <t>https://001.com.ua/uk/kryshka-cpo-90-na-kut-goryzontalnyy-90-grad-osnova-200-mm-garyachogo-tsynkuvannya-metod-sendzimira-dkc</t>
  </si>
  <si>
    <t>Кришка CPO90, на кут горизонтальний 90°, основа 300мм (оцинкована сталь., ДКС)</t>
  </si>
  <si>
    <t>https://001.com.ua/uk/kryshka-cpo-90-na-kut-goryzontalnyy-90-grad-osnova-300-mm-garyachogo-tsynkuvannya-metod-sendzimira-dkc</t>
  </si>
  <si>
    <t>Кришка на лоток 200 мм (із заземленням, оцинкована сталь., 3000 мм, ДКС)</t>
  </si>
  <si>
    <t>https://001.com.ua/uk/kryshka-z-zazemlennyam-na-lotok-200x3000-mm-garyachogo-tsynkuvannya-metod-sendzimira-dkc</t>
  </si>
  <si>
    <t>Кришка на лоток 300 мм (із заземленням, оцинкована сталь., 3000 мм, ДКС)</t>
  </si>
  <si>
    <t>https://001.com.ua/uk/kryshka-z-zazemlennyam-na-lotok-300x3000-mm-garyachogo-tsynkuvannya-metod-sendzimira-dkc</t>
  </si>
  <si>
    <t>K-bal 312Х312</t>
  </si>
  <si>
    <t>Кріплення до стіни ТМ 200 для вертикального монтажу осн.200 (30692)</t>
  </si>
  <si>
    <t>BMM1020</t>
  </si>
  <si>
    <t>Кріплення дротяного лотка під шпильку/болт М6, FS (18-22 мкм), OBO</t>
  </si>
  <si>
    <t>https://www.obo.ua/produkts-ia/kr-plennia-drotianoho-lotka-fs-60-x-40-stal-otsynkovano-metodom-sendzym-ra-6015263.html</t>
  </si>
  <si>
    <t>L95a-KerН-t8</t>
  </si>
  <si>
    <t>Кут CD90 вертикальний зовнішній 90°, 300х100 (оцинкована сталь, ДКС)</t>
  </si>
  <si>
    <t>https://001.com.ua/uk/kut-cd-90-vertykalnyy-zovnishniy-90-grad-300x100-mm-garyachogo-tsynkuvannya-metod-sendzimira-dkc</t>
  </si>
  <si>
    <t>https://001.com.ua/uk/kut-cpo-90-goryzontalnyy-90-grad-200x50-mm-garyachogo-tsynkuvannya-metod-sendzimira-dkc</t>
  </si>
  <si>
    <t>Кут CPO90 горизонтальний 90°, 300х100 (оцинкована сталь, ДКС)</t>
  </si>
  <si>
    <t>https://001.com.ua/uk/kut-cpo-90-goryzontalnyy-90-grad-300x100-mm-garyachogo-tsynkuvannya-metod-sendzimira-dkc</t>
  </si>
  <si>
    <t>https://support.huawei.com/enterprise/en/doc/EDOC1100355588</t>
  </si>
  <si>
    <t>Лічильник Huawei Wisdom DHSU1079-CT Smart meter, 3ф. (аналог DTSU666-Н) із ТС 250A/50mA (до 170 кВт)</t>
  </si>
  <si>
    <t>https://support.huawei.com/enterprise/en/doc/EDOC1100355594</t>
  </si>
  <si>
    <t>https://support.huawei.com/enterprise/en/doc/EDOC1100262247</t>
  </si>
  <si>
    <t>https://support.huawei.com/enterprise/en/doc/EDOC1100289910</t>
  </si>
  <si>
    <t>FC1120</t>
  </si>
  <si>
    <t>FC1130</t>
  </si>
  <si>
    <t>FC1140</t>
  </si>
  <si>
    <t>Лоток 200х50 мм (лоток, перфорований, оцинкована сталь., 3000 мм, ДКС)</t>
  </si>
  <si>
    <t>https://amperok.com.ua/ru/lotok_perforovanyj_200_50_3000_dkc_35264</t>
  </si>
  <si>
    <t>Лоток 300х100 мм (лоток, перфорований, оцинкована сталь., 3000 мм, ДКС)</t>
  </si>
  <si>
    <t>https://001.com.ua/uk/lotok-perforovanyy-300x100x3000-mm-garyachogo-tsynkuvannya-metod-sendzimira-dkc</t>
  </si>
  <si>
    <t>FC5510</t>
  </si>
  <si>
    <t>FC5505</t>
  </si>
  <si>
    <t>Мат гумовий МГ 320х320х3</t>
  </si>
  <si>
    <t>ОПС1-D 1р (обмежувач перенапруг, D, УЕК)</t>
  </si>
  <si>
    <t>MOP20-1-D-U</t>
  </si>
  <si>
    <t>https://001.com.ua/uzip-ops1-d-1p-klass-iii-d-iek</t>
  </si>
  <si>
    <t>хв</t>
  </si>
  <si>
    <t>П50</t>
  </si>
  <si>
    <t>UA-ASU3UXG</t>
  </si>
  <si>
    <t>https://e-server.com.ua/uk/panel-19-3u-z-din-reikoiu-dlia-24-x-avtomaticnix-vimikaciv-sira</t>
  </si>
  <si>
    <t>BSW10-ANC-2-K06</t>
  </si>
  <si>
    <t>https://001.com.ua/uk/peremykach-anc-22-2-na-2-fiksovanyh-polozhennya-i-o-neon-zelenyy-240v-1z-1r-iek</t>
  </si>
  <si>
    <t>UA-SH4-850G</t>
  </si>
  <si>
    <t>https://e-server.com.ua/uk/policia-19-4-tocki-kripl-850mm-glib-perforovana-stal-2-mm-sira-ua-sh4-850g</t>
  </si>
  <si>
    <t>T-SP ZN</t>
  </si>
  <si>
    <t>Z30-SP ZN</t>
  </si>
  <si>
    <t>Z30БМ8х20нГ</t>
  </si>
  <si>
    <t>Притиск у зборі П30 гвинт А2, гайка монт, фікс</t>
  </si>
  <si>
    <t>П30inbМ8х30нMF</t>
  </si>
  <si>
    <t xml:space="preserve">Продольний з'єднувач ZN41 у зборі </t>
  </si>
  <si>
    <t>Профіль алюмінієвий Жук (NSP-1) L-3100</t>
  </si>
  <si>
    <t>https://namato.prom.ua/ua/p2086356685-alyuminiyevij-profil-dlya.html</t>
  </si>
  <si>
    <t>Профіль прогону L-3100 Al LD</t>
  </si>
  <si>
    <t>LD22M8-3100</t>
  </si>
  <si>
    <t>Профіль цинк L3100 (41х21х1.5, 1d перфорація)</t>
  </si>
  <si>
    <t>G41*21*9*8*1,5-1d-3100</t>
  </si>
  <si>
    <t>Профіль цинк L3100 (41х41х1.5, бічна перфорація)</t>
  </si>
  <si>
    <t>G41x41x9x8x1.5-3d-3100</t>
  </si>
  <si>
    <t>spolEWZn</t>
  </si>
  <si>
    <t>Прохідний елемент Solar Classic (сірий)</t>
  </si>
  <si>
    <t>https://esstroy.in.ua/ua/p646947147-solar-classic-prohodnoj.html</t>
  </si>
  <si>
    <t>РБД-80А (розподільчий блок, клема, 80А, TNSy)</t>
  </si>
  <si>
    <t>TNSy5500659</t>
  </si>
  <si>
    <t>https://tnsy.com.ua/product/raspredelitelnyj-blok-na-din-rejku-rbd-80a-tnsy/</t>
  </si>
  <si>
    <t>p0690026</t>
  </si>
  <si>
    <t>https://001.com.ua/uk/rele-kontrolyu-naprugy-ta-strumu-tryfazne-z-indykatsiyeyu-e-control-v16-63a-e-next</t>
  </si>
  <si>
    <t>Реле контролю напруги однофазне 63А з індикацією (e.control.v09, E.NEXT)</t>
  </si>
  <si>
    <t>p0690014</t>
  </si>
  <si>
    <t>https://001.com.ua/uk/rele-kontrolyu-naprugy-odnofazne-na-din-reyku-z-indykatsiyeyu-e-control-v09-63a-e-next</t>
  </si>
  <si>
    <t>Реле напруги, перекосу та послідовності фаз RNPP-311M, Novatek</t>
  </si>
  <si>
    <t>NTRNP311M</t>
  </si>
  <si>
    <t>https://novatek-electro.com/ua/three-phase-voltage-relay-rnpp-311m/</t>
  </si>
  <si>
    <t>NTRNP3120</t>
  </si>
  <si>
    <t>https://novatek-electro.com/ua/three-phase-voltage-relay-rnpp-312/?gad_campaignid=22537464389</t>
  </si>
  <si>
    <t>Розумне реле 1P+N, 63A, без лічильника zigBee</t>
  </si>
  <si>
    <t>ES-Е1860B</t>
  </si>
  <si>
    <t>https://e-server.com.ua/uk/serverni-shafi/nastinni-shafi/serverna-shafa-18u-eserver-600h600h907-sh-g-v-sklo-chorna-detail</t>
  </si>
  <si>
    <t>Система управління BMS SC0500-100S для PYLONTECH H48050, H48074</t>
  </si>
  <si>
    <t>Система управління BMS SC1000-100S для PYLONTECH H48050, H48074</t>
  </si>
  <si>
    <t>https://axiomplus.com.ua/ua/bandazhnye-lenty-i-skrepy/product-149747/</t>
  </si>
  <si>
    <t>Spol-20Al-925</t>
  </si>
  <si>
    <t>Spol-30Al-1236</t>
  </si>
  <si>
    <t>3U-HRACK</t>
  </si>
  <si>
    <t>https://can.ua/deye-bos-g/p366031/</t>
  </si>
  <si>
    <t>3U-LRACK</t>
  </si>
  <si>
    <t>https://can.ua/deye-3u-lrack-19u-3ux8plus1-for-bos-gm5-1/p368722/</t>
  </si>
  <si>
    <t>UA-OF49-D-GR</t>
  </si>
  <si>
    <t>https://e-server.com.ua/uk/stiika-49u-podviina-sira-ua-of49-d-gr</t>
  </si>
  <si>
    <t>Стрижень-шпилька М8 (шпилька, М8, 1 м, цинк., ДКС)</t>
  </si>
  <si>
    <t>CM200801</t>
  </si>
  <si>
    <t>NC2254.1</t>
  </si>
  <si>
    <t>https://amperok.com.ua/ru/smuga_zazemlennja_25_4mm_buhta_32m_nc2254_1</t>
  </si>
  <si>
    <t>NTTT100X5</t>
  </si>
  <si>
    <t>https://novatek-electro.com/ua/vymiriuvalnyi-transformator-strumu-100-5/</t>
  </si>
  <si>
    <t>TA32750C100</t>
  </si>
  <si>
    <t>https://ecshop.com.ua/ua/p122450-transformator_toka_ime_ta327_100-5_ta32750c100_32-5x10-5_d-27mm_kl-0-5-2_va</t>
  </si>
  <si>
    <t>NTTT200X5</t>
  </si>
  <si>
    <t>https://novatek-electro.com/ua/vymiriuvalnyi-transformator-strumu-200-5/</t>
  </si>
  <si>
    <t>NTTT400X5</t>
  </si>
  <si>
    <t>https://novatek-electro.com/ua/vymiriuvalnyi-transformator-strumu-400-5/</t>
  </si>
  <si>
    <t>TA54050C400</t>
  </si>
  <si>
    <t>https://ecshop.com.ua/ua/p122498-transformator_toka_400-5_ta54050c400_ta540_50-5x12-5_d-40mm_kl-0-5-4_va</t>
  </si>
  <si>
    <t>NTTT600X5</t>
  </si>
  <si>
    <t>https://novatek-electro.com/ua/vymiriuvalnyi-transformator-strumu-600-5/</t>
  </si>
  <si>
    <t>https://ecshop.com.ua/ua/p129153-mini_transformator_toka_250-5a_s_razemnim_serdechnikom_d-24mm_kl_0-5</t>
  </si>
  <si>
    <t>s028103</t>
  </si>
  <si>
    <t>https://001.com.ua/uk/truba-gofrovana-dvostinna-e-kor-tube-black-63-52-63-52mm-50m-chorna-e-next</t>
  </si>
  <si>
    <t>https://xn--b1aeppdc1j.xn--j1amh/ua/p1796673521-polietilenovaya-truba-pn6.html</t>
  </si>
  <si>
    <t>2316/LPE-1_F50DU</t>
  </si>
  <si>
    <t>https://001.com.ua/uk/truba-gofrovana-pvh-stiyka-do-uf-z-protyazhkoyu-empty-16-mm-320n-5sm-chorna-buhta-50-m-kopos</t>
  </si>
  <si>
    <t>Труба ПВХ 32 мм (гофрована, сіра, ДКС)</t>
  </si>
  <si>
    <t>https://001.com.ua/uk/truba-pvh-gnuchka-gofrovana-d32-mm-standartna-z-protyazhkoyu-sira-25m-dkc</t>
  </si>
  <si>
    <t>https://001.com.ua/uk/truba-pvh-zhorstka-gladka-d32-mm-standartna-3m-sira-dkc</t>
  </si>
  <si>
    <t>A0130050031</t>
  </si>
  <si>
    <t>https://001.com.ua/uk/kolodka-ts-1004-gvyntova-v-korpusi-asko-ukrem</t>
  </si>
  <si>
    <t>A0130050032</t>
  </si>
  <si>
    <t>https://001.com.ua/uk/kolodka-ts-2004-gvyntova-v-korpusi-asko-ukrem</t>
  </si>
  <si>
    <t>ТБ 7,5х6x50</t>
  </si>
  <si>
    <t>Хімічний анкер PROFIX 300 мл Metalvis</t>
  </si>
  <si>
    <t>10605025Р65</t>
  </si>
  <si>
    <t>https://hzem.com.ua/10605025-1_shafa-elektrotehnichna-mkn-10-600h500h250</t>
  </si>
  <si>
    <t>10605030P65</t>
  </si>
  <si>
    <t>https://hzem.com.ua/10605030-1_shafa-elektrotehnichna-mkn-10-600h500h300</t>
  </si>
  <si>
    <t>10705020Р65</t>
  </si>
  <si>
    <t>https://hzem.com.ua/10705020-1_shafa-elektrotehnichna-mkn-10-700h500h200</t>
  </si>
  <si>
    <t>TNSy5504360</t>
  </si>
  <si>
    <t>https://tnsy.com.ua/product/shina-mednaya-msht-3h20h3000mm-tnsy/</t>
  </si>
  <si>
    <t>4652133</t>
  </si>
  <si>
    <t>2464094</t>
  </si>
  <si>
    <t>2464030</t>
  </si>
  <si>
    <t>2473011</t>
  </si>
  <si>
    <t>2473014</t>
  </si>
  <si>
    <t>2464026</t>
  </si>
  <si>
    <t>2464070</t>
  </si>
  <si>
    <t>2473021</t>
  </si>
  <si>
    <t>2464096</t>
  </si>
  <si>
    <t>004673009</t>
  </si>
  <si>
    <t>2141516</t>
  </si>
  <si>
    <t>2141517</t>
  </si>
  <si>
    <t>2141518</t>
  </si>
  <si>
    <t>2141519</t>
  </si>
  <si>
    <t>2141520</t>
  </si>
  <si>
    <t>2141521</t>
  </si>
  <si>
    <t>2141522</t>
  </si>
  <si>
    <t>2143516</t>
  </si>
  <si>
    <t>2143517</t>
  </si>
  <si>
    <t>2145516</t>
  </si>
  <si>
    <t>2191127</t>
  </si>
  <si>
    <t>2142516</t>
  </si>
  <si>
    <t>2142518</t>
  </si>
  <si>
    <t>2142521</t>
  </si>
  <si>
    <t>2142512</t>
  </si>
  <si>
    <t>2146514</t>
  </si>
  <si>
    <t>2146517</t>
  </si>
  <si>
    <t>2146518</t>
  </si>
  <si>
    <t>2146520</t>
  </si>
  <si>
    <t>2146521</t>
  </si>
  <si>
    <t>2145514</t>
  </si>
  <si>
    <t>2185319</t>
  </si>
  <si>
    <t>2185317</t>
  </si>
  <si>
    <t>2164519</t>
  </si>
  <si>
    <t>2185322</t>
  </si>
  <si>
    <t>2113517</t>
  </si>
  <si>
    <t>2145515</t>
  </si>
  <si>
    <t>100132</t>
  </si>
  <si>
    <t>2141504</t>
  </si>
  <si>
    <t>2181312</t>
  </si>
  <si>
    <t>020210</t>
  </si>
  <si>
    <t>020209</t>
  </si>
  <si>
    <t>020126</t>
  </si>
  <si>
    <t>020127</t>
  </si>
  <si>
    <t>020128</t>
  </si>
  <si>
    <t>020129</t>
  </si>
  <si>
    <t>020130</t>
  </si>
  <si>
    <t>020131</t>
  </si>
  <si>
    <t>020133</t>
  </si>
  <si>
    <t>020134</t>
  </si>
  <si>
    <t>020132</t>
  </si>
  <si>
    <t>020501</t>
  </si>
  <si>
    <t>020211</t>
  </si>
  <si>
    <t>0202101</t>
  </si>
  <si>
    <t>71732</t>
  </si>
  <si>
    <t>71740</t>
  </si>
  <si>
    <t>51040</t>
  </si>
  <si>
    <t>51032</t>
  </si>
  <si>
    <t>4820080460572</t>
  </si>
  <si>
    <t>71716</t>
  </si>
  <si>
    <t>71750</t>
  </si>
  <si>
    <t>51050</t>
  </si>
  <si>
    <t>53360</t>
  </si>
  <si>
    <t>53361</t>
  </si>
  <si>
    <t>4820080460374</t>
  </si>
  <si>
    <t>51025</t>
  </si>
  <si>
    <t>71725</t>
  </si>
  <si>
    <t>53359</t>
  </si>
  <si>
    <t>51125</t>
  </si>
  <si>
    <t>91932</t>
  </si>
  <si>
    <t>2413001</t>
  </si>
  <si>
    <t>Кнопка (з підсвіткою, без фіксації, 1НВ+1НЗ, зелена, АСКО)</t>
  </si>
  <si>
    <t>25317</t>
  </si>
  <si>
    <t>2911022</t>
  </si>
  <si>
    <t>25310</t>
  </si>
  <si>
    <t>HDW-211 (обмежувач, металевий, тримач, на DIN-рейку, АСКО)</t>
  </si>
  <si>
    <t>25214</t>
  </si>
  <si>
    <t>4001002000121</t>
  </si>
  <si>
    <t>Розумне реле 1P+N, 63A, без лічильника</t>
  </si>
  <si>
    <t>2625081</t>
  </si>
  <si>
    <t>002625105</t>
  </si>
  <si>
    <t>4123100</t>
  </si>
  <si>
    <t>1690891</t>
  </si>
  <si>
    <t>4123200</t>
  </si>
  <si>
    <t>4660062</t>
  </si>
  <si>
    <t>4660065</t>
  </si>
  <si>
    <t>2540201</t>
  </si>
  <si>
    <t>2625085</t>
  </si>
  <si>
    <t>2440515</t>
  </si>
  <si>
    <t>2540203</t>
  </si>
  <si>
    <t>002625077</t>
  </si>
  <si>
    <t>2625139</t>
  </si>
  <si>
    <t>2625080</t>
  </si>
  <si>
    <t>Запобіжник gPV для СЕС 30A/1000В</t>
  </si>
  <si>
    <t>4671191</t>
  </si>
  <si>
    <t>4673026</t>
  </si>
  <si>
    <t>4673006</t>
  </si>
  <si>
    <t>2143518</t>
  </si>
  <si>
    <t>2143519</t>
  </si>
  <si>
    <t>2143520</t>
  </si>
  <si>
    <t>2143521</t>
  </si>
  <si>
    <t>2143522</t>
  </si>
  <si>
    <t>2145517</t>
  </si>
  <si>
    <t>2145518</t>
  </si>
  <si>
    <t>2145519</t>
  </si>
  <si>
    <t>2145520</t>
  </si>
  <si>
    <t>2145521</t>
  </si>
  <si>
    <t>2145522</t>
  </si>
  <si>
    <t>2440393</t>
  </si>
  <si>
    <t>2440399</t>
  </si>
  <si>
    <t>2440395</t>
  </si>
  <si>
    <t>4671882</t>
  </si>
  <si>
    <t>МС240А (2р, С, 40А, 2M, автоматичний вимикач, HAGER)</t>
  </si>
  <si>
    <t>МС340А (3р, С, 40А, 3M, автоматичний вимикач, HAGER)</t>
  </si>
  <si>
    <t>МС332А (3р, С, 32А, 3M, автоматичний вимикач, HAGER)</t>
  </si>
  <si>
    <t>МС320А (3р, С, 20А, 3M, автоматичний вимикач, HAGER)</t>
  </si>
  <si>
    <t>МС316А (3р, С, 16А, 3M, автоматичний вимикач, HAGER)</t>
  </si>
  <si>
    <t>МС325А (3р, С, 25А, 3M, автоматичний вимикач, HAGER)</t>
  </si>
  <si>
    <t>4671904</t>
  </si>
  <si>
    <t>4671836</t>
  </si>
  <si>
    <t>4671072</t>
  </si>
  <si>
    <t>4671073</t>
  </si>
  <si>
    <t>4673071</t>
  </si>
  <si>
    <t>2471553</t>
  </si>
  <si>
    <t>4673072</t>
  </si>
  <si>
    <t>4673028</t>
  </si>
  <si>
    <t>2133732</t>
  </si>
  <si>
    <t>54300</t>
  </si>
  <si>
    <t>NH-1/gG KOMBI (200A, 500VAC, 120 kA, запобіжник, ETI)</t>
  </si>
  <si>
    <t>4184217</t>
  </si>
  <si>
    <t>54400</t>
  </si>
  <si>
    <t>4121400</t>
  </si>
  <si>
    <t>4184219</t>
  </si>
  <si>
    <t>4121500</t>
  </si>
  <si>
    <t>NH-2/gG 400A 500V (Запобіжник NH-2/gG 400A 500V KOMBI, ETI)</t>
  </si>
  <si>
    <t>4185224</t>
  </si>
  <si>
    <t>NH-2/gG 300A 500V KOMBI, ETI (Запобіжник NH-2/gG 300A 500V KOMBI, ETI)</t>
  </si>
  <si>
    <t>4185221</t>
  </si>
  <si>
    <t>NH-1/gG KOMBI (160A 500V, запобіжник,KOMBI, ETI)</t>
  </si>
  <si>
    <t>4184224</t>
  </si>
  <si>
    <t>54310</t>
  </si>
  <si>
    <t>4185217</t>
  </si>
  <si>
    <t>NH-2/gG 315A 500V KOMBI, ETI (Запобіжник NH-2/gG 300A 500V KOMBI, ETI)</t>
  </si>
  <si>
    <t>4185222</t>
  </si>
  <si>
    <t>Зразки від постачальників</t>
  </si>
  <si>
    <t>1. Mid clamp</t>
  </si>
  <si>
    <t>AS-A-MC01</t>
  </si>
  <si>
    <t>SELLER: XIN CHENG TECH GROUP LIMITED</t>
  </si>
  <si>
    <t>3. Mid clamp</t>
  </si>
  <si>
    <t>AS-A-A020</t>
  </si>
  <si>
    <t>2. End clamp</t>
  </si>
  <si>
    <t>AS-A-EC01</t>
  </si>
  <si>
    <t>4. End clamp</t>
  </si>
  <si>
    <t>5. End clamp</t>
  </si>
  <si>
    <t>6. rail</t>
  </si>
  <si>
    <t>AS-XR-03</t>
  </si>
  <si>
    <t>7. X nut</t>
  </si>
  <si>
    <t>8. three-lobed-rivets</t>
  </si>
  <si>
    <t>3919101200</t>
  </si>
  <si>
    <t>008761</t>
  </si>
  <si>
    <t>704907</t>
  </si>
  <si>
    <t>050103</t>
  </si>
  <si>
    <t>001479</t>
  </si>
  <si>
    <t>012246</t>
  </si>
  <si>
    <t>704916</t>
  </si>
  <si>
    <t>704901</t>
  </si>
  <si>
    <t>704917</t>
  </si>
  <si>
    <t>005207</t>
  </si>
  <si>
    <t>003392</t>
  </si>
  <si>
    <t>704903</t>
  </si>
  <si>
    <t>704902</t>
  </si>
  <si>
    <t>705810</t>
  </si>
  <si>
    <t>854442210000</t>
  </si>
  <si>
    <t>704930</t>
  </si>
  <si>
    <t>009129</t>
  </si>
  <si>
    <t>008052</t>
  </si>
  <si>
    <t>011870</t>
  </si>
  <si>
    <t>001013</t>
  </si>
  <si>
    <t>002535</t>
  </si>
  <si>
    <t>007987</t>
  </si>
  <si>
    <t>004045</t>
  </si>
  <si>
    <t>013085</t>
  </si>
  <si>
    <t>004969</t>
  </si>
  <si>
    <t>003522</t>
  </si>
  <si>
    <t>011085</t>
  </si>
  <si>
    <t>013914</t>
  </si>
  <si>
    <t>706157</t>
  </si>
  <si>
    <t>706107</t>
  </si>
  <si>
    <t>706104</t>
  </si>
  <si>
    <t>704928</t>
  </si>
  <si>
    <t>706156</t>
  </si>
  <si>
    <t>705800</t>
  </si>
  <si>
    <t>705350</t>
  </si>
  <si>
    <t>705808</t>
  </si>
  <si>
    <t>2113103</t>
  </si>
  <si>
    <t>35346</t>
  </si>
  <si>
    <t>35527</t>
  </si>
  <si>
    <t>35343</t>
  </si>
  <si>
    <t>35302</t>
  </si>
  <si>
    <t>35522</t>
  </si>
  <si>
    <t>LHD 40х40 заглушка (білий, Серія LH/LHD, ПВХ, KOPOS)</t>
  </si>
  <si>
    <t>LHD 40х40 кут плаский (білий, Серія LH/LHD, ПВХ, KOPOS)</t>
  </si>
  <si>
    <t>LHD 40х40 кут внутрішній (білий, Серія LH/LHD, ПВХ, KOPOS)</t>
  </si>
  <si>
    <t>LHD 40х40 кут зовнішній (білий, Серія LH/LHD, ПВХ, KOPOS)</t>
  </si>
  <si>
    <t>LHD 40х40 кут Т-подібний, трійник  (білий, Серія LH/LHD, ПВХ, KOPOS)</t>
  </si>
  <si>
    <t>шт (3 м)</t>
  </si>
  <si>
    <t>35344</t>
  </si>
  <si>
    <t>35525</t>
  </si>
  <si>
    <t>36044</t>
  </si>
  <si>
    <t>38005</t>
  </si>
  <si>
    <t>36824</t>
  </si>
  <si>
    <t>38245</t>
  </si>
  <si>
    <t>54532</t>
  </si>
  <si>
    <t>54540</t>
  </si>
  <si>
    <t>54520</t>
  </si>
  <si>
    <t>50250</t>
  </si>
  <si>
    <t>35020</t>
  </si>
  <si>
    <t>3552005</t>
  </si>
  <si>
    <t>00324</t>
  </si>
  <si>
    <t>01781</t>
  </si>
  <si>
    <t>00871</t>
  </si>
  <si>
    <t>01782</t>
  </si>
  <si>
    <t>EKE 100х60 кут плаский (Серія EKЕ, ПВХ, KOPOS)</t>
  </si>
  <si>
    <t>EKE 100х60 кут зовнішній (Серія EKЕ, ПВХ, KOPOS)</t>
  </si>
  <si>
    <t>EKE 100х60 кут Т-подібний, трійник (Серія EKЕ, ПВХ, KOPOS)</t>
  </si>
  <si>
    <t>01786</t>
  </si>
  <si>
    <t>63932</t>
  </si>
  <si>
    <t>50132</t>
  </si>
  <si>
    <t>50232</t>
  </si>
  <si>
    <t>54932</t>
  </si>
  <si>
    <t>35264</t>
  </si>
  <si>
    <t>35524</t>
  </si>
  <si>
    <t>36004</t>
  </si>
  <si>
    <t>38004</t>
  </si>
  <si>
    <t>1102423</t>
  </si>
  <si>
    <t>2921281</t>
  </si>
  <si>
    <t>1102421</t>
  </si>
  <si>
    <t>1102420</t>
  </si>
  <si>
    <t>1102405</t>
  </si>
  <si>
    <t>3835</t>
  </si>
  <si>
    <t xml:space="preserve">1102431 </t>
  </si>
  <si>
    <t>1102432</t>
  </si>
  <si>
    <t>1102443</t>
  </si>
  <si>
    <t>1102442</t>
  </si>
  <si>
    <t>1102300</t>
  </si>
  <si>
    <t>1102400</t>
  </si>
  <si>
    <t>1102428</t>
  </si>
  <si>
    <t>1102441</t>
  </si>
  <si>
    <t>3901560</t>
  </si>
  <si>
    <t>1102433</t>
  </si>
  <si>
    <t>3901585</t>
  </si>
  <si>
    <t>3901606</t>
  </si>
  <si>
    <t>3901574</t>
  </si>
  <si>
    <t>3901620</t>
  </si>
  <si>
    <t>500404183</t>
  </si>
  <si>
    <t>50024040</t>
  </si>
  <si>
    <t>100260604</t>
  </si>
  <si>
    <t>45004</t>
  </si>
  <si>
    <t>40012</t>
  </si>
  <si>
    <t>050106</t>
  </si>
  <si>
    <t>050107</t>
  </si>
  <si>
    <t>050101</t>
  </si>
  <si>
    <t>050102</t>
  </si>
  <si>
    <t>8507600090</t>
  </si>
  <si>
    <t>050105</t>
  </si>
  <si>
    <t>12039</t>
  </si>
  <si>
    <t>Пластина підкладна (композит, алюміній)</t>
  </si>
  <si>
    <t>3214101090</t>
  </si>
  <si>
    <t>020115</t>
  </si>
  <si>
    <t>020112</t>
  </si>
  <si>
    <t>020201</t>
  </si>
  <si>
    <t>020109</t>
  </si>
  <si>
    <t>020104</t>
  </si>
  <si>
    <t>020105</t>
  </si>
  <si>
    <t>020106</t>
  </si>
  <si>
    <t>020107</t>
  </si>
  <si>
    <t>020110</t>
  </si>
  <si>
    <t>020113</t>
  </si>
  <si>
    <t>020202</t>
  </si>
  <si>
    <t>020203</t>
  </si>
  <si>
    <t>020204</t>
  </si>
  <si>
    <t>020205</t>
  </si>
  <si>
    <t>020206</t>
  </si>
  <si>
    <t>020208</t>
  </si>
  <si>
    <t>020207</t>
  </si>
  <si>
    <t>020117</t>
  </si>
  <si>
    <t>020119</t>
  </si>
  <si>
    <t>020108</t>
  </si>
  <si>
    <t>020111</t>
  </si>
  <si>
    <t>020114</t>
  </si>
  <si>
    <t>020116</t>
  </si>
  <si>
    <t>020118</t>
  </si>
  <si>
    <t>12161</t>
  </si>
  <si>
    <t>12162</t>
  </si>
  <si>
    <t>12163</t>
  </si>
  <si>
    <t>12164</t>
  </si>
  <si>
    <t>10406</t>
  </si>
  <si>
    <t>10407</t>
  </si>
  <si>
    <t>10408</t>
  </si>
  <si>
    <t>10409</t>
  </si>
  <si>
    <t>10410</t>
  </si>
  <si>
    <t>10411</t>
  </si>
  <si>
    <t>10412</t>
  </si>
  <si>
    <t>10417</t>
  </si>
  <si>
    <t>08885</t>
  </si>
  <si>
    <t>020216</t>
  </si>
  <si>
    <t>020217</t>
  </si>
  <si>
    <t>020218</t>
  </si>
  <si>
    <t>020219</t>
  </si>
  <si>
    <t>020215</t>
  </si>
  <si>
    <t>RV 5.5-6 (накінечник кільцевий під гвинт, ізольований,4-6 мм² жовтий (упаковка 100 шт.)  E.NEXT)</t>
  </si>
  <si>
    <t>DT-50 (накінечник кабельний, мідний, луджений, 50мм2, АСКО)</t>
  </si>
  <si>
    <t>DT-95 (накінечник кабельний, мідний, луджений, 95мм2, АСКО)</t>
  </si>
  <si>
    <t>RV 5.5-6 (накінечник кільцевий під гвинт, ізольований, 6 мм2, АСКО)</t>
  </si>
  <si>
    <t>010117</t>
  </si>
  <si>
    <t>010401</t>
  </si>
  <si>
    <t>010205</t>
  </si>
  <si>
    <t>010106</t>
  </si>
  <si>
    <t>010107</t>
  </si>
  <si>
    <t>010108</t>
  </si>
  <si>
    <t>010109</t>
  </si>
  <si>
    <t>010110</t>
  </si>
  <si>
    <t>010111</t>
  </si>
  <si>
    <t>010112</t>
  </si>
  <si>
    <t>010113</t>
  </si>
  <si>
    <t>010114</t>
  </si>
  <si>
    <t>010115</t>
  </si>
  <si>
    <t>010116</t>
  </si>
  <si>
    <t>010104</t>
  </si>
  <si>
    <t>010105</t>
  </si>
  <si>
    <t>010118</t>
  </si>
  <si>
    <t>010119</t>
  </si>
  <si>
    <t>13513</t>
  </si>
  <si>
    <t>4661580</t>
  </si>
  <si>
    <t>2421446</t>
  </si>
  <si>
    <t>393390</t>
  </si>
  <si>
    <t>4661405</t>
  </si>
  <si>
    <t>4661406</t>
  </si>
  <si>
    <t>4661455</t>
  </si>
  <si>
    <t>4661451</t>
  </si>
  <si>
    <t>4661452</t>
  </si>
  <si>
    <t>2421425</t>
  </si>
  <si>
    <t>2421444</t>
  </si>
  <si>
    <t>4773198</t>
  </si>
  <si>
    <t>2421445</t>
  </si>
  <si>
    <t>4661891</t>
  </si>
  <si>
    <t>4661896</t>
  </si>
  <si>
    <t>Перемикач модульний трьохпозиційний I-0-II до 16мм2, 3п40А,Hager</t>
  </si>
  <si>
    <t>4667002</t>
  </si>
  <si>
    <t>393372</t>
  </si>
  <si>
    <t>4661552</t>
  </si>
  <si>
    <t>4661483</t>
  </si>
  <si>
    <t>4661592</t>
  </si>
  <si>
    <t>Підсилювач бездротового сигналу</t>
  </si>
  <si>
    <t>Підсилювач бездротового сигналу TP-LINK RE305</t>
  </si>
  <si>
    <t>Підсилювач бездротового сигналу TP-LINK RE200</t>
  </si>
  <si>
    <t>20510050</t>
  </si>
  <si>
    <t>Диференційне реле (ПЗВ) EFI6-P2 2p 25А/0,03А тип AC (6kA), ETI</t>
  </si>
  <si>
    <t>2061251</t>
  </si>
  <si>
    <t>2464022</t>
  </si>
  <si>
    <t>2464028</t>
  </si>
  <si>
    <t>102418</t>
  </si>
  <si>
    <t>00042808</t>
  </si>
  <si>
    <t>2470050</t>
  </si>
  <si>
    <t>2464077</t>
  </si>
  <si>
    <t>2464014</t>
  </si>
  <si>
    <t>2414020</t>
  </si>
  <si>
    <t>4668015</t>
  </si>
  <si>
    <t>2921142</t>
  </si>
  <si>
    <t>7407100000</t>
  </si>
  <si>
    <t>2921024</t>
  </si>
  <si>
    <t>2921141</t>
  </si>
  <si>
    <t>2921101</t>
  </si>
  <si>
    <t>1101062</t>
  </si>
  <si>
    <t>1101063</t>
  </si>
  <si>
    <t>1101064</t>
  </si>
  <si>
    <t>54200</t>
  </si>
  <si>
    <t>1100304</t>
  </si>
  <si>
    <t>54100</t>
  </si>
  <si>
    <t>1101000</t>
  </si>
  <si>
    <t>Облікова ціна, без ПДВ $</t>
  </si>
  <si>
    <t>Інвертор гібридний Deye SUN-10K-SG04LP3-ЕU</t>
  </si>
  <si>
    <t>Інвертор гібридний Deye SUN-12K-SG04LP3-ЕU</t>
  </si>
  <si>
    <t>Інвертор гібридний Deye SUN-30K-SG01НP3-ЕU-ВМ3</t>
  </si>
  <si>
    <t>Інвертор гібридний Deye SUN-50K-SG01НP3-ЕU-BM4</t>
  </si>
  <si>
    <t>Інвертор гібридний DEYE SUN-6K-SG03LP1-ЕU</t>
  </si>
  <si>
    <t>Інвертор гібридний Deye SUN-8K-SG01LPI-US/EU</t>
  </si>
  <si>
    <t>455566</t>
  </si>
  <si>
    <t>https://001.com.ua/uk/trymach-plavkoyi-vstavky-rozyednuvach-efh-10-2p-25a-1000v-dc-eti</t>
  </si>
  <si>
    <t>BUD-40/3_1000V</t>
  </si>
  <si>
    <t>https://www.beny.com/la/product-item/dc-spd-type2-up-to-1000v-bud-40-2/</t>
  </si>
  <si>
    <t>Кабель сонячний 6 кв.мм (червоний)</t>
  </si>
  <si>
    <t>Кабель сонячний 6 кв.мм (чорний)</t>
  </si>
</sst>
</file>

<file path=xl/styles.xml><?xml version="1.0" encoding="utf-8"?>
<styleSheet xmlns="http://schemas.openxmlformats.org/spreadsheetml/2006/main" xmlns:x14ac="http://schemas.microsoft.com/office/spreadsheetml/2009/9/ac" xmlns:mc="http://schemas.openxmlformats.org/markup-compatibility/2006">
  <numFmts count="28">
    <numFmt numFmtId="164" formatCode="&quot;$&quot;#,##0"/>
    <numFmt numFmtId="165" formatCode="&quot;$&quot;#,##0.0"/>
    <numFmt numFmtId="166" formatCode="#,##0.0"/>
    <numFmt numFmtId="167" formatCode="&quot;$&quot;#,##0.00"/>
    <numFmt numFmtId="168" formatCode="0\ \В\т"/>
    <numFmt numFmtId="169" formatCode="0\ \к\В\т"/>
    <numFmt numFmtId="170" formatCode="_-[$$-409]* #,##0.00_ ;_-[$$-409]* \-#,##0.00\ ;_-[$$-409]* &quot;-&quot;??_ ;_-@_ "/>
    <numFmt numFmtId="171" formatCode="[$$]#,##0.00"/>
    <numFmt numFmtId="172" formatCode="[$$]#,##0"/>
    <numFmt numFmtId="173" formatCode="m/d/yyyy h:mm:ss"/>
    <numFmt numFmtId="174" formatCode="[$ ₴]#,##0.00"/>
    <numFmt numFmtId="175" formatCode="#,##0.0000"/>
    <numFmt numFmtId="176" formatCode="кг"/>
    <numFmt numFmtId="177" formatCode="0.0&quot; кг&quot;"/>
    <numFmt numFmtId="178" formatCode="0&quot; кг&quot;"/>
    <numFmt numFmtId="179" formatCode="[$$]#,##0.0"/>
    <numFmt numFmtId="180" formatCode="0.0%"/>
    <numFmt numFmtId="181" formatCode="0.0000"/>
    <numFmt numFmtId="182" formatCode="#,##0.00_ ;\-#,##0.00\ "/>
    <numFmt numFmtId="183" formatCode="#,##0.00\ [$грн. -422]"/>
    <numFmt numFmtId="184" formatCode="d.m"/>
    <numFmt numFmtId="185" formatCode="0.000"/>
    <numFmt numFmtId="186" formatCode="[$грн. ]#,##0.00"/>
    <numFmt numFmtId="187" formatCode="0.0"/>
    <numFmt numFmtId="188" formatCode="d-m"/>
    <numFmt numFmtId="189" formatCode="0 шт"/>
    <numFmt numFmtId="190" formatCode="0.00 кВт"/>
    <numFmt numFmtId="191" formatCode="0 кВт"/>
  </numFmts>
  <fonts count="167">
    <font>
      <sz val="10.0"/>
      <color rgb="FF000000"/>
      <name val="Calibri"/>
      <scheme val="minor"/>
    </font>
    <font>
      <sz val="10.0"/>
      <color theme="1"/>
      <name val="Inter"/>
    </font>
    <font>
      <b/>
      <sz val="12.0"/>
      <color rgb="FFFFFFFF"/>
      <name val="Inter"/>
    </font>
    <font>
      <sz val="12.0"/>
      <color rgb="FFFFFFFF"/>
      <name val="Inter"/>
    </font>
    <font>
      <sz val="10.0"/>
      <color rgb="FF000000"/>
      <name val="Inter"/>
    </font>
    <font>
      <b/>
      <sz val="14.0"/>
      <color rgb="FFFFFFFF"/>
      <name val="Inter"/>
    </font>
    <font>
      <sz val="10.0"/>
      <color theme="0"/>
      <name val="Inter"/>
    </font>
    <font>
      <sz val="14.0"/>
      <color theme="1"/>
      <name val="Inter"/>
    </font>
    <font>
      <b/>
      <sz val="12.0"/>
      <color rgb="FF424242"/>
      <name val="Inter"/>
    </font>
    <font>
      <sz val="12.0"/>
      <color theme="1"/>
      <name val="Inter"/>
    </font>
    <font>
      <b/>
      <sz val="12.0"/>
      <color theme="1"/>
      <name val="Inter"/>
    </font>
    <font>
      <sz val="14.0"/>
      <color rgb="FF424242"/>
      <name val="Inter"/>
    </font>
    <font>
      <sz val="11.0"/>
      <color theme="1"/>
      <name val="Inter"/>
    </font>
    <font>
      <sz val="11.0"/>
      <color rgb="FF424242"/>
      <name val="Inter"/>
    </font>
    <font/>
    <font>
      <sz val="11.0"/>
      <color rgb="FF424242"/>
      <name val="Montserrat"/>
    </font>
    <font>
      <sz val="11.0"/>
      <color rgb="FF000000"/>
      <name val="Inter"/>
    </font>
    <font>
      <b/>
      <sz val="14.0"/>
      <color rgb="FF424242"/>
      <name val="Inter"/>
    </font>
    <font>
      <sz val="13.0"/>
      <color theme="1"/>
      <name val="Inter"/>
    </font>
    <font>
      <b/>
      <sz val="13.0"/>
      <color theme="1"/>
      <name val="Inter"/>
    </font>
    <font>
      <sz val="14.0"/>
      <color rgb="FFFFFFFF"/>
      <name val="Inter"/>
    </font>
    <font>
      <b/>
      <sz val="10.0"/>
      <color theme="1"/>
      <name val="Inter"/>
    </font>
    <font>
      <b/>
      <sz val="11.0"/>
      <color theme="1"/>
      <name val="Inter"/>
    </font>
    <font>
      <color theme="1"/>
      <name val="Inter"/>
    </font>
    <font>
      <sz val="14.0"/>
      <color rgb="FF000000"/>
      <name val="Inter"/>
    </font>
    <font>
      <sz val="12.0"/>
      <color rgb="FF424242"/>
      <name val="Inter"/>
    </font>
    <font>
      <b/>
      <sz val="52.0"/>
      <color rgb="FF2D2D2D"/>
      <name val="Inter"/>
    </font>
    <font>
      <sz val="12.0"/>
      <color rgb="FF000000"/>
      <name val="Inter"/>
    </font>
    <font>
      <sz val="12.0"/>
      <color rgb="FFFF0000"/>
      <name val="Inter"/>
    </font>
    <font>
      <sz val="11.0"/>
      <color rgb="FF595959"/>
      <name val="Inter"/>
    </font>
    <font>
      <b/>
      <sz val="14.0"/>
      <color theme="1"/>
      <name val="Inter"/>
    </font>
    <font>
      <sz val="8.0"/>
      <color rgb="FF1155CC"/>
      <name val="Inter"/>
    </font>
    <font>
      <b/>
      <sz val="9.0"/>
      <color theme="1"/>
      <name val="Inter"/>
    </font>
    <font>
      <b/>
      <sz val="12.0"/>
      <color rgb="FF000000"/>
      <name val="Inter"/>
    </font>
    <font>
      <b/>
      <sz val="8.0"/>
      <color theme="1"/>
      <name val="Inter"/>
    </font>
    <font>
      <sz val="9.0"/>
      <color theme="1"/>
      <name val="Inter"/>
    </font>
    <font>
      <b/>
      <sz val="10.0"/>
      <color rgb="FF1155CC"/>
      <name val="Inter"/>
    </font>
    <font>
      <b/>
      <sz val="12.0"/>
      <color rgb="FF38761D"/>
      <name val="Inter"/>
    </font>
    <font>
      <b/>
      <sz val="20.0"/>
      <color theme="1"/>
      <name val="Inter"/>
    </font>
    <font>
      <b/>
      <sz val="20.0"/>
      <color rgb="FF000000"/>
      <name val="Inter"/>
    </font>
    <font>
      <u/>
      <sz val="8.0"/>
      <color rgb="FF1155CC"/>
      <name val="Inter"/>
    </font>
    <font>
      <b/>
      <sz val="11.0"/>
      <color theme="1"/>
      <name val="Comfortaa"/>
    </font>
    <font>
      <b/>
      <sz val="11.0"/>
      <color rgb="FFBF9000"/>
      <name val="Inter"/>
    </font>
    <font>
      <sz val="11.0"/>
      <color rgb="FFF1C232"/>
      <name val="Inter"/>
    </font>
    <font>
      <b/>
      <sz val="15.0"/>
      <color rgb="FF000000"/>
      <name val="Inter"/>
    </font>
    <font>
      <b/>
      <sz val="11.0"/>
      <color rgb="FF000000"/>
      <name val="Inter"/>
    </font>
    <font>
      <i/>
      <sz val="12.0"/>
      <color theme="1"/>
      <name val="Inter"/>
    </font>
    <font>
      <sz val="12.0"/>
      <color rgb="FF000000"/>
      <name val="Calibri"/>
    </font>
    <font>
      <b/>
      <sz val="12.0"/>
      <color rgb="FF000000"/>
      <name val="Calibri"/>
    </font>
    <font>
      <color rgb="FF000000"/>
      <name val="Calibri"/>
    </font>
    <font>
      <color theme="1"/>
      <name val="Calibri"/>
    </font>
    <font>
      <color theme="1"/>
      <name val="Calibri"/>
      <scheme val="minor"/>
    </font>
    <font>
      <b/>
      <sz val="14.0"/>
      <color rgb="FF000000"/>
      <name val="Comfortaa"/>
    </font>
    <font>
      <b/>
      <sz val="12.0"/>
      <color rgb="FF000000"/>
      <name val="Comfortaa"/>
    </font>
    <font>
      <b/>
      <sz val="16.0"/>
      <color theme="1"/>
      <name val="Comfortaa"/>
    </font>
    <font>
      <sz val="12.0"/>
      <color theme="1"/>
      <name val="Comfortaa"/>
    </font>
    <font>
      <b/>
      <color rgb="FFFF0000"/>
      <name val="Comfortaa"/>
    </font>
    <font>
      <sz val="11.0"/>
      <color rgb="FF000000"/>
      <name val="Comfortaa"/>
    </font>
    <font>
      <sz val="9.0"/>
      <color theme="1"/>
      <name val="Comfortaa"/>
    </font>
    <font>
      <color theme="1"/>
      <name val="Comfortaa"/>
    </font>
    <font>
      <b/>
      <color theme="1"/>
      <name val="Comfortaa"/>
    </font>
    <font>
      <sz val="10.0"/>
      <color rgb="FF000000"/>
      <name val="Comfortaa"/>
    </font>
    <font>
      <b/>
      <sz val="10.0"/>
      <color theme="1"/>
      <name val="Comfortaa"/>
    </font>
    <font>
      <sz val="9.0"/>
      <color rgb="FF000000"/>
      <name val="Comfortaa"/>
    </font>
    <font>
      <sz val="10.0"/>
      <color theme="1"/>
      <name val="Comfortaa"/>
    </font>
    <font>
      <sz val="14.0"/>
      <color rgb="FF351C75"/>
      <name val="Comfortaa"/>
    </font>
    <font>
      <sz val="11.0"/>
      <color theme="1"/>
      <name val="Comfortaa"/>
    </font>
    <font>
      <sz val="12.0"/>
      <color rgb="FF000000"/>
      <name val="Comfortaa"/>
    </font>
    <font>
      <b/>
      <sz val="14.0"/>
      <color theme="1"/>
      <name val="Comfortaa"/>
    </font>
    <font>
      <b/>
      <sz val="12.0"/>
      <color theme="1"/>
      <name val="Comfortaa"/>
    </font>
    <font>
      <sz val="8.0"/>
      <color rgb="FF1155CC"/>
      <name val="Comfortaa"/>
    </font>
    <font>
      <b/>
      <sz val="9.0"/>
      <color theme="1"/>
      <name val="Comfortaa"/>
    </font>
    <font>
      <b/>
      <sz val="8.0"/>
      <color theme="1"/>
      <name val="Comfortaa"/>
    </font>
    <font>
      <b/>
      <sz val="9.0"/>
      <color rgb="FF1155CC"/>
      <name val="Comfortaa"/>
    </font>
    <font>
      <b/>
      <sz val="12.0"/>
      <color rgb="FF38761D"/>
      <name val="Comfortaa"/>
    </font>
    <font>
      <b/>
      <sz val="20.0"/>
      <color rgb="FF000000"/>
      <name val="Comfortaa"/>
    </font>
    <font>
      <b/>
      <sz val="20.0"/>
      <color theme="1"/>
      <name val="Comfortaa"/>
    </font>
    <font>
      <b/>
      <sz val="11.0"/>
      <color rgb="FFC9DAF8"/>
      <name val="Comfortaa"/>
    </font>
    <font>
      <b/>
      <sz val="11.0"/>
      <color rgb="FFBF9000"/>
      <name val="Comfortaa"/>
    </font>
    <font>
      <sz val="11.0"/>
      <color rgb="FFF1C232"/>
      <name val="Comfortaa"/>
    </font>
    <font>
      <u/>
      <sz val="8.0"/>
      <color rgb="FF1155CC"/>
      <name val="Comfortaa"/>
    </font>
    <font>
      <b/>
      <sz val="8.0"/>
      <color rgb="FF000000"/>
      <name val="Comfortaa"/>
    </font>
    <font>
      <b/>
      <sz val="15.0"/>
      <color rgb="FF000000"/>
      <name val="Comfortaa"/>
    </font>
    <font>
      <b/>
      <sz val="11.0"/>
      <color rgb="FF000000"/>
      <name val="Comfortaa"/>
    </font>
    <font>
      <sz val="10.0"/>
      <color theme="1"/>
      <name val="Montserrat"/>
    </font>
    <font>
      <b/>
      <sz val="12.0"/>
      <color rgb="FFFFFFFF"/>
      <name val="Montserrat"/>
    </font>
    <font>
      <sz val="14.0"/>
      <color theme="1"/>
      <name val="Montserrat"/>
    </font>
    <font>
      <b/>
      <sz val="12.0"/>
      <color rgb="FF424242"/>
      <name val="Montserrat"/>
    </font>
    <font>
      <sz val="12.0"/>
      <color theme="1"/>
      <name val="Montserrat"/>
    </font>
    <font>
      <b/>
      <sz val="12.0"/>
      <color theme="1"/>
      <name val="Montserrat"/>
    </font>
    <font>
      <sz val="14.0"/>
      <color theme="1"/>
      <name val="Calibri"/>
    </font>
    <font>
      <color theme="1"/>
      <name val="Montserrat"/>
    </font>
    <font>
      <sz val="10.0"/>
      <color rgb="FF424242"/>
      <name val="Montserrat"/>
    </font>
    <font>
      <sz val="10.0"/>
      <color rgb="FF000000"/>
      <name val="Montserrat"/>
    </font>
    <font>
      <b/>
      <sz val="14.0"/>
      <color rgb="FF424242"/>
      <name val="Montserrat"/>
    </font>
    <font>
      <sz val="13.0"/>
      <color theme="1"/>
      <name val="Montserrat"/>
    </font>
    <font>
      <b/>
      <sz val="13.0"/>
      <color theme="1"/>
      <name val="Montserrat"/>
    </font>
    <font>
      <b/>
      <sz val="14.0"/>
      <color rgb="FFFFFFFF"/>
      <name val="Montserrat"/>
    </font>
    <font>
      <sz val="14.0"/>
      <color rgb="FFFFFFFF"/>
      <name val="Montserrat"/>
    </font>
    <font>
      <sz val="12.0"/>
      <color rgb="FFFFFFFF"/>
      <name val="Montserrat"/>
    </font>
    <font>
      <b/>
      <sz val="10.0"/>
      <color theme="1"/>
      <name val="Montserrat"/>
    </font>
    <font>
      <sz val="10.0"/>
      <color rgb="FF434343"/>
      <name val="Montserrat"/>
    </font>
    <font>
      <b/>
      <sz val="10.0"/>
      <color rgb="FF434343"/>
      <name val="Montserrat"/>
    </font>
    <font>
      <sz val="11.0"/>
      <color rgb="FF434343"/>
      <name val="Montserrat"/>
    </font>
    <font>
      <sz val="11.0"/>
      <color theme="1"/>
      <name val="Montserrat"/>
    </font>
    <font>
      <sz val="11.0"/>
      <color rgb="FF595959"/>
      <name val="Montserrat"/>
    </font>
    <font>
      <b/>
      <sz val="11.0"/>
      <color rgb="FFFFFFFF"/>
      <name val="Montserrat"/>
    </font>
    <font>
      <b/>
      <sz val="11.0"/>
      <color rgb="FF424242"/>
      <name val="Montserrat"/>
    </font>
    <font>
      <b/>
      <sz val="11.0"/>
      <color theme="1"/>
      <name val="Montserrat"/>
    </font>
    <font>
      <sz val="11.0"/>
      <color rgb="FF000000"/>
      <name val="Montserrat"/>
    </font>
    <font>
      <b/>
      <sz val="11.0"/>
      <color rgb="FF000000"/>
      <name val="Montserrat"/>
    </font>
    <font>
      <color rgb="FF000000"/>
      <name val="Comfortaa"/>
    </font>
    <font>
      <color rgb="FFFFFFFF"/>
      <name val="Comfortaa"/>
    </font>
    <font>
      <i/>
      <sz val="9.0"/>
      <color theme="1"/>
      <name val="Comfortaa"/>
    </font>
    <font>
      <sz val="10.0"/>
      <color rgb="FF666666"/>
      <name val="Comfortaa"/>
    </font>
    <font>
      <color rgb="FF666666"/>
      <name val="Comfortaa"/>
    </font>
    <font>
      <b/>
      <sz val="10.0"/>
      <color rgb="FF000000"/>
      <name val="Comfortaa"/>
    </font>
    <font>
      <b/>
      <sz val="10.0"/>
      <color rgb="FFFF0000"/>
      <name val="Comfortaa"/>
    </font>
    <font>
      <b/>
      <sz val="9.0"/>
      <color rgb="FF000000"/>
      <name val="Comfortaa"/>
    </font>
    <font>
      <b/>
      <sz val="10.0"/>
      <color rgb="FF38761D"/>
      <name val="Comfortaa"/>
    </font>
    <font>
      <b/>
      <sz val="10.0"/>
      <color rgb="FFFFD966"/>
      <name val="Comfortaa"/>
    </font>
    <font>
      <b/>
      <sz val="10.0"/>
      <color rgb="FFB6D7A8"/>
      <name val="Comfortaa"/>
    </font>
    <font>
      <b/>
      <sz val="10.0"/>
      <color rgb="FFEA9999"/>
      <name val="Comfortaa"/>
    </font>
    <font>
      <sz val="8.0"/>
      <color rgb="FF000000"/>
      <name val="Comfortaa"/>
    </font>
    <font>
      <b/>
      <sz val="10.0"/>
      <color rgb="FF0000FF"/>
      <name val="Comfortaa"/>
    </font>
    <font>
      <b/>
      <sz val="7.0"/>
      <color rgb="FF000000"/>
      <name val="Comfortaa"/>
    </font>
    <font>
      <b/>
      <sz val="18.0"/>
      <color rgb="FF000000"/>
      <name val="Comfortaa"/>
    </font>
    <font>
      <i/>
      <color theme="1"/>
      <name val="Comfortaa"/>
    </font>
    <font>
      <b/>
      <sz val="11.0"/>
      <color rgb="FFFF0000"/>
      <name val="Comfortaa"/>
    </font>
    <font>
      <b/>
      <sz val="11.0"/>
      <color rgb="FFFFFF00"/>
      <name val="Comfortaa"/>
    </font>
    <font>
      <sz val="10.0"/>
      <color rgb="FFFF0000"/>
      <name val="Comfortaa"/>
    </font>
    <font>
      <b/>
      <sz val="12.0"/>
      <color rgb="FFFF0000"/>
      <name val="Comfortaa"/>
    </font>
    <font>
      <b/>
      <sz val="12.0"/>
      <color rgb="FF0000FF"/>
      <name val="Comfortaa"/>
    </font>
    <font>
      <sz val="14.0"/>
      <color rgb="FF000000"/>
      <name val="Comfortaa"/>
    </font>
    <font>
      <color theme="1"/>
      <name val="Arial"/>
    </font>
    <font>
      <sz val="10.0"/>
      <color rgb="FF0000FF"/>
      <name val="Comfortaa"/>
    </font>
    <font>
      <sz val="10.0"/>
      <color theme="1"/>
      <name val="Calibri"/>
    </font>
    <font>
      <color rgb="FF0000FF"/>
      <name val="Comfortaa"/>
    </font>
    <font>
      <sz val="10.0"/>
      <color rgb="FF333333"/>
      <name val="Comfortaa"/>
    </font>
    <font>
      <b/>
      <color rgb="FF000000"/>
      <name val="Comfortaa"/>
    </font>
    <font>
      <sz val="9.0"/>
      <color rgb="FF1155CC"/>
      <name val="Comfortaa"/>
    </font>
    <font>
      <sz val="9.0"/>
      <color rgb="FF7E3794"/>
      <name val="Comfortaa"/>
    </font>
    <font>
      <color rgb="FF666666"/>
      <name val="Inherit"/>
    </font>
    <font>
      <b/>
      <color rgb="FF666666"/>
      <name val="Inherit"/>
    </font>
    <font>
      <sz val="9.0"/>
      <color theme="1"/>
      <name val="&quot;.SF NS Text&quot;"/>
    </font>
    <font>
      <color theme="1"/>
      <name val="Helvetica Neue"/>
    </font>
    <font>
      <b/>
      <sz val="11.0"/>
      <color theme="1"/>
      <name val="Roboto"/>
    </font>
    <font>
      <b/>
      <sz val="11.0"/>
      <color rgb="FF000000"/>
      <name val="Roboto"/>
    </font>
    <font>
      <color rgb="FF000000"/>
      <name val="Arial"/>
    </font>
    <font>
      <b/>
      <color rgb="FF000000"/>
      <name val="Arial"/>
    </font>
    <font>
      <b/>
      <color theme="1"/>
      <name val="Arial"/>
    </font>
    <font>
      <b/>
      <sz val="11.0"/>
      <color rgb="FF666666"/>
      <name val="Roboto"/>
    </font>
    <font>
      <b/>
      <sz val="18.0"/>
      <color theme="1"/>
      <name val="Comfortaa"/>
    </font>
    <font>
      <b/>
      <sz val="11.0"/>
      <color rgb="FF0000FF"/>
      <name val="Comfortaa"/>
    </font>
    <font>
      <b/>
      <sz val="16.0"/>
      <color theme="1"/>
      <name val="Verdana"/>
    </font>
    <font>
      <sz val="11.0"/>
      <color theme="1"/>
      <name val="Verdana"/>
    </font>
    <font>
      <u/>
      <sz val="11.0"/>
      <color rgb="FF0000FF"/>
      <name val="Verdana"/>
    </font>
    <font>
      <b/>
      <sz val="11.0"/>
      <color theme="1"/>
      <name val="Verdana"/>
    </font>
    <font>
      <sz val="11.0"/>
      <color rgb="FFFF00FF"/>
      <name val="Inter"/>
    </font>
    <font>
      <u/>
      <sz val="11.0"/>
      <color rgb="FF3C78D8"/>
      <name val="Inter"/>
    </font>
    <font>
      <u/>
      <sz val="11.0"/>
      <color rgb="FF3C78D8"/>
      <name val="Inter"/>
    </font>
    <font>
      <sz val="11.0"/>
      <color rgb="FF3C78D8"/>
      <name val="Inter"/>
    </font>
    <font>
      <color rgb="FFFF00FF"/>
      <name val="Arial"/>
    </font>
    <font>
      <u/>
      <sz val="11.0"/>
      <color rgb="FF3C78D8"/>
      <name val="Inter"/>
    </font>
    <font>
      <u/>
      <sz val="11.0"/>
      <color rgb="FF3C78D8"/>
      <name val="Inter"/>
    </font>
    <font>
      <u/>
      <sz val="11.0"/>
      <color rgb="FF3C78D8"/>
      <name val="Inter"/>
    </font>
    <font>
      <u/>
      <sz val="11.0"/>
      <color rgb="FF3C78D8"/>
      <name val="Inter"/>
    </font>
  </fonts>
  <fills count="43">
    <fill>
      <patternFill patternType="none"/>
    </fill>
    <fill>
      <patternFill patternType="lightGray"/>
    </fill>
    <fill>
      <patternFill patternType="solid">
        <fgColor rgb="FF434343"/>
        <bgColor rgb="FF434343"/>
      </patternFill>
    </fill>
    <fill>
      <patternFill patternType="solid">
        <fgColor rgb="FFFCE5CD"/>
        <bgColor rgb="FFFCE5CD"/>
      </patternFill>
    </fill>
    <fill>
      <patternFill patternType="solid">
        <fgColor rgb="FFFEF1CC"/>
        <bgColor rgb="FFFEF1CC"/>
      </patternFill>
    </fill>
    <fill>
      <patternFill patternType="solid">
        <fgColor rgb="FFFFF2CC"/>
        <bgColor rgb="FFFFF2CC"/>
      </patternFill>
    </fill>
    <fill>
      <patternFill patternType="solid">
        <fgColor rgb="FFFFFFFF"/>
        <bgColor rgb="FFFFFFFF"/>
      </patternFill>
    </fill>
    <fill>
      <patternFill patternType="solid">
        <fgColor rgb="FF424242"/>
        <bgColor rgb="FF424242"/>
      </patternFill>
    </fill>
    <fill>
      <patternFill patternType="solid">
        <fgColor rgb="FFFFFF00"/>
        <bgColor rgb="FFFFFF00"/>
      </patternFill>
    </fill>
    <fill>
      <patternFill patternType="solid">
        <fgColor rgb="FFC9DAF8"/>
        <bgColor rgb="FFC9DAF8"/>
      </patternFill>
    </fill>
    <fill>
      <patternFill patternType="solid">
        <fgColor rgb="FFF3F3F3"/>
        <bgColor rgb="FFF3F3F3"/>
      </patternFill>
    </fill>
    <fill>
      <patternFill patternType="solid">
        <fgColor rgb="FFF9CB9C"/>
        <bgColor rgb="FFF9CB9C"/>
      </patternFill>
    </fill>
    <fill>
      <patternFill patternType="solid">
        <fgColor rgb="FFEAD1DC"/>
        <bgColor rgb="FFEAD1DC"/>
      </patternFill>
    </fill>
    <fill>
      <patternFill patternType="solid">
        <fgColor rgb="FFF1C232"/>
        <bgColor rgb="FFF1C232"/>
      </patternFill>
    </fill>
    <fill>
      <patternFill patternType="solid">
        <fgColor rgb="FFD9EAD3"/>
        <bgColor rgb="FFD9EAD3"/>
      </patternFill>
    </fill>
    <fill>
      <patternFill patternType="solid">
        <fgColor rgb="FFF4CCCC"/>
        <bgColor rgb="FFF4CCCC"/>
      </patternFill>
    </fill>
    <fill>
      <patternFill patternType="solid">
        <fgColor rgb="FFD9D9D9"/>
        <bgColor rgb="FFD9D9D9"/>
      </patternFill>
    </fill>
    <fill>
      <patternFill patternType="solid">
        <fgColor rgb="FFD0E0E3"/>
        <bgColor rgb="FFD0E0E3"/>
      </patternFill>
    </fill>
    <fill>
      <patternFill patternType="solid">
        <fgColor rgb="FFD9D2E9"/>
        <bgColor rgb="FFD9D2E9"/>
      </patternFill>
    </fill>
    <fill>
      <patternFill patternType="solid">
        <fgColor rgb="FF9FC5E8"/>
        <bgColor rgb="FF9FC5E8"/>
      </patternFill>
    </fill>
    <fill>
      <patternFill patternType="solid">
        <fgColor rgb="FFFFE599"/>
        <bgColor rgb="FFFFE599"/>
      </patternFill>
    </fill>
    <fill>
      <patternFill patternType="solid">
        <fgColor rgb="FFFF00FF"/>
        <bgColor rgb="FFFF00FF"/>
      </patternFill>
    </fill>
    <fill>
      <patternFill patternType="solid">
        <fgColor rgb="FF6D9EEB"/>
        <bgColor rgb="FF6D9EEB"/>
      </patternFill>
    </fill>
    <fill>
      <patternFill patternType="solid">
        <fgColor rgb="FF00FF00"/>
        <bgColor rgb="FF00FF00"/>
      </patternFill>
    </fill>
    <fill>
      <patternFill patternType="solid">
        <fgColor rgb="FFB4A7D6"/>
        <bgColor rgb="FFB4A7D6"/>
      </patternFill>
    </fill>
    <fill>
      <patternFill patternType="solid">
        <fgColor rgb="FF00FFFF"/>
        <bgColor rgb="FF00FFFF"/>
      </patternFill>
    </fill>
    <fill>
      <patternFill patternType="solid">
        <fgColor rgb="FFFFD966"/>
        <bgColor rgb="FFFFD966"/>
      </patternFill>
    </fill>
    <fill>
      <patternFill patternType="solid">
        <fgColor rgb="FFB6D7A8"/>
        <bgColor rgb="FFB6D7A8"/>
      </patternFill>
    </fill>
    <fill>
      <patternFill patternType="solid">
        <fgColor rgb="FFA4C2F4"/>
        <bgColor rgb="FFA4C2F4"/>
      </patternFill>
    </fill>
    <fill>
      <patternFill patternType="solid">
        <fgColor rgb="FFEFEFEF"/>
        <bgColor rgb="FFEFEFEF"/>
      </patternFill>
    </fill>
    <fill>
      <patternFill patternType="solid">
        <fgColor rgb="FFB7B7B7"/>
        <bgColor rgb="FFB7B7B7"/>
      </patternFill>
    </fill>
    <fill>
      <patternFill patternType="solid">
        <fgColor rgb="FFCCCCCC"/>
        <bgColor rgb="FFCCCCCC"/>
      </patternFill>
    </fill>
    <fill>
      <patternFill patternType="solid">
        <fgColor rgb="FFE6B8AF"/>
        <bgColor rgb="FFE6B8AF"/>
      </patternFill>
    </fill>
    <fill>
      <patternFill patternType="solid">
        <fgColor rgb="FFFF9900"/>
        <bgColor rgb="FFFF9900"/>
      </patternFill>
    </fill>
    <fill>
      <patternFill patternType="solid">
        <fgColor rgb="FFF2F2F2"/>
        <bgColor rgb="FFF2F2F2"/>
      </patternFill>
    </fill>
    <fill>
      <patternFill patternType="solid">
        <fgColor rgb="FFD5A6BD"/>
        <bgColor rgb="FFD5A6BD"/>
      </patternFill>
    </fill>
    <fill>
      <patternFill patternType="solid">
        <fgColor rgb="FF6FA8DC"/>
        <bgColor rgb="FF6FA8DC"/>
      </patternFill>
    </fill>
    <fill>
      <patternFill patternType="solid">
        <fgColor rgb="FFF0FFB2"/>
        <bgColor rgb="FFF0FFB2"/>
      </patternFill>
    </fill>
    <fill>
      <patternFill patternType="solid">
        <fgColor rgb="FFFF0000"/>
        <bgColor rgb="FFFF0000"/>
      </patternFill>
    </fill>
    <fill>
      <patternFill patternType="solid">
        <fgColor rgb="FF8EFF8E"/>
        <bgColor rgb="FF8EFF8E"/>
      </patternFill>
    </fill>
    <fill>
      <patternFill patternType="solid">
        <fgColor rgb="FFCCFF00"/>
        <bgColor rgb="FFCCFF00"/>
      </patternFill>
    </fill>
    <fill>
      <patternFill patternType="solid">
        <fgColor rgb="FFFFFFB3"/>
        <bgColor rgb="FFFFFFB3"/>
      </patternFill>
    </fill>
    <fill>
      <patternFill patternType="solid">
        <fgColor rgb="FFF6F8F9"/>
        <bgColor rgb="FFF6F8F9"/>
      </patternFill>
    </fill>
  </fills>
  <borders count="170">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top/>
      <bottom/>
    </border>
    <border>
      <left style="thin">
        <color rgb="FF000000"/>
      </left>
      <right style="thin">
        <color rgb="FF000000"/>
      </right>
      <bottom style="thin">
        <color rgb="FF000000"/>
      </bottom>
    </border>
    <border>
      <left style="thin">
        <color rgb="FF000000"/>
      </left>
      <right style="thin">
        <color rgb="FF000000"/>
      </right>
      <top/>
      <bottom style="thin">
        <color rgb="FF000000"/>
      </bottom>
    </border>
    <border>
      <right style="thin">
        <color rgb="FF424242"/>
      </right>
      <bottom style="thin">
        <color rgb="FF424242"/>
      </bottom>
    </border>
    <border>
      <bottom style="thin">
        <color rgb="FF424242"/>
      </bottom>
    </border>
    <border>
      <right style="thin">
        <color rgb="FF424242"/>
      </right>
    </border>
    <border>
      <left/>
      <right style="thin">
        <color rgb="FF424242"/>
      </right>
      <top style="thin">
        <color rgb="FF424242"/>
      </top>
      <bottom style="thin">
        <color rgb="FF424242"/>
      </bottom>
    </border>
    <border>
      <left/>
      <right style="thin">
        <color rgb="FF424242"/>
      </right>
      <top style="thin">
        <color rgb="FF424242"/>
      </top>
      <bottom style="thin">
        <color rgb="FF000000"/>
      </bottom>
    </border>
    <border>
      <left/>
      <right/>
      <top style="thin">
        <color rgb="FF424242"/>
      </top>
      <bottom style="thin">
        <color rgb="FF424242"/>
      </bottom>
    </border>
    <border>
      <right style="thin">
        <color rgb="FF999999"/>
      </right>
    </border>
    <border>
      <left/>
      <right style="thin">
        <color rgb="FF999999"/>
      </right>
      <top/>
      <bottom style="thin">
        <color rgb="FF999999"/>
      </bottom>
    </border>
    <border>
      <left/>
      <right/>
      <top/>
      <bottom style="thin">
        <color rgb="FF999999"/>
      </bottom>
    </border>
    <border>
      <left style="medium">
        <color rgb="FF000000"/>
      </left>
      <right style="medium">
        <color rgb="FF000000"/>
      </right>
      <top style="medium">
        <color rgb="FF000000"/>
      </top>
      <bottom style="thin">
        <color rgb="FF000000"/>
      </bottom>
    </border>
    <border>
      <left style="thick">
        <color rgb="FF000000"/>
      </left>
      <right style="thick">
        <color rgb="FF000000"/>
      </right>
      <top style="thick">
        <color rgb="FF000000"/>
      </top>
      <bottom style="thick">
        <color rgb="FF000000"/>
      </bottom>
    </border>
    <border>
      <right style="medium">
        <color rgb="FF000000"/>
      </right>
      <top style="thick">
        <color rgb="FF000000"/>
      </top>
      <bottom style="thick">
        <color rgb="FF000000"/>
      </bottom>
    </border>
    <border>
      <left style="medium">
        <color rgb="FF000000"/>
      </left>
      <right style="medium">
        <color rgb="FF000000"/>
      </right>
      <bottom style="medium">
        <color rgb="FF000000"/>
      </bottom>
    </border>
    <border>
      <left style="thick">
        <color rgb="FF000000"/>
      </left>
      <right style="thick">
        <color rgb="FF000000"/>
      </right>
      <top style="thick">
        <color rgb="FF000000"/>
      </top>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style="thin">
        <color rgb="FF999999"/>
      </right>
      <bottom style="thin">
        <color rgb="FF999999"/>
      </bottom>
    </border>
    <border>
      <left style="thin">
        <color rgb="FF999999"/>
      </left>
      <right style="thin">
        <color rgb="FF999999"/>
      </right>
      <bottom style="thin">
        <color rgb="FF999999"/>
      </bottom>
    </border>
    <border>
      <left style="thin">
        <color rgb="FF999999"/>
      </left>
      <bottom style="thin">
        <color rgb="FF999999"/>
      </bottom>
    </border>
    <border>
      <left style="thin">
        <color rgb="FFB7B7B7"/>
      </left>
      <right style="medium">
        <color rgb="FF000000"/>
      </right>
      <bottom style="thin">
        <color rgb="FFB7B7B7"/>
      </bottom>
    </border>
    <border>
      <right style="medium">
        <color rgb="FF000000"/>
      </right>
      <bottom style="thin">
        <color rgb="FFB7B7B7"/>
      </bottom>
    </border>
    <border>
      <left style="medium">
        <color rgb="FF000000"/>
      </left>
      <right style="medium">
        <color rgb="FF000000"/>
      </right>
      <bottom style="thin">
        <color rgb="FFB7B7B7"/>
      </bottom>
    </border>
    <border>
      <left style="medium">
        <color rgb="FF000000"/>
      </left>
      <right style="thin">
        <color rgb="FF999999"/>
      </right>
      <top style="thin">
        <color rgb="FF999999"/>
      </top>
      <bottom style="thin">
        <color rgb="FF999999"/>
      </bottom>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left style="thin">
        <color rgb="FFB7B7B7"/>
      </left>
      <right style="medium">
        <color rgb="FF000000"/>
      </right>
      <top style="thin">
        <color rgb="FFB7B7B7"/>
      </top>
      <bottom style="thin">
        <color rgb="FFB7B7B7"/>
      </bottom>
    </border>
    <border>
      <left style="medium">
        <color rgb="FF000000"/>
      </left>
      <right style="medium">
        <color rgb="FF000000"/>
      </right>
      <top style="thin">
        <color rgb="FFB7B7B7"/>
      </top>
      <bottom style="thin">
        <color rgb="FFB7B7B7"/>
      </bottom>
    </border>
    <border>
      <left style="medium">
        <color rgb="FF000000"/>
      </left>
      <right style="thin">
        <color rgb="FF999999"/>
      </right>
      <top style="thin">
        <color rgb="FF999999"/>
      </top>
    </border>
    <border>
      <left style="thin">
        <color rgb="FF999999"/>
      </left>
      <right style="thin">
        <color rgb="FF999999"/>
      </right>
      <top style="thin">
        <color rgb="FF999999"/>
      </top>
    </border>
    <border>
      <left style="thin">
        <color rgb="FF999999"/>
      </left>
      <top style="thin">
        <color rgb="FF999999"/>
      </top>
    </border>
    <border>
      <left style="thin">
        <color rgb="FFB7B7B7"/>
      </left>
      <right style="medium">
        <color rgb="FF000000"/>
      </right>
      <top style="thin">
        <color rgb="FFB7B7B7"/>
      </top>
    </border>
    <border>
      <left style="medium">
        <color rgb="FF000000"/>
      </left>
      <right style="medium">
        <color rgb="FF000000"/>
      </right>
      <top style="thin">
        <color rgb="FFB7B7B7"/>
      </top>
    </border>
    <border>
      <left style="thin">
        <color rgb="FF999999"/>
      </left>
      <right style="thin">
        <color rgb="FFB7B7B7"/>
      </right>
      <top style="thin">
        <color rgb="FF999999"/>
      </top>
      <bottom style="thin">
        <color rgb="FFB7B7B7"/>
      </bottom>
    </border>
    <border>
      <left style="thin">
        <color rgb="FFB7B7B7"/>
      </left>
      <right style="thin">
        <color rgb="FFB7B7B7"/>
      </right>
      <top style="thin">
        <color rgb="FF999999"/>
      </top>
      <bottom style="thin">
        <color rgb="FFB7B7B7"/>
      </bottom>
    </border>
    <border>
      <left style="medium">
        <color rgb="FF000000"/>
      </left>
      <right style="thin">
        <color rgb="FFB7B7B7"/>
      </right>
      <top style="thin">
        <color rgb="FF999999"/>
      </top>
      <bottom style="thin">
        <color rgb="FFB7B7B7"/>
      </bottom>
    </border>
    <border>
      <left style="thin">
        <color rgb="FF999999"/>
      </left>
      <right style="thin">
        <color rgb="FFB7B7B7"/>
      </right>
      <top style="thin">
        <color rgb="FFB7B7B7"/>
      </top>
      <bottom style="thin">
        <color rgb="FFB7B7B7"/>
      </bottom>
    </border>
    <border>
      <left style="thin">
        <color rgb="FFB7B7B7"/>
      </left>
      <right style="thin">
        <color rgb="FFB7B7B7"/>
      </right>
      <top style="thin">
        <color rgb="FFB7B7B7"/>
      </top>
      <bottom style="thin">
        <color rgb="FFB7B7B7"/>
      </bottom>
    </border>
    <border>
      <left style="thin">
        <color rgb="FF999999"/>
      </left>
      <right style="medium">
        <color rgb="FF000000"/>
      </right>
      <top style="thin">
        <color rgb="FF999999"/>
      </top>
    </border>
    <border>
      <right style="thin">
        <color rgb="FFB7B7B7"/>
      </right>
      <top style="thin">
        <color rgb="FFB7B7B7"/>
      </top>
      <bottom style="thin">
        <color rgb="FFB7B7B7"/>
      </bottom>
    </border>
    <border>
      <right style="medium">
        <color rgb="FF000000"/>
      </right>
      <top style="thin">
        <color rgb="FFB7B7B7"/>
      </top>
    </border>
    <border>
      <left style="thin">
        <color rgb="FF999999"/>
      </left>
      <right style="medium">
        <color rgb="FF000000"/>
      </right>
      <bottom style="thin">
        <color rgb="FF999999"/>
      </bottom>
    </border>
    <border>
      <left style="thin">
        <color rgb="FF999999"/>
      </left>
      <right style="medium">
        <color rgb="FF000000"/>
      </right>
      <top style="thin">
        <color rgb="FF999999"/>
      </top>
      <bottom style="thin">
        <color rgb="FF999999"/>
      </bottom>
    </border>
    <border>
      <left style="medium">
        <color rgb="FF000000"/>
      </left>
      <right style="thin">
        <color rgb="FF999999"/>
      </right>
      <top style="thin">
        <color rgb="FF999999"/>
      </top>
      <bottom style="medium">
        <color rgb="FF000000"/>
      </bottom>
    </border>
    <border>
      <left style="thin">
        <color rgb="FF999999"/>
      </left>
      <right style="thin">
        <color rgb="FF999999"/>
      </right>
      <top style="thin">
        <color rgb="FF999999"/>
      </top>
      <bottom style="medium">
        <color rgb="FF000000"/>
      </bottom>
    </border>
    <border>
      <right style="thin">
        <color rgb="FF999999"/>
      </right>
      <top style="medium">
        <color rgb="FF000000"/>
      </top>
      <bottom style="medium">
        <color rgb="FF000000"/>
      </bottom>
    </border>
    <border>
      <left style="thin">
        <color rgb="FF999999"/>
      </left>
      <right style="thin">
        <color rgb="FFB7B7B7"/>
      </right>
      <bottom style="thin">
        <color rgb="FFB7B7B7"/>
      </bottom>
    </border>
    <border>
      <left style="thin">
        <color rgb="FFB7B7B7"/>
      </left>
      <right style="thin">
        <color rgb="FFB7B7B7"/>
      </right>
      <bottom style="thin">
        <color rgb="FFB7B7B7"/>
      </bottom>
    </border>
    <border>
      <left style="thin">
        <color rgb="FFB7B7B7"/>
      </left>
      <right style="thin">
        <color rgb="FF999999"/>
      </right>
      <bottom style="thin">
        <color rgb="FFB7B7B7"/>
      </bottom>
    </border>
    <border>
      <left style="medium">
        <color rgb="FF000000"/>
      </left>
      <right style="thin">
        <color rgb="FFB7B7B7"/>
      </right>
      <bottom style="thin">
        <color rgb="FFB7B7B7"/>
      </bottom>
    </border>
    <border>
      <left style="thin">
        <color rgb="FFB7B7B7"/>
      </left>
      <right style="thin">
        <color rgb="FF999999"/>
      </right>
      <top style="thin">
        <color rgb="FFB7B7B7"/>
      </top>
      <bottom style="thin">
        <color rgb="FFB7B7B7"/>
      </bottom>
    </border>
    <border>
      <left style="medium">
        <color rgb="FF000000"/>
      </left>
      <right style="thin">
        <color rgb="FFB7B7B7"/>
      </right>
      <top style="thin">
        <color rgb="FFB7B7B7"/>
      </top>
      <bottom style="thin">
        <color rgb="FFB7B7B7"/>
      </bottom>
    </border>
    <border>
      <left style="thin">
        <color rgb="FF999999"/>
      </left>
      <right style="thin">
        <color rgb="FFB7B7B7"/>
      </right>
      <top style="thin">
        <color rgb="FFB7B7B7"/>
      </top>
      <bottom style="medium">
        <color rgb="FF000000"/>
      </bottom>
    </border>
    <border>
      <left style="thin">
        <color rgb="FFB7B7B7"/>
      </left>
      <right style="thin">
        <color rgb="FFB7B7B7"/>
      </right>
      <top style="thin">
        <color rgb="FFB7B7B7"/>
      </top>
      <bottom style="medium">
        <color rgb="FF000000"/>
      </bottom>
    </border>
    <border>
      <left style="thin">
        <color rgb="FFB7B7B7"/>
      </left>
      <right style="thin">
        <color rgb="FF999999"/>
      </right>
      <top style="thin">
        <color rgb="FFB7B7B7"/>
      </top>
    </border>
    <border>
      <left style="thin">
        <color rgb="FF999999"/>
      </left>
      <right style="medium">
        <color rgb="FF000000"/>
      </right>
      <top style="thin">
        <color rgb="FF999999"/>
      </top>
      <bottom style="medium">
        <color rgb="FF000000"/>
      </bottom>
    </border>
    <border>
      <left style="medium">
        <color rgb="FF000000"/>
      </left>
      <right style="thin">
        <color rgb="FFB7B7B7"/>
      </right>
      <top style="thin">
        <color rgb="FFB7B7B7"/>
      </top>
    </border>
    <border>
      <left style="thin">
        <color rgb="FFB7B7B7"/>
      </left>
      <right style="thin">
        <color rgb="FFB7B7B7"/>
      </right>
      <top style="thin">
        <color rgb="FFB7B7B7"/>
      </top>
    </border>
    <border>
      <left style="thin">
        <color rgb="FF999999"/>
      </left>
      <right style="thin">
        <color rgb="FF999999"/>
      </right>
    </border>
    <border>
      <left style="medium">
        <color rgb="FF000000"/>
      </left>
      <right style="thin">
        <color rgb="FF999999"/>
      </right>
      <top style="medium">
        <color rgb="FF000000"/>
      </top>
    </border>
    <border>
      <left style="thin">
        <color rgb="FF999999"/>
      </left>
      <right style="thin">
        <color rgb="FF999999"/>
      </right>
      <top style="medium">
        <color rgb="FF000000"/>
      </top>
    </border>
    <border>
      <left style="thin">
        <color rgb="FFB7B7B7"/>
      </left>
      <right style="medium">
        <color rgb="FF000000"/>
      </right>
      <top style="medium">
        <color rgb="FF000000"/>
      </top>
      <bottom style="thin">
        <color rgb="FFB7B7B7"/>
      </bottom>
    </border>
    <border>
      <left style="thin">
        <color rgb="FFB7B7B7"/>
      </left>
      <right style="medium">
        <color rgb="FF000000"/>
      </right>
      <top style="thin">
        <color rgb="FFB7B7B7"/>
      </top>
      <bottom style="medium">
        <color rgb="FF000000"/>
      </bottom>
    </border>
    <border>
      <top style="medium">
        <color rgb="FF000000"/>
      </top>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top style="medium">
        <color rgb="FF000000"/>
      </top>
      <bottom style="medium">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n">
        <color rgb="FF000000"/>
      </left>
      <top style="thin">
        <color rgb="FF000000"/>
      </top>
    </border>
    <border>
      <left style="thin">
        <color rgb="FF000000"/>
      </left>
      <right style="thin">
        <color rgb="FF000000"/>
      </right>
      <top style="thin">
        <color rgb="FF000000"/>
      </top>
    </border>
    <border>
      <left style="thin">
        <color rgb="FF000000"/>
      </left>
      <bottom style="thin">
        <color rgb="FF000000"/>
      </bottom>
    </border>
    <border>
      <left style="thin">
        <color rgb="FF666666"/>
      </left>
      <right style="thin">
        <color rgb="FF666666"/>
      </right>
      <top style="thin">
        <color rgb="FF666666"/>
      </top>
      <bottom style="thin">
        <color rgb="FF666666"/>
      </bottom>
    </border>
    <border>
      <right style="thin">
        <color rgb="FF000000"/>
      </right>
      <top style="thin">
        <color rgb="FF000000"/>
      </top>
    </border>
    <border>
      <left style="thin">
        <color rgb="FF000000"/>
      </left>
    </border>
    <border>
      <left style="thin">
        <color rgb="FF000000"/>
      </left>
      <right style="thin">
        <color rgb="FF000000"/>
      </right>
    </border>
    <border>
      <left style="medium">
        <color rgb="FF000000"/>
      </left>
      <right style="medium">
        <color rgb="FF000000"/>
      </right>
      <bottom style="thin">
        <color rgb="FF000000"/>
      </bottom>
    </border>
    <border>
      <left style="thin">
        <color rgb="FF999999"/>
      </left>
      <right style="medium">
        <color rgb="FF000000"/>
      </right>
    </border>
    <border>
      <left style="thin">
        <color rgb="FFB7B7B7"/>
      </left>
      <right style="medium">
        <color rgb="FF000000"/>
      </right>
    </border>
    <border>
      <right style="medium">
        <color rgb="FF000000"/>
      </right>
    </border>
    <border>
      <right style="thin">
        <color rgb="FF999999"/>
      </right>
      <top style="thin">
        <color rgb="FFB7B7B7"/>
      </top>
    </border>
    <border>
      <bottom style="thin">
        <color rgb="FF000000"/>
      </bottom>
    </border>
    <border>
      <right style="thin">
        <color rgb="FF000000"/>
      </right>
      <bottom style="thin">
        <color rgb="FF000000"/>
      </bottom>
    </border>
    <border>
      <right style="thin">
        <color rgb="FF000000"/>
      </right>
    </border>
    <border>
      <left/>
      <right style="thin">
        <color rgb="FF424242"/>
      </right>
      <top style="thin">
        <color rgb="FF424242"/>
      </top>
      <bottom/>
    </border>
    <border>
      <left style="thin">
        <color rgb="FF424242"/>
      </left>
      <top style="thin">
        <color rgb="FF000000"/>
      </top>
      <bottom/>
    </border>
    <border>
      <top style="thin">
        <color rgb="FF000000"/>
      </top>
      <bottom/>
    </border>
    <border>
      <right style="thin">
        <color rgb="FF000000"/>
      </right>
      <top style="thin">
        <color rgb="FF000000"/>
      </top>
      <bottom/>
    </border>
    <border>
      <left style="thin">
        <color rgb="FF000000"/>
      </left>
      <right/>
      <top style="thin">
        <color rgb="FF000000"/>
      </top>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ck">
        <color rgb="FF7F7F7F"/>
      </bottom>
    </border>
    <border>
      <left style="thin">
        <color rgb="FF7F7F7F"/>
      </left>
      <right style="thin">
        <color rgb="FF7F7F7F"/>
      </right>
      <bottom style="thin">
        <color rgb="FF7F7F7F"/>
      </bottom>
    </border>
    <border>
      <bottom style="medium">
        <color rgb="FF000000"/>
      </bottom>
    </border>
    <border>
      <left style="medium">
        <color rgb="FF000000"/>
      </left>
      <top style="medium">
        <color rgb="FF000000"/>
      </top>
    </border>
    <border>
      <left style="thin">
        <color rgb="FF000000"/>
      </left>
      <top style="medium">
        <color rgb="FF000000"/>
      </top>
    </border>
    <border>
      <right style="thin">
        <color rgb="FF000000"/>
      </right>
      <top style="medium">
        <color rgb="FF000000"/>
      </top>
    </border>
    <border>
      <right style="medium">
        <color rgb="FF000000"/>
      </right>
      <top style="medium">
        <color rgb="FF000000"/>
      </top>
    </border>
    <border>
      <left style="medium">
        <color rgb="FF000000"/>
      </left>
      <bottom style="medium">
        <color rgb="FF000000"/>
      </bottom>
    </border>
    <border>
      <left style="thin">
        <color rgb="FF000000"/>
      </left>
      <bottom style="medium">
        <color rgb="FF000000"/>
      </bottom>
    </border>
    <border>
      <right style="thin">
        <color rgb="FF000000"/>
      </right>
      <bottom style="medium">
        <color rgb="FF000000"/>
      </bottom>
    </border>
    <border>
      <right style="medium">
        <color rgb="FF000000"/>
      </right>
      <bottom style="medium">
        <color rgb="FF000000"/>
      </bottom>
    </border>
    <border>
      <left style="medium">
        <color rgb="FF000000"/>
      </left>
    </border>
    <border>
      <left style="medium">
        <color rgb="FF000000"/>
      </left>
      <top style="thin">
        <color rgb="FF000000"/>
      </top>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top style="thin">
        <color rgb="FF000000"/>
      </top>
    </border>
    <border>
      <left style="thick">
        <color rgb="FF000000"/>
      </left>
      <right style="thick">
        <color rgb="FF000000"/>
      </right>
      <bottom style="thick">
        <color rgb="FF000000"/>
      </bottom>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left style="thick">
        <color rgb="FF000000"/>
      </left>
      <right style="thin">
        <color rgb="FF000000"/>
      </right>
      <top style="thin">
        <color rgb="FF000000"/>
      </top>
      <bottom style="thick">
        <color rgb="FF000000"/>
      </bottom>
    </border>
    <border>
      <left style="thick">
        <color rgb="FF000000"/>
      </left>
      <top style="thick">
        <color rgb="FF000000"/>
      </top>
      <bottom style="thin">
        <color rgb="FF000000"/>
      </bottom>
    </border>
    <border>
      <right style="thin">
        <color rgb="FF000000"/>
      </right>
      <top style="thick">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thick">
        <color rgb="FF000000"/>
      </bottom>
    </border>
    <border>
      <right style="thin">
        <color rgb="FF000000"/>
      </right>
      <top style="thin">
        <color rgb="FF000000"/>
      </top>
      <bottom style="thick">
        <color rgb="FF000000"/>
      </bottom>
    </border>
    <border>
      <right style="thick">
        <color rgb="FF000000"/>
      </right>
      <top style="thin">
        <color rgb="FF000000"/>
      </top>
      <bottom style="thin">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thin">
        <color rgb="FF000000"/>
      </right>
      <top style="thick">
        <color rgb="FF000000"/>
      </top>
    </border>
    <border>
      <left style="thick">
        <color rgb="FF000000"/>
      </left>
      <right style="thin">
        <color rgb="FF000000"/>
      </right>
      <bottom style="thick">
        <color rgb="FF000000"/>
      </bottom>
    </border>
    <border>
      <left style="thin">
        <color rgb="FF666666"/>
      </left>
      <right style="thin">
        <color rgb="FFB7B7B7"/>
      </right>
      <top style="thin">
        <color rgb="FF666666"/>
      </top>
      <bottom style="thin">
        <color rgb="FFB7B7B7"/>
      </bottom>
    </border>
    <border>
      <left style="thin">
        <color rgb="FFB7B7B7"/>
      </left>
      <right style="thin">
        <color rgb="FF666666"/>
      </right>
      <top style="thin">
        <color rgb="FF666666"/>
      </top>
      <bottom style="thin">
        <color rgb="FFB7B7B7"/>
      </bottom>
    </border>
    <border>
      <left style="thin">
        <color rgb="FF666666"/>
      </left>
      <right style="thin">
        <color rgb="FFB7B7B7"/>
      </right>
      <top style="thin">
        <color rgb="FFB7B7B7"/>
      </top>
      <bottom style="thin">
        <color rgb="FFB7B7B7"/>
      </bottom>
    </border>
    <border>
      <left style="thin">
        <color rgb="FFB7B7B7"/>
      </left>
      <right style="thin">
        <color rgb="FF666666"/>
      </right>
      <top style="thin">
        <color rgb="FFB7B7B7"/>
      </top>
      <bottom style="thin">
        <color rgb="FFB7B7B7"/>
      </bottom>
    </border>
    <border>
      <left style="thin">
        <color rgb="FF666666"/>
      </left>
      <right style="thin">
        <color rgb="FFB7B7B7"/>
      </right>
      <top style="thin">
        <color rgb="FFB7B7B7"/>
      </top>
      <bottom style="thin">
        <color rgb="FF666666"/>
      </bottom>
    </border>
    <border>
      <left style="thin">
        <color rgb="FFB7B7B7"/>
      </left>
      <right style="thin">
        <color rgb="FF666666"/>
      </right>
      <top style="thin">
        <color rgb="FFB7B7B7"/>
      </top>
      <bottom style="thin">
        <color rgb="FF666666"/>
      </bottom>
    </border>
    <border>
      <left style="thin">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ck">
        <color rgb="FF000000"/>
      </right>
      <top style="thick">
        <color rgb="FF000000"/>
      </top>
      <bottom style="thin">
        <color rgb="FF000000"/>
      </bottom>
    </border>
    <border>
      <left style="thick">
        <color rgb="FF000000"/>
      </left>
      <right style="thick">
        <color rgb="FF000000"/>
      </right>
      <top style="thin">
        <color rgb="FF000000"/>
      </top>
      <bottom style="thick">
        <color rgb="FF000000"/>
      </bottom>
    </border>
    <border>
      <left style="thick">
        <color rgb="FF000000"/>
      </left>
      <right style="thick">
        <color rgb="FF000000"/>
      </right>
    </border>
    <border>
      <left style="thin">
        <color rgb="FFF3F3F3"/>
      </left>
      <right style="thin">
        <color rgb="FFF3F3F3"/>
      </right>
      <top style="thin">
        <color rgb="FF284E3F"/>
      </top>
      <bottom style="thin">
        <color rgb="FFF3F3F3"/>
      </bottom>
    </border>
    <border>
      <left style="thin">
        <color rgb="FFF3F3F3"/>
      </left>
      <right style="thin">
        <color rgb="FF356854"/>
      </right>
      <top style="thin">
        <color rgb="FF284E3F"/>
      </top>
      <bottom style="thin">
        <color rgb="FFF3F3F3"/>
      </bottom>
    </border>
    <border>
      <left style="thin">
        <color rgb="FF356854"/>
      </left>
      <right style="thin">
        <color rgb="FF356854"/>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6F8F9"/>
      </right>
      <top style="thin">
        <color rgb="FFF6F8F9"/>
      </top>
      <bottom style="thin">
        <color rgb="FF284E3F"/>
      </bottom>
    </border>
    <border>
      <left style="thin">
        <color rgb="FFF6F8F9"/>
      </left>
      <right style="thin">
        <color rgb="FFF6F8F9"/>
      </right>
      <top style="thin">
        <color rgb="FFF6F8F9"/>
      </top>
      <bottom style="thin">
        <color rgb="FF284E3F"/>
      </bottom>
    </border>
    <border>
      <left style="thin">
        <color rgb="FFF6F8F9"/>
      </left>
      <right style="thin">
        <color rgb="FF284E3F"/>
      </right>
      <top style="thin">
        <color rgb="FFF6F8F9"/>
      </top>
      <bottom style="thin">
        <color rgb="FF284E3F"/>
      </bottom>
    </border>
    <border>
      <left style="thin">
        <color rgb="FFFFFF00"/>
      </left>
      <right style="thin">
        <color rgb="FF284E3F"/>
      </right>
      <top style="thin">
        <color rgb="FFFFFF00"/>
      </top>
      <bottom style="thin">
        <color rgb="FFFFFF00"/>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00"/>
      </left>
      <right style="thin">
        <color rgb="FF284E3F"/>
      </right>
      <top style="thin">
        <color rgb="FFFFFF00"/>
      </top>
      <bottom style="thin">
        <color rgb="FF284E3F"/>
      </bottom>
    </border>
  </borders>
  <cellStyleXfs count="1">
    <xf borderId="0" fillId="0" fontId="0" numFmtId="0" applyAlignment="1" applyFont="1"/>
  </cellStyleXfs>
  <cellXfs count="1424">
    <xf borderId="0" fillId="0" fontId="0" numFmtId="0" xfId="0" applyAlignment="1" applyFont="1">
      <alignment readingOrder="0" shrinkToFit="0" vertical="bottom" wrapText="0"/>
    </xf>
    <xf borderId="1" fillId="2" fontId="1" numFmtId="0" xfId="0" applyAlignment="1" applyBorder="1" applyFill="1" applyFont="1">
      <alignment vertical="center"/>
    </xf>
    <xf borderId="1" fillId="2" fontId="2" numFmtId="0" xfId="0" applyAlignment="1" applyBorder="1" applyFont="1">
      <alignment shrinkToFit="0" vertical="center" wrapText="1"/>
    </xf>
    <xf borderId="1" fillId="2" fontId="2" numFmtId="0" xfId="0" applyAlignment="1" applyBorder="1" applyFont="1">
      <alignment horizontal="center" vertical="center"/>
    </xf>
    <xf borderId="1" fillId="2" fontId="3" numFmtId="0" xfId="0" applyAlignment="1" applyBorder="1" applyFont="1">
      <alignment horizontal="right" vertical="center"/>
    </xf>
    <xf borderId="1" fillId="2" fontId="2" numFmtId="0" xfId="0" applyAlignment="1" applyBorder="1" applyFont="1">
      <alignment horizontal="right" vertical="center"/>
    </xf>
    <xf borderId="1" fillId="2" fontId="3" numFmtId="0" xfId="0" applyAlignment="1" applyBorder="1" applyFont="1">
      <alignment horizontal="center" vertical="center"/>
    </xf>
    <xf borderId="0" fillId="0" fontId="4" numFmtId="0" xfId="0" applyAlignment="1" applyFont="1">
      <alignment vertical="center"/>
    </xf>
    <xf borderId="0" fillId="0" fontId="5" numFmtId="0" xfId="0" applyAlignment="1" applyFont="1">
      <alignment horizontal="left" vertical="center"/>
    </xf>
    <xf borderId="0" fillId="0" fontId="6" numFmtId="0" xfId="0" applyAlignment="1" applyFont="1">
      <alignment vertical="center"/>
    </xf>
    <xf borderId="1" fillId="3" fontId="7" numFmtId="0" xfId="0" applyBorder="1" applyFill="1" applyFont="1"/>
    <xf borderId="1" fillId="3" fontId="8" numFmtId="11" xfId="0" applyAlignment="1" applyBorder="1" applyFont="1" applyNumberFormat="1">
      <alignment horizontal="left" shrinkToFit="0" vertical="center" wrapText="1"/>
    </xf>
    <xf borderId="1" fillId="3" fontId="1" numFmtId="3" xfId="0" applyBorder="1" applyFont="1" applyNumberFormat="1"/>
    <xf borderId="1" fillId="3" fontId="9" numFmtId="3" xfId="0" applyBorder="1" applyFont="1" applyNumberFormat="1"/>
    <xf borderId="1" fillId="3" fontId="10" numFmtId="164" xfId="0" applyAlignment="1" applyBorder="1" applyFont="1" applyNumberFormat="1">
      <alignment horizontal="right"/>
    </xf>
    <xf borderId="1" fillId="3" fontId="10" numFmtId="9" xfId="0" applyAlignment="1" applyBorder="1" applyFont="1" applyNumberFormat="1">
      <alignment horizontal="right"/>
    </xf>
    <xf borderId="0" fillId="0" fontId="4" numFmtId="0" xfId="0" applyFont="1"/>
    <xf borderId="0" fillId="0" fontId="11" numFmtId="0" xfId="0" applyAlignment="1" applyFont="1">
      <alignment shrinkToFit="0" wrapText="1"/>
    </xf>
    <xf borderId="0" fillId="0" fontId="1" numFmtId="0" xfId="0" applyAlignment="1" applyFont="1">
      <alignment horizontal="center" vertical="center"/>
    </xf>
    <xf borderId="1" fillId="0" fontId="12" numFmtId="0" xfId="0" applyAlignment="1" applyBorder="1" applyFont="1">
      <alignment horizontal="center" vertical="center"/>
    </xf>
    <xf borderId="2" fillId="0" fontId="13" numFmtId="0" xfId="0" applyAlignment="1" applyBorder="1" applyFont="1">
      <alignment horizontal="left" shrinkToFit="0" vertical="center" wrapText="0"/>
    </xf>
    <xf borderId="3" fillId="0" fontId="14" numFmtId="0" xfId="0" applyBorder="1" applyFont="1"/>
    <xf borderId="4" fillId="0" fontId="14" numFmtId="0" xfId="0" applyBorder="1" applyFont="1"/>
    <xf borderId="1" fillId="0" fontId="13" numFmtId="3" xfId="0" applyAlignment="1" applyBorder="1" applyFont="1" applyNumberFormat="1">
      <alignment horizontal="center" vertical="center"/>
    </xf>
    <xf borderId="1" fillId="0" fontId="12" numFmtId="165" xfId="0" applyAlignment="1" applyBorder="1" applyFont="1" applyNumberFormat="1">
      <alignment horizontal="right" vertical="center"/>
    </xf>
    <xf borderId="1" fillId="0" fontId="12" numFmtId="10" xfId="0" applyAlignment="1" applyBorder="1" applyFont="1" applyNumberFormat="1">
      <alignment horizontal="right" vertical="center"/>
    </xf>
    <xf borderId="1" fillId="0" fontId="12" numFmtId="164" xfId="0" applyAlignment="1" applyBorder="1" applyFont="1" applyNumberFormat="1">
      <alignment horizontal="right" vertical="center"/>
    </xf>
    <xf borderId="1" fillId="0" fontId="12" numFmtId="9" xfId="0" applyAlignment="1" applyBorder="1" applyFont="1" applyNumberFormat="1">
      <alignment horizontal="right" vertical="center"/>
    </xf>
    <xf borderId="1" fillId="0" fontId="13" numFmtId="0" xfId="0" applyAlignment="1" applyBorder="1" applyFont="1">
      <alignment horizontal="center" vertical="center"/>
    </xf>
    <xf borderId="0" fillId="0" fontId="12" numFmtId="9" xfId="0" applyAlignment="1" applyFont="1" applyNumberFormat="1">
      <alignment horizontal="center" vertical="center"/>
    </xf>
    <xf borderId="1" fillId="3" fontId="1" numFmtId="165" xfId="0" applyBorder="1" applyFont="1" applyNumberFormat="1"/>
    <xf borderId="1" fillId="3" fontId="1" numFmtId="164" xfId="0" applyBorder="1" applyFont="1" applyNumberFormat="1"/>
    <xf borderId="0" fillId="0" fontId="6" numFmtId="0" xfId="0" applyFont="1"/>
    <xf borderId="1" fillId="0" fontId="13" numFmtId="0" xfId="0" applyAlignment="1" applyBorder="1" applyFont="1">
      <alignment horizontal="left" shrinkToFit="0" vertical="center" wrapText="1"/>
    </xf>
    <xf borderId="1" fillId="0" fontId="13" numFmtId="3" xfId="0" applyAlignment="1" applyBorder="1" applyFont="1" applyNumberFormat="1">
      <alignment horizontal="center"/>
    </xf>
    <xf borderId="1" fillId="0" fontId="9" numFmtId="166" xfId="0" applyBorder="1" applyFont="1" applyNumberFormat="1"/>
    <xf borderId="1" fillId="0" fontId="12" numFmtId="167" xfId="0" applyAlignment="1" applyBorder="1" applyFont="1" applyNumberFormat="1">
      <alignment horizontal="right" vertical="center"/>
    </xf>
    <xf borderId="0" fillId="0" fontId="6" numFmtId="0" xfId="0" applyAlignment="1" applyFont="1">
      <alignment horizontal="center" vertical="center"/>
    </xf>
    <xf borderId="1" fillId="0" fontId="15" numFmtId="0" xfId="0" applyAlignment="1" applyBorder="1" applyFont="1">
      <alignment horizontal="left" shrinkToFit="0" vertical="center" wrapText="1"/>
    </xf>
    <xf borderId="1" fillId="0" fontId="16" numFmtId="0" xfId="0" applyAlignment="1" applyBorder="1" applyFont="1">
      <alignment horizontal="left" vertical="center"/>
    </xf>
    <xf borderId="1" fillId="0" fontId="16" numFmtId="0" xfId="0" applyAlignment="1" applyBorder="1" applyFont="1">
      <alignment horizontal="center" vertical="center"/>
    </xf>
    <xf borderId="1" fillId="0" fontId="9" numFmtId="3" xfId="0" applyBorder="1" applyFont="1" applyNumberFormat="1"/>
    <xf borderId="1" fillId="0" fontId="16" numFmtId="0" xfId="0" applyAlignment="1" applyBorder="1" applyFont="1">
      <alignment horizontal="right" vertical="center"/>
    </xf>
    <xf borderId="2" fillId="0" fontId="7" numFmtId="0" xfId="0" applyBorder="1" applyFont="1"/>
    <xf borderId="1" fillId="3" fontId="17" numFmtId="11" xfId="0" applyAlignment="1" applyBorder="1" applyFont="1" applyNumberFormat="1">
      <alignment shrinkToFit="0" vertical="center" wrapText="1"/>
    </xf>
    <xf borderId="1" fillId="3" fontId="1" numFmtId="3" xfId="0" applyAlignment="1" applyBorder="1" applyFont="1" applyNumberFormat="1">
      <alignment vertical="center"/>
    </xf>
    <xf borderId="1" fillId="3" fontId="18" numFmtId="165" xfId="0" applyAlignment="1" applyBorder="1" applyFont="1" applyNumberFormat="1">
      <alignment vertical="center"/>
    </xf>
    <xf borderId="1" fillId="3" fontId="19" numFmtId="166" xfId="0" applyAlignment="1" applyBorder="1" applyFont="1" applyNumberFormat="1">
      <alignment horizontal="right" vertical="center"/>
    </xf>
    <xf borderId="1" fillId="3" fontId="1" numFmtId="164" xfId="0" applyAlignment="1" applyBorder="1" applyFont="1" applyNumberFormat="1">
      <alignment vertical="center"/>
    </xf>
    <xf borderId="1" fillId="3" fontId="19" numFmtId="164" xfId="0" applyAlignment="1" applyBorder="1" applyFont="1" applyNumberFormat="1">
      <alignment horizontal="right" vertical="center"/>
    </xf>
    <xf borderId="1" fillId="3" fontId="19" numFmtId="9" xfId="0" applyAlignment="1" applyBorder="1" applyFont="1" applyNumberFormat="1">
      <alignment horizontal="right" vertical="center"/>
    </xf>
    <xf borderId="1" fillId="0" fontId="1" numFmtId="0" xfId="0" applyBorder="1" applyFont="1"/>
    <xf borderId="1" fillId="0" fontId="5" numFmtId="0" xfId="0" applyAlignment="1" applyBorder="1" applyFont="1">
      <alignment horizontal="left" shrinkToFit="0" vertical="center" wrapText="1"/>
    </xf>
    <xf borderId="1" fillId="0" fontId="5" numFmtId="0" xfId="0" applyBorder="1" applyFont="1"/>
    <xf borderId="1" fillId="0" fontId="20" numFmtId="0" xfId="0" applyBorder="1" applyFont="1"/>
    <xf borderId="1" fillId="2" fontId="1" numFmtId="0" xfId="0" applyBorder="1" applyFont="1"/>
    <xf borderId="1" fillId="2" fontId="5" numFmtId="0" xfId="0" applyAlignment="1" applyBorder="1" applyFont="1">
      <alignment horizontal="left" shrinkToFit="0" vertical="center" wrapText="1"/>
    </xf>
    <xf borderId="1" fillId="2" fontId="5" numFmtId="0" xfId="0" applyBorder="1" applyFont="1"/>
    <xf borderId="1" fillId="2" fontId="20" numFmtId="0" xfId="0" applyBorder="1" applyFont="1"/>
    <xf borderId="1" fillId="0" fontId="7" numFmtId="0" xfId="0" applyBorder="1" applyFont="1"/>
    <xf borderId="1" fillId="0" fontId="13" numFmtId="11" xfId="0" applyAlignment="1" applyBorder="1" applyFont="1" applyNumberFormat="1">
      <alignment horizontal="left" shrinkToFit="0" vertical="center" wrapText="1"/>
    </xf>
    <xf borderId="1" fillId="0" fontId="11" numFmtId="3" xfId="0" applyAlignment="1" applyBorder="1" applyFont="1" applyNumberFormat="1">
      <alignment horizontal="center"/>
    </xf>
    <xf borderId="1" fillId="0" fontId="7" numFmtId="164" xfId="0" applyAlignment="1" applyBorder="1" applyFont="1" applyNumberFormat="1">
      <alignment horizontal="center"/>
    </xf>
    <xf borderId="1" fillId="4" fontId="12" numFmtId="9" xfId="0" applyAlignment="1" applyBorder="1" applyFill="1" applyFont="1" applyNumberFormat="1">
      <alignment horizontal="right" vertical="center"/>
    </xf>
    <xf borderId="1" fillId="3" fontId="17" numFmtId="11" xfId="0" applyAlignment="1" applyBorder="1" applyFont="1" applyNumberFormat="1">
      <alignment horizontal="left" shrinkToFit="0" vertical="center" wrapText="1"/>
    </xf>
    <xf borderId="1" fillId="3" fontId="19" numFmtId="165" xfId="0" applyAlignment="1" applyBorder="1" applyFont="1" applyNumberFormat="1">
      <alignment horizontal="right" vertical="center"/>
    </xf>
    <xf borderId="1" fillId="3" fontId="21" numFmtId="164" xfId="0" applyBorder="1" applyFont="1" applyNumberFormat="1"/>
    <xf borderId="5" fillId="4" fontId="22" numFmtId="0" xfId="0" applyAlignment="1" applyBorder="1" applyFont="1">
      <alignment horizontal="center" vertical="center"/>
    </xf>
    <xf borderId="0" fillId="0" fontId="23" numFmtId="0" xfId="0" applyFont="1"/>
    <xf borderId="2" fillId="2" fontId="5" numFmtId="0" xfId="0" applyAlignment="1" applyBorder="1" applyFont="1">
      <alignment horizontal="left" vertical="center"/>
    </xf>
    <xf borderId="0" fillId="0" fontId="24" numFmtId="0" xfId="0" applyFont="1"/>
    <xf borderId="1" fillId="0" fontId="25" numFmtId="0" xfId="0" applyAlignment="1" applyBorder="1" applyFont="1">
      <alignment horizontal="left" shrinkToFit="0" vertical="center" wrapText="1"/>
    </xf>
    <xf borderId="6" fillId="0" fontId="25" numFmtId="3" xfId="0" applyAlignment="1" applyBorder="1" applyFont="1" applyNumberFormat="1">
      <alignment horizontal="right" shrinkToFit="0" vertical="center" wrapText="1"/>
    </xf>
    <xf borderId="1" fillId="0" fontId="25" numFmtId="0" xfId="0" applyAlignment="1" applyBorder="1" applyFont="1">
      <alignment horizontal="right" shrinkToFit="0" vertical="center" wrapText="1"/>
    </xf>
    <xf borderId="1" fillId="0" fontId="25" numFmtId="168" xfId="0" applyAlignment="1" applyBorder="1" applyFont="1" applyNumberFormat="1">
      <alignment horizontal="right" shrinkToFit="0" vertical="center" wrapText="1"/>
    </xf>
    <xf borderId="1" fillId="0" fontId="25" numFmtId="169" xfId="0" applyAlignment="1" applyBorder="1" applyFont="1" applyNumberFormat="1">
      <alignment horizontal="right" shrinkToFit="0" vertical="center" wrapText="1"/>
    </xf>
    <xf borderId="6" fillId="5" fontId="25" numFmtId="0" xfId="0" applyAlignment="1" applyBorder="1" applyFill="1" applyFont="1">
      <alignment horizontal="right" shrinkToFit="0" vertical="center" wrapText="1"/>
    </xf>
    <xf borderId="7" fillId="5" fontId="25" numFmtId="0" xfId="0" applyAlignment="1" applyBorder="1" applyFont="1">
      <alignment horizontal="right" shrinkToFit="0" vertical="center" wrapText="1"/>
    </xf>
    <xf borderId="6" fillId="0" fontId="25" numFmtId="0" xfId="0" applyAlignment="1" applyBorder="1" applyFont="1">
      <alignment horizontal="right" shrinkToFit="0" vertical="center" wrapText="1"/>
    </xf>
    <xf borderId="1" fillId="0" fontId="25" numFmtId="164" xfId="0" applyAlignment="1" applyBorder="1" applyFont="1" applyNumberFormat="1">
      <alignment horizontal="right" shrinkToFit="0" vertical="center" wrapText="1"/>
    </xf>
    <xf borderId="1" fillId="0" fontId="9" numFmtId="169" xfId="0" applyAlignment="1" applyBorder="1" applyFont="1" applyNumberFormat="1">
      <alignment horizontal="right" shrinkToFit="0" vertical="center" wrapText="1"/>
    </xf>
    <xf borderId="0" fillId="0" fontId="26" numFmtId="0" xfId="0" applyAlignment="1" applyFont="1">
      <alignment horizontal="left" shrinkToFit="0" vertical="center" wrapText="1"/>
    </xf>
    <xf borderId="0" fillId="0" fontId="26" numFmtId="0" xfId="0" applyFont="1"/>
    <xf borderId="1" fillId="0" fontId="25" numFmtId="4" xfId="0" applyAlignment="1" applyBorder="1" applyFont="1" applyNumberFormat="1">
      <alignment horizontal="right" shrinkToFit="0" vertical="center" wrapText="1"/>
    </xf>
    <xf borderId="1" fillId="0" fontId="27" numFmtId="0" xfId="0" applyAlignment="1" applyBorder="1" applyFont="1">
      <alignment horizontal="left" shrinkToFit="0" vertical="center" wrapText="1"/>
    </xf>
    <xf borderId="1" fillId="0" fontId="27" numFmtId="0" xfId="0" applyAlignment="1" applyBorder="1" applyFont="1">
      <alignment horizontal="right" shrinkToFit="0" vertical="center" wrapText="1"/>
    </xf>
    <xf borderId="1" fillId="0" fontId="28" numFmtId="165" xfId="0" applyAlignment="1" applyBorder="1" applyFont="1" applyNumberFormat="1">
      <alignment horizontal="right" shrinkToFit="0" vertical="center" wrapText="1"/>
    </xf>
    <xf borderId="1" fillId="6" fontId="9" numFmtId="0" xfId="0" applyAlignment="1" applyBorder="1" applyFill="1" applyFont="1">
      <alignment horizontal="left" shrinkToFit="0" vertical="center" wrapText="1"/>
    </xf>
    <xf borderId="1" fillId="5" fontId="9" numFmtId="170" xfId="0" applyAlignment="1" applyBorder="1" applyFont="1" applyNumberFormat="1">
      <alignment shrinkToFit="0" vertical="center" wrapText="1"/>
    </xf>
    <xf borderId="1" fillId="5" fontId="9" numFmtId="9" xfId="0" applyAlignment="1" applyBorder="1" applyFont="1" applyNumberFormat="1">
      <alignment shrinkToFit="0" vertical="center" wrapText="1"/>
    </xf>
    <xf borderId="1" fillId="0" fontId="9" numFmtId="169" xfId="0" applyAlignment="1" applyBorder="1" applyFont="1" applyNumberFormat="1">
      <alignment shrinkToFit="0" vertical="center" wrapText="1"/>
    </xf>
    <xf borderId="1" fillId="6" fontId="10" numFmtId="0" xfId="0" applyAlignment="1" applyBorder="1" applyFont="1">
      <alignment horizontal="left" shrinkToFit="0" vertical="center" wrapText="1"/>
    </xf>
    <xf borderId="1" fillId="0" fontId="10" numFmtId="0" xfId="0" applyAlignment="1" applyBorder="1" applyFont="1">
      <alignment horizontal="right" shrinkToFit="0" vertical="center" wrapText="1"/>
    </xf>
    <xf borderId="1" fillId="0" fontId="10" numFmtId="170" xfId="0" applyAlignment="1" applyBorder="1" applyFont="1" applyNumberFormat="1">
      <alignment horizontal="right" shrinkToFit="0" vertical="center" wrapText="1"/>
    </xf>
    <xf borderId="1" fillId="0" fontId="4" numFmtId="0" xfId="0" applyBorder="1" applyFont="1"/>
    <xf borderId="2" fillId="2" fontId="5" numFmtId="0" xfId="0" applyAlignment="1" applyBorder="1" applyFont="1">
      <alignment horizontal="left" shrinkToFit="0" vertical="center" wrapText="1"/>
    </xf>
    <xf borderId="8" fillId="0" fontId="13" numFmtId="0" xfId="0" applyAlignment="1" applyBorder="1" applyFont="1">
      <alignment vertical="center"/>
    </xf>
    <xf borderId="8" fillId="0" fontId="29" numFmtId="1" xfId="0" applyAlignment="1" applyBorder="1" applyFont="1" applyNumberFormat="1">
      <alignment horizontal="center" vertical="center"/>
    </xf>
    <xf borderId="9" fillId="0" fontId="29" numFmtId="170" xfId="0" applyAlignment="1" applyBorder="1" applyFont="1" applyNumberFormat="1">
      <alignment horizontal="right" vertical="center"/>
    </xf>
    <xf borderId="2" fillId="0" fontId="12" numFmtId="10" xfId="0" applyAlignment="1" applyBorder="1" applyFont="1" applyNumberFormat="1">
      <alignment horizontal="right" vertical="center"/>
    </xf>
    <xf borderId="10" fillId="0" fontId="1" numFmtId="0" xfId="0" applyBorder="1" applyFont="1"/>
    <xf borderId="0" fillId="0" fontId="7" numFmtId="0" xfId="0" applyFont="1"/>
    <xf borderId="0" fillId="0" fontId="1" numFmtId="0" xfId="0" applyFont="1"/>
    <xf borderId="11" fillId="3" fontId="8" numFmtId="0" xfId="0" applyAlignment="1" applyBorder="1" applyFont="1">
      <alignment horizontal="left"/>
    </xf>
    <xf borderId="12" fillId="3" fontId="8" numFmtId="0" xfId="0" applyAlignment="1" applyBorder="1" applyFont="1">
      <alignment horizontal="center"/>
    </xf>
    <xf borderId="11" fillId="3" fontId="8" numFmtId="0" xfId="0" applyAlignment="1" applyBorder="1" applyFont="1">
      <alignment horizontal="center"/>
    </xf>
    <xf borderId="13" fillId="3" fontId="8" numFmtId="0" xfId="0" applyAlignment="1" applyBorder="1" applyFont="1">
      <alignment horizontal="right"/>
    </xf>
    <xf borderId="2" fillId="3" fontId="10" numFmtId="0" xfId="0" applyAlignment="1" applyBorder="1" applyFont="1">
      <alignment horizontal="right"/>
    </xf>
    <xf borderId="0" fillId="0" fontId="13" numFmtId="0" xfId="0" applyAlignment="1" applyFont="1">
      <alignment vertical="center"/>
    </xf>
    <xf borderId="0" fillId="0" fontId="29" numFmtId="1" xfId="0" applyAlignment="1" applyFont="1" applyNumberFormat="1">
      <alignment horizontal="center" vertical="center"/>
    </xf>
    <xf borderId="0" fillId="0" fontId="29" numFmtId="170" xfId="0" applyAlignment="1" applyFont="1" applyNumberFormat="1">
      <alignment horizontal="right" vertical="center"/>
    </xf>
    <xf borderId="0" fillId="0" fontId="12" numFmtId="10" xfId="0" applyAlignment="1" applyFont="1" applyNumberFormat="1">
      <alignment horizontal="right" vertical="center"/>
    </xf>
    <xf borderId="14" fillId="0" fontId="1" numFmtId="0" xfId="0" applyBorder="1" applyFont="1"/>
    <xf borderId="15" fillId="2" fontId="2" numFmtId="0" xfId="0" applyAlignment="1" applyBorder="1" applyFont="1">
      <alignment vertical="center"/>
    </xf>
    <xf borderId="15" fillId="2" fontId="2" numFmtId="169" xfId="0" applyAlignment="1" applyBorder="1" applyFont="1" applyNumberFormat="1">
      <alignment horizontal="center" vertical="center"/>
    </xf>
    <xf borderId="16" fillId="2" fontId="2" numFmtId="171" xfId="0" applyAlignment="1" applyBorder="1" applyFont="1" applyNumberFormat="1">
      <alignment horizontal="right" vertical="center"/>
    </xf>
    <xf borderId="2" fillId="7" fontId="2" numFmtId="10" xfId="0" applyAlignment="1" applyBorder="1" applyFill="1" applyFont="1" applyNumberFormat="1">
      <alignment horizontal="right" vertical="center"/>
    </xf>
    <xf borderId="0" fillId="2" fontId="2" numFmtId="0" xfId="0" applyAlignment="1" applyFont="1">
      <alignment vertical="center"/>
    </xf>
    <xf borderId="0" fillId="2" fontId="2" numFmtId="169" xfId="0" applyAlignment="1" applyFont="1" applyNumberFormat="1">
      <alignment horizontal="center" vertical="center"/>
    </xf>
    <xf borderId="0" fillId="2" fontId="2" numFmtId="171" xfId="0" applyAlignment="1" applyFont="1" applyNumberFormat="1">
      <alignment horizontal="right" vertical="center"/>
    </xf>
    <xf borderId="0" fillId="7" fontId="2" numFmtId="10" xfId="0" applyAlignment="1" applyFont="1" applyNumberFormat="1">
      <alignment horizontal="right" vertical="center"/>
    </xf>
    <xf borderId="0" fillId="8" fontId="30" numFmtId="49" xfId="0" applyAlignment="1" applyFill="1" applyFont="1" applyNumberFormat="1">
      <alignment horizontal="center" shrinkToFit="0" vertical="center" wrapText="1"/>
    </xf>
    <xf borderId="0" fillId="8" fontId="10" numFmtId="0" xfId="0" applyAlignment="1" applyFont="1">
      <alignment horizontal="center" shrinkToFit="0" vertical="center" wrapText="1"/>
    </xf>
    <xf borderId="0" fillId="8" fontId="10" numFmtId="0" xfId="0" applyAlignment="1" applyFont="1">
      <alignment horizontal="left" shrinkToFit="0" vertical="center" wrapText="1"/>
    </xf>
    <xf borderId="14" fillId="0" fontId="31" numFmtId="0" xfId="0" applyAlignment="1" applyBorder="1" applyFont="1">
      <alignment horizontal="center" shrinkToFit="0" vertical="center" wrapText="0"/>
    </xf>
    <xf borderId="0" fillId="0" fontId="10" numFmtId="0" xfId="0" applyAlignment="1" applyFont="1">
      <alignment horizontal="center" shrinkToFit="0" vertical="center" wrapText="1"/>
    </xf>
    <xf borderId="0" fillId="0" fontId="32" numFmtId="0" xfId="0" applyAlignment="1" applyFont="1">
      <alignment horizontal="center" shrinkToFit="0" vertical="center" wrapText="1"/>
    </xf>
    <xf borderId="0" fillId="6" fontId="33" numFmtId="0" xfId="0" applyAlignment="1" applyFont="1">
      <alignment horizontal="center" shrinkToFit="0" vertical="center" wrapText="1"/>
    </xf>
    <xf borderId="0" fillId="8" fontId="10" numFmtId="49" xfId="0" applyAlignment="1" applyFont="1" applyNumberFormat="1">
      <alignment horizontal="center" shrinkToFit="0" vertical="center" wrapText="1"/>
    </xf>
    <xf borderId="0" fillId="8" fontId="23" numFmtId="0" xfId="0" applyAlignment="1" applyFont="1">
      <alignment horizontal="center" shrinkToFit="0" vertical="center" wrapText="0"/>
    </xf>
    <xf borderId="0" fillId="8" fontId="22" numFmtId="0" xfId="0" applyAlignment="1" applyFont="1">
      <alignment horizontal="center" shrinkToFit="0" vertical="center" wrapText="1"/>
    </xf>
    <xf borderId="17" fillId="0" fontId="10" numFmtId="0" xfId="0" applyAlignment="1" applyBorder="1" applyFont="1">
      <alignment horizontal="center" shrinkToFit="0" vertical="center" wrapText="1"/>
    </xf>
    <xf borderId="18" fillId="6" fontId="21" numFmtId="49" xfId="0" applyAlignment="1" applyBorder="1" applyFont="1" applyNumberFormat="1">
      <alignment horizontal="center" shrinkToFit="0" vertical="center" wrapText="1"/>
    </xf>
    <xf borderId="18" fillId="6" fontId="22" numFmtId="0" xfId="0" applyAlignment="1" applyBorder="1" applyFont="1">
      <alignment horizontal="center" shrinkToFit="0" vertical="center" wrapText="1"/>
    </xf>
    <xf borderId="18" fillId="6" fontId="34" numFmtId="0" xfId="0" applyAlignment="1" applyBorder="1" applyFont="1">
      <alignment horizontal="center" shrinkToFit="0" vertical="center" wrapText="1"/>
    </xf>
    <xf borderId="18" fillId="6" fontId="21" numFmtId="0" xfId="0" applyAlignment="1" applyBorder="1" applyFont="1">
      <alignment horizontal="center" shrinkToFit="0" vertical="center" wrapText="1"/>
    </xf>
    <xf borderId="18" fillId="0" fontId="21" numFmtId="0" xfId="0" applyAlignment="1" applyBorder="1" applyFont="1">
      <alignment horizontal="center" shrinkToFit="0" vertical="center" wrapText="1"/>
    </xf>
    <xf borderId="18" fillId="6" fontId="32" numFmtId="0" xfId="0" applyAlignment="1" applyBorder="1" applyFont="1">
      <alignment horizontal="center" shrinkToFit="0" vertical="center" wrapText="1"/>
    </xf>
    <xf borderId="19" fillId="0" fontId="21" numFmtId="0" xfId="0" applyAlignment="1" applyBorder="1" applyFont="1">
      <alignment horizontal="center" shrinkToFit="0" vertical="center" wrapText="1"/>
    </xf>
    <xf borderId="0" fillId="0" fontId="35" numFmtId="0" xfId="0" applyAlignment="1" applyFont="1">
      <alignment horizontal="center" shrinkToFit="0" vertical="center" wrapText="1"/>
    </xf>
    <xf borderId="14" fillId="0" fontId="36" numFmtId="0" xfId="0" applyAlignment="1" applyBorder="1" applyFont="1">
      <alignment horizontal="center" shrinkToFit="0" vertical="center" wrapText="0"/>
    </xf>
    <xf borderId="0" fillId="6" fontId="37" numFmtId="0" xfId="0" applyAlignment="1" applyFont="1">
      <alignment horizontal="center" shrinkToFit="0" vertical="center" wrapText="1"/>
    </xf>
    <xf borderId="20" fillId="0" fontId="38" numFmtId="0" xfId="0" applyAlignment="1" applyBorder="1" applyFont="1">
      <alignment horizontal="center" shrinkToFit="0" vertical="center" wrapText="0"/>
    </xf>
    <xf borderId="0" fillId="0" fontId="39" numFmtId="0" xfId="0" applyAlignment="1" applyFont="1">
      <alignment horizontal="center" shrinkToFit="0" vertical="center" wrapText="0"/>
    </xf>
    <xf borderId="0" fillId="0" fontId="21" numFmtId="0" xfId="0" applyAlignment="1" applyFont="1">
      <alignment horizontal="center" shrinkToFit="0" vertical="center" wrapText="1"/>
    </xf>
    <xf borderId="0" fillId="6" fontId="9" numFmtId="49" xfId="0" applyAlignment="1" applyFont="1" applyNumberFormat="1">
      <alignment horizontal="center" shrinkToFit="0" vertical="center" wrapText="0"/>
    </xf>
    <xf borderId="0" fillId="0" fontId="9" numFmtId="49" xfId="0" applyAlignment="1" applyFont="1" applyNumberFormat="1">
      <alignment horizontal="center" shrinkToFit="0" vertical="center" wrapText="0"/>
    </xf>
    <xf borderId="0" fillId="0" fontId="9" numFmtId="0" xfId="0" applyAlignment="1" applyFont="1">
      <alignment horizontal="center" shrinkToFit="0" vertical="center" wrapText="0"/>
    </xf>
    <xf borderId="0" fillId="0" fontId="33" numFmtId="0" xfId="0" applyAlignment="1" applyFont="1">
      <alignment horizontal="center" shrinkToFit="0" vertical="center" wrapText="0"/>
    </xf>
    <xf borderId="0" fillId="0" fontId="22" numFmtId="0" xfId="0" applyAlignment="1" applyFont="1">
      <alignment horizontal="center" shrinkToFit="0" vertical="center" wrapText="0"/>
    </xf>
    <xf borderId="21" fillId="0" fontId="22" numFmtId="0" xfId="0" applyAlignment="1" applyBorder="1" applyFont="1">
      <alignment horizontal="center" shrinkToFit="0" vertical="center" wrapText="0"/>
    </xf>
    <xf borderId="0" fillId="0" fontId="9" numFmtId="0" xfId="0" applyAlignment="1" applyFont="1">
      <alignment horizontal="center" vertical="center"/>
    </xf>
    <xf borderId="0" fillId="6" fontId="27" numFmtId="0" xfId="0" applyAlignment="1" applyFont="1">
      <alignment horizontal="center" shrinkToFit="0" vertical="center" wrapText="0"/>
    </xf>
    <xf borderId="0" fillId="0" fontId="27" numFmtId="171" xfId="0" applyAlignment="1" applyFont="1" applyNumberFormat="1">
      <alignment horizontal="center" shrinkToFit="0" vertical="center" wrapText="0"/>
    </xf>
    <xf borderId="22" fillId="9" fontId="1" numFmtId="49" xfId="0" applyAlignment="1" applyBorder="1" applyFill="1" applyFont="1" applyNumberFormat="1">
      <alignment horizontal="center" shrinkToFit="0" vertical="center" wrapText="0"/>
    </xf>
    <xf borderId="23" fillId="9" fontId="10" numFmtId="0" xfId="0" applyAlignment="1" applyBorder="1" applyFont="1">
      <alignment horizontal="center" shrinkToFit="0" vertical="center" wrapText="0"/>
    </xf>
    <xf borderId="23" fillId="9" fontId="10" numFmtId="171" xfId="0" applyAlignment="1" applyBorder="1" applyFont="1" applyNumberFormat="1">
      <alignment horizontal="center" shrinkToFit="0" vertical="center" wrapText="0"/>
    </xf>
    <xf borderId="22" fillId="9" fontId="10" numFmtId="0" xfId="0" applyAlignment="1" applyBorder="1" applyFont="1">
      <alignment horizontal="center" shrinkToFit="0" vertical="center" wrapText="0"/>
    </xf>
    <xf borderId="24" fillId="9" fontId="22" numFmtId="4" xfId="0" applyAlignment="1" applyBorder="1" applyFont="1" applyNumberFormat="1">
      <alignment horizontal="center" shrinkToFit="0" vertical="center" wrapText="0"/>
    </xf>
    <xf borderId="25" fillId="0" fontId="22" numFmtId="0" xfId="0" applyAlignment="1" applyBorder="1" applyFont="1">
      <alignment horizontal="center" shrinkToFit="0" vertical="center" wrapText="0"/>
    </xf>
    <xf borderId="25" fillId="0" fontId="22" numFmtId="171" xfId="0" applyAlignment="1" applyBorder="1" applyFont="1" applyNumberFormat="1">
      <alignment horizontal="center" shrinkToFit="0" vertical="center" wrapText="0"/>
    </xf>
    <xf borderId="0" fillId="6" fontId="27" numFmtId="0" xfId="0" applyAlignment="1" applyFont="1">
      <alignment horizontal="center" shrinkToFit="0" vertical="center" wrapText="1"/>
    </xf>
    <xf borderId="0" fillId="0" fontId="27" numFmtId="0" xfId="0" applyAlignment="1" applyFont="1">
      <alignment horizontal="center" shrinkToFit="0" vertical="center" wrapText="0"/>
    </xf>
    <xf borderId="26" fillId="6" fontId="1" numFmtId="49" xfId="0" applyAlignment="1" applyBorder="1" applyFont="1" applyNumberFormat="1">
      <alignment horizontal="center" shrinkToFit="0" vertical="center" wrapText="0"/>
    </xf>
    <xf borderId="27" fillId="6" fontId="4" numFmtId="0" xfId="0" applyAlignment="1" applyBorder="1" applyFont="1">
      <alignment horizontal="left" shrinkToFit="0" vertical="center" wrapText="0"/>
    </xf>
    <xf borderId="27" fillId="6" fontId="12" numFmtId="0" xfId="0" applyAlignment="1" applyBorder="1" applyFont="1">
      <alignment horizontal="center" shrinkToFit="0" vertical="center" wrapText="0"/>
    </xf>
    <xf borderId="27" fillId="0" fontId="12" numFmtId="0" xfId="0" applyAlignment="1" applyBorder="1" applyFont="1">
      <alignment horizontal="center" shrinkToFit="0" vertical="center" wrapText="0"/>
    </xf>
    <xf borderId="27" fillId="0" fontId="12" numFmtId="171" xfId="0" applyAlignment="1" applyBorder="1" applyFont="1" applyNumberFormat="1">
      <alignment horizontal="center" shrinkToFit="0" vertical="center" wrapText="0"/>
    </xf>
    <xf borderId="28" fillId="0" fontId="12" numFmtId="171" xfId="0" applyAlignment="1" applyBorder="1" applyFont="1" applyNumberFormat="1">
      <alignment horizontal="center" shrinkToFit="0" vertical="center" wrapText="0"/>
    </xf>
    <xf borderId="26" fillId="6" fontId="12" numFmtId="0" xfId="0" applyAlignment="1" applyBorder="1" applyFont="1">
      <alignment horizontal="center" shrinkToFit="0" vertical="center" wrapText="0"/>
    </xf>
    <xf borderId="29" fillId="0" fontId="12" numFmtId="4" xfId="0" applyAlignment="1" applyBorder="1" applyFont="1" applyNumberFormat="1">
      <alignment horizontal="center" shrinkToFit="0" vertical="center" wrapText="0"/>
    </xf>
    <xf borderId="30" fillId="0" fontId="16" numFmtId="0" xfId="0" applyAlignment="1" applyBorder="1" applyFont="1">
      <alignment horizontal="center" vertical="center"/>
    </xf>
    <xf borderId="31" fillId="0" fontId="16" numFmtId="172" xfId="0" applyAlignment="1" applyBorder="1" applyFont="1" applyNumberFormat="1">
      <alignment horizontal="center" vertical="center"/>
    </xf>
    <xf borderId="0" fillId="0" fontId="12" numFmtId="0" xfId="0" applyAlignment="1" applyFont="1">
      <alignment horizontal="center" shrinkToFit="0" vertical="center" wrapText="0"/>
    </xf>
    <xf borderId="14" fillId="10" fontId="31" numFmtId="0" xfId="0" applyAlignment="1" applyBorder="1" applyFill="1" applyFont="1">
      <alignment horizontal="left" shrinkToFit="0" vertical="center" wrapText="0"/>
    </xf>
    <xf borderId="32" fillId="6" fontId="1" numFmtId="49" xfId="0" applyAlignment="1" applyBorder="1" applyFont="1" applyNumberFormat="1">
      <alignment horizontal="center" shrinkToFit="0" vertical="center" wrapText="0"/>
    </xf>
    <xf borderId="33" fillId="6" fontId="4" numFmtId="0" xfId="0" applyAlignment="1" applyBorder="1" applyFont="1">
      <alignment horizontal="left" shrinkToFit="0" vertical="center" wrapText="0"/>
    </xf>
    <xf borderId="33" fillId="6" fontId="12" numFmtId="0" xfId="0" applyAlignment="1" applyBorder="1" applyFont="1">
      <alignment horizontal="center" shrinkToFit="0" vertical="center" wrapText="0"/>
    </xf>
    <xf borderId="33" fillId="0" fontId="12" numFmtId="171" xfId="0" applyAlignment="1" applyBorder="1" applyFont="1" applyNumberFormat="1">
      <alignment horizontal="center" shrinkToFit="0" vertical="center" wrapText="0"/>
    </xf>
    <xf borderId="34" fillId="0" fontId="12" numFmtId="171" xfId="0" applyAlignment="1" applyBorder="1" applyFont="1" applyNumberFormat="1">
      <alignment horizontal="center" shrinkToFit="0" vertical="center" wrapText="0"/>
    </xf>
    <xf borderId="32" fillId="6" fontId="12" numFmtId="0" xfId="0" applyAlignment="1" applyBorder="1" applyFont="1">
      <alignment horizontal="center" shrinkToFit="0" vertical="center" wrapText="0"/>
    </xf>
    <xf borderId="35" fillId="0" fontId="12" numFmtId="4" xfId="0" applyAlignment="1" applyBorder="1" applyFont="1" applyNumberFormat="1">
      <alignment horizontal="center" shrinkToFit="0" vertical="center" wrapText="0"/>
    </xf>
    <xf borderId="36" fillId="0" fontId="16" numFmtId="172" xfId="0" applyAlignment="1" applyBorder="1" applyFont="1" applyNumberFormat="1">
      <alignment horizontal="center" vertical="center"/>
    </xf>
    <xf borderId="37" fillId="6" fontId="1" numFmtId="49" xfId="0" applyAlignment="1" applyBorder="1" applyFont="1" applyNumberFormat="1">
      <alignment horizontal="center" shrinkToFit="0" vertical="center" wrapText="0"/>
    </xf>
    <xf borderId="38" fillId="6" fontId="4" numFmtId="0" xfId="0" applyAlignment="1" applyBorder="1" applyFont="1">
      <alignment horizontal="left" shrinkToFit="0" vertical="center" wrapText="0"/>
    </xf>
    <xf borderId="38" fillId="6" fontId="12" numFmtId="0" xfId="0" applyAlignment="1" applyBorder="1" applyFont="1">
      <alignment horizontal="center" shrinkToFit="0" vertical="center" wrapText="0"/>
    </xf>
    <xf borderId="38" fillId="0" fontId="12" numFmtId="171" xfId="0" applyAlignment="1" applyBorder="1" applyFont="1" applyNumberFormat="1">
      <alignment horizontal="center" shrinkToFit="0" vertical="center" wrapText="0"/>
    </xf>
    <xf borderId="39" fillId="0" fontId="12" numFmtId="171" xfId="0" applyAlignment="1" applyBorder="1" applyFont="1" applyNumberFormat="1">
      <alignment horizontal="center" shrinkToFit="0" vertical="center" wrapText="0"/>
    </xf>
    <xf borderId="37" fillId="6" fontId="12" numFmtId="0" xfId="0" applyAlignment="1" applyBorder="1" applyFont="1">
      <alignment horizontal="center" shrinkToFit="0" vertical="center" wrapText="0"/>
    </xf>
    <xf borderId="40" fillId="0" fontId="12" numFmtId="4" xfId="0" applyAlignment="1" applyBorder="1" applyFont="1" applyNumberFormat="1">
      <alignment horizontal="center" shrinkToFit="0" vertical="center" wrapText="0"/>
    </xf>
    <xf borderId="41" fillId="0" fontId="16" numFmtId="172" xfId="0" applyAlignment="1" applyBorder="1" applyFont="1" applyNumberFormat="1">
      <alignment horizontal="center" vertical="center"/>
    </xf>
    <xf borderId="24" fillId="9" fontId="10" numFmtId="171" xfId="0" applyAlignment="1" applyBorder="1" applyFont="1" applyNumberFormat="1">
      <alignment horizontal="center" shrinkToFit="0" vertical="center" wrapText="0"/>
    </xf>
    <xf borderId="42" fillId="6" fontId="4" numFmtId="0" xfId="0" applyAlignment="1" applyBorder="1" applyFont="1">
      <alignment horizontal="left" shrinkToFit="0" vertical="center" wrapText="0"/>
    </xf>
    <xf borderId="43" fillId="6" fontId="12" numFmtId="0" xfId="0" applyAlignment="1" applyBorder="1" applyFont="1">
      <alignment horizontal="center" shrinkToFit="0" vertical="center" wrapText="0"/>
    </xf>
    <xf borderId="44" fillId="6" fontId="12" numFmtId="0" xfId="0" applyAlignment="1" applyBorder="1" applyFont="1">
      <alignment horizontal="center" shrinkToFit="0" vertical="center" wrapText="0"/>
    </xf>
    <xf borderId="45" fillId="6" fontId="4" numFmtId="0" xfId="0" applyAlignment="1" applyBorder="1" applyFont="1">
      <alignment horizontal="left" shrinkToFit="0" vertical="center" wrapText="0"/>
    </xf>
    <xf borderId="46" fillId="6" fontId="12" numFmtId="0" xfId="0" applyAlignment="1" applyBorder="1" applyFont="1">
      <alignment horizontal="center" shrinkToFit="0" vertical="center" wrapText="0"/>
    </xf>
    <xf borderId="47" fillId="0" fontId="12" numFmtId="171" xfId="0" applyAlignment="1" applyBorder="1" applyFont="1" applyNumberFormat="1">
      <alignment horizontal="center" shrinkToFit="0" vertical="center" wrapText="0"/>
    </xf>
    <xf borderId="48" fillId="6" fontId="12" numFmtId="0" xfId="0" applyAlignment="1" applyBorder="1" applyFont="1">
      <alignment horizontal="center" shrinkToFit="0" vertical="center" wrapText="0"/>
    </xf>
    <xf borderId="49" fillId="0" fontId="16" numFmtId="172" xfId="0" applyAlignment="1" applyBorder="1" applyFont="1" applyNumberFormat="1">
      <alignment horizontal="center" vertical="center"/>
    </xf>
    <xf borderId="0" fillId="0" fontId="33" numFmtId="0" xfId="0" applyAlignment="1" applyFont="1">
      <alignment horizontal="center" shrinkToFit="0" vertical="center" wrapText="1"/>
    </xf>
    <xf borderId="0" fillId="0" fontId="27" numFmtId="0" xfId="0" applyAlignment="1" applyFont="1">
      <alignment horizontal="center" shrinkToFit="0" vertical="center" wrapText="1"/>
    </xf>
    <xf borderId="24" fillId="9" fontId="10" numFmtId="4" xfId="0" applyAlignment="1" applyBorder="1" applyFont="1" applyNumberFormat="1">
      <alignment horizontal="center" shrinkToFit="0" vertical="center" wrapText="0"/>
    </xf>
    <xf borderId="50" fillId="0" fontId="12" numFmtId="171" xfId="0" applyAlignment="1" applyBorder="1" applyFont="1" applyNumberFormat="1">
      <alignment horizontal="center" shrinkToFit="0" vertical="center" wrapText="0"/>
    </xf>
    <xf borderId="0" fillId="0" fontId="1" numFmtId="49" xfId="0" applyAlignment="1" applyFont="1" applyNumberFormat="1">
      <alignment horizontal="center" shrinkToFit="0" vertical="center" wrapText="0"/>
    </xf>
    <xf borderId="51" fillId="0" fontId="12" numFmtId="171" xfId="0" applyAlignment="1" applyBorder="1" applyFont="1" applyNumberFormat="1">
      <alignment horizontal="center" shrinkToFit="0" vertical="center" wrapText="0"/>
    </xf>
    <xf borderId="52" fillId="6" fontId="1" numFmtId="49" xfId="0" applyAlignment="1" applyBorder="1" applyFont="1" applyNumberFormat="1">
      <alignment horizontal="center" shrinkToFit="0" vertical="center" wrapText="0"/>
    </xf>
    <xf borderId="53" fillId="6" fontId="12" numFmtId="0" xfId="0" applyAlignment="1" applyBorder="1" applyFont="1">
      <alignment horizontal="center" shrinkToFit="0" vertical="center" wrapText="0"/>
    </xf>
    <xf borderId="14" fillId="10" fontId="40" numFmtId="0" xfId="0" applyAlignment="1" applyBorder="1" applyFont="1">
      <alignment horizontal="left" shrinkToFit="0" vertical="center" wrapText="0"/>
    </xf>
    <xf borderId="0" fillId="0" fontId="4" numFmtId="0" xfId="0" applyAlignment="1" applyFont="1">
      <alignment horizontal="center" shrinkToFit="0" vertical="center" wrapText="0"/>
    </xf>
    <xf borderId="22" fillId="11" fontId="1" numFmtId="49" xfId="0" applyAlignment="1" applyBorder="1" applyFill="1" applyFont="1" applyNumberFormat="1">
      <alignment horizontal="center" shrinkToFit="0" vertical="center" wrapText="0"/>
    </xf>
    <xf borderId="23" fillId="11" fontId="10" numFmtId="0" xfId="0" applyAlignment="1" applyBorder="1" applyFont="1">
      <alignment horizontal="center" shrinkToFit="0" vertical="center" wrapText="0"/>
    </xf>
    <xf borderId="24" fillId="11" fontId="10" numFmtId="171" xfId="0" applyAlignment="1" applyBorder="1" applyFont="1" applyNumberFormat="1">
      <alignment horizontal="center" shrinkToFit="0" vertical="center" wrapText="0"/>
    </xf>
    <xf borderId="22" fillId="11" fontId="10" numFmtId="0" xfId="0" applyAlignment="1" applyBorder="1" applyFont="1">
      <alignment horizontal="center" shrinkToFit="0" vertical="center" wrapText="0"/>
    </xf>
    <xf borderId="24" fillId="11" fontId="10" numFmtId="4" xfId="0" applyAlignment="1" applyBorder="1" applyFont="1" applyNumberFormat="1">
      <alignment horizontal="center" shrinkToFit="0" vertical="center" wrapText="0"/>
    </xf>
    <xf borderId="22" fillId="12" fontId="1" numFmtId="49" xfId="0" applyAlignment="1" applyBorder="1" applyFill="1" applyFont="1" applyNumberFormat="1">
      <alignment horizontal="center" shrinkToFit="0" vertical="center" wrapText="0"/>
    </xf>
    <xf borderId="23" fillId="12" fontId="10" numFmtId="0" xfId="0" applyAlignment="1" applyBorder="1" applyFont="1">
      <alignment horizontal="center" shrinkToFit="0" vertical="center" wrapText="0"/>
    </xf>
    <xf borderId="24" fillId="12" fontId="10" numFmtId="171" xfId="0" applyAlignment="1" applyBorder="1" applyFont="1" applyNumberFormat="1">
      <alignment horizontal="center" shrinkToFit="0" vertical="center" wrapText="0"/>
    </xf>
    <xf borderId="22" fillId="12" fontId="10" numFmtId="0" xfId="0" applyAlignment="1" applyBorder="1" applyFont="1">
      <alignment horizontal="center" shrinkToFit="0" vertical="center" wrapText="0"/>
    </xf>
    <xf borderId="24" fillId="12" fontId="10" numFmtId="4" xfId="0" applyAlignment="1" applyBorder="1" applyFont="1" applyNumberFormat="1">
      <alignment horizontal="center" shrinkToFit="0" vertical="center" wrapText="0"/>
    </xf>
    <xf borderId="0" fillId="5" fontId="12" numFmtId="0" xfId="0" applyAlignment="1" applyFont="1">
      <alignment horizontal="center" shrinkToFit="0" vertical="center" wrapText="0"/>
    </xf>
    <xf borderId="54" fillId="12" fontId="10" numFmtId="0" xfId="0" applyAlignment="1" applyBorder="1" applyFont="1">
      <alignment horizontal="center" shrinkToFit="0" vertical="center" wrapText="0"/>
    </xf>
    <xf borderId="22" fillId="0" fontId="22" numFmtId="0" xfId="0" applyAlignment="1" applyBorder="1" applyFont="1">
      <alignment horizontal="center" shrinkToFit="0" vertical="center" wrapText="0"/>
    </xf>
    <xf borderId="25" fillId="0" fontId="41" numFmtId="171" xfId="0" applyAlignment="1" applyBorder="1" applyFont="1" applyNumberFormat="1">
      <alignment horizontal="center" shrinkToFit="0" vertical="center" wrapText="0"/>
    </xf>
    <xf borderId="0" fillId="13" fontId="22" numFmtId="0" xfId="0" applyAlignment="1" applyFill="1" applyFont="1">
      <alignment horizontal="center" shrinkToFit="0" vertical="center" wrapText="0"/>
    </xf>
    <xf borderId="22" fillId="14" fontId="1" numFmtId="49" xfId="0" applyAlignment="1" applyBorder="1" applyFill="1" applyFont="1" applyNumberFormat="1">
      <alignment horizontal="center" shrinkToFit="0" vertical="center" wrapText="0"/>
    </xf>
    <xf borderId="23" fillId="14" fontId="10" numFmtId="0" xfId="0" applyAlignment="1" applyBorder="1" applyFont="1">
      <alignment horizontal="center" shrinkToFit="0" vertical="center" wrapText="0"/>
    </xf>
    <xf borderId="24" fillId="14" fontId="10" numFmtId="171" xfId="0" applyAlignment="1" applyBorder="1" applyFont="1" applyNumberFormat="1">
      <alignment horizontal="center" shrinkToFit="0" vertical="center" wrapText="0"/>
    </xf>
    <xf borderId="22" fillId="14" fontId="10" numFmtId="0" xfId="0" applyAlignment="1" applyBorder="1" applyFont="1">
      <alignment horizontal="center" shrinkToFit="0" vertical="center" wrapText="0"/>
    </xf>
    <xf borderId="24" fillId="14" fontId="10" numFmtId="4" xfId="0" applyAlignment="1" applyBorder="1" applyFont="1" applyNumberFormat="1">
      <alignment horizontal="center" shrinkToFit="0" vertical="center" wrapText="0"/>
    </xf>
    <xf borderId="22" fillId="15" fontId="1" numFmtId="49" xfId="0" applyAlignment="1" applyBorder="1" applyFill="1" applyFont="1" applyNumberFormat="1">
      <alignment horizontal="center" shrinkToFit="0" vertical="center" wrapText="0"/>
    </xf>
    <xf borderId="23" fillId="15" fontId="10" numFmtId="0" xfId="0" applyAlignment="1" applyBorder="1" applyFont="1">
      <alignment horizontal="center" shrinkToFit="0" vertical="center" wrapText="0"/>
    </xf>
    <xf borderId="24" fillId="15" fontId="10" numFmtId="171" xfId="0" applyAlignment="1" applyBorder="1" applyFont="1" applyNumberFormat="1">
      <alignment horizontal="center" shrinkToFit="0" vertical="center" wrapText="0"/>
    </xf>
    <xf borderId="22" fillId="15" fontId="10" numFmtId="0" xfId="0" applyAlignment="1" applyBorder="1" applyFont="1">
      <alignment horizontal="center" shrinkToFit="0" vertical="center" wrapText="0"/>
    </xf>
    <xf borderId="24" fillId="15" fontId="10" numFmtId="4" xfId="0" applyAlignment="1" applyBorder="1" applyFont="1" applyNumberFormat="1">
      <alignment horizontal="center" shrinkToFit="0" vertical="center" wrapText="0"/>
    </xf>
    <xf borderId="0" fillId="0" fontId="42" numFmtId="0" xfId="0" applyAlignment="1" applyFont="1">
      <alignment horizontal="center" shrinkToFit="0" vertical="center" wrapText="0"/>
    </xf>
    <xf borderId="0" fillId="0" fontId="43" numFmtId="0" xfId="0" applyAlignment="1" applyFont="1">
      <alignment horizontal="center" shrinkToFit="0" vertical="center" wrapText="0"/>
    </xf>
    <xf borderId="33" fillId="0" fontId="23" numFmtId="0" xfId="0" applyBorder="1" applyFont="1"/>
    <xf borderId="33" fillId="0" fontId="12" numFmtId="171" xfId="0" applyAlignment="1" applyBorder="1" applyFont="1" applyNumberFormat="1">
      <alignment horizontal="left" shrinkToFit="0" vertical="center" wrapText="0"/>
    </xf>
    <xf borderId="38" fillId="0" fontId="12" numFmtId="171" xfId="0" applyAlignment="1" applyBorder="1" applyFont="1" applyNumberFormat="1">
      <alignment horizontal="left" shrinkToFit="0" vertical="center" wrapText="0"/>
    </xf>
    <xf borderId="22" fillId="3" fontId="1" numFmtId="49" xfId="0" applyAlignment="1" applyBorder="1" applyFont="1" applyNumberFormat="1">
      <alignment horizontal="center" shrinkToFit="0" vertical="center" wrapText="0"/>
    </xf>
    <xf borderId="23" fillId="3" fontId="10" numFmtId="0" xfId="0" applyAlignment="1" applyBorder="1" applyFont="1">
      <alignment horizontal="center" shrinkToFit="0" vertical="center" wrapText="0"/>
    </xf>
    <xf borderId="24" fillId="3" fontId="10" numFmtId="171" xfId="0" applyAlignment="1" applyBorder="1" applyFont="1" applyNumberFormat="1">
      <alignment horizontal="center" shrinkToFit="0" vertical="center" wrapText="0"/>
    </xf>
    <xf borderId="22" fillId="3" fontId="10" numFmtId="0" xfId="0" applyAlignment="1" applyBorder="1" applyFont="1">
      <alignment horizontal="center" shrinkToFit="0" vertical="center" wrapText="0"/>
    </xf>
    <xf borderId="24" fillId="3" fontId="10" numFmtId="4" xfId="0" applyAlignment="1" applyBorder="1" applyFont="1" applyNumberFormat="1">
      <alignment horizontal="center" shrinkToFit="0" vertical="center" wrapText="0"/>
    </xf>
    <xf borderId="22" fillId="16" fontId="1" numFmtId="49" xfId="0" applyAlignment="1" applyBorder="1" applyFill="1" applyFont="1" applyNumberFormat="1">
      <alignment horizontal="center" shrinkToFit="0" vertical="center" wrapText="0"/>
    </xf>
    <xf borderId="23" fillId="16" fontId="10" numFmtId="0" xfId="0" applyAlignment="1" applyBorder="1" applyFont="1">
      <alignment horizontal="center" shrinkToFit="0" vertical="center" wrapText="0"/>
    </xf>
    <xf borderId="24" fillId="16" fontId="10" numFmtId="171" xfId="0" applyAlignment="1" applyBorder="1" applyFont="1" applyNumberFormat="1">
      <alignment horizontal="center" shrinkToFit="0" vertical="center" wrapText="0"/>
    </xf>
    <xf borderId="22" fillId="16" fontId="10" numFmtId="0" xfId="0" applyAlignment="1" applyBorder="1" applyFont="1">
      <alignment horizontal="center" shrinkToFit="0" vertical="center" wrapText="0"/>
    </xf>
    <xf borderId="24" fillId="16" fontId="10" numFmtId="4" xfId="0" applyAlignment="1" applyBorder="1" applyFont="1" applyNumberFormat="1">
      <alignment horizontal="center" shrinkToFit="0" vertical="center" wrapText="0"/>
    </xf>
    <xf borderId="22" fillId="17" fontId="1" numFmtId="49" xfId="0" applyAlignment="1" applyBorder="1" applyFill="1" applyFont="1" applyNumberFormat="1">
      <alignment horizontal="center" shrinkToFit="0" vertical="center" wrapText="0"/>
    </xf>
    <xf borderId="23" fillId="17" fontId="10" numFmtId="0" xfId="0" applyAlignment="1" applyBorder="1" applyFont="1">
      <alignment horizontal="center" shrinkToFit="0" vertical="center" wrapText="0"/>
    </xf>
    <xf borderId="24" fillId="17" fontId="10" numFmtId="171" xfId="0" applyAlignment="1" applyBorder="1" applyFont="1" applyNumberFormat="1">
      <alignment horizontal="center" shrinkToFit="0" vertical="center" wrapText="0"/>
    </xf>
    <xf borderId="22" fillId="17" fontId="10" numFmtId="0" xfId="0" applyAlignment="1" applyBorder="1" applyFont="1">
      <alignment horizontal="center" shrinkToFit="0" vertical="center" wrapText="0"/>
    </xf>
    <xf borderId="24" fillId="17" fontId="10" numFmtId="4" xfId="0" applyAlignment="1" applyBorder="1" applyFont="1" applyNumberFormat="1">
      <alignment horizontal="center" shrinkToFit="0" vertical="center" wrapText="0"/>
    </xf>
    <xf borderId="0" fillId="5" fontId="42" numFmtId="0" xfId="0" applyAlignment="1" applyFont="1">
      <alignment horizontal="center" shrinkToFit="0" vertical="center" wrapText="0"/>
    </xf>
    <xf borderId="0" fillId="5" fontId="43" numFmtId="0" xfId="0" applyAlignment="1" applyFont="1">
      <alignment horizontal="center" shrinkToFit="0" vertical="center" wrapText="0"/>
    </xf>
    <xf borderId="26" fillId="0" fontId="1" numFmtId="49" xfId="0" applyAlignment="1" applyBorder="1" applyFont="1" applyNumberFormat="1">
      <alignment horizontal="center" shrinkToFit="0" vertical="center" wrapText="0"/>
    </xf>
    <xf borderId="27" fillId="6" fontId="1" numFmtId="0" xfId="0" applyAlignment="1" applyBorder="1" applyFont="1">
      <alignment horizontal="left" shrinkToFit="0" vertical="center" wrapText="0"/>
    </xf>
    <xf borderId="55" fillId="6" fontId="12" numFmtId="0" xfId="0" applyAlignment="1" applyBorder="1" applyFont="1">
      <alignment horizontal="center" shrinkToFit="0" vertical="center" wrapText="0"/>
    </xf>
    <xf borderId="56" fillId="6" fontId="12" numFmtId="0" xfId="0" applyAlignment="1" applyBorder="1" applyFont="1">
      <alignment horizontal="center" shrinkToFit="0" vertical="center" wrapText="0"/>
    </xf>
    <xf borderId="56" fillId="0" fontId="12" numFmtId="4" xfId="0" applyAlignment="1" applyBorder="1" applyFont="1" applyNumberFormat="1">
      <alignment horizontal="center" shrinkToFit="0" vertical="center" wrapText="0"/>
    </xf>
    <xf borderId="57" fillId="0" fontId="12" numFmtId="171" xfId="0" applyAlignment="1" applyBorder="1" applyFont="1" applyNumberFormat="1">
      <alignment horizontal="center" shrinkToFit="0" vertical="center" wrapText="0"/>
    </xf>
    <xf borderId="58" fillId="6" fontId="12" numFmtId="0" xfId="0" applyAlignment="1" applyBorder="1" applyFont="1">
      <alignment horizontal="center" shrinkToFit="0" vertical="center" wrapText="0"/>
    </xf>
    <xf borderId="32" fillId="0" fontId="1" numFmtId="49" xfId="0" applyAlignment="1" applyBorder="1" applyFont="1" applyNumberFormat="1">
      <alignment horizontal="center" shrinkToFit="0" vertical="center" wrapText="0"/>
    </xf>
    <xf borderId="33" fillId="0" fontId="1" numFmtId="0" xfId="0" applyAlignment="1" applyBorder="1" applyFont="1">
      <alignment horizontal="left" shrinkToFit="0" vertical="center" wrapText="0"/>
    </xf>
    <xf borderId="45" fillId="0" fontId="12" numFmtId="0" xfId="0" applyAlignment="1" applyBorder="1" applyFont="1">
      <alignment horizontal="center" shrinkToFit="0" vertical="center" wrapText="0"/>
    </xf>
    <xf borderId="46" fillId="0" fontId="12" numFmtId="4" xfId="0" applyAlignment="1" applyBorder="1" applyFont="1" applyNumberFormat="1">
      <alignment horizontal="center" shrinkToFit="0" vertical="center" wrapText="0"/>
    </xf>
    <xf borderId="59" fillId="0" fontId="12" numFmtId="171" xfId="0" applyAlignment="1" applyBorder="1" applyFont="1" applyNumberFormat="1">
      <alignment horizontal="center" shrinkToFit="0" vertical="center" wrapText="0"/>
    </xf>
    <xf borderId="60" fillId="6" fontId="12" numFmtId="0" xfId="0" applyAlignment="1" applyBorder="1" applyFont="1">
      <alignment horizontal="center" shrinkToFit="0" vertical="center" wrapText="0"/>
    </xf>
    <xf borderId="52" fillId="0" fontId="1" numFmtId="49" xfId="0" applyAlignment="1" applyBorder="1" applyFont="1" applyNumberFormat="1">
      <alignment horizontal="center" shrinkToFit="0" vertical="center" wrapText="0"/>
    </xf>
    <xf borderId="38" fillId="0" fontId="1" numFmtId="0" xfId="0" applyAlignment="1" applyBorder="1" applyFont="1">
      <alignment horizontal="left" shrinkToFit="0" vertical="center" wrapText="0"/>
    </xf>
    <xf borderId="61" fillId="0" fontId="12" numFmtId="0" xfId="0" applyAlignment="1" applyBorder="1" applyFont="1">
      <alignment horizontal="center" shrinkToFit="0" vertical="center" wrapText="0"/>
    </xf>
    <xf borderId="62" fillId="0" fontId="12" numFmtId="4" xfId="0" applyAlignment="1" applyBorder="1" applyFont="1" applyNumberFormat="1">
      <alignment horizontal="center" shrinkToFit="0" vertical="center" wrapText="0"/>
    </xf>
    <xf borderId="63" fillId="0" fontId="12" numFmtId="171" xfId="0" applyAlignment="1" applyBorder="1" applyFont="1" applyNumberFormat="1">
      <alignment horizontal="center" shrinkToFit="0" vertical="center" wrapText="0"/>
    </xf>
    <xf borderId="64" fillId="0" fontId="12" numFmtId="171" xfId="0" applyAlignment="1" applyBorder="1" applyFont="1" applyNumberFormat="1">
      <alignment horizontal="center" shrinkToFit="0" vertical="center" wrapText="0"/>
    </xf>
    <xf borderId="65" fillId="6" fontId="12" numFmtId="0" xfId="0" applyAlignment="1" applyBorder="1" applyFont="1">
      <alignment horizontal="center" shrinkToFit="0" vertical="center" wrapText="0"/>
    </xf>
    <xf borderId="66" fillId="6" fontId="12" numFmtId="0" xfId="0" applyAlignment="1" applyBorder="1" applyFont="1">
      <alignment horizontal="center" shrinkToFit="0" vertical="center" wrapText="0"/>
    </xf>
    <xf borderId="22" fillId="18" fontId="1" numFmtId="49" xfId="0" applyAlignment="1" applyBorder="1" applyFill="1" applyFont="1" applyNumberFormat="1">
      <alignment horizontal="center" shrinkToFit="0" vertical="center" wrapText="0"/>
    </xf>
    <xf borderId="23" fillId="18" fontId="10" numFmtId="0" xfId="0" applyAlignment="1" applyBorder="1" applyFont="1">
      <alignment horizontal="center" shrinkToFit="0" vertical="center" wrapText="0"/>
    </xf>
    <xf borderId="24" fillId="18" fontId="10" numFmtId="171" xfId="0" applyAlignment="1" applyBorder="1" applyFont="1" applyNumberFormat="1">
      <alignment horizontal="center" shrinkToFit="0" vertical="center" wrapText="0"/>
    </xf>
    <xf borderId="22" fillId="18" fontId="10" numFmtId="0" xfId="0" applyAlignment="1" applyBorder="1" applyFont="1">
      <alignment horizontal="center" shrinkToFit="0" vertical="center" wrapText="0"/>
    </xf>
    <xf borderId="24" fillId="18" fontId="10" numFmtId="4" xfId="0" applyAlignment="1" applyBorder="1" applyFont="1" applyNumberFormat="1">
      <alignment horizontal="center" shrinkToFit="0" vertical="center" wrapText="0"/>
    </xf>
    <xf borderId="67" fillId="6" fontId="4" numFmtId="0" xfId="0" applyAlignment="1" applyBorder="1" applyFont="1">
      <alignment horizontal="left" shrinkToFit="0" vertical="center" wrapText="0"/>
    </xf>
    <xf borderId="67" fillId="6" fontId="12" numFmtId="0" xfId="0" applyAlignment="1" applyBorder="1" applyFont="1">
      <alignment horizontal="center" shrinkToFit="0" vertical="center" wrapText="0"/>
    </xf>
    <xf borderId="67" fillId="0" fontId="12" numFmtId="171" xfId="0" applyAlignment="1" applyBorder="1" applyFont="1" applyNumberFormat="1">
      <alignment horizontal="center" shrinkToFit="0" vertical="center" wrapText="0"/>
    </xf>
    <xf borderId="68" fillId="6" fontId="12" numFmtId="0" xfId="0" applyAlignment="1" applyBorder="1" applyFont="1">
      <alignment horizontal="center" shrinkToFit="0" vertical="center" wrapText="0"/>
    </xf>
    <xf borderId="69" fillId="6" fontId="12" numFmtId="0" xfId="0" applyAlignment="1" applyBorder="1" applyFont="1">
      <alignment horizontal="center" shrinkToFit="0" vertical="center" wrapText="0"/>
    </xf>
    <xf borderId="70" fillId="0" fontId="12" numFmtId="4" xfId="0" applyAlignment="1" applyBorder="1" applyFont="1" applyNumberFormat="1">
      <alignment horizontal="center" shrinkToFit="0" vertical="center" wrapText="0"/>
    </xf>
    <xf borderId="53" fillId="6" fontId="4" numFmtId="0" xfId="0" applyAlignment="1" applyBorder="1" applyFont="1">
      <alignment horizontal="left" shrinkToFit="0" vertical="center" wrapText="0"/>
    </xf>
    <xf borderId="53" fillId="0" fontId="12" numFmtId="171" xfId="0" applyAlignment="1" applyBorder="1" applyFont="1" applyNumberFormat="1">
      <alignment horizontal="center" shrinkToFit="0" vertical="center" wrapText="0"/>
    </xf>
    <xf borderId="52" fillId="6" fontId="12" numFmtId="0" xfId="0" applyAlignment="1" applyBorder="1" applyFont="1">
      <alignment horizontal="center" shrinkToFit="0" vertical="center" wrapText="0"/>
    </xf>
    <xf borderId="71" fillId="0" fontId="12" numFmtId="4" xfId="0" applyAlignment="1" applyBorder="1" applyFont="1" applyNumberFormat="1">
      <alignment horizontal="center" shrinkToFit="0" vertical="center" wrapText="0"/>
    </xf>
    <xf borderId="72" fillId="0" fontId="44" numFmtId="49" xfId="0" applyAlignment="1" applyBorder="1" applyFont="1" applyNumberFormat="1">
      <alignment horizontal="right" shrinkToFit="0" vertical="center" wrapText="0"/>
    </xf>
    <xf borderId="72" fillId="0" fontId="4" numFmtId="173" xfId="0" applyAlignment="1" applyBorder="1" applyFont="1" applyNumberFormat="1">
      <alignment horizontal="left" shrinkToFit="0" vertical="center" wrapText="0"/>
    </xf>
    <xf borderId="22" fillId="19" fontId="45" numFmtId="0" xfId="0" applyAlignment="1" applyBorder="1" applyFill="1" applyFont="1">
      <alignment horizontal="right" shrinkToFit="0" vertical="center" wrapText="0"/>
    </xf>
    <xf borderId="23" fillId="19" fontId="45" numFmtId="0" xfId="0" applyAlignment="1" applyBorder="1" applyFont="1">
      <alignment horizontal="right" shrinkToFit="0" vertical="center" wrapText="0"/>
    </xf>
    <xf borderId="24" fillId="19" fontId="45" numFmtId="0" xfId="0" applyAlignment="1" applyBorder="1" applyFont="1">
      <alignment horizontal="right" shrinkToFit="0" vertical="center" wrapText="0"/>
    </xf>
    <xf borderId="25" fillId="19" fontId="22" numFmtId="171" xfId="0" applyAlignment="1" applyBorder="1" applyFont="1" applyNumberFormat="1">
      <alignment horizontal="center" shrinkToFit="0" vertical="center" wrapText="0"/>
    </xf>
    <xf borderId="22" fillId="19" fontId="22" numFmtId="171" xfId="0" applyAlignment="1" applyBorder="1" applyFont="1" applyNumberFormat="1">
      <alignment horizontal="center" shrinkToFit="0" vertical="center" wrapText="0"/>
    </xf>
    <xf borderId="24" fillId="19" fontId="22" numFmtId="171" xfId="0" applyAlignment="1" applyBorder="1" applyFont="1" applyNumberFormat="1">
      <alignment horizontal="center" shrinkToFit="0" vertical="center" wrapText="0"/>
    </xf>
    <xf borderId="25" fillId="19" fontId="22" numFmtId="4" xfId="0" applyAlignment="1" applyBorder="1" applyFont="1" applyNumberFormat="1">
      <alignment horizontal="center" shrinkToFit="0" vertical="center" wrapText="0"/>
    </xf>
    <xf borderId="25" fillId="0" fontId="45" numFmtId="0" xfId="0" applyAlignment="1" applyBorder="1" applyFont="1">
      <alignment horizontal="center" vertical="center"/>
    </xf>
    <xf borderId="25" fillId="0" fontId="45" numFmtId="172" xfId="0" applyAlignment="1" applyBorder="1" applyFont="1" applyNumberFormat="1">
      <alignment horizontal="center" vertical="center"/>
    </xf>
    <xf borderId="0" fillId="0" fontId="27" numFmtId="49" xfId="0" applyAlignment="1" applyFont="1" applyNumberFormat="1">
      <alignment horizontal="center" shrinkToFit="0" vertical="center" wrapText="0"/>
    </xf>
    <xf borderId="0" fillId="0" fontId="9" numFmtId="174" xfId="0" applyAlignment="1" applyFont="1" applyNumberFormat="1">
      <alignment horizontal="center" shrinkToFit="0" vertical="center" wrapText="0"/>
    </xf>
    <xf borderId="0" fillId="0" fontId="10" numFmtId="0" xfId="0" applyAlignment="1" applyFont="1">
      <alignment horizontal="center" shrinkToFit="0" vertical="center" wrapText="0"/>
    </xf>
    <xf borderId="0" fillId="0" fontId="16" numFmtId="0" xfId="0" applyAlignment="1" applyFont="1">
      <alignment horizontal="center" shrinkToFit="0" vertical="center" wrapText="0"/>
    </xf>
    <xf borderId="0" fillId="0" fontId="10" numFmtId="0" xfId="0" applyAlignment="1" applyFont="1">
      <alignment horizontal="center" vertical="center"/>
    </xf>
    <xf borderId="0" fillId="0" fontId="27" numFmtId="9" xfId="0" applyAlignment="1" applyFont="1" applyNumberFormat="1">
      <alignment horizontal="center" shrinkToFit="0" vertical="center" wrapText="0"/>
    </xf>
    <xf borderId="0" fillId="0" fontId="9" numFmtId="9" xfId="0" applyAlignment="1" applyFont="1" applyNumberFormat="1">
      <alignment horizontal="center" shrinkToFit="0" vertical="center" wrapText="0"/>
    </xf>
    <xf borderId="0" fillId="0" fontId="33" numFmtId="49" xfId="0" applyAlignment="1" applyFont="1" applyNumberFormat="1">
      <alignment horizontal="center" shrinkToFit="0" vertical="center" wrapText="0"/>
    </xf>
    <xf borderId="0" fillId="0" fontId="10" numFmtId="174" xfId="0" applyAlignment="1" applyFont="1" applyNumberFormat="1">
      <alignment horizontal="center" shrinkToFit="0" vertical="center" wrapText="0"/>
    </xf>
    <xf borderId="0" fillId="0" fontId="45" numFmtId="0" xfId="0" applyAlignment="1" applyFont="1">
      <alignment horizontal="center" shrinkToFit="0" vertical="center" wrapText="0"/>
    </xf>
    <xf borderId="0" fillId="0" fontId="46" numFmtId="174" xfId="0" applyAlignment="1" applyFont="1" applyNumberFormat="1">
      <alignment horizontal="center" shrinkToFit="0" vertical="center" wrapText="0"/>
    </xf>
    <xf borderId="0" fillId="0" fontId="47" numFmtId="0" xfId="0" applyAlignment="1" applyFont="1">
      <alignment horizontal="left" shrinkToFit="0" vertical="center" wrapText="0"/>
    </xf>
    <xf borderId="0" fillId="0" fontId="47" numFmtId="0" xfId="0" applyAlignment="1" applyFont="1">
      <alignment horizontal="left" readingOrder="0" shrinkToFit="0" vertical="center" wrapText="0"/>
    </xf>
    <xf borderId="0" fillId="0" fontId="47" numFmtId="0" xfId="0" applyAlignment="1" applyFont="1">
      <alignment horizontal="center" shrinkToFit="0" vertical="center" wrapText="0"/>
    </xf>
    <xf borderId="0" fillId="11" fontId="47" numFmtId="0" xfId="0" applyAlignment="1" applyFont="1">
      <alignment horizontal="left" shrinkToFit="0" vertical="center" wrapText="0"/>
    </xf>
    <xf borderId="0" fillId="11" fontId="47" numFmtId="0" xfId="0" applyAlignment="1" applyFont="1">
      <alignment horizontal="center" shrinkToFit="0" vertical="center" wrapText="0"/>
    </xf>
    <xf borderId="0" fillId="11" fontId="47" numFmtId="0" xfId="0" applyAlignment="1" applyFont="1">
      <alignment horizontal="left" readingOrder="0" shrinkToFit="0" vertical="center" wrapText="0"/>
    </xf>
    <xf borderId="0" fillId="20" fontId="47" numFmtId="0" xfId="0" applyAlignment="1" applyFill="1" applyFont="1">
      <alignment horizontal="left" shrinkToFit="0" vertical="center" wrapText="0"/>
    </xf>
    <xf borderId="0" fillId="21" fontId="48" numFmtId="0" xfId="0" applyAlignment="1" applyFill="1" applyFont="1">
      <alignment horizontal="left" shrinkToFit="0" vertical="center" wrapText="0"/>
    </xf>
    <xf borderId="0" fillId="14" fontId="47" numFmtId="0" xfId="0" applyAlignment="1" applyFont="1">
      <alignment horizontal="left" shrinkToFit="0" vertical="center" wrapText="0"/>
    </xf>
    <xf borderId="0" fillId="14" fontId="47" numFmtId="0" xfId="0" applyAlignment="1" applyFont="1">
      <alignment horizontal="center" shrinkToFit="0" vertical="center" wrapText="0"/>
    </xf>
    <xf borderId="0" fillId="22" fontId="47" numFmtId="0" xfId="0" applyAlignment="1" applyFill="1" applyFont="1">
      <alignment horizontal="left" shrinkToFit="0" vertical="center" wrapText="0"/>
    </xf>
    <xf borderId="0" fillId="5" fontId="49" numFmtId="0" xfId="0" applyAlignment="1" applyFont="1">
      <alignment horizontal="left" shrinkToFit="0" wrapText="0"/>
    </xf>
    <xf borderId="0" fillId="23" fontId="47" numFmtId="0" xfId="0" applyAlignment="1" applyFill="1" applyFont="1">
      <alignment horizontal="left" shrinkToFit="0" vertical="center" wrapText="0"/>
    </xf>
    <xf borderId="0" fillId="24" fontId="47" numFmtId="0" xfId="0" applyAlignment="1" applyFill="1" applyFont="1">
      <alignment horizontal="left" shrinkToFit="0" vertical="center" wrapText="0"/>
    </xf>
    <xf borderId="0" fillId="5" fontId="47" numFmtId="0" xfId="0" applyAlignment="1" applyFont="1">
      <alignment horizontal="left" shrinkToFit="0" wrapText="0"/>
    </xf>
    <xf borderId="0" fillId="25" fontId="47" numFmtId="0" xfId="0" applyAlignment="1" applyFill="1" applyFont="1">
      <alignment horizontal="left" shrinkToFit="0" vertical="center" wrapText="0"/>
    </xf>
    <xf borderId="0" fillId="26" fontId="47" numFmtId="0" xfId="0" applyAlignment="1" applyFill="1" applyFont="1">
      <alignment horizontal="left" shrinkToFit="0" vertical="center" wrapText="0"/>
    </xf>
    <xf borderId="0" fillId="22" fontId="47" numFmtId="0" xfId="0" applyAlignment="1" applyFont="1">
      <alignment horizontal="center" shrinkToFit="0" vertical="center" wrapText="0"/>
    </xf>
    <xf borderId="0" fillId="9" fontId="47" numFmtId="0" xfId="0" applyAlignment="1" applyFont="1">
      <alignment horizontal="left" shrinkToFit="0" vertical="center" wrapText="0"/>
    </xf>
    <xf borderId="0" fillId="5" fontId="47" numFmtId="0" xfId="0" applyAlignment="1" applyFont="1">
      <alignment horizontal="left" shrinkToFit="0" vertical="center" wrapText="0"/>
    </xf>
    <xf borderId="0" fillId="0" fontId="50" numFmtId="0" xfId="0" applyAlignment="1" applyFont="1">
      <alignment horizontal="left" shrinkToFit="0" wrapText="0"/>
    </xf>
    <xf borderId="0" fillId="0" fontId="51" numFmtId="0" xfId="0" applyAlignment="1" applyFont="1">
      <alignment shrinkToFit="0" wrapText="0"/>
    </xf>
    <xf borderId="0" fillId="0" fontId="51" numFmtId="0" xfId="0" applyAlignment="1" applyFont="1">
      <alignment horizontal="left" shrinkToFit="0" wrapText="0"/>
    </xf>
    <xf borderId="18" fillId="0" fontId="52" numFmtId="0" xfId="0" applyAlignment="1" applyBorder="1" applyFont="1">
      <alignment horizontal="center" shrinkToFit="0" vertical="center" wrapText="1"/>
    </xf>
    <xf borderId="73" fillId="0" fontId="53" numFmtId="0" xfId="0" applyAlignment="1" applyBorder="1" applyFont="1">
      <alignment horizontal="left" readingOrder="0" shrinkToFit="0" vertical="center" wrapText="1"/>
    </xf>
    <xf borderId="73" fillId="0" fontId="14" numFmtId="0" xfId="0" applyBorder="1" applyFont="1"/>
    <xf borderId="74" fillId="0" fontId="14" numFmtId="0" xfId="0" applyBorder="1" applyFont="1"/>
    <xf borderId="75" fillId="0" fontId="54" numFmtId="0" xfId="0" applyAlignment="1" applyBorder="1" applyFont="1">
      <alignment horizontal="center" readingOrder="0" shrinkToFit="0" vertical="center" wrapText="1"/>
    </xf>
    <xf borderId="76" fillId="0" fontId="53" numFmtId="0" xfId="0" applyAlignment="1" applyBorder="1" applyFont="1">
      <alignment horizontal="left" readingOrder="0" shrinkToFit="0" vertical="top" wrapText="1"/>
    </xf>
    <xf borderId="77" fillId="0" fontId="14" numFmtId="0" xfId="0" applyBorder="1" applyFont="1"/>
    <xf borderId="78" fillId="0" fontId="14" numFmtId="0" xfId="0" applyBorder="1" applyFont="1"/>
    <xf borderId="79" fillId="0" fontId="14" numFmtId="0" xfId="0" applyBorder="1" applyFont="1"/>
    <xf borderId="80" fillId="0" fontId="14" numFmtId="0" xfId="0" applyBorder="1" applyFont="1"/>
    <xf borderId="81" fillId="0" fontId="14" numFmtId="0" xfId="0" applyBorder="1" applyFont="1"/>
    <xf borderId="82" fillId="0" fontId="14" numFmtId="0" xfId="0" applyBorder="1" applyFont="1"/>
    <xf borderId="83" fillId="0" fontId="14" numFmtId="0" xfId="0" applyBorder="1" applyFont="1"/>
    <xf borderId="75" fillId="0" fontId="55" numFmtId="0" xfId="0" applyAlignment="1" applyBorder="1" applyFont="1">
      <alignment readingOrder="0" shrinkToFit="0" vertical="top" wrapText="1"/>
    </xf>
    <xf borderId="0" fillId="0" fontId="56" numFmtId="0" xfId="0" applyAlignment="1" applyFont="1">
      <alignment horizontal="center" readingOrder="0" shrinkToFit="0" vertical="center" wrapText="1"/>
    </xf>
    <xf borderId="0" fillId="6" fontId="57" numFmtId="0" xfId="0" applyAlignment="1" applyFont="1">
      <alignment horizontal="left" readingOrder="0" vertical="center"/>
    </xf>
    <xf borderId="0" fillId="0" fontId="57" numFmtId="0" xfId="0" applyAlignment="1" applyFont="1">
      <alignment shrinkToFit="0" vertical="center" wrapText="0"/>
    </xf>
    <xf borderId="84" fillId="27" fontId="57" numFmtId="0" xfId="0" applyAlignment="1" applyBorder="1" applyFill="1" applyFont="1">
      <alignment horizontal="center" readingOrder="0" shrinkToFit="0" vertical="center" wrapText="0"/>
    </xf>
    <xf borderId="0" fillId="0" fontId="57" numFmtId="0" xfId="0" applyAlignment="1" applyFont="1">
      <alignment horizontal="left" shrinkToFit="0" vertical="center" wrapText="0"/>
    </xf>
    <xf borderId="0" fillId="0" fontId="58" numFmtId="0" xfId="0" applyAlignment="1" applyFont="1">
      <alignment readingOrder="0" vertical="center"/>
    </xf>
    <xf borderId="0" fillId="0" fontId="59" numFmtId="0" xfId="0" applyAlignment="1" applyFont="1">
      <alignment readingOrder="0" vertical="center"/>
    </xf>
    <xf borderId="0" fillId="0" fontId="59" numFmtId="0" xfId="0" applyAlignment="1" applyFont="1">
      <alignment vertical="center"/>
    </xf>
    <xf borderId="0" fillId="0" fontId="60" numFmtId="0" xfId="0" applyAlignment="1" applyFont="1">
      <alignment readingOrder="0" vertical="center"/>
    </xf>
    <xf borderId="0" fillId="16" fontId="60" numFmtId="0" xfId="0" applyAlignment="1" applyFont="1">
      <alignment readingOrder="0" vertical="center"/>
    </xf>
    <xf borderId="0" fillId="16" fontId="59" numFmtId="0" xfId="0" applyAlignment="1" applyFont="1">
      <alignment vertical="center"/>
    </xf>
    <xf borderId="0" fillId="16" fontId="57" numFmtId="0" xfId="0" applyAlignment="1" applyFont="1">
      <alignment horizontal="left" readingOrder="0" shrinkToFit="0" vertical="center" wrapText="0"/>
    </xf>
    <xf borderId="0" fillId="0" fontId="57" numFmtId="0" xfId="0" applyAlignment="1" applyFont="1">
      <alignment horizontal="left" readingOrder="0" shrinkToFit="0" vertical="center" wrapText="0"/>
    </xf>
    <xf borderId="0" fillId="0" fontId="59" numFmtId="0" xfId="0" applyFont="1"/>
    <xf borderId="0" fillId="0" fontId="57" numFmtId="0" xfId="0" applyAlignment="1" applyFont="1">
      <alignment readingOrder="0" shrinkToFit="0" vertical="center" wrapText="0"/>
    </xf>
    <xf borderId="85" fillId="27" fontId="57" numFmtId="0" xfId="0" applyAlignment="1" applyBorder="1" applyFont="1">
      <alignment horizontal="center" readingOrder="0" shrinkToFit="0" vertical="center" wrapText="0"/>
    </xf>
    <xf borderId="0" fillId="16" fontId="61" numFmtId="0" xfId="0" applyAlignment="1" applyFont="1">
      <alignment horizontal="left" readingOrder="0" shrinkToFit="0" vertical="center" wrapText="0"/>
    </xf>
    <xf borderId="86" fillId="27" fontId="62" numFmtId="0" xfId="0" applyAlignment="1" applyBorder="1" applyFont="1">
      <alignment horizontal="left" vertical="center"/>
    </xf>
    <xf borderId="24" fillId="27" fontId="59" numFmtId="0" xfId="0" applyBorder="1" applyFont="1"/>
    <xf borderId="85" fillId="0" fontId="63" numFmtId="0" xfId="0" applyAlignment="1" applyBorder="1" applyFont="1">
      <alignment horizontal="center" readingOrder="0" shrinkToFit="0" vertical="center" wrapText="0"/>
    </xf>
    <xf borderId="0" fillId="0" fontId="63" numFmtId="0" xfId="0" applyAlignment="1" applyFont="1">
      <alignment horizontal="left" readingOrder="0" shrinkToFit="0" vertical="center" wrapText="0"/>
    </xf>
    <xf borderId="0" fillId="0" fontId="57" numFmtId="0" xfId="0" applyAlignment="1" applyFont="1">
      <alignment horizontal="center" shrinkToFit="0" vertical="center" wrapText="0"/>
    </xf>
    <xf borderId="20" fillId="27" fontId="57" numFmtId="0" xfId="0" applyAlignment="1" applyBorder="1" applyFont="1">
      <alignment horizontal="center" readingOrder="0" shrinkToFit="0" vertical="center" wrapText="0"/>
    </xf>
    <xf borderId="0" fillId="0" fontId="57" numFmtId="0" xfId="0" applyAlignment="1" applyFont="1">
      <alignment horizontal="center" readingOrder="0" shrinkToFit="0" vertical="center" wrapText="0"/>
    </xf>
    <xf borderId="0" fillId="0" fontId="59" numFmtId="0" xfId="0" applyAlignment="1" applyFont="1">
      <alignment horizontal="center"/>
    </xf>
    <xf borderId="0" fillId="0" fontId="57" numFmtId="0" xfId="0" applyAlignment="1" applyFont="1">
      <alignment horizontal="center" readingOrder="0" shrinkToFit="0" vertical="center" wrapText="1"/>
    </xf>
    <xf borderId="76" fillId="0" fontId="59" numFmtId="0" xfId="0" applyAlignment="1" applyBorder="1" applyFont="1">
      <alignment horizontal="center" shrinkToFit="0" vertical="center" wrapText="1"/>
    </xf>
    <xf borderId="77" fillId="0" fontId="64" numFmtId="0" xfId="0" applyAlignment="1" applyBorder="1" applyFont="1">
      <alignment horizontal="center" readingOrder="0" shrinkToFit="0" vertical="center" wrapText="1"/>
    </xf>
    <xf borderId="77" fillId="0" fontId="61" numFmtId="0" xfId="0" applyAlignment="1" applyBorder="1" applyFont="1">
      <alignment horizontal="center" readingOrder="0" shrinkToFit="0" vertical="center" wrapText="1"/>
    </xf>
    <xf borderId="78" fillId="0" fontId="64" numFmtId="0" xfId="0" applyAlignment="1" applyBorder="1" applyFont="1">
      <alignment horizontal="center" readingOrder="0" shrinkToFit="0" vertical="center" wrapText="1"/>
    </xf>
    <xf borderId="81" fillId="0" fontId="65" numFmtId="0" xfId="0" applyAlignment="1" applyBorder="1" applyFont="1">
      <alignment horizontal="center" readingOrder="0" vertical="center"/>
    </xf>
    <xf borderId="87" fillId="28" fontId="65" numFmtId="0" xfId="0" applyAlignment="1" applyBorder="1" applyFill="1" applyFont="1">
      <alignment horizontal="center" vertical="center"/>
    </xf>
    <xf borderId="87" fillId="28" fontId="65" numFmtId="0" xfId="0" applyAlignment="1" applyBorder="1" applyFont="1">
      <alignment horizontal="center" readingOrder="0" vertical="center"/>
    </xf>
    <xf borderId="88" fillId="28" fontId="65" numFmtId="0" xfId="0" applyAlignment="1" applyBorder="1" applyFont="1">
      <alignment horizontal="center" vertical="center"/>
    </xf>
    <xf borderId="0" fillId="0" fontId="66" numFmtId="0" xfId="0" applyAlignment="1" applyFont="1">
      <alignment vertical="center"/>
    </xf>
    <xf borderId="89" fillId="0" fontId="61" numFmtId="0" xfId="0" applyAlignment="1" applyBorder="1" applyFont="1">
      <alignment horizontal="center" readingOrder="0" shrinkToFit="0" vertical="center" wrapText="1"/>
    </xf>
    <xf borderId="90" fillId="0" fontId="61" numFmtId="0" xfId="0" applyAlignment="1" applyBorder="1" applyFont="1">
      <alignment horizontal="center" readingOrder="0" shrinkToFit="0" vertical="center" wrapText="1"/>
    </xf>
    <xf borderId="3" fillId="0" fontId="61" numFmtId="0" xfId="0" applyAlignment="1" applyBorder="1" applyFont="1">
      <alignment horizontal="center" readingOrder="0" shrinkToFit="0" vertical="center" wrapText="0"/>
    </xf>
    <xf borderId="90" fillId="0" fontId="63" numFmtId="0" xfId="0" applyAlignment="1" applyBorder="1" applyFont="1">
      <alignment horizontal="center" readingOrder="0" shrinkToFit="0" vertical="center" wrapText="1"/>
    </xf>
    <xf borderId="1" fillId="0" fontId="61" numFmtId="0" xfId="0" applyAlignment="1" applyBorder="1" applyFont="1">
      <alignment horizontal="center" shrinkToFit="0" vertical="center" wrapText="0"/>
    </xf>
    <xf borderId="0" fillId="0" fontId="61" numFmtId="0" xfId="0" applyAlignment="1" applyFont="1">
      <alignment horizontal="center" shrinkToFit="0" vertical="center" wrapText="0"/>
    </xf>
    <xf borderId="0" fillId="0" fontId="59" numFmtId="0" xfId="0" applyAlignment="1" applyFont="1">
      <alignment horizontal="center" readingOrder="0"/>
    </xf>
    <xf borderId="91" fillId="0" fontId="14" numFmtId="0" xfId="0" applyBorder="1" applyFont="1"/>
    <xf borderId="6" fillId="0" fontId="14" numFmtId="0" xfId="0" applyBorder="1" applyFont="1"/>
    <xf borderId="4" fillId="0" fontId="61" numFmtId="0" xfId="0" applyAlignment="1" applyBorder="1" applyFont="1">
      <alignment horizontal="center" readingOrder="0" shrinkToFit="0" vertical="center" wrapText="0"/>
    </xf>
    <xf borderId="1" fillId="0" fontId="61" numFmtId="0" xfId="0" applyAlignment="1" applyBorder="1" applyFont="1">
      <alignment horizontal="center" readingOrder="0" shrinkToFit="0" vertical="center" wrapText="0"/>
    </xf>
    <xf borderId="90" fillId="0" fontId="67" numFmtId="0" xfId="0" applyAlignment="1" applyBorder="1" applyFont="1">
      <alignment horizontal="center" shrinkToFit="0" vertical="center" wrapText="0"/>
    </xf>
    <xf borderId="90" fillId="0" fontId="67" numFmtId="0" xfId="0" applyAlignment="1" applyBorder="1" applyFont="1">
      <alignment horizontal="center" readingOrder="0" shrinkToFit="0" vertical="center" wrapText="0"/>
    </xf>
    <xf borderId="92" fillId="27" fontId="59" numFmtId="0" xfId="0" applyAlignment="1" applyBorder="1" applyFont="1">
      <alignment horizontal="center" readingOrder="0" vertical="center"/>
    </xf>
    <xf borderId="4" fillId="0" fontId="59" numFmtId="0" xfId="0" applyAlignment="1" applyBorder="1" applyFont="1">
      <alignment horizontal="center" readingOrder="0" vertical="center"/>
    </xf>
    <xf borderId="1" fillId="0" fontId="59" numFmtId="0" xfId="0" applyAlignment="1" applyBorder="1" applyFont="1">
      <alignment horizontal="center" readingOrder="0" vertical="center"/>
    </xf>
    <xf borderId="1" fillId="0" fontId="59" numFmtId="0" xfId="0" applyAlignment="1" applyBorder="1" applyFont="1">
      <alignment horizontal="center" readingOrder="0" vertical="center"/>
    </xf>
    <xf borderId="0" fillId="0" fontId="59" numFmtId="0" xfId="0" applyAlignment="1" applyFont="1">
      <alignment horizontal="center" readingOrder="0"/>
    </xf>
    <xf borderId="89" fillId="0" fontId="41" numFmtId="0" xfId="0" applyAlignment="1" applyBorder="1" applyFont="1">
      <alignment horizontal="center" readingOrder="0" vertical="bottom"/>
    </xf>
    <xf borderId="93" fillId="0" fontId="14" numFmtId="0" xfId="0" applyBorder="1" applyFont="1"/>
    <xf borderId="89" fillId="0" fontId="64" numFmtId="0" xfId="0" applyAlignment="1" applyBorder="1" applyFont="1">
      <alignment horizontal="left" readingOrder="0" vertical="center"/>
    </xf>
    <xf borderId="90" fillId="0" fontId="64" numFmtId="0" xfId="0" applyAlignment="1" applyBorder="1" applyFont="1">
      <alignment horizontal="center" vertical="center"/>
    </xf>
    <xf borderId="4" fillId="0" fontId="59" numFmtId="0" xfId="0" applyAlignment="1" applyBorder="1" applyFont="1">
      <alignment horizontal="center" readingOrder="0" vertical="center"/>
    </xf>
    <xf borderId="94" fillId="0" fontId="64" numFmtId="0" xfId="0" applyAlignment="1" applyBorder="1" applyFont="1">
      <alignment horizontal="left" readingOrder="0" vertical="center"/>
    </xf>
    <xf borderId="95" fillId="0" fontId="64" numFmtId="0" xfId="0" applyAlignment="1" applyBorder="1" applyFont="1">
      <alignment horizontal="center" vertical="center"/>
    </xf>
    <xf borderId="94" fillId="0" fontId="64" numFmtId="0" xfId="0" applyAlignment="1" applyBorder="1" applyFont="1">
      <alignment horizontal="left" vertical="center"/>
    </xf>
    <xf borderId="95" fillId="27" fontId="64" numFmtId="0" xfId="0" applyAlignment="1" applyBorder="1" applyFont="1">
      <alignment horizontal="center" readingOrder="0" vertical="center"/>
    </xf>
    <xf borderId="95" fillId="15" fontId="64" numFmtId="175" xfId="0" applyAlignment="1" applyBorder="1" applyFont="1" applyNumberFormat="1">
      <alignment horizontal="center" readingOrder="0" vertical="center"/>
    </xf>
    <xf borderId="0" fillId="0" fontId="59" numFmtId="176" xfId="0" applyAlignment="1" applyFont="1" applyNumberFormat="1">
      <alignment horizontal="center" readingOrder="0"/>
    </xf>
    <xf borderId="95" fillId="27" fontId="64" numFmtId="4" xfId="0" applyAlignment="1" applyBorder="1" applyFont="1" applyNumberFormat="1">
      <alignment horizontal="center" readingOrder="0" vertical="center"/>
    </xf>
    <xf borderId="95" fillId="0" fontId="59" numFmtId="4" xfId="0" applyAlignment="1" applyBorder="1" applyFont="1" applyNumberFormat="1">
      <alignment horizontal="center" vertical="center"/>
    </xf>
    <xf borderId="95" fillId="0" fontId="64" numFmtId="177" xfId="0" applyAlignment="1" applyBorder="1" applyFont="1" applyNumberFormat="1">
      <alignment horizontal="center" vertical="center"/>
    </xf>
    <xf borderId="95" fillId="0" fontId="64" numFmtId="178" xfId="0" applyAlignment="1" applyBorder="1" applyFont="1" applyNumberFormat="1">
      <alignment horizontal="center" vertical="center"/>
    </xf>
    <xf borderId="1" fillId="0" fontId="59" numFmtId="0" xfId="0" applyAlignment="1" applyBorder="1" applyFont="1">
      <alignment horizontal="center" vertical="center"/>
    </xf>
    <xf borderId="95" fillId="9" fontId="64" numFmtId="4" xfId="0" applyAlignment="1" applyBorder="1" applyFont="1" applyNumberFormat="1">
      <alignment horizontal="center" vertical="center"/>
    </xf>
    <xf borderId="91" fillId="0" fontId="64" numFmtId="0" xfId="0" applyAlignment="1" applyBorder="1" applyFont="1">
      <alignment horizontal="left" readingOrder="0" vertical="center"/>
    </xf>
    <xf borderId="6" fillId="9" fontId="64" numFmtId="4" xfId="0" applyAlignment="1" applyBorder="1" applyFont="1" applyNumberFormat="1">
      <alignment horizontal="center" vertical="center"/>
    </xf>
    <xf borderId="0" fillId="0" fontId="54" numFmtId="0" xfId="0" applyAlignment="1" applyFont="1">
      <alignment horizontal="center" readingOrder="0"/>
    </xf>
    <xf borderId="0" fillId="16" fontId="68" numFmtId="49" xfId="0" applyAlignment="1" applyFont="1" applyNumberFormat="1">
      <alignment horizontal="center" shrinkToFit="0" vertical="center" wrapText="1"/>
    </xf>
    <xf borderId="0" fillId="16" fontId="69" numFmtId="0" xfId="0" applyAlignment="1" applyFont="1">
      <alignment horizontal="center" readingOrder="0" shrinkToFit="0" vertical="center" wrapText="1"/>
    </xf>
    <xf borderId="0" fillId="16" fontId="69" numFmtId="0" xfId="0" applyAlignment="1" applyFont="1">
      <alignment horizontal="left" shrinkToFit="0" vertical="center" wrapText="1"/>
    </xf>
    <xf borderId="0" fillId="0" fontId="59" numFmtId="0" xfId="0" applyFont="1"/>
    <xf borderId="14" fillId="0" fontId="70" numFmtId="0" xfId="0" applyAlignment="1" applyBorder="1" applyFont="1">
      <alignment horizontal="center" shrinkToFit="0" vertical="center" wrapText="0"/>
    </xf>
    <xf borderId="84" fillId="20" fontId="67" numFmtId="0" xfId="0" applyAlignment="1" applyBorder="1" applyFont="1">
      <alignment horizontal="center" readingOrder="0" shrinkToFit="0" vertical="center" wrapText="1"/>
    </xf>
    <xf borderId="0" fillId="0" fontId="71" numFmtId="0" xfId="0" applyAlignment="1" applyFont="1">
      <alignment horizontal="center" shrinkToFit="0" vertical="center" wrapText="1"/>
    </xf>
    <xf borderId="84" fillId="0" fontId="69" numFmtId="0" xfId="0" applyAlignment="1" applyBorder="1" applyFont="1">
      <alignment horizontal="center" readingOrder="0" shrinkToFit="0" vertical="center" wrapText="1"/>
    </xf>
    <xf borderId="0" fillId="6" fontId="53" numFmtId="0" xfId="0" applyAlignment="1" applyFont="1">
      <alignment horizontal="center" shrinkToFit="0" vertical="center" wrapText="1"/>
    </xf>
    <xf borderId="0" fillId="0" fontId="69" numFmtId="49" xfId="0" applyAlignment="1" applyFont="1" applyNumberFormat="1">
      <alignment horizontal="center" readingOrder="0" shrinkToFit="0" vertical="center" wrapText="1"/>
    </xf>
    <xf borderId="0" fillId="0" fontId="69" numFmtId="0" xfId="0" applyAlignment="1" applyFont="1">
      <alignment horizontal="center" readingOrder="0" shrinkToFit="0" vertical="center" wrapText="1"/>
    </xf>
    <xf borderId="0" fillId="0" fontId="69" numFmtId="0" xfId="0" applyAlignment="1" applyFont="1">
      <alignment horizontal="left" readingOrder="0" shrinkToFit="0" vertical="center" wrapText="1"/>
    </xf>
    <xf borderId="0" fillId="0" fontId="59" numFmtId="0" xfId="0" applyAlignment="1" applyFont="1">
      <alignment horizontal="center" shrinkToFit="0" vertical="center" wrapText="0"/>
    </xf>
    <xf borderId="0" fillId="0" fontId="41" numFmtId="0" xfId="0" applyAlignment="1" applyFont="1">
      <alignment horizontal="center" shrinkToFit="0" vertical="center" wrapText="1"/>
    </xf>
    <xf borderId="96" fillId="0" fontId="14" numFmtId="0" xfId="0" applyBorder="1" applyFont="1"/>
    <xf borderId="18" fillId="6" fontId="62" numFmtId="49" xfId="0" applyAlignment="1" applyBorder="1" applyFont="1" applyNumberFormat="1">
      <alignment horizontal="center" readingOrder="0" shrinkToFit="0" vertical="center" wrapText="1"/>
    </xf>
    <xf borderId="18" fillId="6" fontId="41" numFmtId="0" xfId="0" applyAlignment="1" applyBorder="1" applyFont="1">
      <alignment horizontal="center" readingOrder="0" shrinkToFit="0" vertical="center" wrapText="1"/>
    </xf>
    <xf borderId="18" fillId="6" fontId="72" numFmtId="0" xfId="0" applyAlignment="1" applyBorder="1" applyFont="1">
      <alignment horizontal="center" readingOrder="0" shrinkToFit="0" vertical="center" wrapText="1"/>
    </xf>
    <xf borderId="18" fillId="6" fontId="62" numFmtId="0" xfId="0" applyAlignment="1" applyBorder="1" applyFont="1">
      <alignment horizontal="center" readingOrder="0" shrinkToFit="0" vertical="center" wrapText="1"/>
    </xf>
    <xf borderId="18" fillId="0" fontId="62" numFmtId="0" xfId="0" applyAlignment="1" applyBorder="1" applyFont="1">
      <alignment horizontal="center" readingOrder="0" shrinkToFit="0" vertical="center" wrapText="1"/>
    </xf>
    <xf borderId="19" fillId="0" fontId="62" numFmtId="0" xfId="0" applyAlignment="1" applyBorder="1" applyFont="1">
      <alignment horizontal="center" readingOrder="0" shrinkToFit="0" vertical="center" wrapText="1"/>
    </xf>
    <xf borderId="18" fillId="0" fontId="72" numFmtId="0" xfId="0" applyAlignment="1" applyBorder="1" applyFont="1">
      <alignment horizontal="center" readingOrder="0" shrinkToFit="0" vertical="center" wrapText="1"/>
    </xf>
    <xf borderId="0" fillId="0" fontId="58" numFmtId="0" xfId="0" applyAlignment="1" applyFont="1">
      <alignment horizontal="center" readingOrder="0" shrinkToFit="0" vertical="center" wrapText="1"/>
    </xf>
    <xf borderId="14" fillId="0" fontId="73" numFmtId="0" xfId="0" applyAlignment="1" applyBorder="1" applyFont="1">
      <alignment horizontal="center" readingOrder="0" shrinkToFit="0" vertical="center" wrapText="0"/>
    </xf>
    <xf borderId="0" fillId="6" fontId="74" numFmtId="0" xfId="0" applyAlignment="1" applyFont="1">
      <alignment horizontal="center" shrinkToFit="0" vertical="center" wrapText="1"/>
    </xf>
    <xf borderId="20" fillId="20" fontId="67" numFmtId="0" xfId="0" applyAlignment="1" applyBorder="1" applyFont="1">
      <alignment horizontal="center" readingOrder="0" shrinkToFit="0" vertical="center" wrapText="1"/>
    </xf>
    <xf borderId="0" fillId="0" fontId="75" numFmtId="0" xfId="0" applyAlignment="1" applyFont="1">
      <alignment horizontal="center" shrinkToFit="0" vertical="center" wrapText="0"/>
    </xf>
    <xf borderId="20" fillId="0" fontId="76" numFmtId="0" xfId="0" applyAlignment="1" applyBorder="1" applyFont="1">
      <alignment horizontal="center" readingOrder="0" shrinkToFit="0" vertical="center" wrapText="0"/>
    </xf>
    <xf borderId="0" fillId="0" fontId="62" numFmtId="0" xfId="0" applyAlignment="1" applyFont="1">
      <alignment horizontal="center" readingOrder="0" shrinkToFit="0" vertical="center" wrapText="1"/>
    </xf>
    <xf borderId="0" fillId="6" fontId="55" numFmtId="49" xfId="0" applyAlignment="1" applyFont="1" applyNumberFormat="1">
      <alignment horizontal="center" shrinkToFit="0" vertical="center" wrapText="0"/>
    </xf>
    <xf borderId="0" fillId="6" fontId="55" numFmtId="49" xfId="0" applyAlignment="1" applyFont="1" applyNumberFormat="1">
      <alignment horizontal="center" shrinkToFit="0" vertical="center" wrapText="1"/>
    </xf>
    <xf borderId="0" fillId="0" fontId="55" numFmtId="49" xfId="0" applyAlignment="1" applyFont="1" applyNumberFormat="1">
      <alignment horizontal="center" shrinkToFit="0" vertical="center" wrapText="0"/>
    </xf>
    <xf borderId="0" fillId="0" fontId="55" numFmtId="0" xfId="0" applyAlignment="1" applyFont="1">
      <alignment horizontal="left" shrinkToFit="0" vertical="center" wrapText="0"/>
    </xf>
    <xf borderId="0" fillId="0" fontId="55" numFmtId="0" xfId="0" applyAlignment="1" applyFont="1">
      <alignment horizontal="center" shrinkToFit="0" vertical="center" wrapText="0"/>
    </xf>
    <xf borderId="0" fillId="0" fontId="53" numFmtId="0" xfId="0" applyAlignment="1" applyFont="1">
      <alignment horizontal="center" shrinkToFit="0" vertical="center" wrapText="0"/>
    </xf>
    <xf borderId="0" fillId="0" fontId="41" numFmtId="0" xfId="0" applyAlignment="1" applyFont="1">
      <alignment horizontal="center" shrinkToFit="0" vertical="center" wrapText="0"/>
    </xf>
    <xf borderId="21" fillId="0" fontId="41" numFmtId="0" xfId="0" applyAlignment="1" applyBorder="1" applyFont="1">
      <alignment horizontal="center" shrinkToFit="0" vertical="center" wrapText="0"/>
    </xf>
    <xf borderId="0" fillId="0" fontId="55" numFmtId="0" xfId="0" applyAlignment="1" applyFont="1">
      <alignment horizontal="center" vertical="center"/>
    </xf>
    <xf borderId="0" fillId="0" fontId="53" numFmtId="0" xfId="0" applyAlignment="1" applyFont="1">
      <alignment horizontal="center" shrinkToFit="0" vertical="center" wrapText="0"/>
    </xf>
    <xf borderId="0" fillId="0" fontId="67" numFmtId="0" xfId="0" applyAlignment="1" applyFont="1">
      <alignment horizontal="center" shrinkToFit="0" vertical="center" wrapText="0"/>
    </xf>
    <xf borderId="0" fillId="6" fontId="67" numFmtId="0" xfId="0" applyAlignment="1" applyFont="1">
      <alignment horizontal="center" shrinkToFit="0" vertical="center" wrapText="0"/>
    </xf>
    <xf borderId="0" fillId="0" fontId="67" numFmtId="171" xfId="0" applyAlignment="1" applyFont="1" applyNumberFormat="1">
      <alignment horizontal="center" shrinkToFit="0" vertical="center" wrapText="0"/>
    </xf>
    <xf borderId="22" fillId="9" fontId="64" numFmtId="49" xfId="0" applyAlignment="1" applyBorder="1" applyFont="1" applyNumberFormat="1">
      <alignment horizontal="center" readingOrder="0" shrinkToFit="0" vertical="center" wrapText="0"/>
    </xf>
    <xf borderId="23" fillId="9" fontId="69" numFmtId="0" xfId="0" applyAlignment="1" applyBorder="1" applyFont="1">
      <alignment horizontal="center" readingOrder="0" shrinkToFit="0" vertical="center" wrapText="1"/>
    </xf>
    <xf borderId="23" fillId="9" fontId="69" numFmtId="0" xfId="0" applyAlignment="1" applyBorder="1" applyFont="1">
      <alignment horizontal="center" readingOrder="0" shrinkToFit="0" vertical="center" wrapText="0"/>
    </xf>
    <xf borderId="23" fillId="9" fontId="69" numFmtId="0" xfId="0" applyAlignment="1" applyBorder="1" applyFont="1">
      <alignment horizontal="left" readingOrder="0" shrinkToFit="0" vertical="center" wrapText="0"/>
    </xf>
    <xf borderId="23" fillId="9" fontId="69" numFmtId="171" xfId="0" applyAlignment="1" applyBorder="1" applyFont="1" applyNumberFormat="1">
      <alignment horizontal="center" shrinkToFit="0" vertical="center" wrapText="0"/>
    </xf>
    <xf borderId="22" fillId="9" fontId="69" numFmtId="0" xfId="0" applyAlignment="1" applyBorder="1" applyFont="1">
      <alignment horizontal="center" readingOrder="0" shrinkToFit="0" vertical="center" wrapText="0"/>
    </xf>
    <xf borderId="24" fillId="9" fontId="41" numFmtId="4" xfId="0" applyAlignment="1" applyBorder="1" applyFont="1" applyNumberFormat="1">
      <alignment horizontal="center" shrinkToFit="0" vertical="center" wrapText="0"/>
    </xf>
    <xf borderId="25" fillId="9" fontId="77" numFmtId="1" xfId="0" applyAlignment="1" applyBorder="1" applyFont="1" applyNumberFormat="1">
      <alignment horizontal="center" shrinkToFit="0" vertical="center" wrapText="0"/>
    </xf>
    <xf borderId="25" fillId="0" fontId="41" numFmtId="171" xfId="0" applyAlignment="1" applyBorder="1" applyFont="1" applyNumberFormat="1">
      <alignment horizontal="center" shrinkToFit="0" vertical="center" wrapText="0"/>
    </xf>
    <xf borderId="0" fillId="6" fontId="67" numFmtId="0" xfId="0" applyAlignment="1" applyFont="1">
      <alignment horizontal="center" shrinkToFit="0" vertical="center" wrapText="1"/>
    </xf>
    <xf borderId="26" fillId="6" fontId="64" numFmtId="49" xfId="0" applyAlignment="1" applyBorder="1" applyFont="1" applyNumberFormat="1">
      <alignment horizontal="center" readingOrder="0" shrinkToFit="0" vertical="center" wrapText="0"/>
    </xf>
    <xf borderId="27" fillId="6" fontId="61" numFmtId="0" xfId="0" applyAlignment="1" applyBorder="1" applyFont="1">
      <alignment horizontal="left" readingOrder="0" shrinkToFit="0" vertical="center" wrapText="1"/>
    </xf>
    <xf borderId="27" fillId="6" fontId="66" numFmtId="0" xfId="0" applyAlignment="1" applyBorder="1" applyFont="1">
      <alignment horizontal="center" readingOrder="0" shrinkToFit="0" vertical="center" wrapText="0"/>
    </xf>
    <xf borderId="27" fillId="0" fontId="66" numFmtId="0" xfId="0" applyAlignment="1" applyBorder="1" applyFont="1">
      <alignment horizontal="center" readingOrder="0" shrinkToFit="0" vertical="center" wrapText="0"/>
    </xf>
    <xf borderId="27" fillId="0" fontId="66" numFmtId="171" xfId="0" applyAlignment="1" applyBorder="1" applyFont="1" applyNumberFormat="1">
      <alignment horizontal="left" shrinkToFit="0" vertical="center" wrapText="0"/>
    </xf>
    <xf borderId="28" fillId="0" fontId="66" numFmtId="171" xfId="0" applyAlignment="1" applyBorder="1" applyFont="1" applyNumberFormat="1">
      <alignment horizontal="center" readingOrder="0" shrinkToFit="0" vertical="center" wrapText="0"/>
    </xf>
    <xf borderId="26" fillId="6" fontId="66" numFmtId="0" xfId="0" applyAlignment="1" applyBorder="1" applyFont="1">
      <alignment horizontal="center" readingOrder="0" shrinkToFit="0" vertical="center" wrapText="0"/>
    </xf>
    <xf borderId="29" fillId="0" fontId="66" numFmtId="4" xfId="0" applyAlignment="1" applyBorder="1" applyFont="1" applyNumberFormat="1">
      <alignment horizontal="center" shrinkToFit="0" vertical="center" wrapText="0"/>
    </xf>
    <xf borderId="30" fillId="0" fontId="57" numFmtId="1" xfId="0" applyAlignment="1" applyBorder="1" applyFont="1" applyNumberFormat="1">
      <alignment horizontal="center" vertical="center"/>
    </xf>
    <xf borderId="31" fillId="0" fontId="57" numFmtId="171" xfId="0" applyAlignment="1" applyBorder="1" applyFont="1" applyNumberFormat="1">
      <alignment horizontal="center" vertical="center"/>
    </xf>
    <xf borderId="0" fillId="0" fontId="66" numFmtId="0" xfId="0" applyAlignment="1" applyFont="1">
      <alignment horizontal="center" readingOrder="0" shrinkToFit="0" vertical="center" wrapText="0"/>
    </xf>
    <xf borderId="14" fillId="10" fontId="70" numFmtId="0" xfId="0" applyAlignment="1" applyBorder="1" applyFont="1">
      <alignment horizontal="left" readingOrder="0" shrinkToFit="0" vertical="center" wrapText="0"/>
    </xf>
    <xf borderId="32" fillId="6" fontId="64" numFmtId="49" xfId="0" applyAlignment="1" applyBorder="1" applyFont="1" applyNumberFormat="1">
      <alignment horizontal="center" readingOrder="0" shrinkToFit="0" vertical="center" wrapText="0"/>
    </xf>
    <xf borderId="33" fillId="6" fontId="61" numFmtId="0" xfId="0" applyAlignment="1" applyBorder="1" applyFont="1">
      <alignment horizontal="left" readingOrder="0" shrinkToFit="0" vertical="center" wrapText="1"/>
    </xf>
    <xf borderId="33" fillId="6" fontId="66" numFmtId="0" xfId="0" applyAlignment="1" applyBorder="1" applyFont="1">
      <alignment horizontal="center" readingOrder="0" shrinkToFit="0" vertical="center" wrapText="0"/>
    </xf>
    <xf borderId="33" fillId="0" fontId="66" numFmtId="171" xfId="0" applyAlignment="1" applyBorder="1" applyFont="1" applyNumberFormat="1">
      <alignment horizontal="left" shrinkToFit="0" vertical="center" wrapText="0"/>
    </xf>
    <xf borderId="32" fillId="6" fontId="66" numFmtId="0" xfId="0" applyAlignment="1" applyBorder="1" applyFont="1">
      <alignment horizontal="center" readingOrder="0" shrinkToFit="0" vertical="center" wrapText="0"/>
    </xf>
    <xf borderId="37" fillId="6" fontId="64" numFmtId="49" xfId="0" applyAlignment="1" applyBorder="1" applyFont="1" applyNumberFormat="1">
      <alignment horizontal="center" readingOrder="0" shrinkToFit="0" vertical="center" wrapText="0"/>
    </xf>
    <xf borderId="38" fillId="6" fontId="61" numFmtId="0" xfId="0" applyAlignment="1" applyBorder="1" applyFont="1">
      <alignment horizontal="left" readingOrder="0" shrinkToFit="0" vertical="center" wrapText="1"/>
    </xf>
    <xf borderId="38" fillId="6" fontId="66" numFmtId="0" xfId="0" applyAlignment="1" applyBorder="1" applyFont="1">
      <alignment horizontal="center" readingOrder="0" shrinkToFit="0" vertical="center" wrapText="0"/>
    </xf>
    <xf borderId="38" fillId="0" fontId="66" numFmtId="171" xfId="0" applyAlignment="1" applyBorder="1" applyFont="1" applyNumberFormat="1">
      <alignment horizontal="left" shrinkToFit="0" vertical="center" wrapText="0"/>
    </xf>
    <xf borderId="37" fillId="6" fontId="66" numFmtId="0" xfId="0" applyAlignment="1" applyBorder="1" applyFont="1">
      <alignment horizontal="center" readingOrder="0" shrinkToFit="0" vertical="center" wrapText="0"/>
    </xf>
    <xf borderId="24" fillId="9" fontId="69" numFmtId="171" xfId="0" applyAlignment="1" applyBorder="1" applyFont="1" applyNumberFormat="1">
      <alignment horizontal="center" shrinkToFit="0" vertical="center" wrapText="0"/>
    </xf>
    <xf borderId="23" fillId="9" fontId="69" numFmtId="1" xfId="0" applyAlignment="1" applyBorder="1" applyFont="1" applyNumberFormat="1">
      <alignment horizontal="center" readingOrder="0" shrinkToFit="0" vertical="center" wrapText="0"/>
    </xf>
    <xf borderId="50" fillId="0" fontId="66" numFmtId="171" xfId="0" applyAlignment="1" applyBorder="1" applyFont="1" applyNumberFormat="1">
      <alignment horizontal="center" readingOrder="0" shrinkToFit="0" vertical="center" wrapText="0"/>
    </xf>
    <xf borderId="42" fillId="6" fontId="61" numFmtId="0" xfId="0" applyAlignment="1" applyBorder="1" applyFont="1">
      <alignment horizontal="left" readingOrder="0" shrinkToFit="0" vertical="center" wrapText="1"/>
    </xf>
    <xf borderId="43" fillId="6" fontId="66" numFmtId="0" xfId="0" applyAlignment="1" applyBorder="1" applyFont="1">
      <alignment horizontal="center" readingOrder="0" shrinkToFit="0" vertical="center" wrapText="0"/>
    </xf>
    <xf borderId="44" fillId="6" fontId="66" numFmtId="0" xfId="0" applyAlignment="1" applyBorder="1" applyFont="1">
      <alignment horizontal="center" readingOrder="0" shrinkToFit="0" vertical="center" wrapText="0"/>
    </xf>
    <xf borderId="45" fillId="6" fontId="61" numFmtId="0" xfId="0" applyAlignment="1" applyBorder="1" applyFont="1">
      <alignment horizontal="left" readingOrder="0" shrinkToFit="0" vertical="center" wrapText="1"/>
    </xf>
    <xf borderId="46" fillId="6" fontId="66" numFmtId="0" xfId="0" applyAlignment="1" applyBorder="1" applyFont="1">
      <alignment horizontal="center" readingOrder="0" shrinkToFit="0" vertical="center" wrapText="0"/>
    </xf>
    <xf borderId="60" fillId="6" fontId="66" numFmtId="0" xfId="0" applyAlignment="1" applyBorder="1" applyFont="1">
      <alignment horizontal="center" readingOrder="0" shrinkToFit="0" vertical="center" wrapText="0"/>
    </xf>
    <xf borderId="0" fillId="0" fontId="53" numFmtId="0" xfId="0" applyAlignment="1" applyFont="1">
      <alignment horizontal="center" shrinkToFit="0" vertical="center" wrapText="1"/>
    </xf>
    <xf borderId="0" fillId="0" fontId="67" numFmtId="0" xfId="0" applyAlignment="1" applyFont="1">
      <alignment horizontal="center" shrinkToFit="0" vertical="center" wrapText="1"/>
    </xf>
    <xf borderId="24" fillId="9" fontId="69" numFmtId="4" xfId="0" applyAlignment="1" applyBorder="1" applyFont="1" applyNumberFormat="1">
      <alignment horizontal="center" shrinkToFit="0" vertical="center" wrapText="0"/>
    </xf>
    <xf borderId="0" fillId="0" fontId="64" numFmtId="49" xfId="0" applyAlignment="1" applyFont="1" applyNumberFormat="1">
      <alignment horizontal="center" readingOrder="0" shrinkToFit="0" vertical="center" wrapText="0"/>
    </xf>
    <xf borderId="52" fillId="6" fontId="64" numFmtId="49" xfId="0" applyAlignment="1" applyBorder="1" applyFont="1" applyNumberFormat="1">
      <alignment horizontal="center" readingOrder="0" shrinkToFit="0" vertical="center" wrapText="0"/>
    </xf>
    <xf borderId="53" fillId="6" fontId="66" numFmtId="0" xfId="0" applyAlignment="1" applyBorder="1" applyFont="1">
      <alignment horizontal="center" readingOrder="0" shrinkToFit="0" vertical="center" wrapText="0"/>
    </xf>
    <xf borderId="0" fillId="0" fontId="61" numFmtId="0" xfId="0" applyAlignment="1" applyFont="1">
      <alignment horizontal="center" shrinkToFit="0" vertical="center" wrapText="0"/>
    </xf>
    <xf borderId="22" fillId="11" fontId="64" numFmtId="49" xfId="0" applyAlignment="1" applyBorder="1" applyFont="1" applyNumberFormat="1">
      <alignment horizontal="center" readingOrder="0" shrinkToFit="0" vertical="center" wrapText="0"/>
    </xf>
    <xf borderId="23" fillId="11" fontId="69" numFmtId="0" xfId="0" applyAlignment="1" applyBorder="1" applyFont="1">
      <alignment horizontal="center" readingOrder="0" shrinkToFit="0" vertical="center" wrapText="1"/>
    </xf>
    <xf borderId="23" fillId="11" fontId="69" numFmtId="0" xfId="0" applyAlignment="1" applyBorder="1" applyFont="1">
      <alignment horizontal="center" readingOrder="0" shrinkToFit="0" vertical="center" wrapText="0"/>
    </xf>
    <xf borderId="23" fillId="11" fontId="69" numFmtId="0" xfId="0" applyAlignment="1" applyBorder="1" applyFont="1">
      <alignment horizontal="left" readingOrder="0" shrinkToFit="0" vertical="center" wrapText="0"/>
    </xf>
    <xf borderId="24" fillId="11" fontId="69" numFmtId="171" xfId="0" applyAlignment="1" applyBorder="1" applyFont="1" applyNumberFormat="1">
      <alignment horizontal="center" shrinkToFit="0" vertical="center" wrapText="0"/>
    </xf>
    <xf borderId="22" fillId="11" fontId="69" numFmtId="0" xfId="0" applyAlignment="1" applyBorder="1" applyFont="1">
      <alignment horizontal="center" readingOrder="0" shrinkToFit="0" vertical="center" wrapText="0"/>
    </xf>
    <xf borderId="24" fillId="11" fontId="69" numFmtId="4" xfId="0" applyAlignment="1" applyBorder="1" applyFont="1" applyNumberFormat="1">
      <alignment horizontal="center" shrinkToFit="0" vertical="center" wrapText="0"/>
    </xf>
    <xf borderId="23" fillId="11" fontId="69" numFmtId="1" xfId="0" applyAlignment="1" applyBorder="1" applyFont="1" applyNumberFormat="1">
      <alignment horizontal="center" readingOrder="0" shrinkToFit="0" vertical="center" wrapText="0"/>
    </xf>
    <xf borderId="0" fillId="6" fontId="53" numFmtId="0" xfId="0" applyAlignment="1" applyFont="1">
      <alignment horizontal="center" readingOrder="0" shrinkToFit="0" vertical="center" wrapText="1"/>
    </xf>
    <xf borderId="27" fillId="0" fontId="66" numFmtId="171" xfId="0" applyAlignment="1" applyBorder="1" applyFont="1" applyNumberFormat="1">
      <alignment horizontal="left" readingOrder="0" shrinkToFit="0" vertical="center" wrapText="0"/>
    </xf>
    <xf borderId="33" fillId="0" fontId="66" numFmtId="171" xfId="0" applyAlignment="1" applyBorder="1" applyFont="1" applyNumberFormat="1">
      <alignment horizontal="left" readingOrder="0" shrinkToFit="0" vertical="center" wrapText="0"/>
    </xf>
    <xf borderId="22" fillId="12" fontId="64" numFmtId="49" xfId="0" applyAlignment="1" applyBorder="1" applyFont="1" applyNumberFormat="1">
      <alignment horizontal="center" readingOrder="0" shrinkToFit="0" vertical="center" wrapText="0"/>
    </xf>
    <xf borderId="23" fillId="12" fontId="69" numFmtId="0" xfId="0" applyAlignment="1" applyBorder="1" applyFont="1">
      <alignment horizontal="center" readingOrder="0" shrinkToFit="0" vertical="center" wrapText="1"/>
    </xf>
    <xf borderId="23" fillId="12" fontId="69" numFmtId="0" xfId="0" applyAlignment="1" applyBorder="1" applyFont="1">
      <alignment horizontal="center" readingOrder="0" shrinkToFit="0" vertical="center" wrapText="0"/>
    </xf>
    <xf borderId="23" fillId="12" fontId="69" numFmtId="0" xfId="0" applyAlignment="1" applyBorder="1" applyFont="1">
      <alignment horizontal="left" readingOrder="0" shrinkToFit="0" vertical="center" wrapText="0"/>
    </xf>
    <xf borderId="24" fillId="12" fontId="69" numFmtId="171" xfId="0" applyAlignment="1" applyBorder="1" applyFont="1" applyNumberFormat="1">
      <alignment horizontal="center" shrinkToFit="0" vertical="center" wrapText="0"/>
    </xf>
    <xf borderId="22" fillId="12" fontId="69" numFmtId="0" xfId="0" applyAlignment="1" applyBorder="1" applyFont="1">
      <alignment horizontal="center" readingOrder="0" shrinkToFit="0" vertical="center" wrapText="0"/>
    </xf>
    <xf borderId="24" fillId="12" fontId="69" numFmtId="4" xfId="0" applyAlignment="1" applyBorder="1" applyFont="1" applyNumberFormat="1">
      <alignment horizontal="center" shrinkToFit="0" vertical="center" wrapText="0"/>
    </xf>
    <xf borderId="23" fillId="12" fontId="69" numFmtId="1" xfId="0" applyAlignment="1" applyBorder="1" applyFont="1" applyNumberFormat="1">
      <alignment horizontal="center" readingOrder="0" shrinkToFit="0" vertical="center" wrapText="0"/>
    </xf>
    <xf borderId="0" fillId="5" fontId="66" numFmtId="0" xfId="0" applyAlignment="1" applyFont="1">
      <alignment horizontal="center" readingOrder="0" shrinkToFit="0" vertical="center" wrapText="0"/>
    </xf>
    <xf borderId="67" fillId="6" fontId="66" numFmtId="0" xfId="0" applyAlignment="1" applyBorder="1" applyFont="1">
      <alignment horizontal="center" readingOrder="0" shrinkToFit="0" vertical="center" wrapText="0"/>
    </xf>
    <xf borderId="97" fillId="0" fontId="66" numFmtId="171" xfId="0" applyAlignment="1" applyBorder="1" applyFont="1" applyNumberFormat="1">
      <alignment horizontal="center" readingOrder="0" shrinkToFit="0" vertical="center" wrapText="0"/>
    </xf>
    <xf borderId="98" fillId="0" fontId="66" numFmtId="4" xfId="0" applyAlignment="1" applyBorder="1" applyFont="1" applyNumberFormat="1">
      <alignment horizontal="center" shrinkToFit="0" vertical="center" wrapText="0"/>
    </xf>
    <xf borderId="99" fillId="0" fontId="57" numFmtId="1" xfId="0" applyAlignment="1" applyBorder="1" applyFont="1" applyNumberFormat="1">
      <alignment horizontal="center" vertical="center"/>
    </xf>
    <xf borderId="54" fillId="12" fontId="69" numFmtId="0" xfId="0" applyAlignment="1" applyBorder="1" applyFont="1">
      <alignment horizontal="center" readingOrder="0" shrinkToFit="0" vertical="center" wrapText="1"/>
    </xf>
    <xf borderId="23" fillId="12" fontId="57" numFmtId="172" xfId="0" applyAlignment="1" applyBorder="1" applyFont="1" applyNumberFormat="1">
      <alignment horizontal="center" vertical="center"/>
    </xf>
    <xf borderId="22" fillId="12" fontId="66" numFmtId="0" xfId="0" applyAlignment="1" applyBorder="1" applyFont="1">
      <alignment horizontal="center" readingOrder="0" shrinkToFit="0" vertical="center" wrapText="0"/>
    </xf>
    <xf borderId="23" fillId="12" fontId="66" numFmtId="0" xfId="0" applyAlignment="1" applyBorder="1" applyFont="1">
      <alignment horizontal="center" readingOrder="0" shrinkToFit="0" vertical="center" wrapText="0"/>
    </xf>
    <xf borderId="24" fillId="12" fontId="57" numFmtId="172" xfId="0" applyAlignment="1" applyBorder="1" applyFont="1" applyNumberFormat="1">
      <alignment horizontal="center" vertical="center"/>
    </xf>
    <xf borderId="25" fillId="12" fontId="57" numFmtId="1" xfId="0" applyAlignment="1" applyBorder="1" applyFont="1" applyNumberFormat="1">
      <alignment horizontal="center" vertical="center"/>
    </xf>
    <xf borderId="0" fillId="13" fontId="41" numFmtId="0" xfId="0" applyAlignment="1" applyFont="1">
      <alignment horizontal="center" readingOrder="0" shrinkToFit="0" vertical="center" wrapText="0"/>
    </xf>
    <xf borderId="0" fillId="0" fontId="53" numFmtId="0" xfId="0" applyAlignment="1" applyFont="1">
      <alignment horizontal="center" readingOrder="0" shrinkToFit="0" vertical="center" wrapText="1"/>
    </xf>
    <xf borderId="22" fillId="14" fontId="64" numFmtId="49" xfId="0" applyAlignment="1" applyBorder="1" applyFont="1" applyNumberFormat="1">
      <alignment horizontal="center" readingOrder="0" shrinkToFit="0" vertical="center" wrapText="0"/>
    </xf>
    <xf borderId="23" fillId="14" fontId="69" numFmtId="0" xfId="0" applyAlignment="1" applyBorder="1" applyFont="1">
      <alignment horizontal="center" readingOrder="0" shrinkToFit="0" vertical="center" wrapText="1"/>
    </xf>
    <xf borderId="23" fillId="14" fontId="69" numFmtId="0" xfId="0" applyAlignment="1" applyBorder="1" applyFont="1">
      <alignment horizontal="center" readingOrder="0" shrinkToFit="0" vertical="center" wrapText="0"/>
    </xf>
    <xf borderId="23" fillId="14" fontId="69" numFmtId="0" xfId="0" applyAlignment="1" applyBorder="1" applyFont="1">
      <alignment horizontal="left" readingOrder="0" shrinkToFit="0" vertical="center" wrapText="0"/>
    </xf>
    <xf borderId="24" fillId="14" fontId="69" numFmtId="171" xfId="0" applyAlignment="1" applyBorder="1" applyFont="1" applyNumberFormat="1">
      <alignment horizontal="center" shrinkToFit="0" vertical="center" wrapText="0"/>
    </xf>
    <xf borderId="22" fillId="14" fontId="69" numFmtId="0" xfId="0" applyAlignment="1" applyBorder="1" applyFont="1">
      <alignment horizontal="center" readingOrder="0" shrinkToFit="0" vertical="center" wrapText="0"/>
    </xf>
    <xf borderId="24" fillId="14" fontId="69" numFmtId="4" xfId="0" applyAlignment="1" applyBorder="1" applyFont="1" applyNumberFormat="1">
      <alignment horizontal="center" shrinkToFit="0" vertical="center" wrapText="0"/>
    </xf>
    <xf borderId="23" fillId="14" fontId="69" numFmtId="1" xfId="0" applyAlignment="1" applyBorder="1" applyFont="1" applyNumberFormat="1">
      <alignment horizontal="center" readingOrder="0" shrinkToFit="0" vertical="center" wrapText="0"/>
    </xf>
    <xf borderId="0" fillId="0" fontId="41" numFmtId="0" xfId="0" applyAlignment="1" applyFont="1">
      <alignment horizontal="center" readingOrder="0" shrinkToFit="0" vertical="center" wrapText="0"/>
    </xf>
    <xf borderId="24" fillId="14" fontId="57" numFmtId="172" xfId="0" applyAlignment="1" applyBorder="1" applyFont="1" applyNumberFormat="1">
      <alignment horizontal="center" vertical="center"/>
    </xf>
    <xf borderId="23" fillId="14" fontId="66" numFmtId="0" xfId="0" applyAlignment="1" applyBorder="1" applyFont="1">
      <alignment horizontal="center" readingOrder="0" shrinkToFit="0" vertical="center" wrapText="0"/>
    </xf>
    <xf borderId="25" fillId="14" fontId="57" numFmtId="1" xfId="0" applyAlignment="1" applyBorder="1" applyFont="1" applyNumberFormat="1">
      <alignment horizontal="center" vertical="center"/>
    </xf>
    <xf borderId="22" fillId="15" fontId="64" numFmtId="49" xfId="0" applyAlignment="1" applyBorder="1" applyFont="1" applyNumberFormat="1">
      <alignment horizontal="center" readingOrder="0" shrinkToFit="0" vertical="center" wrapText="0"/>
    </xf>
    <xf borderId="23" fillId="15" fontId="69" numFmtId="0" xfId="0" applyAlignment="1" applyBorder="1" applyFont="1">
      <alignment horizontal="center" readingOrder="0" shrinkToFit="0" vertical="center" wrapText="1"/>
    </xf>
    <xf borderId="23" fillId="15" fontId="69" numFmtId="0" xfId="0" applyAlignment="1" applyBorder="1" applyFont="1">
      <alignment horizontal="center" readingOrder="0" shrinkToFit="0" vertical="center" wrapText="0"/>
    </xf>
    <xf borderId="23" fillId="15" fontId="69" numFmtId="0" xfId="0" applyAlignment="1" applyBorder="1" applyFont="1">
      <alignment horizontal="left" readingOrder="0" shrinkToFit="0" vertical="center" wrapText="0"/>
    </xf>
    <xf borderId="24" fillId="15" fontId="69" numFmtId="171" xfId="0" applyAlignment="1" applyBorder="1" applyFont="1" applyNumberFormat="1">
      <alignment horizontal="center" shrinkToFit="0" vertical="center" wrapText="0"/>
    </xf>
    <xf borderId="22" fillId="15" fontId="69" numFmtId="0" xfId="0" applyAlignment="1" applyBorder="1" applyFont="1">
      <alignment horizontal="center" readingOrder="0" shrinkToFit="0" vertical="center" wrapText="0"/>
    </xf>
    <xf borderId="24" fillId="15" fontId="69" numFmtId="4" xfId="0" applyAlignment="1" applyBorder="1" applyFont="1" applyNumberFormat="1">
      <alignment horizontal="center" shrinkToFit="0" vertical="center" wrapText="0"/>
    </xf>
    <xf borderId="23" fillId="15" fontId="69" numFmtId="1" xfId="0" applyAlignment="1" applyBorder="1" applyFont="1" applyNumberFormat="1">
      <alignment horizontal="center" readingOrder="0" shrinkToFit="0" vertical="center" wrapText="0"/>
    </xf>
    <xf borderId="0" fillId="0" fontId="78" numFmtId="0" xfId="0" applyAlignment="1" applyFont="1">
      <alignment horizontal="center" readingOrder="0" shrinkToFit="0" vertical="center" wrapText="0"/>
    </xf>
    <xf borderId="0" fillId="0" fontId="79" numFmtId="0" xfId="0" applyAlignment="1" applyFont="1">
      <alignment horizontal="center" readingOrder="0" shrinkToFit="0" vertical="center" wrapText="0"/>
    </xf>
    <xf borderId="14" fillId="10" fontId="80" numFmtId="0" xfId="0" applyAlignment="1" applyBorder="1" applyFont="1">
      <alignment horizontal="left" readingOrder="0" shrinkToFit="0" vertical="center" wrapText="0"/>
    </xf>
    <xf borderId="33" fillId="0" fontId="59" numFmtId="0" xfId="0" applyAlignment="1" applyBorder="1" applyFont="1">
      <alignment horizontal="left"/>
    </xf>
    <xf borderId="38" fillId="0" fontId="66" numFmtId="171" xfId="0" applyAlignment="1" applyBorder="1" applyFont="1" applyNumberFormat="1">
      <alignment horizontal="left" readingOrder="0" shrinkToFit="0" vertical="center" wrapText="0"/>
    </xf>
    <xf borderId="22" fillId="3" fontId="64" numFmtId="49" xfId="0" applyAlignment="1" applyBorder="1" applyFont="1" applyNumberFormat="1">
      <alignment horizontal="center" readingOrder="0" shrinkToFit="0" vertical="center" wrapText="0"/>
    </xf>
    <xf borderId="23" fillId="3" fontId="69" numFmtId="0" xfId="0" applyAlignment="1" applyBorder="1" applyFont="1">
      <alignment horizontal="center" readingOrder="0" shrinkToFit="0" vertical="center" wrapText="1"/>
    </xf>
    <xf borderId="23" fillId="3" fontId="69" numFmtId="0" xfId="0" applyAlignment="1" applyBorder="1" applyFont="1">
      <alignment horizontal="center" readingOrder="0" shrinkToFit="0" vertical="center" wrapText="0"/>
    </xf>
    <xf borderId="23" fillId="3" fontId="69" numFmtId="0" xfId="0" applyAlignment="1" applyBorder="1" applyFont="1">
      <alignment horizontal="left" readingOrder="0" shrinkToFit="0" vertical="center" wrapText="0"/>
    </xf>
    <xf borderId="24" fillId="3" fontId="69" numFmtId="171" xfId="0" applyAlignment="1" applyBorder="1" applyFont="1" applyNumberFormat="1">
      <alignment horizontal="center" shrinkToFit="0" vertical="center" wrapText="0"/>
    </xf>
    <xf borderId="22" fillId="3" fontId="69" numFmtId="0" xfId="0" applyAlignment="1" applyBorder="1" applyFont="1">
      <alignment horizontal="center" readingOrder="0" shrinkToFit="0" vertical="center" wrapText="0"/>
    </xf>
    <xf borderId="24" fillId="3" fontId="69" numFmtId="4" xfId="0" applyAlignment="1" applyBorder="1" applyFont="1" applyNumberFormat="1">
      <alignment horizontal="center" shrinkToFit="0" vertical="center" wrapText="0"/>
    </xf>
    <xf borderId="23" fillId="3" fontId="69" numFmtId="1" xfId="0" applyAlignment="1" applyBorder="1" applyFont="1" applyNumberFormat="1">
      <alignment horizontal="center" readingOrder="0" shrinkToFit="0" vertical="center" wrapText="0"/>
    </xf>
    <xf borderId="22" fillId="16" fontId="64" numFmtId="49" xfId="0" applyAlignment="1" applyBorder="1" applyFont="1" applyNumberFormat="1">
      <alignment horizontal="center" readingOrder="0" shrinkToFit="0" vertical="center" wrapText="0"/>
    </xf>
    <xf borderId="23" fillId="16" fontId="69" numFmtId="0" xfId="0" applyAlignment="1" applyBorder="1" applyFont="1">
      <alignment horizontal="center" readingOrder="0" shrinkToFit="0" vertical="center" wrapText="1"/>
    </xf>
    <xf borderId="23" fillId="16" fontId="69" numFmtId="0" xfId="0" applyAlignment="1" applyBorder="1" applyFont="1">
      <alignment horizontal="center" readingOrder="0" shrinkToFit="0" vertical="center" wrapText="0"/>
    </xf>
    <xf borderId="23" fillId="16" fontId="69" numFmtId="0" xfId="0" applyAlignment="1" applyBorder="1" applyFont="1">
      <alignment horizontal="left" readingOrder="0" shrinkToFit="0" vertical="center" wrapText="0"/>
    </xf>
    <xf borderId="24" fillId="16" fontId="69" numFmtId="171" xfId="0" applyAlignment="1" applyBorder="1" applyFont="1" applyNumberFormat="1">
      <alignment horizontal="center" shrinkToFit="0" vertical="center" wrapText="0"/>
    </xf>
    <xf borderId="22" fillId="16" fontId="69" numFmtId="0" xfId="0" applyAlignment="1" applyBorder="1" applyFont="1">
      <alignment horizontal="center" readingOrder="0" shrinkToFit="0" vertical="center" wrapText="0"/>
    </xf>
    <xf borderId="24" fillId="16" fontId="69" numFmtId="4" xfId="0" applyAlignment="1" applyBorder="1" applyFont="1" applyNumberFormat="1">
      <alignment horizontal="center" shrinkToFit="0" vertical="center" wrapText="0"/>
    </xf>
    <xf borderId="23" fillId="16" fontId="69" numFmtId="1" xfId="0" applyAlignment="1" applyBorder="1" applyFont="1" applyNumberFormat="1">
      <alignment horizontal="center" readingOrder="0" shrinkToFit="0" vertical="center" wrapText="0"/>
    </xf>
    <xf borderId="22" fillId="17" fontId="64" numFmtId="49" xfId="0" applyAlignment="1" applyBorder="1" applyFont="1" applyNumberFormat="1">
      <alignment horizontal="center" readingOrder="0" shrinkToFit="0" vertical="center" wrapText="0"/>
    </xf>
    <xf borderId="23" fillId="17" fontId="69" numFmtId="0" xfId="0" applyAlignment="1" applyBorder="1" applyFont="1">
      <alignment horizontal="center" readingOrder="0" shrinkToFit="0" vertical="center" wrapText="1"/>
    </xf>
    <xf borderId="23" fillId="17" fontId="69" numFmtId="0" xfId="0" applyAlignment="1" applyBorder="1" applyFont="1">
      <alignment horizontal="center" readingOrder="0" shrinkToFit="0" vertical="center" wrapText="0"/>
    </xf>
    <xf borderId="23" fillId="17" fontId="69" numFmtId="0" xfId="0" applyAlignment="1" applyBorder="1" applyFont="1">
      <alignment horizontal="left" readingOrder="0" shrinkToFit="0" vertical="center" wrapText="0"/>
    </xf>
    <xf borderId="24" fillId="17" fontId="69" numFmtId="171" xfId="0" applyAlignment="1" applyBorder="1" applyFont="1" applyNumberFormat="1">
      <alignment horizontal="center" shrinkToFit="0" vertical="center" wrapText="0"/>
    </xf>
    <xf borderId="22" fillId="17" fontId="69" numFmtId="0" xfId="0" applyAlignment="1" applyBorder="1" applyFont="1">
      <alignment horizontal="center" readingOrder="0" shrinkToFit="0" vertical="center" wrapText="0"/>
    </xf>
    <xf borderId="24" fillId="17" fontId="69" numFmtId="4" xfId="0" applyAlignment="1" applyBorder="1" applyFont="1" applyNumberFormat="1">
      <alignment horizontal="center" shrinkToFit="0" vertical="center" wrapText="0"/>
    </xf>
    <xf borderId="23" fillId="17" fontId="69" numFmtId="1" xfId="0" applyAlignment="1" applyBorder="1" applyFont="1" applyNumberFormat="1">
      <alignment horizontal="center" readingOrder="0" shrinkToFit="0" vertical="center" wrapText="0"/>
    </xf>
    <xf borderId="0" fillId="5" fontId="78" numFmtId="0" xfId="0" applyAlignment="1" applyFont="1">
      <alignment horizontal="center" readingOrder="0" shrinkToFit="0" vertical="center" wrapText="0"/>
    </xf>
    <xf borderId="0" fillId="5" fontId="79" numFmtId="0" xfId="0" applyAlignment="1" applyFont="1">
      <alignment horizontal="center" readingOrder="0" shrinkToFit="0" vertical="center" wrapText="0"/>
    </xf>
    <xf borderId="26" fillId="0" fontId="64" numFmtId="49" xfId="0" applyAlignment="1" applyBorder="1" applyFont="1" applyNumberFormat="1">
      <alignment horizontal="center" readingOrder="0" shrinkToFit="0" vertical="center" wrapText="0"/>
    </xf>
    <xf borderId="27" fillId="0" fontId="64" numFmtId="0" xfId="0" applyAlignment="1" applyBorder="1" applyFont="1">
      <alignment horizontal="left" readingOrder="0" shrinkToFit="0" vertical="center" wrapText="1"/>
    </xf>
    <xf borderId="55" fillId="0" fontId="66" numFmtId="0" xfId="0" applyAlignment="1" applyBorder="1" applyFont="1">
      <alignment horizontal="center" readingOrder="0" shrinkToFit="0" vertical="center" wrapText="0"/>
    </xf>
    <xf borderId="27" fillId="0" fontId="64" numFmtId="0" xfId="0" applyAlignment="1" applyBorder="1" applyFont="1">
      <alignment horizontal="center" readingOrder="0" shrinkToFit="0" vertical="center" wrapText="0"/>
    </xf>
    <xf borderId="56" fillId="0" fontId="66" numFmtId="4" xfId="0" applyAlignment="1" applyBorder="1" applyFont="1" applyNumberFormat="1">
      <alignment horizontal="center" readingOrder="0" shrinkToFit="0" vertical="center" wrapText="0"/>
    </xf>
    <xf borderId="57" fillId="0" fontId="58" numFmtId="171" xfId="0" applyAlignment="1" applyBorder="1" applyFont="1" applyNumberFormat="1">
      <alignment horizontal="left" shrinkToFit="0" vertical="center" wrapText="0"/>
    </xf>
    <xf borderId="58" fillId="0" fontId="66" numFmtId="0" xfId="0" applyAlignment="1" applyBorder="1" applyFont="1">
      <alignment horizontal="center" readingOrder="0" shrinkToFit="0" vertical="center" wrapText="0"/>
    </xf>
    <xf borderId="56" fillId="0" fontId="66" numFmtId="0" xfId="0" applyAlignment="1" applyBorder="1" applyFont="1">
      <alignment horizontal="center" readingOrder="0" shrinkToFit="0" vertical="center" wrapText="0"/>
    </xf>
    <xf borderId="0" fillId="0" fontId="81" numFmtId="0" xfId="0" applyAlignment="1" applyFont="1">
      <alignment horizontal="center" readingOrder="0" shrinkToFit="0" vertical="center" wrapText="1"/>
    </xf>
    <xf borderId="32" fillId="0" fontId="64" numFmtId="49" xfId="0" applyAlignment="1" applyBorder="1" applyFont="1" applyNumberFormat="1">
      <alignment horizontal="center" readingOrder="0" shrinkToFit="0" vertical="center" wrapText="0"/>
    </xf>
    <xf borderId="33" fillId="0" fontId="64" numFmtId="0" xfId="0" applyAlignment="1" applyBorder="1" applyFont="1">
      <alignment horizontal="left" readingOrder="0" shrinkToFit="0" vertical="center" wrapText="1"/>
    </xf>
    <xf borderId="45" fillId="0" fontId="66" numFmtId="0" xfId="0" applyAlignment="1" applyBorder="1" applyFont="1">
      <alignment horizontal="center" readingOrder="0" shrinkToFit="0" vertical="center" wrapText="0"/>
    </xf>
    <xf borderId="46" fillId="0" fontId="66" numFmtId="4" xfId="0" applyAlignment="1" applyBorder="1" applyFont="1" applyNumberFormat="1">
      <alignment horizontal="center" readingOrder="0" shrinkToFit="0" vertical="center" wrapText="0"/>
    </xf>
    <xf borderId="59" fillId="0" fontId="58" numFmtId="171" xfId="0" applyAlignment="1" applyBorder="1" applyFont="1" applyNumberFormat="1">
      <alignment horizontal="left" readingOrder="0" shrinkToFit="0" vertical="center" wrapText="0"/>
    </xf>
    <xf borderId="59" fillId="0" fontId="58" numFmtId="171" xfId="0" applyAlignment="1" applyBorder="1" applyFont="1" applyNumberFormat="1">
      <alignment horizontal="left" shrinkToFit="0" vertical="center" wrapText="0"/>
    </xf>
    <xf borderId="100" fillId="0" fontId="58" numFmtId="171" xfId="0" applyAlignment="1" applyBorder="1" applyFont="1" applyNumberFormat="1">
      <alignment horizontal="left" shrinkToFit="0" vertical="center" wrapText="0"/>
    </xf>
    <xf borderId="65" fillId="6" fontId="66" numFmtId="0" xfId="0" applyAlignment="1" applyBorder="1" applyFont="1">
      <alignment horizontal="center" readingOrder="0" shrinkToFit="0" vertical="center" wrapText="0"/>
    </xf>
    <xf borderId="66" fillId="6" fontId="66" numFmtId="0" xfId="0" applyAlignment="1" applyBorder="1" applyFont="1">
      <alignment horizontal="center" readingOrder="0" shrinkToFit="0" vertical="center" wrapText="0"/>
    </xf>
    <xf borderId="22" fillId="18" fontId="64" numFmtId="49" xfId="0" applyAlignment="1" applyBorder="1" applyFont="1" applyNumberFormat="1">
      <alignment horizontal="center" readingOrder="0" shrinkToFit="0" vertical="center" wrapText="0"/>
    </xf>
    <xf borderId="23" fillId="18" fontId="69" numFmtId="0" xfId="0" applyAlignment="1" applyBorder="1" applyFont="1">
      <alignment horizontal="center" readingOrder="0" shrinkToFit="0" vertical="center" wrapText="1"/>
    </xf>
    <xf borderId="23" fillId="18" fontId="69" numFmtId="0" xfId="0" applyAlignment="1" applyBorder="1" applyFont="1">
      <alignment horizontal="center" readingOrder="0" shrinkToFit="0" vertical="center" wrapText="0"/>
    </xf>
    <xf borderId="23" fillId="18" fontId="69" numFmtId="0" xfId="0" applyAlignment="1" applyBorder="1" applyFont="1">
      <alignment horizontal="left" readingOrder="0" shrinkToFit="0" vertical="center" wrapText="0"/>
    </xf>
    <xf borderId="24" fillId="18" fontId="69" numFmtId="171" xfId="0" applyAlignment="1" applyBorder="1" applyFont="1" applyNumberFormat="1">
      <alignment horizontal="center" shrinkToFit="0" vertical="center" wrapText="0"/>
    </xf>
    <xf borderId="22" fillId="18" fontId="69" numFmtId="0" xfId="0" applyAlignment="1" applyBorder="1" applyFont="1">
      <alignment horizontal="center" readingOrder="0" shrinkToFit="0" vertical="center" wrapText="0"/>
    </xf>
    <xf borderId="24" fillId="18" fontId="69" numFmtId="4" xfId="0" applyAlignment="1" applyBorder="1" applyFont="1" applyNumberFormat="1">
      <alignment horizontal="center" shrinkToFit="0" vertical="center" wrapText="0"/>
    </xf>
    <xf borderId="23" fillId="18" fontId="69" numFmtId="1" xfId="0" applyAlignment="1" applyBorder="1" applyFont="1" applyNumberFormat="1">
      <alignment horizontal="center" readingOrder="0" shrinkToFit="0" vertical="center" wrapText="0"/>
    </xf>
    <xf borderId="38" fillId="0" fontId="61" numFmtId="0" xfId="0" applyAlignment="1" applyBorder="1" applyFont="1">
      <alignment horizontal="left" readingOrder="0" shrinkToFit="0" vertical="center" wrapText="1"/>
    </xf>
    <xf borderId="53" fillId="6" fontId="61" numFmtId="0" xfId="0" applyAlignment="1" applyBorder="1" applyFont="1">
      <alignment horizontal="left" readingOrder="0" shrinkToFit="0" vertical="center" wrapText="1"/>
    </xf>
    <xf borderId="53" fillId="0" fontId="66" numFmtId="171" xfId="0" applyAlignment="1" applyBorder="1" applyFont="1" applyNumberFormat="1">
      <alignment horizontal="left" shrinkToFit="0" vertical="center" wrapText="0"/>
    </xf>
    <xf borderId="52" fillId="6" fontId="66" numFmtId="0" xfId="0" applyAlignment="1" applyBorder="1" applyFont="1">
      <alignment horizontal="center" readingOrder="0" shrinkToFit="0" vertical="center" wrapText="0"/>
    </xf>
    <xf borderId="72" fillId="0" fontId="82" numFmtId="49" xfId="0" applyAlignment="1" applyBorder="1" applyFont="1" applyNumberFormat="1">
      <alignment horizontal="right" readingOrder="0" shrinkToFit="0" vertical="center" wrapText="0"/>
    </xf>
    <xf borderId="72" fillId="0" fontId="61" numFmtId="14" xfId="0" applyAlignment="1" applyBorder="1" applyFont="1" applyNumberFormat="1">
      <alignment horizontal="left" readingOrder="0" shrinkToFit="0" vertical="center" wrapText="1"/>
    </xf>
    <xf borderId="22" fillId="19" fontId="83" numFmtId="0" xfId="0" applyAlignment="1" applyBorder="1" applyFont="1">
      <alignment horizontal="right" readingOrder="0" shrinkToFit="0" vertical="center" wrapText="0"/>
    </xf>
    <xf borderId="23" fillId="19" fontId="83" numFmtId="0" xfId="0" applyAlignment="1" applyBorder="1" applyFont="1">
      <alignment horizontal="right" readingOrder="0" shrinkToFit="0" vertical="center" wrapText="0"/>
    </xf>
    <xf borderId="24" fillId="19" fontId="83" numFmtId="0" xfId="0" applyAlignment="1" applyBorder="1" applyFont="1">
      <alignment horizontal="right" readingOrder="0" shrinkToFit="0" vertical="center" wrapText="0"/>
    </xf>
    <xf borderId="25" fillId="19" fontId="41" numFmtId="171" xfId="0" applyAlignment="1" applyBorder="1" applyFont="1" applyNumberFormat="1">
      <alignment horizontal="center" shrinkToFit="0" vertical="center" wrapText="0"/>
    </xf>
    <xf borderId="22" fillId="19" fontId="41" numFmtId="171" xfId="0" applyAlignment="1" applyBorder="1" applyFont="1" applyNumberFormat="1">
      <alignment horizontal="center" shrinkToFit="0" vertical="center" wrapText="0"/>
    </xf>
    <xf borderId="24" fillId="19" fontId="41" numFmtId="171" xfId="0" applyAlignment="1" applyBorder="1" applyFont="1" applyNumberFormat="1">
      <alignment horizontal="center" shrinkToFit="0" vertical="center" wrapText="0"/>
    </xf>
    <xf borderId="25" fillId="19" fontId="41" numFmtId="4" xfId="0" applyAlignment="1" applyBorder="1" applyFont="1" applyNumberFormat="1">
      <alignment horizontal="center" shrinkToFit="0" vertical="center" wrapText="0"/>
    </xf>
    <xf borderId="24" fillId="19" fontId="41" numFmtId="1" xfId="0" applyAlignment="1" applyBorder="1" applyFont="1" applyNumberFormat="1">
      <alignment horizontal="center" shrinkToFit="0" vertical="center" wrapText="0"/>
    </xf>
    <xf borderId="25" fillId="0" fontId="83" numFmtId="172" xfId="0" applyAlignment="1" applyBorder="1" applyFont="1" applyNumberFormat="1">
      <alignment horizontal="center" vertical="center"/>
    </xf>
    <xf borderId="0" fillId="0" fontId="67" numFmtId="49" xfId="0" applyAlignment="1" applyFont="1" applyNumberFormat="1">
      <alignment horizontal="center" shrinkToFit="0" vertical="center" wrapText="0"/>
    </xf>
    <xf borderId="0" fillId="0" fontId="55" numFmtId="174" xfId="0" applyAlignment="1" applyFont="1" applyNumberFormat="1">
      <alignment horizontal="left" shrinkToFit="0" vertical="center" wrapText="0"/>
    </xf>
    <xf borderId="0" fillId="0" fontId="66" numFmtId="171" xfId="0" applyAlignment="1" applyFont="1" applyNumberFormat="1">
      <alignment horizontal="center" shrinkToFit="0" vertical="center" wrapText="0"/>
    </xf>
    <xf borderId="0" fillId="0" fontId="69" numFmtId="0" xfId="0" applyAlignment="1" applyFont="1">
      <alignment horizontal="center" shrinkToFit="0" vertical="center" wrapText="0"/>
    </xf>
    <xf borderId="0" fillId="0" fontId="69" numFmtId="0" xfId="0" applyAlignment="1" applyFont="1">
      <alignment horizontal="center" vertical="center"/>
    </xf>
    <xf borderId="0" fillId="0" fontId="55" numFmtId="174" xfId="0" applyAlignment="1" applyFont="1" applyNumberFormat="1">
      <alignment horizontal="center" shrinkToFit="0" vertical="center" wrapText="0"/>
    </xf>
    <xf borderId="0" fillId="0" fontId="67" numFmtId="0" xfId="0" applyAlignment="1" applyFont="1">
      <alignment horizontal="center" readingOrder="0" shrinkToFit="0" vertical="center" wrapText="1"/>
    </xf>
    <xf borderId="0" fillId="0" fontId="67" numFmtId="9" xfId="0" applyAlignment="1" applyFont="1" applyNumberFormat="1">
      <alignment horizontal="center" readingOrder="0" shrinkToFit="0" vertical="center" wrapText="0"/>
    </xf>
    <xf borderId="0" fillId="0" fontId="55" numFmtId="9" xfId="0" applyAlignment="1" applyFont="1" applyNumberFormat="1">
      <alignment horizontal="center" readingOrder="0" shrinkToFit="0" vertical="center" wrapText="0"/>
    </xf>
    <xf borderId="1" fillId="2" fontId="84" numFmtId="0" xfId="0" applyAlignment="1" applyBorder="1" applyFont="1">
      <alignment vertical="bottom"/>
    </xf>
    <xf borderId="2" fillId="2" fontId="85" numFmtId="0" xfId="0" applyAlignment="1" applyBorder="1" applyFont="1">
      <alignment shrinkToFit="0" vertical="center" wrapText="1"/>
    </xf>
    <xf borderId="1" fillId="2" fontId="85" numFmtId="0" xfId="0" applyAlignment="1" applyBorder="1" applyFont="1">
      <alignment horizontal="center" vertical="center"/>
    </xf>
    <xf borderId="1" fillId="2" fontId="85" numFmtId="0" xfId="0" applyAlignment="1" applyBorder="1" applyFont="1">
      <alignment horizontal="center" readingOrder="0" vertical="center"/>
    </xf>
    <xf borderId="0" fillId="0" fontId="50" numFmtId="0" xfId="0" applyAlignment="1" applyFont="1">
      <alignment vertical="bottom"/>
    </xf>
    <xf borderId="1" fillId="3" fontId="86" numFmtId="0" xfId="0" applyAlignment="1" applyBorder="1" applyFont="1">
      <alignment vertical="center"/>
    </xf>
    <xf borderId="2" fillId="3" fontId="87" numFmtId="11" xfId="0" applyAlignment="1" applyBorder="1" applyFont="1" applyNumberFormat="1">
      <alignment horizontal="left" shrinkToFit="0" vertical="center" wrapText="1"/>
    </xf>
    <xf borderId="1" fillId="3" fontId="84" numFmtId="3" xfId="0" applyAlignment="1" applyBorder="1" applyFont="1" applyNumberFormat="1">
      <alignment vertical="center"/>
    </xf>
    <xf borderId="1" fillId="3" fontId="88" numFmtId="3" xfId="0" applyAlignment="1" applyBorder="1" applyFont="1" applyNumberFormat="1">
      <alignment vertical="center"/>
    </xf>
    <xf borderId="1" fillId="3" fontId="89" numFmtId="164" xfId="0" applyAlignment="1" applyBorder="1" applyFont="1" applyNumberFormat="1">
      <alignment horizontal="right" vertical="center"/>
    </xf>
    <xf borderId="1" fillId="3" fontId="89" numFmtId="9" xfId="0" applyAlignment="1" applyBorder="1" applyFont="1" applyNumberFormat="1">
      <alignment horizontal="right" vertical="center"/>
    </xf>
    <xf borderId="0" fillId="29" fontId="90" numFmtId="179" xfId="0" applyAlignment="1" applyFill="1" applyFont="1" applyNumberFormat="1">
      <alignment horizontal="right" vertical="bottom"/>
    </xf>
    <xf borderId="0" fillId="5" fontId="91" numFmtId="179" xfId="0" applyAlignment="1" applyFont="1" applyNumberFormat="1">
      <alignment horizontal="right" vertical="bottom"/>
    </xf>
    <xf borderId="0" fillId="8" fontId="90" numFmtId="179" xfId="0" applyAlignment="1" applyFont="1" applyNumberFormat="1">
      <alignment horizontal="right" vertical="bottom"/>
    </xf>
    <xf borderId="0" fillId="8" fontId="90" numFmtId="180" xfId="0" applyAlignment="1" applyFont="1" applyNumberFormat="1">
      <alignment horizontal="right" vertical="bottom"/>
    </xf>
    <xf borderId="1" fillId="0" fontId="84" numFmtId="0" xfId="0" applyAlignment="1" applyBorder="1" applyFont="1">
      <alignment horizontal="center" vertical="center"/>
    </xf>
    <xf borderId="2" fillId="18" fontId="92" numFmtId="0" xfId="0" applyAlignment="1" applyBorder="1" applyFont="1">
      <alignment horizontal="left" readingOrder="0" shrinkToFit="0" vertical="center" wrapText="0"/>
    </xf>
    <xf borderId="1" fillId="0" fontId="92" numFmtId="3" xfId="0" applyAlignment="1" applyBorder="1" applyFont="1" applyNumberFormat="1">
      <alignment horizontal="center" readingOrder="0" vertical="center"/>
    </xf>
    <xf borderId="1" fillId="0" fontId="84" numFmtId="165" xfId="0" applyAlignment="1" applyBorder="1" applyFont="1" applyNumberFormat="1">
      <alignment horizontal="right" readingOrder="0" vertical="center"/>
    </xf>
    <xf borderId="1" fillId="0" fontId="84" numFmtId="165" xfId="0" applyAlignment="1" applyBorder="1" applyFont="1" applyNumberFormat="1">
      <alignment horizontal="right" vertical="center"/>
    </xf>
    <xf borderId="1" fillId="0" fontId="84" numFmtId="10" xfId="0" applyAlignment="1" applyBorder="1" applyFont="1" applyNumberFormat="1">
      <alignment horizontal="right" readingOrder="0" vertical="center"/>
    </xf>
    <xf borderId="1" fillId="0" fontId="84" numFmtId="171" xfId="0" applyAlignment="1" applyBorder="1" applyFont="1" applyNumberFormat="1">
      <alignment horizontal="right" vertical="center"/>
    </xf>
    <xf borderId="1" fillId="0" fontId="84" numFmtId="164" xfId="0" applyAlignment="1" applyBorder="1" applyFont="1" applyNumberFormat="1">
      <alignment horizontal="right" vertical="center"/>
    </xf>
    <xf borderId="1" fillId="0" fontId="84" numFmtId="9" xfId="0" applyAlignment="1" applyBorder="1" applyFont="1" applyNumberFormat="1">
      <alignment horizontal="right" vertical="center"/>
    </xf>
    <xf borderId="0" fillId="30" fontId="91" numFmtId="169" xfId="0" applyAlignment="1" applyFill="1" applyFont="1" applyNumberFormat="1">
      <alignment horizontal="right" vertical="bottom"/>
    </xf>
    <xf borderId="0" fillId="31" fontId="91" numFmtId="181" xfId="0" applyAlignment="1" applyFill="1" applyFont="1" applyNumberFormat="1">
      <alignment horizontal="right" vertical="bottom"/>
    </xf>
    <xf borderId="0" fillId="0" fontId="91" numFmtId="171" xfId="0" applyAlignment="1" applyFont="1" applyNumberFormat="1">
      <alignment horizontal="right" vertical="bottom"/>
    </xf>
    <xf borderId="0" fillId="0" fontId="50" numFmtId="171" xfId="0" applyAlignment="1" applyFont="1" applyNumberFormat="1">
      <alignment vertical="bottom"/>
    </xf>
    <xf borderId="1" fillId="0" fontId="84" numFmtId="0" xfId="0" applyAlignment="1" applyBorder="1" applyFont="1">
      <alignment horizontal="center" readingOrder="0" vertical="center"/>
    </xf>
    <xf borderId="0" fillId="8" fontId="91" numFmtId="171" xfId="0" applyAlignment="1" applyFont="1" applyNumberFormat="1">
      <alignment horizontal="right" vertical="bottom"/>
    </xf>
    <xf borderId="2" fillId="5" fontId="92" numFmtId="0" xfId="0" applyAlignment="1" applyBorder="1" applyFont="1">
      <alignment horizontal="left" readingOrder="0" shrinkToFit="0" vertical="center" wrapText="0"/>
    </xf>
    <xf borderId="2" fillId="9" fontId="92" numFmtId="0" xfId="0" applyAlignment="1" applyBorder="1" applyFont="1">
      <alignment horizontal="left" readingOrder="0" shrinkToFit="0" vertical="center" wrapText="0"/>
    </xf>
    <xf borderId="2" fillId="12" fontId="92" numFmtId="0" xfId="0" applyAlignment="1" applyBorder="1" applyFont="1">
      <alignment horizontal="left" readingOrder="0" shrinkToFit="0" vertical="center" wrapText="0"/>
    </xf>
    <xf borderId="2" fillId="32" fontId="92" numFmtId="0" xfId="0" applyAlignment="1" applyBorder="1" applyFill="1" applyFont="1">
      <alignment horizontal="left" readingOrder="0" shrinkToFit="0" vertical="center" wrapText="0"/>
    </xf>
    <xf borderId="2" fillId="14" fontId="92" numFmtId="0" xfId="0" applyAlignment="1" applyBorder="1" applyFont="1">
      <alignment horizontal="left" readingOrder="0" shrinkToFit="0" vertical="center" wrapText="0"/>
    </xf>
    <xf borderId="2" fillId="3" fontId="87" numFmtId="11" xfId="0" applyAlignment="1" applyBorder="1" applyFont="1" applyNumberFormat="1">
      <alignment horizontal="left" readingOrder="0" shrinkToFit="0" vertical="center" wrapText="1"/>
    </xf>
    <xf borderId="1" fillId="3" fontId="84" numFmtId="165" xfId="0" applyAlignment="1" applyBorder="1" applyFont="1" applyNumberFormat="1">
      <alignment vertical="center"/>
    </xf>
    <xf borderId="1" fillId="3" fontId="84" numFmtId="164" xfId="0" applyAlignment="1" applyBorder="1" applyFont="1" applyNumberFormat="1">
      <alignment vertical="center"/>
    </xf>
    <xf borderId="2" fillId="0" fontId="92" numFmtId="0" xfId="0" applyAlignment="1" applyBorder="1" applyFont="1">
      <alignment horizontal="left" readingOrder="0" shrinkToFit="0" vertical="center" wrapText="1"/>
    </xf>
    <xf borderId="1" fillId="8" fontId="92" numFmtId="3" xfId="0" applyAlignment="1" applyBorder="1" applyFont="1" applyNumberFormat="1">
      <alignment horizontal="center" readingOrder="0" vertical="center"/>
    </xf>
    <xf borderId="0" fillId="16" fontId="91" numFmtId="179" xfId="0" applyAlignment="1" applyFont="1" applyNumberFormat="1">
      <alignment horizontal="right" vertical="bottom"/>
    </xf>
    <xf borderId="0" fillId="0" fontId="50" numFmtId="171" xfId="0" applyAlignment="1" applyFont="1" applyNumberFormat="1">
      <alignment horizontal="right" vertical="bottom"/>
    </xf>
    <xf borderId="2" fillId="0" fontId="92" numFmtId="0" xfId="0" applyAlignment="1" applyBorder="1" applyFont="1">
      <alignment horizontal="left" shrinkToFit="0" vertical="center" wrapText="1"/>
    </xf>
    <xf borderId="1" fillId="0" fontId="84" numFmtId="171" xfId="0" applyAlignment="1" applyBorder="1" applyFont="1" applyNumberFormat="1">
      <alignment readingOrder="0" vertical="center"/>
    </xf>
    <xf borderId="1" fillId="0" fontId="84" numFmtId="0" xfId="0" applyAlignment="1" applyBorder="1" applyFont="1">
      <alignment horizontal="center" readingOrder="0" shrinkToFit="0" vertical="center" wrapText="1"/>
    </xf>
    <xf borderId="2" fillId="0" fontId="93" numFmtId="0" xfId="0" applyAlignment="1" applyBorder="1" applyFont="1">
      <alignment horizontal="left" shrinkToFit="0" vertical="center" wrapText="1"/>
    </xf>
    <xf borderId="1" fillId="0" fontId="92" numFmtId="3" xfId="0" applyAlignment="1" applyBorder="1" applyFont="1" applyNumberFormat="1">
      <alignment horizontal="center" readingOrder="0" shrinkToFit="0" vertical="center" wrapText="1"/>
    </xf>
    <xf borderId="1" fillId="0" fontId="84" numFmtId="171" xfId="0" applyAlignment="1" applyBorder="1" applyFont="1" applyNumberFormat="1">
      <alignment readingOrder="0" shrinkToFit="0" vertical="center" wrapText="1"/>
    </xf>
    <xf borderId="1" fillId="0" fontId="84" numFmtId="165" xfId="0" applyAlignment="1" applyBorder="1" applyFont="1" applyNumberFormat="1">
      <alignment horizontal="right" shrinkToFit="0" vertical="center" wrapText="1"/>
    </xf>
    <xf borderId="1" fillId="0" fontId="84" numFmtId="10" xfId="0" applyAlignment="1" applyBorder="1" applyFont="1" applyNumberFormat="1">
      <alignment horizontal="right" readingOrder="0" shrinkToFit="0" vertical="center" wrapText="1"/>
    </xf>
    <xf borderId="1" fillId="0" fontId="84" numFmtId="171" xfId="0" applyAlignment="1" applyBorder="1" applyFont="1" applyNumberFormat="1">
      <alignment horizontal="right" shrinkToFit="0" vertical="center" wrapText="1"/>
    </xf>
    <xf borderId="1" fillId="0" fontId="84" numFmtId="164" xfId="0" applyAlignment="1" applyBorder="1" applyFont="1" applyNumberFormat="1">
      <alignment horizontal="right" shrinkToFit="0" vertical="center" wrapText="1"/>
    </xf>
    <xf borderId="1" fillId="0" fontId="84" numFmtId="9" xfId="0" applyAlignment="1" applyBorder="1" applyFont="1" applyNumberFormat="1">
      <alignment horizontal="right" shrinkToFit="0" vertical="center" wrapText="1"/>
    </xf>
    <xf borderId="1" fillId="3" fontId="86" numFmtId="0" xfId="0" applyBorder="1" applyFont="1"/>
    <xf borderId="2" fillId="3" fontId="94" numFmtId="11" xfId="0" applyAlignment="1" applyBorder="1" applyFont="1" applyNumberFormat="1">
      <alignment shrinkToFit="0" vertical="center" wrapText="1"/>
    </xf>
    <xf borderId="1" fillId="3" fontId="95" numFmtId="165" xfId="0" applyAlignment="1" applyBorder="1" applyFont="1" applyNumberFormat="1">
      <alignment vertical="center"/>
    </xf>
    <xf borderId="1" fillId="3" fontId="96" numFmtId="166" xfId="0" applyAlignment="1" applyBorder="1" applyFont="1" applyNumberFormat="1">
      <alignment horizontal="right" vertical="center"/>
    </xf>
    <xf borderId="1" fillId="3" fontId="96" numFmtId="164" xfId="0" applyAlignment="1" applyBorder="1" applyFont="1" applyNumberFormat="1">
      <alignment horizontal="right" vertical="center"/>
    </xf>
    <xf borderId="1" fillId="3" fontId="96" numFmtId="9" xfId="0" applyAlignment="1" applyBorder="1" applyFont="1" applyNumberFormat="1">
      <alignment horizontal="right" vertical="center"/>
    </xf>
    <xf borderId="1" fillId="0" fontId="84" numFmtId="0" xfId="0" applyBorder="1" applyFont="1"/>
    <xf borderId="2" fillId="0" fontId="97" numFmtId="0" xfId="0" applyAlignment="1" applyBorder="1" applyFont="1">
      <alignment horizontal="left" shrinkToFit="0" vertical="center" wrapText="1"/>
    </xf>
    <xf borderId="1" fillId="0" fontId="97" numFmtId="0" xfId="0" applyBorder="1" applyFont="1"/>
    <xf borderId="1" fillId="0" fontId="98" numFmtId="0" xfId="0" applyBorder="1" applyFont="1"/>
    <xf borderId="1" fillId="2" fontId="88" numFmtId="0" xfId="0" applyBorder="1" applyFont="1"/>
    <xf borderId="2" fillId="2" fontId="85" numFmtId="0" xfId="0" applyAlignment="1" applyBorder="1" applyFont="1">
      <alignment horizontal="left" readingOrder="0" shrinkToFit="0" vertical="center" wrapText="1"/>
    </xf>
    <xf borderId="1" fillId="2" fontId="85" numFmtId="0" xfId="0" applyBorder="1" applyFont="1"/>
    <xf borderId="1" fillId="2" fontId="99" numFmtId="0" xfId="0" applyBorder="1" applyFont="1"/>
    <xf borderId="2" fillId="0" fontId="92" numFmtId="11" xfId="0" applyAlignment="1" applyBorder="1" applyFont="1" applyNumberFormat="1">
      <alignment horizontal="left" shrinkToFit="0" vertical="center" wrapText="1"/>
    </xf>
    <xf borderId="1" fillId="0" fontId="92" numFmtId="3" xfId="0" applyAlignment="1" applyBorder="1" applyFont="1" applyNumberFormat="1">
      <alignment horizontal="center"/>
    </xf>
    <xf borderId="1" fillId="0" fontId="84" numFmtId="164" xfId="0" applyAlignment="1" applyBorder="1" applyFont="1" applyNumberFormat="1">
      <alignment horizontal="center"/>
    </xf>
    <xf borderId="1" fillId="4" fontId="84" numFmtId="9" xfId="0" applyAlignment="1" applyBorder="1" applyFont="1" applyNumberFormat="1">
      <alignment horizontal="right" vertical="center"/>
    </xf>
    <xf borderId="0" fillId="0" fontId="50" numFmtId="179" xfId="0" applyAlignment="1" applyFont="1" applyNumberFormat="1">
      <alignment horizontal="right" vertical="bottom"/>
    </xf>
    <xf borderId="2" fillId="3" fontId="94" numFmtId="11" xfId="0" applyAlignment="1" applyBorder="1" applyFont="1" applyNumberFormat="1">
      <alignment horizontal="left" shrinkToFit="0" vertical="center" wrapText="1"/>
    </xf>
    <xf borderId="1" fillId="3" fontId="96" numFmtId="165" xfId="0" applyAlignment="1" applyBorder="1" applyFont="1" applyNumberFormat="1">
      <alignment horizontal="right" vertical="center"/>
    </xf>
    <xf borderId="1" fillId="3" fontId="100" numFmtId="164" xfId="0" applyAlignment="1" applyBorder="1" applyFont="1" applyNumberFormat="1">
      <alignment vertical="center"/>
    </xf>
    <xf borderId="0" fillId="8" fontId="50" numFmtId="179" xfId="0" applyAlignment="1" applyFont="1" applyNumberFormat="1">
      <alignment vertical="bottom"/>
    </xf>
    <xf borderId="0" fillId="0" fontId="97" numFmtId="0" xfId="0" applyAlignment="1" applyFont="1">
      <alignment horizontal="left" vertical="center"/>
    </xf>
    <xf borderId="0" fillId="0" fontId="93" numFmtId="0" xfId="0" applyFont="1"/>
    <xf borderId="0" fillId="0" fontId="50" numFmtId="10" xfId="0" applyAlignment="1" applyFont="1" applyNumberFormat="1">
      <alignment horizontal="right" vertical="bottom"/>
    </xf>
    <xf borderId="25" fillId="4" fontId="100" numFmtId="0" xfId="0" applyAlignment="1" applyBorder="1" applyFont="1">
      <alignment horizontal="center" vertical="center"/>
    </xf>
    <xf borderId="0" fillId="0" fontId="91" numFmtId="0" xfId="0" applyFont="1"/>
    <xf borderId="2" fillId="2" fontId="97" numFmtId="0" xfId="0" applyAlignment="1" applyBorder="1" applyFont="1">
      <alignment horizontal="left" vertical="center"/>
    </xf>
    <xf borderId="0" fillId="0" fontId="91" numFmtId="0" xfId="0" applyAlignment="1" applyFont="1">
      <alignment horizontal="right" vertical="bottom"/>
    </xf>
    <xf borderId="0" fillId="0" fontId="91" numFmtId="169" xfId="0" applyAlignment="1" applyFont="1" applyNumberFormat="1">
      <alignment horizontal="right" vertical="bottom"/>
    </xf>
    <xf borderId="0" fillId="0" fontId="91" numFmtId="0" xfId="0" applyAlignment="1" applyFont="1">
      <alignment readingOrder="0"/>
    </xf>
    <xf borderId="1" fillId="8" fontId="96" numFmtId="164" xfId="0" applyAlignment="1" applyBorder="1" applyFont="1" applyNumberFormat="1">
      <alignment horizontal="right" vertical="center"/>
    </xf>
    <xf borderId="0" fillId="29" fontId="90" numFmtId="172" xfId="0" applyAlignment="1" applyFont="1" applyNumberFormat="1">
      <alignment horizontal="right" vertical="bottom"/>
    </xf>
    <xf borderId="2" fillId="0" fontId="101" numFmtId="0" xfId="0" applyAlignment="1" applyBorder="1" applyFont="1">
      <alignment horizontal="left" shrinkToFit="0" vertical="center" wrapText="1"/>
    </xf>
    <xf borderId="2" fillId="5" fontId="101" numFmtId="0" xfId="0" applyAlignment="1" applyBorder="1" applyFont="1">
      <alignment horizontal="right" shrinkToFit="0" vertical="center" wrapText="1"/>
    </xf>
    <xf borderId="1" fillId="33" fontId="96" numFmtId="164" xfId="0" applyAlignment="1" applyBorder="1" applyFill="1" applyFont="1" applyNumberFormat="1">
      <alignment horizontal="right" vertical="center"/>
    </xf>
    <xf borderId="0" fillId="29" fontId="50" numFmtId="172" xfId="0" applyAlignment="1" applyFont="1" applyNumberFormat="1">
      <alignment vertical="bottom"/>
    </xf>
    <xf borderId="2" fillId="0" fontId="101" numFmtId="0" xfId="0" applyAlignment="1" applyBorder="1" applyFont="1">
      <alignment horizontal="left" readingOrder="0" shrinkToFit="0" vertical="center" wrapText="1"/>
    </xf>
    <xf borderId="91" fillId="5" fontId="101" numFmtId="0" xfId="0" applyAlignment="1" applyBorder="1" applyFont="1">
      <alignment horizontal="right" shrinkToFit="0" vertical="center" wrapText="1"/>
    </xf>
    <xf borderId="101" fillId="0" fontId="14" numFmtId="0" xfId="0" applyBorder="1" applyFont="1"/>
    <xf borderId="102" fillId="0" fontId="14" numFmtId="0" xfId="0" applyBorder="1" applyFont="1"/>
    <xf borderId="1" fillId="23" fontId="96" numFmtId="164" xfId="0" applyAlignment="1" applyBorder="1" applyFont="1" applyNumberFormat="1">
      <alignment horizontal="right" vertical="center"/>
    </xf>
    <xf borderId="2" fillId="5" fontId="101" numFmtId="168" xfId="0" applyAlignment="1" applyBorder="1" applyFont="1" applyNumberFormat="1">
      <alignment horizontal="right" readingOrder="0" shrinkToFit="0" vertical="center" wrapText="1"/>
    </xf>
    <xf borderId="91" fillId="0" fontId="101" numFmtId="3" xfId="0" applyAlignment="1" applyBorder="1" applyFont="1" applyNumberFormat="1">
      <alignment horizontal="right" shrinkToFit="0" vertical="center" wrapText="1"/>
    </xf>
    <xf borderId="2" fillId="0" fontId="101" numFmtId="169" xfId="0" applyAlignment="1" applyBorder="1" applyFont="1" applyNumberFormat="1">
      <alignment horizontal="right" shrinkToFit="0" vertical="center" wrapText="1"/>
    </xf>
    <xf borderId="2" fillId="5" fontId="101" numFmtId="169" xfId="0" applyAlignment="1" applyBorder="1" applyFont="1" applyNumberFormat="1">
      <alignment horizontal="right" readingOrder="0" shrinkToFit="0" vertical="center" wrapText="1"/>
    </xf>
    <xf borderId="2" fillId="0" fontId="101" numFmtId="171" xfId="0" applyAlignment="1" applyBorder="1" applyFont="1" applyNumberFormat="1">
      <alignment horizontal="right" shrinkToFit="0" vertical="center" wrapText="1"/>
    </xf>
    <xf borderId="2" fillId="0" fontId="101" numFmtId="171" xfId="0" applyAlignment="1" applyBorder="1" applyFont="1" applyNumberFormat="1">
      <alignment horizontal="right" shrinkToFit="0" vertical="center" wrapText="1"/>
    </xf>
    <xf borderId="2" fillId="0" fontId="101" numFmtId="164" xfId="0" applyAlignment="1" applyBorder="1" applyFont="1" applyNumberFormat="1">
      <alignment horizontal="right" shrinkToFit="0" vertical="center" wrapText="1"/>
    </xf>
    <xf borderId="2" fillId="0" fontId="101" numFmtId="4" xfId="0" applyAlignment="1" applyBorder="1" applyFont="1" applyNumberFormat="1">
      <alignment horizontal="right" shrinkToFit="0" vertical="center" wrapText="1"/>
    </xf>
    <xf borderId="2" fillId="0" fontId="101" numFmtId="0" xfId="0" applyAlignment="1" applyBorder="1" applyFont="1">
      <alignment horizontal="right" shrinkToFit="0" vertical="center" wrapText="1"/>
    </xf>
    <xf borderId="2" fillId="0" fontId="101" numFmtId="171" xfId="0" applyAlignment="1" applyBorder="1" applyFont="1" applyNumberFormat="1">
      <alignment horizontal="right" readingOrder="0" shrinkToFit="0" vertical="center" wrapText="1"/>
    </xf>
    <xf borderId="2" fillId="5" fontId="101" numFmtId="171" xfId="0" applyAlignment="1" applyBorder="1" applyFont="1" applyNumberFormat="1">
      <alignment horizontal="right" readingOrder="0" shrinkToFit="0" vertical="center" wrapText="1"/>
    </xf>
    <xf borderId="2" fillId="5" fontId="101" numFmtId="0" xfId="0" applyAlignment="1" applyBorder="1" applyFont="1">
      <alignment horizontal="right" readingOrder="0" shrinkToFit="0" vertical="center" wrapText="1"/>
    </xf>
    <xf borderId="2" fillId="6" fontId="101" numFmtId="0" xfId="0" applyAlignment="1" applyBorder="1" applyFont="1">
      <alignment horizontal="left" shrinkToFit="0" vertical="center" wrapText="1"/>
    </xf>
    <xf borderId="2" fillId="5" fontId="101" numFmtId="170" xfId="0" applyAlignment="1" applyBorder="1" applyFont="1" applyNumberFormat="1">
      <alignment horizontal="center" shrinkToFit="0" vertical="center" wrapText="1"/>
    </xf>
    <xf borderId="2" fillId="5" fontId="101" numFmtId="9" xfId="0" applyAlignment="1" applyBorder="1" applyFont="1" applyNumberFormat="1">
      <alignment shrinkToFit="0" vertical="center" wrapText="1"/>
    </xf>
    <xf borderId="2" fillId="5" fontId="101" numFmtId="170" xfId="0" applyAlignment="1" applyBorder="1" applyFont="1" applyNumberFormat="1">
      <alignment shrinkToFit="0" vertical="center" wrapText="1"/>
    </xf>
    <xf borderId="2" fillId="0" fontId="101" numFmtId="169" xfId="0" applyAlignment="1" applyBorder="1" applyFont="1" applyNumberFormat="1">
      <alignment shrinkToFit="0" vertical="center" wrapText="1"/>
    </xf>
    <xf borderId="2" fillId="6" fontId="102" numFmtId="0" xfId="0" applyAlignment="1" applyBorder="1" applyFont="1">
      <alignment horizontal="left" shrinkToFit="0" vertical="center" wrapText="1"/>
    </xf>
    <xf borderId="2" fillId="0" fontId="102" numFmtId="0" xfId="0" applyAlignment="1" applyBorder="1" applyFont="1">
      <alignment horizontal="right" shrinkToFit="0" vertical="center" wrapText="1"/>
    </xf>
    <xf borderId="2" fillId="0" fontId="102" numFmtId="170" xfId="0" applyAlignment="1" applyBorder="1" applyFont="1" applyNumberFormat="1">
      <alignment horizontal="right" shrinkToFit="0" vertical="center" wrapText="1"/>
    </xf>
    <xf borderId="2" fillId="2" fontId="97" numFmtId="0" xfId="0" applyAlignment="1" applyBorder="1" applyFont="1">
      <alignment horizontal="left" readingOrder="0" shrinkToFit="0" vertical="center" wrapText="1"/>
    </xf>
    <xf borderId="0" fillId="0" fontId="97" numFmtId="0" xfId="0" applyAlignment="1" applyFont="1">
      <alignment horizontal="left" readingOrder="0" shrinkToFit="0" vertical="center" wrapText="1"/>
    </xf>
    <xf borderId="1" fillId="3" fontId="87" numFmtId="0" xfId="0" applyAlignment="1" applyBorder="1" applyFont="1">
      <alignment horizontal="left"/>
    </xf>
    <xf borderId="1" fillId="3" fontId="87" numFmtId="0" xfId="0" applyAlignment="1" applyBorder="1" applyFont="1">
      <alignment horizontal="center"/>
    </xf>
    <xf borderId="1" fillId="3" fontId="87" numFmtId="0" xfId="0" applyAlignment="1" applyBorder="1" applyFont="1">
      <alignment horizontal="right"/>
    </xf>
    <xf borderId="2" fillId="3" fontId="89" numFmtId="0" xfId="0" applyAlignment="1" applyBorder="1" applyFont="1">
      <alignment horizontal="right"/>
    </xf>
    <xf borderId="0" fillId="0" fontId="91" numFmtId="0" xfId="0" applyAlignment="1" applyFont="1">
      <alignment horizontal="center" readingOrder="0"/>
    </xf>
    <xf borderId="1" fillId="0" fontId="103" numFmtId="0" xfId="0" applyAlignment="1" applyBorder="1" applyFont="1">
      <alignment readingOrder="0" vertical="center"/>
    </xf>
    <xf borderId="1" fillId="0" fontId="103" numFmtId="1" xfId="0" applyAlignment="1" applyBorder="1" applyFont="1" applyNumberFormat="1">
      <alignment horizontal="center" readingOrder="0" vertical="center"/>
    </xf>
    <xf borderId="1" fillId="0" fontId="103" numFmtId="1" xfId="0" applyAlignment="1" applyBorder="1" applyFont="1" applyNumberFormat="1">
      <alignment horizontal="center" vertical="center"/>
    </xf>
    <xf borderId="1" fillId="0" fontId="103" numFmtId="170" xfId="0" applyAlignment="1" applyBorder="1" applyFont="1" applyNumberFormat="1">
      <alignment horizontal="right" vertical="center"/>
    </xf>
    <xf borderId="2" fillId="0" fontId="104" numFmtId="10" xfId="0" applyAlignment="1" applyBorder="1" applyFont="1" applyNumberFormat="1">
      <alignment horizontal="right" vertical="center"/>
    </xf>
    <xf borderId="1" fillId="0" fontId="103" numFmtId="0" xfId="0" applyAlignment="1" applyBorder="1" applyFont="1">
      <alignment vertical="center"/>
    </xf>
    <xf borderId="94" fillId="0" fontId="15" numFmtId="0" xfId="0" applyAlignment="1" applyBorder="1" applyFont="1">
      <alignment vertical="center"/>
    </xf>
    <xf borderId="0" fillId="0" fontId="105" numFmtId="1" xfId="0" applyAlignment="1" applyFont="1" applyNumberFormat="1">
      <alignment horizontal="center" vertical="center"/>
    </xf>
    <xf borderId="0" fillId="0" fontId="105" numFmtId="170" xfId="0" applyAlignment="1" applyFont="1" applyNumberFormat="1">
      <alignment horizontal="right" vertical="center"/>
    </xf>
    <xf borderId="0" fillId="0" fontId="104" numFmtId="10" xfId="0" applyAlignment="1" applyFont="1" applyNumberFormat="1">
      <alignment horizontal="right" vertical="center"/>
    </xf>
    <xf borderId="103" fillId="0" fontId="14" numFmtId="0" xfId="0" applyBorder="1" applyFont="1"/>
    <xf borderId="94" fillId="2" fontId="85" numFmtId="0" xfId="0" applyAlignment="1" applyBorder="1" applyFont="1">
      <alignment vertical="center"/>
    </xf>
    <xf borderId="0" fillId="2" fontId="85" numFmtId="169" xfId="0" applyAlignment="1" applyFont="1" applyNumberFormat="1">
      <alignment horizontal="center" vertical="center"/>
    </xf>
    <xf borderId="0" fillId="2" fontId="85" numFmtId="171" xfId="0" applyAlignment="1" applyFont="1" applyNumberFormat="1">
      <alignment horizontal="right" vertical="center"/>
    </xf>
    <xf borderId="0" fillId="7" fontId="85" numFmtId="10" xfId="0" applyAlignment="1" applyFont="1" applyNumberFormat="1">
      <alignment horizontal="right" vertical="center"/>
    </xf>
    <xf borderId="91" fillId="2" fontId="85" numFmtId="0" xfId="0" applyAlignment="1" applyBorder="1" applyFont="1">
      <alignment readingOrder="0" vertical="center"/>
    </xf>
    <xf borderId="101" fillId="2" fontId="85" numFmtId="169" xfId="0" applyAlignment="1" applyBorder="1" applyFont="1" applyNumberFormat="1">
      <alignment horizontal="center" vertical="center"/>
    </xf>
    <xf borderId="102" fillId="2" fontId="85" numFmtId="169" xfId="0" applyAlignment="1" applyBorder="1" applyFont="1" applyNumberFormat="1">
      <alignment horizontal="center" vertical="center"/>
    </xf>
    <xf borderId="0" fillId="0" fontId="85" numFmtId="169" xfId="0" applyAlignment="1" applyFont="1" applyNumberFormat="1">
      <alignment horizontal="center" vertical="center"/>
    </xf>
    <xf borderId="0" fillId="0" fontId="85" numFmtId="171" xfId="0" applyAlignment="1" applyFont="1" applyNumberFormat="1">
      <alignment horizontal="right" vertical="center"/>
    </xf>
    <xf borderId="0" fillId="0" fontId="85" numFmtId="10" xfId="0" applyAlignment="1" applyFont="1" applyNumberFormat="1">
      <alignment horizontal="right" vertical="center"/>
    </xf>
    <xf borderId="1" fillId="2" fontId="104" numFmtId="0" xfId="0" applyBorder="1" applyFont="1"/>
    <xf borderId="2" fillId="2" fontId="106" numFmtId="0" xfId="0" applyAlignment="1" applyBorder="1" applyFont="1">
      <alignment horizontal="left" shrinkToFit="0" vertical="center" wrapText="1"/>
    </xf>
    <xf borderId="104" fillId="3" fontId="107" numFmtId="0" xfId="0" applyAlignment="1" applyBorder="1" applyFont="1">
      <alignment horizontal="left" vertical="center"/>
    </xf>
    <xf borderId="104" fillId="3" fontId="107" numFmtId="0" xfId="0" applyAlignment="1" applyBorder="1" applyFont="1">
      <alignment horizontal="left" shrinkToFit="0" vertical="center" wrapText="1"/>
    </xf>
    <xf borderId="105" fillId="3" fontId="107" numFmtId="0" xfId="0" applyAlignment="1" applyBorder="1" applyFont="1">
      <alignment horizontal="center" vertical="center"/>
    </xf>
    <xf borderId="106" fillId="0" fontId="14" numFmtId="0" xfId="0" applyBorder="1" applyFont="1"/>
    <xf borderId="107" fillId="0" fontId="14" numFmtId="0" xfId="0" applyBorder="1" applyFont="1"/>
    <xf borderId="108" fillId="3" fontId="108" numFmtId="0" xfId="0" applyAlignment="1" applyBorder="1" applyFont="1">
      <alignment horizontal="center" shrinkToFit="0" wrapText="1"/>
    </xf>
    <xf borderId="108" fillId="3" fontId="108" numFmtId="0" xfId="0" applyAlignment="1" applyBorder="1" applyFont="1">
      <alignment horizontal="center" shrinkToFit="0" vertical="center" wrapText="1"/>
    </xf>
    <xf borderId="109" fillId="0" fontId="15" numFmtId="0" xfId="0" applyAlignment="1" applyBorder="1" applyFont="1">
      <alignment horizontal="center" vertical="center"/>
    </xf>
    <xf borderId="109" fillId="0" fontId="15" numFmtId="182" xfId="0" applyAlignment="1" applyBorder="1" applyFont="1" applyNumberFormat="1">
      <alignment horizontal="left" shrinkToFit="0" vertical="center" wrapText="1"/>
    </xf>
    <xf borderId="109" fillId="0" fontId="15" numFmtId="0" xfId="0" applyAlignment="1" applyBorder="1" applyFont="1">
      <alignment horizontal="right" vertical="center"/>
    </xf>
    <xf borderId="109" fillId="0" fontId="104" numFmtId="0" xfId="0" applyAlignment="1" applyBorder="1" applyFont="1">
      <alignment horizontal="right" vertical="center"/>
    </xf>
    <xf borderId="109" fillId="0" fontId="108" numFmtId="0" xfId="0" applyAlignment="1" applyBorder="1" applyFont="1">
      <alignment horizontal="center" shrinkToFit="0" vertical="center" wrapText="1"/>
    </xf>
    <xf borderId="109" fillId="34" fontId="104" numFmtId="0" xfId="0" applyAlignment="1" applyBorder="1" applyFill="1" applyFont="1">
      <alignment horizontal="center" vertical="center"/>
    </xf>
    <xf borderId="109" fillId="34" fontId="15" numFmtId="182" xfId="0" applyAlignment="1" applyBorder="1" applyFont="1" applyNumberFormat="1">
      <alignment horizontal="left" vertical="center"/>
    </xf>
    <xf borderId="109" fillId="34" fontId="105" numFmtId="169" xfId="0" applyAlignment="1" applyBorder="1" applyFont="1" applyNumberFormat="1">
      <alignment horizontal="center" vertical="center"/>
    </xf>
    <xf borderId="109" fillId="34" fontId="105" numFmtId="9" xfId="0" applyAlignment="1" applyBorder="1" applyFont="1" applyNumberFormat="1">
      <alignment horizontal="right" vertical="center"/>
    </xf>
    <xf borderId="109" fillId="34" fontId="104" numFmtId="3" xfId="0" applyAlignment="1" applyBorder="1" applyFont="1" applyNumberFormat="1">
      <alignment vertical="center"/>
    </xf>
    <xf borderId="109" fillId="34" fontId="104" numFmtId="0" xfId="0" applyAlignment="1" applyBorder="1" applyFont="1">
      <alignment vertical="center"/>
    </xf>
    <xf borderId="109" fillId="34" fontId="104" numFmtId="0" xfId="0" applyBorder="1" applyFont="1"/>
    <xf borderId="109" fillId="34" fontId="104" numFmtId="170" xfId="0" applyBorder="1" applyFont="1" applyNumberFormat="1"/>
    <xf borderId="109" fillId="0" fontId="104" numFmtId="0" xfId="0" applyAlignment="1" applyBorder="1" applyFont="1">
      <alignment horizontal="center" vertical="center"/>
    </xf>
    <xf borderId="109" fillId="0" fontId="109" numFmtId="182" xfId="0" applyAlignment="1" applyBorder="1" applyFont="1" applyNumberFormat="1">
      <alignment horizontal="left"/>
    </xf>
    <xf borderId="109" fillId="0" fontId="109" numFmtId="180" xfId="0" applyBorder="1" applyFont="1" applyNumberFormat="1"/>
    <xf borderId="109" fillId="0" fontId="109" numFmtId="3" xfId="0" applyBorder="1" applyFont="1" applyNumberFormat="1"/>
    <xf borderId="109" fillId="0" fontId="109" numFmtId="0" xfId="0" applyBorder="1" applyFont="1"/>
    <xf borderId="109" fillId="0" fontId="109" numFmtId="170" xfId="0" applyBorder="1" applyFont="1" applyNumberFormat="1"/>
    <xf borderId="110" fillId="34" fontId="104" numFmtId="0" xfId="0" applyAlignment="1" applyBorder="1" applyFont="1">
      <alignment horizontal="center" vertical="center"/>
    </xf>
    <xf borderId="110" fillId="34" fontId="109" numFmtId="182" xfId="0" applyAlignment="1" applyBorder="1" applyFont="1" applyNumberFormat="1">
      <alignment horizontal="left"/>
    </xf>
    <xf borderId="110" fillId="34" fontId="109" numFmtId="180" xfId="0" applyBorder="1" applyFont="1" applyNumberFormat="1"/>
    <xf borderId="110" fillId="34" fontId="109" numFmtId="3" xfId="0" applyBorder="1" applyFont="1" applyNumberFormat="1"/>
    <xf borderId="110" fillId="34" fontId="109" numFmtId="0" xfId="0" applyBorder="1" applyFont="1"/>
    <xf borderId="110" fillId="34" fontId="109" numFmtId="170" xfId="0" applyBorder="1" applyFont="1" applyNumberFormat="1"/>
    <xf borderId="111" fillId="0" fontId="104" numFmtId="0" xfId="0" applyAlignment="1" applyBorder="1" applyFont="1">
      <alignment horizontal="center" vertical="center"/>
    </xf>
    <xf borderId="111" fillId="0" fontId="109" numFmtId="182" xfId="0" applyAlignment="1" applyBorder="1" applyFont="1" applyNumberFormat="1">
      <alignment horizontal="left"/>
    </xf>
    <xf borderId="111" fillId="0" fontId="109" numFmtId="180" xfId="0" applyBorder="1" applyFont="1" applyNumberFormat="1"/>
    <xf borderId="111" fillId="0" fontId="109" numFmtId="3" xfId="0" applyBorder="1" applyFont="1" applyNumberFormat="1"/>
    <xf borderId="111" fillId="0" fontId="109" numFmtId="0" xfId="0" applyBorder="1" applyFont="1"/>
    <xf borderId="111" fillId="0" fontId="109" numFmtId="170" xfId="0" applyBorder="1" applyFont="1" applyNumberFormat="1"/>
    <xf borderId="109" fillId="34" fontId="109" numFmtId="182" xfId="0" applyAlignment="1" applyBorder="1" applyFont="1" applyNumberFormat="1">
      <alignment horizontal="left"/>
    </xf>
    <xf borderId="109" fillId="34" fontId="109" numFmtId="180" xfId="0" applyBorder="1" applyFont="1" applyNumberFormat="1"/>
    <xf borderId="109" fillId="34" fontId="109" numFmtId="3" xfId="0" applyBorder="1" applyFont="1" applyNumberFormat="1"/>
    <xf borderId="109" fillId="34" fontId="109" numFmtId="0" xfId="0" applyBorder="1" applyFont="1"/>
    <xf borderId="109" fillId="34" fontId="109" numFmtId="170" xfId="0" applyBorder="1" applyFont="1" applyNumberFormat="1"/>
    <xf borderId="0" fillId="0" fontId="109" numFmtId="0" xfId="0" applyFont="1"/>
    <xf borderId="0" fillId="0" fontId="110" numFmtId="3" xfId="0" applyFont="1" applyNumberFormat="1"/>
    <xf borderId="0" fillId="0" fontId="59" numFmtId="0" xfId="0" applyAlignment="1" applyFont="1">
      <alignment horizontal="left"/>
    </xf>
    <xf borderId="0" fillId="0" fontId="59" numFmtId="1" xfId="0" applyAlignment="1" applyFont="1" applyNumberFormat="1">
      <alignment horizontal="left"/>
    </xf>
    <xf borderId="0" fillId="0" fontId="59" numFmtId="4" xfId="0" applyAlignment="1" applyFont="1" applyNumberFormat="1">
      <alignment horizontal="left"/>
    </xf>
    <xf borderId="0" fillId="0" fontId="58" numFmtId="0" xfId="0" applyAlignment="1" applyFont="1">
      <alignment horizontal="right" readingOrder="0" shrinkToFit="0" vertical="center" wrapText="1"/>
    </xf>
    <xf borderId="0" fillId="0" fontId="58" numFmtId="0" xfId="0" applyAlignment="1" applyFont="1">
      <alignment horizontal="right" readingOrder="0"/>
    </xf>
    <xf borderId="112" fillId="0" fontId="68" numFmtId="0" xfId="0" applyAlignment="1" applyBorder="1" applyFont="1">
      <alignment horizontal="left" readingOrder="0" vertical="center"/>
    </xf>
    <xf borderId="112" fillId="0" fontId="14" numFmtId="0" xfId="0" applyBorder="1" applyFont="1"/>
    <xf borderId="112" fillId="0" fontId="68" numFmtId="14" xfId="0" applyAlignment="1" applyBorder="1" applyFont="1" applyNumberFormat="1">
      <alignment horizontal="left" readingOrder="0" vertical="center"/>
    </xf>
    <xf borderId="0" fillId="0" fontId="68" numFmtId="0" xfId="0" applyAlignment="1" applyFont="1">
      <alignment horizontal="left" vertical="center"/>
    </xf>
    <xf borderId="0" fillId="0" fontId="58" numFmtId="0" xfId="0" applyAlignment="1" applyFont="1">
      <alignment horizontal="left" vertical="center"/>
    </xf>
    <xf borderId="0" fillId="0" fontId="59" numFmtId="0" xfId="0" applyAlignment="1" applyFont="1">
      <alignment horizontal="left" readingOrder="0" vertical="top"/>
    </xf>
    <xf borderId="0" fillId="0" fontId="58" numFmtId="0" xfId="0" applyAlignment="1" applyFont="1">
      <alignment horizontal="left" readingOrder="0" shrinkToFit="0" vertical="top" wrapText="1"/>
    </xf>
    <xf borderId="0" fillId="0" fontId="71" numFmtId="0" xfId="0" applyAlignment="1" applyFont="1">
      <alignment horizontal="left" shrinkToFit="0" vertical="top" wrapText="1"/>
    </xf>
    <xf borderId="113" fillId="0" fontId="71" numFmtId="0" xfId="0" applyAlignment="1" applyBorder="1" applyFont="1">
      <alignment horizontal="center" vertical="center"/>
    </xf>
    <xf borderId="72" fillId="0" fontId="14" numFmtId="0" xfId="0" applyBorder="1" applyFont="1"/>
    <xf borderId="114" fillId="0" fontId="71" numFmtId="0" xfId="0" applyAlignment="1" applyBorder="1" applyFont="1">
      <alignment horizontal="center" shrinkToFit="0" vertical="center" wrapText="1"/>
    </xf>
    <xf borderId="114" fillId="0" fontId="71" numFmtId="1" xfId="0" applyAlignment="1" applyBorder="1" applyFont="1" applyNumberFormat="1">
      <alignment horizontal="center" readingOrder="0" vertical="center"/>
    </xf>
    <xf borderId="114" fillId="0" fontId="71" numFmtId="4" xfId="0" applyAlignment="1" applyBorder="1" applyFont="1" applyNumberFormat="1">
      <alignment horizontal="center" vertical="center"/>
    </xf>
    <xf borderId="115" fillId="0" fontId="14" numFmtId="0" xfId="0" applyBorder="1" applyFont="1"/>
    <xf borderId="72" fillId="0" fontId="71" numFmtId="0" xfId="0" applyAlignment="1" applyBorder="1" applyFont="1">
      <alignment horizontal="center" vertical="center"/>
    </xf>
    <xf borderId="116" fillId="0" fontId="14" numFmtId="0" xfId="0" applyBorder="1" applyFont="1"/>
    <xf borderId="0" fillId="0" fontId="71" numFmtId="0" xfId="0" applyAlignment="1" applyFont="1">
      <alignment horizontal="center" vertical="center"/>
    </xf>
    <xf borderId="117" fillId="0" fontId="14" numFmtId="0" xfId="0" applyBorder="1" applyFont="1"/>
    <xf borderId="118" fillId="0" fontId="14" numFmtId="0" xfId="0" applyBorder="1" applyFont="1"/>
    <xf borderId="119" fillId="0" fontId="14" numFmtId="0" xfId="0" applyBorder="1" applyFont="1"/>
    <xf borderId="120" fillId="0" fontId="14" numFmtId="0" xfId="0" applyBorder="1" applyFont="1"/>
    <xf borderId="0" fillId="0" fontId="59" numFmtId="0" xfId="0" applyAlignment="1" applyFont="1">
      <alignment horizontal="left" vertical="center"/>
    </xf>
    <xf borderId="121" fillId="29" fontId="71" numFmtId="0" xfId="0" applyAlignment="1" applyBorder="1" applyFont="1">
      <alignment horizontal="center" readingOrder="0" vertical="center"/>
    </xf>
    <xf borderId="0" fillId="29" fontId="59" numFmtId="1" xfId="0" applyAlignment="1" applyFont="1" applyNumberFormat="1">
      <alignment horizontal="right" shrinkToFit="0" vertical="center" wrapText="1"/>
    </xf>
    <xf borderId="0" fillId="29" fontId="59" numFmtId="4" xfId="0" applyAlignment="1" applyFont="1" applyNumberFormat="1">
      <alignment horizontal="right" shrinkToFit="0" vertical="center" wrapText="1"/>
    </xf>
    <xf borderId="0" fillId="29" fontId="71" numFmtId="4" xfId="0" applyAlignment="1" applyFont="1" applyNumberFormat="1">
      <alignment horizontal="right" shrinkToFit="0" vertical="center" wrapText="1"/>
    </xf>
    <xf borderId="99" fillId="0" fontId="14" numFmtId="0" xfId="0" applyBorder="1" applyFont="1"/>
    <xf borderId="0" fillId="0" fontId="72" numFmtId="4" xfId="0" applyAlignment="1" applyFont="1" applyNumberFormat="1">
      <alignment horizontal="right" shrinkToFit="0" vertical="center" wrapText="1"/>
    </xf>
    <xf borderId="122" fillId="0" fontId="58" numFmtId="0" xfId="0" applyAlignment="1" applyBorder="1" applyFont="1">
      <alignment horizontal="center" readingOrder="0" vertical="center"/>
    </xf>
    <xf borderId="2" fillId="0" fontId="58" numFmtId="0" xfId="0" applyAlignment="1" applyBorder="1" applyFont="1">
      <alignment horizontal="left" shrinkToFit="0" vertical="center" wrapText="1"/>
    </xf>
    <xf borderId="1" fillId="0" fontId="58" numFmtId="1" xfId="0" applyAlignment="1" applyBorder="1" applyFont="1" applyNumberFormat="1">
      <alignment horizontal="right" shrinkToFit="0" vertical="center" wrapText="1"/>
    </xf>
    <xf borderId="2" fillId="0" fontId="58" numFmtId="4" xfId="0" applyAlignment="1" applyBorder="1" applyFont="1" applyNumberFormat="1">
      <alignment horizontal="right" shrinkToFit="0" vertical="center" wrapText="1"/>
    </xf>
    <xf borderId="123" fillId="0" fontId="14" numFmtId="0" xfId="0" applyBorder="1" applyFont="1"/>
    <xf borderId="0" fillId="0" fontId="58" numFmtId="4" xfId="0" applyAlignment="1" applyFont="1" applyNumberFormat="1">
      <alignment horizontal="right" shrinkToFit="0" vertical="center" wrapText="1"/>
    </xf>
    <xf borderId="0" fillId="0" fontId="58" numFmtId="2" xfId="0" applyAlignment="1" applyFont="1" applyNumberFormat="1">
      <alignment horizontal="right" shrinkToFit="0" vertical="center" wrapText="1"/>
    </xf>
    <xf borderId="124" fillId="0" fontId="58" numFmtId="0" xfId="0" applyAlignment="1" applyBorder="1" applyFont="1">
      <alignment horizontal="center" readingOrder="0" vertical="center"/>
    </xf>
    <xf borderId="122" fillId="29" fontId="71" numFmtId="0" xfId="0" applyAlignment="1" applyBorder="1" applyFont="1">
      <alignment horizontal="center" readingOrder="0" vertical="center"/>
    </xf>
    <xf borderId="125" fillId="0" fontId="14" numFmtId="0" xfId="0" applyBorder="1" applyFont="1"/>
    <xf borderId="0" fillId="0" fontId="72" numFmtId="2" xfId="0" applyAlignment="1" applyFont="1" applyNumberFormat="1">
      <alignment horizontal="right" shrinkToFit="0" vertical="center" wrapText="1"/>
    </xf>
    <xf borderId="124" fillId="0" fontId="58" numFmtId="0" xfId="0" applyAlignment="1" applyBorder="1" applyFont="1">
      <alignment horizontal="center" vertical="center"/>
    </xf>
    <xf borderId="2" fillId="0" fontId="58" numFmtId="0" xfId="0" applyAlignment="1" applyBorder="1" applyFont="1">
      <alignment horizontal="left" readingOrder="0" shrinkToFit="0" vertical="center" wrapText="1"/>
    </xf>
    <xf borderId="122" fillId="0" fontId="58" numFmtId="0" xfId="0" applyAlignment="1" applyBorder="1" applyFont="1">
      <alignment horizontal="center" vertical="center"/>
    </xf>
    <xf borderId="0" fillId="29" fontId="71" numFmtId="2" xfId="0" applyAlignment="1" applyFont="1" applyNumberFormat="1">
      <alignment horizontal="right" shrinkToFit="0" vertical="center" wrapText="1"/>
    </xf>
    <xf borderId="2" fillId="0" fontId="58" numFmtId="2" xfId="0" applyAlignment="1" applyBorder="1" applyFont="1" applyNumberFormat="1">
      <alignment horizontal="right" shrinkToFit="0" vertical="center" wrapText="1"/>
    </xf>
    <xf borderId="117" fillId="16" fontId="111" numFmtId="0" xfId="0" applyAlignment="1" applyBorder="1" applyFont="1">
      <alignment horizontal="left" readingOrder="0" shrinkToFit="0" vertical="center" wrapText="1"/>
    </xf>
    <xf borderId="112" fillId="16" fontId="111" numFmtId="183" xfId="0" applyAlignment="1" applyBorder="1" applyFont="1" applyNumberFormat="1">
      <alignment horizontal="right" shrinkToFit="0" vertical="center" wrapText="1"/>
    </xf>
    <xf borderId="0" fillId="0" fontId="112" numFmtId="2" xfId="0" applyAlignment="1" applyFont="1" applyNumberFormat="1">
      <alignment horizontal="right" shrinkToFit="0" vertical="center" wrapText="1"/>
    </xf>
    <xf borderId="0" fillId="0" fontId="59" numFmtId="0" xfId="0" applyAlignment="1" applyFont="1">
      <alignment horizontal="left" readingOrder="0" shrinkToFit="0" vertical="center" wrapText="1"/>
    </xf>
    <xf borderId="0" fillId="0" fontId="59" numFmtId="1" xfId="0" applyAlignment="1" applyFont="1" applyNumberFormat="1">
      <alignment horizontal="right" readingOrder="0" shrinkToFit="0" vertical="center" wrapText="1"/>
    </xf>
    <xf borderId="0" fillId="0" fontId="59" numFmtId="4" xfId="0" applyAlignment="1" applyFont="1" applyNumberFormat="1">
      <alignment horizontal="right" readingOrder="0" shrinkToFit="0" vertical="center" wrapText="1"/>
    </xf>
    <xf borderId="0" fillId="0" fontId="59" numFmtId="2" xfId="0" applyAlignment="1" applyFont="1" applyNumberFormat="1">
      <alignment horizontal="right" readingOrder="0" shrinkToFit="0" vertical="center" wrapText="1"/>
    </xf>
    <xf borderId="0" fillId="0" fontId="64" numFmtId="0" xfId="0" applyFont="1"/>
    <xf borderId="0" fillId="0" fontId="113" numFmtId="0" xfId="0" applyAlignment="1" applyFont="1">
      <alignment horizontal="center" shrinkToFit="0" wrapText="1"/>
    </xf>
    <xf borderId="0" fillId="0" fontId="61" numFmtId="0" xfId="0" applyAlignment="1" applyFont="1">
      <alignment shrinkToFit="0" vertical="center" wrapText="1"/>
    </xf>
    <xf borderId="0" fillId="0" fontId="64" numFmtId="0" xfId="0" applyFont="1"/>
    <xf borderId="25" fillId="27" fontId="71" numFmtId="0" xfId="0" applyAlignment="1" applyBorder="1" applyFont="1">
      <alignment horizontal="center" vertical="center"/>
    </xf>
    <xf borderId="2" fillId="0" fontId="41" numFmtId="0" xfId="0" applyAlignment="1" applyBorder="1" applyFont="1">
      <alignment horizontal="center" shrinkToFit="0" wrapText="1"/>
    </xf>
    <xf borderId="0" fillId="0" fontId="67" numFmtId="0" xfId="0" applyAlignment="1" applyFont="1">
      <alignment shrinkToFit="0" vertical="center" wrapText="1"/>
    </xf>
    <xf borderId="90" fillId="0" fontId="41" numFmtId="0" xfId="0" applyAlignment="1" applyBorder="1" applyFont="1">
      <alignment horizontal="center" shrinkToFit="0" vertical="center" wrapText="1"/>
    </xf>
    <xf borderId="2" fillId="0" fontId="41" numFmtId="0" xfId="0" applyAlignment="1" applyBorder="1" applyFont="1">
      <alignment horizontal="center" shrinkToFit="0" vertical="center" wrapText="1"/>
    </xf>
    <xf borderId="1" fillId="0" fontId="41" numFmtId="0" xfId="0" applyAlignment="1" applyBorder="1" applyFont="1">
      <alignment horizontal="center" shrinkToFit="0" vertical="center" wrapText="1"/>
    </xf>
    <xf borderId="1" fillId="10" fontId="41" numFmtId="0" xfId="0" applyAlignment="1" applyBorder="1" applyFont="1">
      <alignment horizontal="center" shrinkToFit="0" vertical="center" wrapText="1"/>
    </xf>
    <xf borderId="6" fillId="0" fontId="64" numFmtId="0" xfId="0" applyAlignment="1" applyBorder="1" applyFont="1">
      <alignment horizontal="center" readingOrder="0" shrinkToFit="0" vertical="center" wrapText="1"/>
    </xf>
    <xf borderId="102" fillId="0" fontId="64" numFmtId="0" xfId="0" applyAlignment="1" applyBorder="1" applyFont="1">
      <alignment shrinkToFit="0" vertical="center" wrapText="1"/>
    </xf>
    <xf borderId="102" fillId="0" fontId="64" numFmtId="0" xfId="0" applyAlignment="1" applyBorder="1" applyFont="1">
      <alignment horizontal="center" shrinkToFit="0" vertical="center" wrapText="1"/>
    </xf>
    <xf borderId="102" fillId="27" fontId="64" numFmtId="1" xfId="0" applyAlignment="1" applyBorder="1" applyFont="1" applyNumberFormat="1">
      <alignment horizontal="center" readingOrder="0" vertical="center"/>
    </xf>
    <xf borderId="102" fillId="0" fontId="114" numFmtId="172" xfId="0" applyAlignment="1" applyBorder="1" applyFont="1" applyNumberFormat="1">
      <alignment horizontal="center" vertical="center"/>
    </xf>
    <xf borderId="102" fillId="10" fontId="64" numFmtId="172" xfId="0" applyAlignment="1" applyBorder="1" applyFont="1" applyNumberFormat="1">
      <alignment horizontal="center" vertical="center"/>
    </xf>
    <xf borderId="0" fillId="0" fontId="55" numFmtId="0" xfId="0" applyAlignment="1" applyFont="1">
      <alignment vertical="center"/>
    </xf>
    <xf borderId="102" fillId="0" fontId="114" numFmtId="172" xfId="0" applyAlignment="1" applyBorder="1" applyFont="1" applyNumberFormat="1">
      <alignment horizontal="center" readingOrder="0" vertical="center"/>
    </xf>
    <xf borderId="6" fillId="0" fontId="64" numFmtId="184" xfId="0" applyAlignment="1" applyBorder="1" applyFont="1" applyNumberFormat="1">
      <alignment horizontal="center" readingOrder="0" shrinkToFit="0" vertical="center" wrapText="1"/>
    </xf>
    <xf borderId="102" fillId="0" fontId="64" numFmtId="0" xfId="0" applyAlignment="1" applyBorder="1" applyFont="1">
      <alignment readingOrder="0" shrinkToFit="0" vertical="center" wrapText="1"/>
    </xf>
    <xf borderId="102" fillId="0" fontId="114" numFmtId="171" xfId="0" applyAlignment="1" applyBorder="1" applyFont="1" applyNumberFormat="1">
      <alignment horizontal="center" readingOrder="0" vertical="center"/>
    </xf>
    <xf borderId="0" fillId="0" fontId="55" numFmtId="0" xfId="0" applyAlignment="1" applyFont="1">
      <alignment vertical="center"/>
    </xf>
    <xf borderId="102" fillId="0" fontId="62" numFmtId="0" xfId="0" applyAlignment="1" applyBorder="1" applyFont="1">
      <alignment readingOrder="0" shrinkToFit="0" vertical="center" wrapText="1"/>
    </xf>
    <xf borderId="101" fillId="0" fontId="64" numFmtId="0" xfId="0" applyAlignment="1" applyBorder="1" applyFont="1">
      <alignment vertical="center"/>
    </xf>
    <xf borderId="102" fillId="0" fontId="64" numFmtId="172" xfId="0" applyAlignment="1" applyBorder="1" applyFont="1" applyNumberFormat="1">
      <alignment vertical="center"/>
    </xf>
    <xf borderId="102" fillId="27" fontId="64" numFmtId="2" xfId="0" applyAlignment="1" applyBorder="1" applyFont="1" applyNumberFormat="1">
      <alignment horizontal="center" readingOrder="0" vertical="center"/>
    </xf>
    <xf borderId="102" fillId="6" fontId="114" numFmtId="172" xfId="0" applyAlignment="1" applyBorder="1" applyFont="1" applyNumberFormat="1">
      <alignment horizontal="center" readingOrder="0" vertical="center"/>
    </xf>
    <xf borderId="6" fillId="0" fontId="64" numFmtId="184" xfId="0" applyAlignment="1" applyBorder="1" applyFont="1" applyNumberFormat="1">
      <alignment horizontal="center" readingOrder="0" vertical="center"/>
    </xf>
    <xf borderId="102" fillId="27" fontId="64" numFmtId="2" xfId="0" applyAlignment="1" applyBorder="1" applyFont="1" applyNumberFormat="1">
      <alignment horizontal="center" vertical="center"/>
    </xf>
    <xf borderId="102" fillId="6" fontId="114" numFmtId="172" xfId="0" applyAlignment="1" applyBorder="1" applyFont="1" applyNumberFormat="1">
      <alignment horizontal="center" vertical="center"/>
    </xf>
    <xf borderId="102" fillId="27" fontId="64" numFmtId="1" xfId="0" applyAlignment="1" applyBorder="1" applyFont="1" applyNumberFormat="1">
      <alignment horizontal="center" vertical="center"/>
    </xf>
    <xf borderId="101" fillId="0" fontId="62" numFmtId="0" xfId="0" applyAlignment="1" applyBorder="1" applyFont="1">
      <alignment horizontal="right" readingOrder="0" shrinkToFit="0" vertical="center" wrapText="1"/>
    </xf>
    <xf borderId="101" fillId="0" fontId="64" numFmtId="0" xfId="0" applyAlignment="1" applyBorder="1" applyFont="1">
      <alignment horizontal="center" shrinkToFit="0" vertical="center" wrapText="1"/>
    </xf>
    <xf borderId="102" fillId="0" fontId="62" numFmtId="172" xfId="0" applyAlignment="1" applyBorder="1" applyFont="1" applyNumberFormat="1">
      <alignment horizontal="center" vertical="center"/>
    </xf>
    <xf borderId="102" fillId="0" fontId="62" numFmtId="0" xfId="0" applyAlignment="1" applyBorder="1" applyFont="1">
      <alignment shrinkToFit="0" vertical="center" wrapText="1"/>
    </xf>
    <xf borderId="2" fillId="0" fontId="64" numFmtId="0" xfId="0" applyAlignment="1" applyBorder="1" applyFont="1">
      <alignment vertical="center"/>
    </xf>
    <xf borderId="1" fillId="0" fontId="64" numFmtId="0" xfId="0" applyAlignment="1" applyBorder="1" applyFont="1">
      <alignment vertical="center"/>
    </xf>
    <xf borderId="1" fillId="0" fontId="64" numFmtId="0" xfId="0" applyAlignment="1" applyBorder="1" applyFont="1">
      <alignment horizontal="center" shrinkToFit="0" vertical="center" wrapText="1"/>
    </xf>
    <xf borderId="1" fillId="27" fontId="64" numFmtId="1" xfId="0" applyAlignment="1" applyBorder="1" applyFont="1" applyNumberFormat="1">
      <alignment horizontal="center" readingOrder="0" vertical="center"/>
    </xf>
    <xf borderId="1" fillId="0" fontId="114" numFmtId="172" xfId="0" applyAlignment="1" applyBorder="1" applyFont="1" applyNumberFormat="1">
      <alignment horizontal="center" vertical="center"/>
    </xf>
    <xf borderId="1" fillId="10" fontId="64" numFmtId="172" xfId="0" applyAlignment="1" applyBorder="1" applyFont="1" applyNumberFormat="1">
      <alignment horizontal="center" vertical="center"/>
    </xf>
    <xf borderId="102" fillId="0" fontId="64" numFmtId="0" xfId="0" applyAlignment="1" applyBorder="1" applyFont="1">
      <alignment horizontal="center" readingOrder="0" shrinkToFit="0" vertical="center" wrapText="1"/>
    </xf>
    <xf borderId="0" fillId="6" fontId="59" numFmtId="0" xfId="0" applyAlignment="1" applyFont="1">
      <alignment vertical="center"/>
    </xf>
    <xf borderId="6" fillId="6" fontId="64" numFmtId="184" xfId="0" applyAlignment="1" applyBorder="1" applyFont="1" applyNumberFormat="1">
      <alignment horizontal="center" readingOrder="0" shrinkToFit="0" vertical="center" wrapText="1"/>
    </xf>
    <xf borderId="102" fillId="6" fontId="64" numFmtId="0" xfId="0" applyAlignment="1" applyBorder="1" applyFont="1">
      <alignment shrinkToFit="0" vertical="center" wrapText="1"/>
    </xf>
    <xf borderId="102" fillId="6" fontId="64" numFmtId="0" xfId="0" applyAlignment="1" applyBorder="1" applyFont="1">
      <alignment readingOrder="0" shrinkToFit="0" vertical="center" wrapText="1"/>
    </xf>
    <xf borderId="102" fillId="6" fontId="64" numFmtId="0" xfId="0" applyAlignment="1" applyBorder="1" applyFont="1">
      <alignment readingOrder="0" vertical="center"/>
    </xf>
    <xf borderId="102" fillId="6" fontId="64" numFmtId="0" xfId="0" applyAlignment="1" applyBorder="1" applyFont="1">
      <alignment vertical="center"/>
    </xf>
    <xf borderId="102" fillId="0" fontId="114" numFmtId="171" xfId="0" applyAlignment="1" applyBorder="1" applyFont="1" applyNumberFormat="1">
      <alignment horizontal="center" vertical="center"/>
    </xf>
    <xf borderId="0" fillId="0" fontId="55" numFmtId="0" xfId="0" applyAlignment="1" applyFont="1">
      <alignment readingOrder="0" vertical="center"/>
    </xf>
    <xf borderId="102" fillId="0" fontId="62" numFmtId="0" xfId="0" applyAlignment="1" applyBorder="1" applyFont="1">
      <alignment horizontal="center" readingOrder="0" shrinkToFit="0" vertical="center" wrapText="1"/>
    </xf>
    <xf borderId="102" fillId="0" fontId="62" numFmtId="0" xfId="0" applyAlignment="1" applyBorder="1" applyFont="1">
      <alignment horizontal="left" readingOrder="0" shrinkToFit="0" vertical="center" wrapText="1"/>
    </xf>
    <xf borderId="102" fillId="0" fontId="64" numFmtId="0" xfId="0" applyAlignment="1" applyBorder="1" applyFont="1">
      <alignment horizontal="center" readingOrder="0" vertical="center"/>
    </xf>
    <xf borderId="102" fillId="0" fontId="64" numFmtId="0" xfId="0" applyAlignment="1" applyBorder="1" applyFont="1">
      <alignment vertical="center"/>
    </xf>
    <xf borderId="102" fillId="0" fontId="64" numFmtId="185" xfId="0" applyAlignment="1" applyBorder="1" applyFont="1" applyNumberFormat="1">
      <alignment horizontal="center" readingOrder="0" vertical="center"/>
    </xf>
    <xf borderId="102" fillId="0" fontId="64" numFmtId="0" xfId="0" applyAlignment="1" applyBorder="1" applyFont="1">
      <alignment readingOrder="0" vertical="center"/>
    </xf>
    <xf borderId="102" fillId="0" fontId="64" numFmtId="9" xfId="0" applyAlignment="1" applyBorder="1" applyFont="1" applyNumberFormat="1">
      <alignment horizontal="center" readingOrder="0" shrinkToFit="0" vertical="center" wrapText="1"/>
    </xf>
    <xf borderId="102" fillId="0" fontId="62" numFmtId="172" xfId="0" applyAlignment="1" applyBorder="1" applyFont="1" applyNumberFormat="1">
      <alignment horizontal="center" shrinkToFit="0" vertical="center" wrapText="1"/>
    </xf>
    <xf borderId="101" fillId="35" fontId="69" numFmtId="0" xfId="0" applyAlignment="1" applyBorder="1" applyFill="1" applyFont="1">
      <alignment horizontal="right" readingOrder="0" shrinkToFit="0" vertical="center" wrapText="1"/>
    </xf>
    <xf borderId="102" fillId="35" fontId="55" numFmtId="0" xfId="0" applyAlignment="1" applyBorder="1" applyFont="1">
      <alignment vertical="center"/>
    </xf>
    <xf borderId="102" fillId="35" fontId="55" numFmtId="185" xfId="0" applyAlignment="1" applyBorder="1" applyFont="1" applyNumberFormat="1">
      <alignment vertical="center"/>
    </xf>
    <xf borderId="102" fillId="35" fontId="55" numFmtId="0" xfId="0" applyAlignment="1" applyBorder="1" applyFont="1">
      <alignment readingOrder="0" vertical="center"/>
    </xf>
    <xf borderId="102" fillId="35" fontId="69" numFmtId="172" xfId="0" applyAlignment="1" applyBorder="1" applyFont="1" applyNumberFormat="1">
      <alignment horizontal="center" readingOrder="0" vertical="center"/>
    </xf>
    <xf borderId="1" fillId="35" fontId="55" numFmtId="186" xfId="0" applyAlignment="1" applyBorder="1" applyFont="1" applyNumberFormat="1">
      <alignment horizontal="center" vertical="center"/>
    </xf>
    <xf borderId="0" fillId="0" fontId="55" numFmtId="0" xfId="0" applyAlignment="1" applyFont="1">
      <alignment horizontal="center" vertical="center"/>
    </xf>
    <xf borderId="101" fillId="28" fontId="69" numFmtId="0" xfId="0" applyAlignment="1" applyBorder="1" applyFont="1">
      <alignment horizontal="right" readingOrder="0" shrinkToFit="0" vertical="center" wrapText="1"/>
    </xf>
    <xf borderId="1" fillId="28" fontId="55" numFmtId="0" xfId="0" applyAlignment="1" applyBorder="1" applyFont="1">
      <alignment vertical="center"/>
    </xf>
    <xf borderId="1" fillId="28" fontId="55" numFmtId="185" xfId="0" applyAlignment="1" applyBorder="1" applyFont="1" applyNumberFormat="1">
      <alignment vertical="center"/>
    </xf>
    <xf borderId="1" fillId="28" fontId="55" numFmtId="0" xfId="0" applyAlignment="1" applyBorder="1" applyFont="1">
      <alignment readingOrder="0" vertical="center"/>
    </xf>
    <xf borderId="102" fillId="28" fontId="69" numFmtId="172" xfId="0" applyAlignment="1" applyBorder="1" applyFont="1" applyNumberFormat="1">
      <alignment horizontal="center" readingOrder="0" vertical="center"/>
    </xf>
    <xf borderId="1" fillId="28" fontId="55" numFmtId="186" xfId="0" applyAlignment="1" applyBorder="1" applyFont="1" applyNumberFormat="1">
      <alignment horizontal="center" vertical="center"/>
    </xf>
    <xf borderId="0" fillId="6" fontId="67" numFmtId="0" xfId="0" applyAlignment="1" applyFont="1">
      <alignment horizontal="center" readingOrder="0" vertical="center"/>
    </xf>
    <xf borderId="101" fillId="20" fontId="69" numFmtId="0" xfId="0" applyAlignment="1" applyBorder="1" applyFont="1">
      <alignment horizontal="right" readingOrder="0" shrinkToFit="0" vertical="center" wrapText="1"/>
    </xf>
    <xf borderId="1" fillId="20" fontId="55" numFmtId="0" xfId="0" applyAlignment="1" applyBorder="1" applyFont="1">
      <alignment horizontal="left" shrinkToFit="0" vertical="center" wrapText="1"/>
    </xf>
    <xf borderId="1" fillId="20" fontId="69" numFmtId="172" xfId="0" applyAlignment="1" applyBorder="1" applyFont="1" applyNumberFormat="1">
      <alignment horizontal="center" shrinkToFit="0" vertical="center" wrapText="1"/>
    </xf>
    <xf borderId="1" fillId="20" fontId="55" numFmtId="186" xfId="0" applyAlignment="1" applyBorder="1" applyFont="1" applyNumberFormat="1">
      <alignment horizontal="center" shrinkToFit="0" vertical="center" wrapText="1"/>
    </xf>
    <xf borderId="1" fillId="0" fontId="55" numFmtId="0" xfId="0" applyAlignment="1" applyBorder="1" applyFont="1">
      <alignment horizontal="center" shrinkToFit="0" vertical="center" wrapText="1"/>
    </xf>
    <xf borderId="1" fillId="30" fontId="55" numFmtId="0" xfId="0" applyAlignment="1" applyBorder="1" applyFont="1">
      <alignment horizontal="center" readingOrder="0" shrinkToFit="0" vertical="center" wrapText="1"/>
    </xf>
    <xf borderId="0" fillId="0" fontId="41" numFmtId="0" xfId="0" applyAlignment="1" applyFont="1">
      <alignment horizontal="left" vertical="center"/>
    </xf>
    <xf borderId="0" fillId="0" fontId="64" numFmtId="0" xfId="0" applyAlignment="1" applyFont="1">
      <alignment vertical="center"/>
    </xf>
    <xf borderId="0" fillId="0" fontId="113" numFmtId="0" xfId="0" applyAlignment="1" applyFont="1">
      <alignment horizontal="center" shrinkToFit="0" vertical="center" wrapText="1"/>
    </xf>
    <xf borderId="6" fillId="0" fontId="64" numFmtId="0" xfId="0" applyAlignment="1" applyBorder="1" applyFont="1">
      <alignment horizontal="center" shrinkToFit="0" vertical="center" wrapText="1"/>
    </xf>
    <xf borderId="0" fillId="0" fontId="59" numFmtId="0" xfId="0" applyAlignment="1" applyFont="1">
      <alignment vertical="center"/>
    </xf>
    <xf borderId="6" fillId="0" fontId="64" numFmtId="184" xfId="0" applyAlignment="1" applyBorder="1" applyFont="1" applyNumberFormat="1">
      <alignment horizontal="center" shrinkToFit="0" vertical="center" wrapText="1"/>
    </xf>
    <xf borderId="102" fillId="6" fontId="114" numFmtId="179" xfId="0" applyAlignment="1" applyBorder="1" applyFont="1" applyNumberFormat="1">
      <alignment horizontal="center" vertical="center"/>
    </xf>
    <xf borderId="102" fillId="0" fontId="59" numFmtId="0" xfId="0" applyAlignment="1" applyBorder="1" applyFont="1">
      <alignment shrinkToFit="0" vertical="center" wrapText="1"/>
    </xf>
    <xf borderId="102" fillId="0" fontId="59" numFmtId="0" xfId="0" applyAlignment="1" applyBorder="1" applyFont="1">
      <alignment horizontal="center" shrinkToFit="0" vertical="center" wrapText="1"/>
    </xf>
    <xf borderId="102" fillId="27" fontId="59" numFmtId="1" xfId="0" applyAlignment="1" applyBorder="1" applyFont="1" applyNumberFormat="1">
      <alignment horizontal="center" readingOrder="0" vertical="center"/>
    </xf>
    <xf borderId="102" fillId="6" fontId="115" numFmtId="172" xfId="0" applyAlignment="1" applyBorder="1" applyFont="1" applyNumberFormat="1">
      <alignment horizontal="center" vertical="center"/>
    </xf>
    <xf borderId="102" fillId="10" fontId="59" numFmtId="172" xfId="0" applyAlignment="1" applyBorder="1" applyFont="1" applyNumberFormat="1">
      <alignment horizontal="center" vertical="center"/>
    </xf>
    <xf borderId="101" fillId="0" fontId="62" numFmtId="0" xfId="0" applyAlignment="1" applyBorder="1" applyFont="1">
      <alignment horizontal="right" shrinkToFit="0" vertical="center" wrapText="1"/>
    </xf>
    <xf borderId="1" fillId="27" fontId="64" numFmtId="1" xfId="0" applyAlignment="1" applyBorder="1" applyFont="1" applyNumberFormat="1">
      <alignment horizontal="center" vertical="center"/>
    </xf>
    <xf borderId="102" fillId="0" fontId="114" numFmtId="179" xfId="0" applyAlignment="1" applyBorder="1" applyFont="1" applyNumberFormat="1">
      <alignment horizontal="center" readingOrder="0" vertical="center"/>
    </xf>
    <xf borderId="102" fillId="6" fontId="58" numFmtId="0" xfId="0" applyAlignment="1" applyBorder="1" applyFont="1">
      <alignment readingOrder="0" vertical="center"/>
    </xf>
    <xf borderId="102" fillId="0" fontId="62" numFmtId="0" xfId="0" applyAlignment="1" applyBorder="1" applyFont="1">
      <alignment horizontal="center" shrinkToFit="0" vertical="center" wrapText="1"/>
    </xf>
    <xf borderId="102" fillId="0" fontId="62" numFmtId="0" xfId="0" applyAlignment="1" applyBorder="1" applyFont="1">
      <alignment horizontal="left" shrinkToFit="0" vertical="center" wrapText="1"/>
    </xf>
    <xf borderId="102" fillId="0" fontId="64" numFmtId="0" xfId="0" applyAlignment="1" applyBorder="1" applyFont="1">
      <alignment horizontal="center" vertical="center"/>
    </xf>
    <xf borderId="6" fillId="0" fontId="64" numFmtId="184" xfId="0" applyAlignment="1" applyBorder="1" applyFont="1" applyNumberFormat="1">
      <alignment horizontal="center" vertical="center"/>
    </xf>
    <xf borderId="102" fillId="0" fontId="64" numFmtId="185" xfId="0" applyAlignment="1" applyBorder="1" applyFont="1" applyNumberFormat="1">
      <alignment horizontal="center" vertical="center"/>
    </xf>
    <xf borderId="102" fillId="0" fontId="64" numFmtId="9" xfId="0" applyAlignment="1" applyBorder="1" applyFont="1" applyNumberFormat="1">
      <alignment horizontal="center" shrinkToFit="0" vertical="center" wrapText="1"/>
    </xf>
    <xf borderId="101" fillId="35" fontId="69" numFmtId="0" xfId="0" applyAlignment="1" applyBorder="1" applyFont="1">
      <alignment horizontal="right" shrinkToFit="0" vertical="center" wrapText="1"/>
    </xf>
    <xf borderId="102" fillId="35" fontId="69" numFmtId="172" xfId="0" applyAlignment="1" applyBorder="1" applyFont="1" applyNumberFormat="1">
      <alignment horizontal="center" vertical="center"/>
    </xf>
    <xf borderId="1" fillId="35" fontId="55" numFmtId="186" xfId="0" applyAlignment="1" applyBorder="1" applyFont="1" applyNumberFormat="1">
      <alignment horizontal="center" vertical="center"/>
    </xf>
    <xf borderId="0" fillId="0" fontId="59" numFmtId="0" xfId="0" applyAlignment="1" applyFont="1">
      <alignment horizontal="center" vertical="center"/>
    </xf>
    <xf borderId="101" fillId="19" fontId="69" numFmtId="0" xfId="0" applyAlignment="1" applyBorder="1" applyFont="1">
      <alignment horizontal="right" shrinkToFit="0" vertical="center" wrapText="1"/>
    </xf>
    <xf borderId="1" fillId="19" fontId="55" numFmtId="0" xfId="0" applyAlignment="1" applyBorder="1" applyFont="1">
      <alignment vertical="center"/>
    </xf>
    <xf borderId="1" fillId="19" fontId="55" numFmtId="185" xfId="0" applyAlignment="1" applyBorder="1" applyFont="1" applyNumberFormat="1">
      <alignment vertical="center"/>
    </xf>
    <xf borderId="102" fillId="19" fontId="69" numFmtId="172" xfId="0" applyAlignment="1" applyBorder="1" applyFont="1" applyNumberFormat="1">
      <alignment horizontal="center" vertical="center"/>
    </xf>
    <xf borderId="1" fillId="19" fontId="55" numFmtId="186" xfId="0" applyAlignment="1" applyBorder="1" applyFont="1" applyNumberFormat="1">
      <alignment horizontal="center" vertical="center"/>
    </xf>
    <xf borderId="0" fillId="6" fontId="67" numFmtId="0" xfId="0" applyAlignment="1" applyFont="1">
      <alignment horizontal="center" vertical="center"/>
    </xf>
    <xf borderId="101" fillId="20" fontId="69" numFmtId="0" xfId="0" applyAlignment="1" applyBorder="1" applyFont="1">
      <alignment horizontal="right" shrinkToFit="0" vertical="center" wrapText="1"/>
    </xf>
    <xf borderId="1" fillId="20" fontId="55" numFmtId="186" xfId="0" applyAlignment="1" applyBorder="1" applyFont="1" applyNumberFormat="1">
      <alignment horizontal="center" shrinkToFit="0" vertical="center" wrapText="1"/>
    </xf>
    <xf borderId="1" fillId="16" fontId="55" numFmtId="0" xfId="0" applyAlignment="1" applyBorder="1" applyFont="1">
      <alignment horizontal="center" shrinkToFit="0" vertical="center" wrapText="1"/>
    </xf>
    <xf borderId="0" fillId="0" fontId="61" numFmtId="0" xfId="0" applyAlignment="1" applyFont="1">
      <alignment shrinkToFit="0" vertical="center" wrapText="0"/>
    </xf>
    <xf borderId="2" fillId="0" fontId="116" numFmtId="0" xfId="0" applyAlignment="1" applyBorder="1" applyFont="1">
      <alignment horizontal="center" readingOrder="0" shrinkToFit="0" vertical="center" wrapText="0"/>
    </xf>
    <xf borderId="22" fillId="3" fontId="116" numFmtId="0" xfId="0" applyAlignment="1" applyBorder="1" applyFont="1">
      <alignment horizontal="center" shrinkToFit="0" vertical="center" wrapText="0"/>
    </xf>
    <xf borderId="23" fillId="3" fontId="116" numFmtId="0" xfId="0" applyAlignment="1" applyBorder="1" applyFont="1">
      <alignment shrinkToFit="0" vertical="center" wrapText="0"/>
    </xf>
    <xf borderId="23" fillId="0" fontId="14" numFmtId="0" xfId="0" applyBorder="1" applyFont="1"/>
    <xf borderId="24" fillId="0" fontId="14" numFmtId="0" xfId="0" applyBorder="1" applyFont="1"/>
    <xf borderId="22" fillId="3" fontId="116" numFmtId="0" xfId="0" applyAlignment="1" applyBorder="1" applyFont="1">
      <alignment horizontal="center" readingOrder="0" shrinkToFit="0" vertical="center" wrapText="0"/>
    </xf>
    <xf borderId="23" fillId="3" fontId="116" numFmtId="0" xfId="0" applyAlignment="1" applyBorder="1" applyFont="1">
      <alignment horizontal="left" shrinkToFit="0" vertical="center" wrapText="0"/>
    </xf>
    <xf borderId="1" fillId="0" fontId="116" numFmtId="0" xfId="0" applyAlignment="1" applyBorder="1" applyFont="1">
      <alignment shrinkToFit="0" vertical="center" wrapText="0"/>
    </xf>
    <xf borderId="1" fillId="0" fontId="116" numFmtId="2" xfId="0" applyAlignment="1" applyBorder="1" applyFont="1" applyNumberFormat="1">
      <alignment horizontal="center" shrinkToFit="0" vertical="center" wrapText="0"/>
    </xf>
    <xf borderId="1" fillId="0" fontId="117" numFmtId="0" xfId="0" applyAlignment="1" applyBorder="1" applyFont="1">
      <alignment horizontal="center" shrinkToFit="0" vertical="center" wrapText="0"/>
    </xf>
    <xf borderId="91" fillId="0" fontId="116" numFmtId="0" xfId="0" applyAlignment="1" applyBorder="1" applyFont="1">
      <alignment horizontal="center" readingOrder="0" shrinkToFit="0" vertical="center" wrapText="0"/>
    </xf>
    <xf borderId="6" fillId="0" fontId="116" numFmtId="0" xfId="0" applyAlignment="1" applyBorder="1" applyFont="1">
      <alignment horizontal="center" readingOrder="0" shrinkToFit="0" vertical="center" wrapText="0"/>
    </xf>
    <xf borderId="0" fillId="0" fontId="116" numFmtId="0" xfId="0" applyAlignment="1" applyFont="1">
      <alignment horizontal="center" shrinkToFit="0" vertical="center" wrapText="0"/>
    </xf>
    <xf borderId="6" fillId="0" fontId="118" numFmtId="0" xfId="0" applyAlignment="1" applyBorder="1" applyFont="1">
      <alignment horizontal="center" shrinkToFit="0" vertical="center" wrapText="0"/>
    </xf>
    <xf borderId="6" fillId="0" fontId="81" numFmtId="3" xfId="0" applyAlignment="1" applyBorder="1" applyFont="1" applyNumberFormat="1">
      <alignment horizontal="center" shrinkToFit="0" vertical="center" wrapText="0"/>
    </xf>
    <xf borderId="1" fillId="0" fontId="119" numFmtId="0" xfId="0" applyAlignment="1" applyBorder="1" applyFont="1">
      <alignment horizontal="center" shrinkToFit="0" vertical="center" wrapText="0"/>
    </xf>
    <xf borderId="89" fillId="0" fontId="53" numFmtId="0" xfId="0" applyAlignment="1" applyBorder="1" applyFont="1">
      <alignment horizontal="center" readingOrder="0" shrinkToFit="0" vertical="center" wrapText="0"/>
    </xf>
    <xf borderId="90" fillId="0" fontId="53" numFmtId="0" xfId="0" applyAlignment="1" applyBorder="1" applyFont="1">
      <alignment horizontal="center" shrinkToFit="0" vertical="center" wrapText="0"/>
    </xf>
    <xf borderId="90" fillId="0" fontId="118" numFmtId="0" xfId="0" applyAlignment="1" applyBorder="1" applyFont="1">
      <alignment horizontal="center" shrinkToFit="0" vertical="center" wrapText="0"/>
    </xf>
    <xf borderId="90" fillId="0" fontId="120" numFmtId="3" xfId="0" applyAlignment="1" applyBorder="1" applyFont="1" applyNumberFormat="1">
      <alignment horizontal="center" shrinkToFit="0" vertical="center" wrapText="0"/>
    </xf>
    <xf borderId="90" fillId="0" fontId="121" numFmtId="3" xfId="0" applyAlignment="1" applyBorder="1" applyFont="1" applyNumberFormat="1">
      <alignment horizontal="center" shrinkToFit="0" vertical="center" wrapText="0"/>
    </xf>
    <xf borderId="90" fillId="0" fontId="122" numFmtId="3" xfId="0" applyAlignment="1" applyBorder="1" applyFont="1" applyNumberFormat="1">
      <alignment horizontal="center" shrinkToFit="0" vertical="center" wrapText="0"/>
    </xf>
    <xf borderId="0" fillId="0" fontId="123" numFmtId="0" xfId="0" applyAlignment="1" applyFont="1">
      <alignment horizontal="center" readingOrder="0" shrinkToFit="0" vertical="center" wrapText="0"/>
    </xf>
    <xf borderId="1" fillId="0" fontId="124" numFmtId="0" xfId="0" applyAlignment="1" applyBorder="1" applyFont="1">
      <alignment horizontal="center" shrinkToFit="0" vertical="center" wrapText="0"/>
    </xf>
    <xf borderId="21" fillId="0" fontId="61" numFmtId="0" xfId="0" applyAlignment="1" applyBorder="1" applyFont="1">
      <alignment horizontal="center" shrinkToFit="0" vertical="center" wrapText="0"/>
    </xf>
    <xf borderId="18" fillId="0" fontId="116" numFmtId="0" xfId="0" applyAlignment="1" applyBorder="1" applyFont="1">
      <alignment horizontal="center" readingOrder="0" shrinkToFit="0" vertical="center" wrapText="0"/>
    </xf>
    <xf borderId="74" fillId="0" fontId="116" numFmtId="0" xfId="0" applyAlignment="1" applyBorder="1" applyFont="1">
      <alignment horizontal="center" shrinkToFit="0" vertical="center" wrapText="0"/>
    </xf>
    <xf borderId="18" fillId="0" fontId="60" numFmtId="0" xfId="0" applyAlignment="1" applyBorder="1" applyFont="1">
      <alignment horizontal="center" readingOrder="0" vertical="center"/>
    </xf>
    <xf borderId="74" fillId="0" fontId="60" numFmtId="0" xfId="0" applyAlignment="1" applyBorder="1" applyFont="1">
      <alignment horizontal="center" readingOrder="0" vertical="center"/>
    </xf>
    <xf borderId="74" fillId="0" fontId="125" numFmtId="0" xfId="0" applyAlignment="1" applyBorder="1" applyFont="1">
      <alignment horizontal="center" readingOrder="0" shrinkToFit="0" vertical="center" wrapText="0"/>
    </xf>
    <xf borderId="18" fillId="0" fontId="118" numFmtId="0" xfId="0" applyAlignment="1" applyBorder="1" applyFont="1">
      <alignment horizontal="center" shrinkToFit="0" vertical="center" wrapText="0"/>
    </xf>
    <xf borderId="18" fillId="0" fontId="116" numFmtId="0" xfId="0" applyAlignment="1" applyBorder="1" applyFont="1">
      <alignment horizontal="center" shrinkToFit="0" vertical="center" wrapText="0"/>
    </xf>
    <xf borderId="0" fillId="0" fontId="116" numFmtId="0" xfId="0" applyAlignment="1" applyFont="1">
      <alignment shrinkToFit="0" vertical="center" wrapText="0"/>
    </xf>
    <xf borderId="0" fillId="0" fontId="61" numFmtId="2" xfId="0" applyAlignment="1" applyFont="1" applyNumberFormat="1">
      <alignment horizontal="center" shrinkToFit="0" vertical="center" wrapText="0"/>
    </xf>
    <xf borderId="126" fillId="0" fontId="116" numFmtId="0" xfId="0" applyAlignment="1" applyBorder="1" applyFont="1">
      <alignment horizontal="center" readingOrder="0" shrinkToFit="0" vertical="center" wrapText="0"/>
    </xf>
    <xf borderId="0" fillId="0" fontId="60" numFmtId="0" xfId="0" applyAlignment="1" applyFont="1">
      <alignment horizontal="center" readingOrder="0" vertical="center"/>
    </xf>
    <xf borderId="0" fillId="0" fontId="60" numFmtId="0" xfId="0" applyAlignment="1" applyFont="1">
      <alignment horizontal="center" vertical="center"/>
    </xf>
    <xf borderId="0" fillId="0" fontId="118" numFmtId="0" xfId="0" applyAlignment="1" applyFont="1">
      <alignment horizontal="center" readingOrder="0" shrinkToFit="0" vertical="center" wrapText="0"/>
    </xf>
    <xf borderId="0" fillId="0" fontId="116" numFmtId="0" xfId="0" applyAlignment="1" applyFont="1">
      <alignment horizontal="left" readingOrder="0" shrinkToFit="0" vertical="center" wrapText="0"/>
    </xf>
    <xf borderId="0" fillId="27" fontId="57" numFmtId="0" xfId="0" applyAlignment="1" applyFont="1">
      <alignment horizontal="center" readingOrder="0" shrinkToFit="0" vertical="center" wrapText="0"/>
    </xf>
    <xf borderId="6" fillId="27" fontId="53" numFmtId="0" xfId="0" applyAlignment="1" applyBorder="1" applyFont="1">
      <alignment horizontal="center" readingOrder="0" shrinkToFit="0" vertical="center" wrapText="0"/>
    </xf>
    <xf borderId="6" fillId="27" fontId="53" numFmtId="0" xfId="0" applyAlignment="1" applyBorder="1" applyFont="1">
      <alignment horizontal="center" shrinkToFit="0" vertical="center" wrapText="0"/>
    </xf>
    <xf borderId="6" fillId="36" fontId="53" numFmtId="187" xfId="0" applyAlignment="1" applyBorder="1" applyFill="1" applyFont="1" applyNumberFormat="1">
      <alignment horizontal="center" shrinkToFit="0" vertical="center" wrapText="0"/>
    </xf>
    <xf borderId="6" fillId="27" fontId="53" numFmtId="1" xfId="0" applyAlignment="1" applyBorder="1" applyFont="1" applyNumberFormat="1">
      <alignment horizontal="center" readingOrder="0" shrinkToFit="0" vertical="center" wrapText="0"/>
    </xf>
    <xf borderId="95" fillId="28" fontId="126" numFmtId="187" xfId="0" applyAlignment="1" applyBorder="1" applyFont="1" applyNumberFormat="1">
      <alignment horizontal="center" shrinkToFit="0" vertical="top" wrapText="0"/>
    </xf>
    <xf borderId="95" fillId="28" fontId="126" numFmtId="0" xfId="0" applyAlignment="1" applyBorder="1" applyFont="1">
      <alignment horizontal="center" shrinkToFit="0" vertical="top" wrapText="0"/>
    </xf>
    <xf borderId="6" fillId="36" fontId="67" numFmtId="1" xfId="0" applyAlignment="1" applyBorder="1" applyFont="1" applyNumberFormat="1">
      <alignment horizontal="center" shrinkToFit="0" vertical="center" wrapText="0"/>
    </xf>
    <xf borderId="6" fillId="36" fontId="67" numFmtId="187" xfId="0" applyAlignment="1" applyBorder="1" applyFont="1" applyNumberFormat="1">
      <alignment horizontal="center" shrinkToFit="0" vertical="center" wrapText="0"/>
    </xf>
    <xf borderId="103" fillId="37" fontId="57" numFmtId="3" xfId="0" applyAlignment="1" applyBorder="1" applyFill="1" applyFont="1" applyNumberFormat="1">
      <alignment horizontal="center" shrinkToFit="0" vertical="center" wrapText="0"/>
    </xf>
    <xf borderId="2" fillId="0" fontId="69" numFmtId="0" xfId="0" applyAlignment="1" applyBorder="1" applyFont="1">
      <alignment horizontal="center" readingOrder="0"/>
    </xf>
    <xf borderId="0" fillId="27" fontId="57" numFmtId="0" xfId="0" applyAlignment="1" applyFont="1">
      <alignment readingOrder="0" shrinkToFit="0" vertical="center" wrapText="0"/>
    </xf>
    <xf borderId="1" fillId="27" fontId="53" numFmtId="0" xfId="0" applyAlignment="1" applyBorder="1" applyFont="1">
      <alignment horizontal="center" readingOrder="0" shrinkToFit="0" vertical="center" wrapText="0"/>
    </xf>
    <xf borderId="1" fillId="27" fontId="53" numFmtId="184" xfId="0" applyAlignment="1" applyBorder="1" applyFont="1" applyNumberFormat="1">
      <alignment horizontal="center" readingOrder="0" shrinkToFit="0" vertical="center" wrapText="0"/>
    </xf>
    <xf borderId="95" fillId="0" fontId="14" numFmtId="0" xfId="0" applyBorder="1" applyFont="1"/>
    <xf borderId="2" fillId="27" fontId="69" numFmtId="0" xfId="0" applyAlignment="1" applyBorder="1" applyFont="1">
      <alignment readingOrder="0" vertical="bottom"/>
    </xf>
    <xf borderId="127" fillId="0" fontId="61" numFmtId="0" xfId="0" applyAlignment="1" applyBorder="1" applyFont="1">
      <alignment shrinkToFit="0" vertical="center" wrapText="0"/>
    </xf>
    <xf borderId="128" fillId="6" fontId="57" numFmtId="187" xfId="0" applyAlignment="1" applyBorder="1" applyFont="1" applyNumberFormat="1">
      <alignment horizontal="center"/>
    </xf>
    <xf borderId="129" fillId="0" fontId="57" numFmtId="0" xfId="0" applyAlignment="1" applyBorder="1" applyFont="1">
      <alignment shrinkToFit="0" vertical="center" wrapText="0"/>
    </xf>
    <xf borderId="1" fillId="0" fontId="55" numFmtId="0" xfId="0" applyBorder="1" applyFont="1"/>
    <xf borderId="1" fillId="0" fontId="55" numFmtId="0" xfId="0" applyAlignment="1" applyBorder="1" applyFont="1">
      <alignment horizontal="center" vertical="bottom"/>
    </xf>
    <xf borderId="1" fillId="0" fontId="55" numFmtId="0" xfId="0" applyAlignment="1" applyBorder="1" applyFont="1">
      <alignment vertical="bottom"/>
    </xf>
    <xf borderId="130" fillId="0" fontId="61" numFmtId="0" xfId="0" applyAlignment="1" applyBorder="1" applyFont="1">
      <alignment shrinkToFit="0" vertical="center" wrapText="0"/>
    </xf>
    <xf borderId="1" fillId="6" fontId="57" numFmtId="187" xfId="0" applyAlignment="1" applyBorder="1" applyFont="1" applyNumberFormat="1">
      <alignment horizontal="center"/>
    </xf>
    <xf borderId="131" fillId="0" fontId="57" numFmtId="0" xfId="0" applyAlignment="1" applyBorder="1" applyFont="1">
      <alignment shrinkToFit="0" vertical="center" wrapText="0"/>
    </xf>
    <xf borderId="1" fillId="27" fontId="69" numFmtId="0" xfId="0" applyAlignment="1" applyBorder="1" applyFont="1">
      <alignment horizontal="center" readingOrder="0" vertical="center"/>
    </xf>
    <xf borderId="1" fillId="0" fontId="69" numFmtId="0" xfId="0" applyAlignment="1" applyBorder="1" applyFont="1">
      <alignment shrinkToFit="0" wrapText="1"/>
    </xf>
    <xf borderId="1" fillId="6" fontId="57" numFmtId="0" xfId="0" applyAlignment="1" applyBorder="1" applyFont="1">
      <alignment horizontal="center"/>
    </xf>
    <xf borderId="0" fillId="0" fontId="53" numFmtId="0" xfId="0" applyAlignment="1" applyFont="1">
      <alignment shrinkToFit="0" vertical="center" wrapText="0"/>
    </xf>
    <xf borderId="132" fillId="0" fontId="61" numFmtId="0" xfId="0" applyAlignment="1" applyBorder="1" applyFont="1">
      <alignment shrinkToFit="0" vertical="center" wrapText="0"/>
    </xf>
    <xf borderId="87" fillId="6" fontId="57" numFmtId="0" xfId="0" applyAlignment="1" applyBorder="1" applyFont="1">
      <alignment horizontal="center"/>
    </xf>
    <xf borderId="88" fillId="0" fontId="57" numFmtId="0" xfId="0" applyAlignment="1" applyBorder="1" applyFont="1">
      <alignment shrinkToFit="0" vertical="center" wrapText="0"/>
    </xf>
    <xf borderId="1" fillId="6" fontId="53" numFmtId="0" xfId="0" applyAlignment="1" applyBorder="1" applyFont="1">
      <alignment shrinkToFit="0" wrapText="1"/>
    </xf>
    <xf borderId="0" fillId="27" fontId="66" numFmtId="0" xfId="0" applyAlignment="1" applyFont="1">
      <alignment readingOrder="0"/>
    </xf>
    <xf borderId="1" fillId="0" fontId="55" numFmtId="1" xfId="0" applyAlignment="1" applyBorder="1" applyFont="1" applyNumberFormat="1">
      <alignment horizontal="center" vertical="bottom"/>
    </xf>
    <xf borderId="133" fillId="0" fontId="116" numFmtId="0" xfId="0" applyAlignment="1" applyBorder="1" applyFont="1">
      <alignment shrinkToFit="0" vertical="center" wrapText="0"/>
    </xf>
    <xf borderId="134" fillId="0" fontId="14" numFmtId="0" xfId="0" applyBorder="1" applyFont="1"/>
    <xf borderId="128" fillId="0" fontId="57" numFmtId="3" xfId="0" applyAlignment="1" applyBorder="1" applyFont="1" applyNumberFormat="1">
      <alignment horizontal="center" shrinkToFit="0" vertical="center" wrapText="0"/>
    </xf>
    <xf borderId="1" fillId="0" fontId="55" numFmtId="2" xfId="0" applyAlignment="1" applyBorder="1" applyFont="1" applyNumberFormat="1">
      <alignment horizontal="center" vertical="bottom"/>
    </xf>
    <xf borderId="135" fillId="0" fontId="116" numFmtId="0" xfId="0" applyAlignment="1" applyBorder="1" applyFont="1">
      <alignment shrinkToFit="0" vertical="center" wrapText="0"/>
    </xf>
    <xf borderId="1" fillId="0" fontId="57" numFmtId="3" xfId="0" applyAlignment="1" applyBorder="1" applyFont="1" applyNumberFormat="1">
      <alignment horizontal="center" shrinkToFit="0" vertical="center" wrapText="0"/>
    </xf>
    <xf borderId="1" fillId="0" fontId="53" numFmtId="0" xfId="0" applyAlignment="1" applyBorder="1" applyFont="1">
      <alignment shrinkToFit="0" wrapText="1"/>
    </xf>
    <xf borderId="1" fillId="0" fontId="55" numFmtId="187" xfId="0" applyAlignment="1" applyBorder="1" applyFont="1" applyNumberFormat="1">
      <alignment horizontal="center" vertical="bottom"/>
    </xf>
    <xf borderId="1" fillId="0" fontId="67" numFmtId="0" xfId="0" applyBorder="1" applyFont="1"/>
    <xf borderId="131" fillId="0" fontId="66" numFmtId="0" xfId="0" applyBorder="1" applyFont="1"/>
    <xf borderId="131" fillId="0" fontId="57" numFmtId="3" xfId="0" applyAlignment="1" applyBorder="1" applyFont="1" applyNumberFormat="1">
      <alignment horizontal="center" shrinkToFit="0" vertical="center" wrapText="0"/>
    </xf>
    <xf borderId="0" fillId="27" fontId="57" numFmtId="0" xfId="0" applyAlignment="1" applyFont="1">
      <alignment horizontal="center" shrinkToFit="0" vertical="center" wrapText="0"/>
    </xf>
    <xf borderId="0" fillId="0" fontId="41" numFmtId="0" xfId="0" applyAlignment="1" applyFont="1">
      <alignment horizontal="center" vertical="bottom"/>
    </xf>
    <xf borderId="131" fillId="0" fontId="57" numFmtId="0" xfId="0" applyAlignment="1" applyBorder="1" applyFont="1">
      <alignment horizontal="center" shrinkToFit="0" vertical="center" wrapText="0"/>
    </xf>
    <xf borderId="1" fillId="0" fontId="55" numFmtId="0" xfId="0" applyAlignment="1" applyBorder="1" applyFont="1">
      <alignment horizontal="center" readingOrder="0" vertical="bottom"/>
    </xf>
    <xf borderId="1" fillId="0" fontId="55" numFmtId="0" xfId="0" applyAlignment="1" applyBorder="1" applyFont="1">
      <alignment horizontal="left" vertical="center"/>
    </xf>
    <xf borderId="135" fillId="0" fontId="62" numFmtId="0" xfId="0" applyBorder="1" applyFont="1"/>
    <xf borderId="1" fillId="27" fontId="53" numFmtId="0" xfId="0" applyAlignment="1" applyBorder="1" applyFont="1">
      <alignment horizontal="center" shrinkToFit="0" vertical="center" wrapText="0"/>
    </xf>
    <xf borderId="1" fillId="0" fontId="57" numFmtId="0" xfId="0" applyAlignment="1" applyBorder="1" applyFont="1">
      <alignment horizontal="center" shrinkToFit="0" vertical="center" wrapText="0"/>
    </xf>
    <xf borderId="127" fillId="0" fontId="59" numFmtId="0" xfId="0" applyAlignment="1" applyBorder="1" applyFont="1">
      <alignment vertical="center"/>
    </xf>
    <xf borderId="128" fillId="0" fontId="60" numFmtId="0" xfId="0" applyAlignment="1" applyBorder="1" applyFont="1">
      <alignment horizontal="center" vertical="center"/>
    </xf>
    <xf borderId="129" fillId="0" fontId="59" numFmtId="0" xfId="0" applyAlignment="1" applyBorder="1" applyFont="1">
      <alignment vertical="center"/>
    </xf>
    <xf borderId="136" fillId="0" fontId="62" numFmtId="0" xfId="0" applyBorder="1" applyFont="1"/>
    <xf borderId="137" fillId="0" fontId="14" numFmtId="0" xfId="0" applyBorder="1" applyFont="1"/>
    <xf borderId="87" fillId="0" fontId="57" numFmtId="0" xfId="0" applyAlignment="1" applyBorder="1" applyFont="1">
      <alignment horizontal="center" shrinkToFit="0" vertical="center" wrapText="0"/>
    </xf>
    <xf borderId="88" fillId="0" fontId="66" numFmtId="0" xfId="0" applyBorder="1" applyFont="1"/>
    <xf borderId="130" fillId="0" fontId="59" numFmtId="0" xfId="0" applyAlignment="1" applyBorder="1" applyFont="1">
      <alignment vertical="center"/>
    </xf>
    <xf borderId="1" fillId="0" fontId="60" numFmtId="0" xfId="0" applyAlignment="1" applyBorder="1" applyFont="1">
      <alignment horizontal="center" vertical="center"/>
    </xf>
    <xf borderId="131" fillId="0" fontId="59" numFmtId="0" xfId="0" applyAlignment="1" applyBorder="1" applyFont="1">
      <alignment vertical="center"/>
    </xf>
    <xf borderId="0" fillId="0" fontId="116" numFmtId="0" xfId="0" applyAlignment="1" applyFont="1">
      <alignment horizontal="right" shrinkToFit="0" vertical="center" wrapText="0"/>
    </xf>
    <xf borderId="18" fillId="0" fontId="57" numFmtId="0" xfId="0" applyAlignment="1" applyBorder="1" applyFont="1">
      <alignment horizontal="center" readingOrder="0" shrinkToFit="0" vertical="center" wrapText="0"/>
    </xf>
    <xf borderId="0" fillId="0" fontId="116" numFmtId="1" xfId="0" applyAlignment="1" applyFont="1" applyNumberFormat="1">
      <alignment horizontal="left" shrinkToFit="0" vertical="center" wrapText="0"/>
    </xf>
    <xf borderId="90" fillId="0" fontId="60" numFmtId="0" xfId="0" applyAlignment="1" applyBorder="1" applyFont="1">
      <alignment horizontal="center" vertical="center"/>
    </xf>
    <xf borderId="0" fillId="0" fontId="57" numFmtId="1" xfId="0" applyAlignment="1" applyFont="1" applyNumberFormat="1">
      <alignment horizontal="center" shrinkToFit="0" vertical="center" wrapText="0"/>
    </xf>
    <xf borderId="0" fillId="0" fontId="64" numFmtId="0" xfId="0" applyAlignment="1" applyFont="1">
      <alignment shrinkToFit="0" vertical="center" wrapText="0"/>
    </xf>
    <xf borderId="0" fillId="27" fontId="66" numFmtId="0" xfId="0" applyAlignment="1" applyFont="1">
      <alignment horizontal="center" shrinkToFit="0" vertical="center" wrapText="0"/>
    </xf>
    <xf borderId="1" fillId="27" fontId="69" numFmtId="0" xfId="0" applyAlignment="1" applyBorder="1" applyFont="1">
      <alignment horizontal="center" shrinkToFit="0" vertical="center" wrapText="0"/>
    </xf>
    <xf borderId="135" fillId="0" fontId="59" numFmtId="0" xfId="0" applyAlignment="1" applyBorder="1" applyFont="1">
      <alignment vertical="center"/>
    </xf>
    <xf borderId="18" fillId="0" fontId="127" numFmtId="0" xfId="0" applyAlignment="1" applyBorder="1" applyFont="1">
      <alignment horizontal="center" vertical="center"/>
    </xf>
    <xf borderId="138" fillId="0" fontId="59" numFmtId="0" xfId="0" applyAlignment="1" applyBorder="1" applyFont="1">
      <alignment vertical="center"/>
    </xf>
    <xf borderId="0" fillId="0" fontId="117" numFmtId="0" xfId="0" applyAlignment="1" applyFont="1">
      <alignment horizontal="right" shrinkToFit="0" vertical="center" wrapText="0"/>
    </xf>
    <xf borderId="1" fillId="0" fontId="83" numFmtId="1" xfId="0" applyAlignment="1" applyBorder="1" applyFont="1" applyNumberFormat="1">
      <alignment horizontal="center" shrinkToFit="0" vertical="center" wrapText="0"/>
    </xf>
    <xf borderId="1" fillId="0" fontId="128" numFmtId="0" xfId="0" applyAlignment="1" applyBorder="1" applyFont="1">
      <alignment horizontal="center" vertical="center"/>
    </xf>
    <xf borderId="139" fillId="0" fontId="59" numFmtId="0" xfId="0" applyAlignment="1" applyBorder="1" applyFont="1">
      <alignment vertical="center"/>
    </xf>
    <xf borderId="95" fillId="0" fontId="60" numFmtId="0" xfId="0" applyAlignment="1" applyBorder="1" applyFont="1">
      <alignment horizontal="center" vertical="center"/>
    </xf>
    <xf borderId="140" fillId="0" fontId="59" numFmtId="0" xfId="0" applyAlignment="1" applyBorder="1" applyFont="1">
      <alignment vertical="center"/>
    </xf>
    <xf borderId="0" fillId="0" fontId="119" numFmtId="0" xfId="0" applyAlignment="1" applyFont="1">
      <alignment horizontal="right" shrinkToFit="0" vertical="center" wrapText="0"/>
    </xf>
    <xf borderId="1" fillId="0" fontId="41" numFmtId="0" xfId="0" applyAlignment="1" applyBorder="1" applyFont="1">
      <alignment horizontal="center" vertical="center"/>
    </xf>
    <xf borderId="141" fillId="0" fontId="116" numFmtId="0" xfId="0" applyAlignment="1" applyBorder="1" applyFont="1">
      <alignment horizontal="right" shrinkToFit="0" vertical="center" wrapText="0"/>
    </xf>
    <xf borderId="128" fillId="0" fontId="53" numFmtId="0" xfId="0" applyAlignment="1" applyBorder="1" applyFont="1">
      <alignment horizontal="center" shrinkToFit="0" vertical="center" wrapText="0"/>
    </xf>
    <xf borderId="129" fillId="0" fontId="116" numFmtId="0" xfId="0" applyAlignment="1" applyBorder="1" applyFont="1">
      <alignment shrinkToFit="0" vertical="center" wrapText="0"/>
    </xf>
    <xf borderId="0" fillId="0" fontId="124" numFmtId="0" xfId="0" applyAlignment="1" applyFont="1">
      <alignment horizontal="right" shrinkToFit="0" vertical="center" wrapText="0"/>
    </xf>
    <xf borderId="1" fillId="0" fontId="129" numFmtId="0" xfId="0" applyAlignment="1" applyBorder="1" applyFont="1">
      <alignment horizontal="center" vertical="center"/>
    </xf>
    <xf borderId="142" fillId="0" fontId="14" numFmtId="0" xfId="0" applyBorder="1" applyFont="1"/>
    <xf borderId="87" fillId="0" fontId="53" numFmtId="0" xfId="0" applyAlignment="1" applyBorder="1" applyFont="1">
      <alignment horizontal="center" shrinkToFit="0" vertical="center" wrapText="0"/>
    </xf>
    <xf borderId="88" fillId="0" fontId="116" numFmtId="0" xfId="0" applyAlignment="1" applyBorder="1" applyFont="1">
      <alignment shrinkToFit="0" vertical="center" wrapText="0"/>
    </xf>
    <xf borderId="0" fillId="0" fontId="67" numFmtId="0" xfId="0" applyAlignment="1" applyFont="1">
      <alignment shrinkToFit="0" vertical="center" wrapText="0"/>
    </xf>
    <xf borderId="86" fillId="27" fontId="71" numFmtId="0" xfId="0" applyAlignment="1" applyBorder="1" applyFont="1">
      <alignment horizontal="left" vertical="center"/>
    </xf>
    <xf borderId="0" fillId="0" fontId="130" numFmtId="0" xfId="0" applyAlignment="1" applyFont="1">
      <alignment horizontal="center" shrinkToFit="0" vertical="center" wrapText="0"/>
    </xf>
    <xf borderId="0" fillId="0" fontId="131" numFmtId="0" xfId="0" applyAlignment="1" applyFont="1">
      <alignment horizontal="center" shrinkToFit="0" vertical="center" wrapText="0"/>
    </xf>
    <xf borderId="0" fillId="0" fontId="131" numFmtId="1" xfId="0" applyAlignment="1" applyFont="1" applyNumberFormat="1">
      <alignment horizontal="center" shrinkToFit="0" vertical="center" wrapText="0"/>
    </xf>
    <xf borderId="0" fillId="0" fontId="119" numFmtId="0" xfId="0" applyAlignment="1" applyFont="1">
      <alignment horizontal="center" shrinkToFit="0" vertical="center" wrapText="0"/>
    </xf>
    <xf borderId="0" fillId="0" fontId="74" numFmtId="0" xfId="0" applyAlignment="1" applyFont="1">
      <alignment horizontal="center" shrinkToFit="0" vertical="center" wrapText="0"/>
    </xf>
    <xf borderId="0" fillId="0" fontId="74" numFmtId="1" xfId="0" applyAlignment="1" applyFont="1" applyNumberFormat="1">
      <alignment horizontal="center" shrinkToFit="0" vertical="center" wrapText="0"/>
    </xf>
    <xf borderId="0" fillId="0" fontId="124" numFmtId="0" xfId="0" applyAlignment="1" applyFont="1">
      <alignment horizontal="center" shrinkToFit="0" vertical="center" wrapText="0"/>
    </xf>
    <xf borderId="0" fillId="0" fontId="132" numFmtId="0" xfId="0" applyAlignment="1" applyFont="1">
      <alignment horizontal="center" shrinkToFit="0" vertical="center" wrapText="0"/>
    </xf>
    <xf borderId="0" fillId="0" fontId="132" numFmtId="1" xfId="0" applyAlignment="1" applyFont="1" applyNumberFormat="1">
      <alignment horizontal="center" shrinkToFit="0" vertical="center" wrapText="0"/>
    </xf>
    <xf borderId="0" fillId="0" fontId="133" numFmtId="0" xfId="0" applyAlignment="1" applyFont="1">
      <alignment shrinkToFit="0" vertical="center" wrapText="0"/>
    </xf>
    <xf borderId="0" fillId="23" fontId="60" numFmtId="0" xfId="0" applyAlignment="1" applyFont="1">
      <alignment horizontal="center" vertical="center"/>
    </xf>
    <xf borderId="0" fillId="0" fontId="69" numFmtId="0" xfId="0" applyAlignment="1" applyFont="1">
      <alignment horizontal="center" readingOrder="0" shrinkToFit="0" vertical="center" wrapText="0"/>
    </xf>
    <xf borderId="0" fillId="0" fontId="69" numFmtId="0" xfId="0" applyAlignment="1" applyFont="1">
      <alignment horizontal="center" shrinkToFit="0" vertical="center" wrapText="0"/>
    </xf>
    <xf borderId="0" fillId="6" fontId="53" numFmtId="0" xfId="0" applyAlignment="1" applyFont="1">
      <alignment horizontal="center" shrinkToFit="0" vertical="center" wrapText="0"/>
    </xf>
    <xf borderId="0" fillId="25" fontId="59" numFmtId="0" xfId="0" applyAlignment="1" applyFont="1">
      <alignment horizontal="center" vertical="center"/>
    </xf>
    <xf borderId="0" fillId="38" fontId="59" numFmtId="0" xfId="0" applyAlignment="1" applyFill="1" applyFont="1">
      <alignment horizontal="center" vertical="center"/>
    </xf>
    <xf borderId="0" fillId="0" fontId="64" numFmtId="0" xfId="0" applyAlignment="1" applyFont="1">
      <alignment horizontal="left" vertical="center"/>
    </xf>
    <xf borderId="0" fillId="0" fontId="64" numFmtId="0" xfId="0" applyAlignment="1" applyFont="1">
      <alignment horizontal="center" vertical="center"/>
    </xf>
    <xf borderId="0" fillId="0" fontId="64" numFmtId="0" xfId="0" applyAlignment="1" applyFont="1">
      <alignment horizontal="center" vertical="center"/>
    </xf>
    <xf borderId="0" fillId="0" fontId="59" numFmtId="0" xfId="0" applyAlignment="1" applyFont="1">
      <alignment vertical="bottom"/>
    </xf>
    <xf borderId="0" fillId="0" fontId="134" numFmtId="0" xfId="0" applyAlignment="1" applyFont="1">
      <alignment vertical="bottom"/>
    </xf>
    <xf borderId="0" fillId="0" fontId="59" numFmtId="171" xfId="0" applyAlignment="1" applyFont="1" applyNumberFormat="1">
      <alignment horizontal="center" vertical="bottom"/>
    </xf>
    <xf borderId="0" fillId="0" fontId="59" numFmtId="0" xfId="0" applyAlignment="1" applyFont="1">
      <alignment horizontal="center" vertical="bottom"/>
    </xf>
    <xf borderId="0" fillId="0" fontId="59" numFmtId="187" xfId="0" applyAlignment="1" applyFont="1" applyNumberFormat="1">
      <alignment horizontal="center" vertical="bottom"/>
    </xf>
    <xf borderId="0" fillId="0" fontId="59" numFmtId="185" xfId="0" applyAlignment="1" applyFont="1" applyNumberFormat="1">
      <alignment horizontal="center" vertical="bottom"/>
    </xf>
    <xf borderId="0" fillId="0" fontId="134" numFmtId="0" xfId="0" applyAlignment="1" applyFont="1">
      <alignment vertical="bottom"/>
    </xf>
    <xf borderId="0" fillId="0" fontId="59" numFmtId="1" xfId="0" applyAlignment="1" applyFont="1" applyNumberFormat="1">
      <alignment horizontal="center" vertical="bottom"/>
    </xf>
    <xf borderId="0" fillId="0" fontId="59" numFmtId="2" xfId="0" applyAlignment="1" applyFont="1" applyNumberFormat="1">
      <alignment horizontal="center" vertical="bottom"/>
    </xf>
    <xf borderId="0" fillId="0" fontId="59" numFmtId="0" xfId="0" applyAlignment="1" applyFont="1">
      <alignment readingOrder="0" vertical="bottom"/>
    </xf>
    <xf borderId="0" fillId="0" fontId="59" numFmtId="0" xfId="0" applyAlignment="1" applyFont="1">
      <alignment horizontal="center" readingOrder="0" vertical="bottom"/>
    </xf>
    <xf borderId="0" fillId="12" fontId="59" numFmtId="0" xfId="0" applyAlignment="1" applyFont="1">
      <alignment vertical="bottom"/>
    </xf>
    <xf borderId="0" fillId="12" fontId="59" numFmtId="0" xfId="0" applyAlignment="1" applyFont="1">
      <alignment readingOrder="0" vertical="bottom"/>
    </xf>
    <xf borderId="0" fillId="12" fontId="134" numFmtId="0" xfId="0" applyAlignment="1" applyFont="1">
      <alignment vertical="bottom"/>
    </xf>
    <xf borderId="0" fillId="12" fontId="59" numFmtId="171" xfId="0" applyAlignment="1" applyFont="1" applyNumberFormat="1">
      <alignment horizontal="center" vertical="bottom"/>
    </xf>
    <xf borderId="0" fillId="12" fontId="59" numFmtId="0" xfId="0" applyAlignment="1" applyFont="1">
      <alignment horizontal="center" readingOrder="0" vertical="bottom"/>
    </xf>
    <xf borderId="0" fillId="12" fontId="59" numFmtId="187" xfId="0" applyAlignment="1" applyFont="1" applyNumberFormat="1">
      <alignment horizontal="center" vertical="bottom"/>
    </xf>
    <xf borderId="0" fillId="12" fontId="59" numFmtId="1" xfId="0" applyAlignment="1" applyFont="1" applyNumberFormat="1">
      <alignment horizontal="center" readingOrder="0" vertical="bottom"/>
    </xf>
    <xf borderId="0" fillId="12" fontId="59" numFmtId="1" xfId="0" applyAlignment="1" applyFont="1" applyNumberFormat="1">
      <alignment horizontal="center" vertical="bottom"/>
    </xf>
    <xf borderId="0" fillId="12" fontId="59" numFmtId="2" xfId="0" applyAlignment="1" applyFont="1" applyNumberFormat="1">
      <alignment horizontal="center" vertical="bottom"/>
    </xf>
    <xf borderId="0" fillId="12" fontId="134" numFmtId="0" xfId="0" applyAlignment="1" applyFont="1">
      <alignment vertical="bottom"/>
    </xf>
    <xf borderId="0" fillId="0" fontId="134" numFmtId="171" xfId="0" applyAlignment="1" applyFont="1" applyNumberFormat="1">
      <alignment vertical="bottom"/>
    </xf>
    <xf borderId="0" fillId="0" fontId="134" numFmtId="187" xfId="0" applyAlignment="1" applyFont="1" applyNumberFormat="1">
      <alignment vertical="bottom"/>
    </xf>
    <xf borderId="0" fillId="6" fontId="134" numFmtId="0" xfId="0" applyAlignment="1" applyFont="1">
      <alignment vertical="bottom"/>
    </xf>
    <xf borderId="0" fillId="0" fontId="134" numFmtId="185" xfId="0" applyAlignment="1" applyFont="1" applyNumberFormat="1">
      <alignment vertical="bottom"/>
    </xf>
    <xf borderId="0" fillId="6" fontId="59" numFmtId="0" xfId="0" applyAlignment="1" applyFont="1">
      <alignment horizontal="center" vertical="bottom"/>
    </xf>
    <xf borderId="0" fillId="0" fontId="59" numFmtId="4" xfId="0" applyAlignment="1" applyFont="1" applyNumberFormat="1">
      <alignment horizontal="center" vertical="bottom"/>
    </xf>
    <xf borderId="0" fillId="39" fontId="59" numFmtId="0" xfId="0" applyFill="1" applyFont="1"/>
    <xf borderId="0" fillId="39" fontId="50" numFmtId="0" xfId="0" applyFont="1"/>
    <xf borderId="0" fillId="39" fontId="59" numFmtId="171" xfId="0" applyAlignment="1" applyFont="1" applyNumberFormat="1">
      <alignment horizontal="center" vertical="bottom"/>
    </xf>
    <xf borderId="0" fillId="39" fontId="59" numFmtId="0" xfId="0" applyAlignment="1" applyFont="1">
      <alignment horizontal="center"/>
    </xf>
    <xf borderId="0" fillId="39" fontId="59" numFmtId="187" xfId="0" applyAlignment="1" applyFont="1" applyNumberFormat="1">
      <alignment horizontal="center" vertical="bottom"/>
    </xf>
    <xf borderId="0" fillId="39" fontId="59" numFmtId="185" xfId="0" applyAlignment="1" applyFont="1" applyNumberFormat="1">
      <alignment horizontal="center" vertical="bottom"/>
    </xf>
    <xf borderId="0" fillId="39" fontId="50" numFmtId="0" xfId="0" applyFont="1"/>
    <xf borderId="0" fillId="39" fontId="59" numFmtId="0" xfId="0" applyAlignment="1" applyFont="1">
      <alignment vertical="bottom"/>
    </xf>
    <xf borderId="0" fillId="39" fontId="50" numFmtId="0" xfId="0" applyAlignment="1" applyFont="1">
      <alignment vertical="bottom"/>
    </xf>
    <xf borderId="0" fillId="39" fontId="59" numFmtId="0" xfId="0" applyAlignment="1" applyFont="1">
      <alignment horizontal="center" vertical="bottom"/>
    </xf>
    <xf borderId="0" fillId="39" fontId="59" numFmtId="0" xfId="0" applyAlignment="1" applyFont="1">
      <alignment horizontal="center" readingOrder="0" vertical="bottom"/>
    </xf>
    <xf borderId="0" fillId="39" fontId="50" numFmtId="0" xfId="0" applyAlignment="1" applyFont="1">
      <alignment vertical="bottom"/>
    </xf>
    <xf borderId="0" fillId="25" fontId="59" numFmtId="0" xfId="0" applyAlignment="1" applyFont="1">
      <alignment vertical="bottom"/>
    </xf>
    <xf borderId="0" fillId="25" fontId="59" numFmtId="0" xfId="0" applyAlignment="1" applyFont="1">
      <alignment readingOrder="0" vertical="bottom"/>
    </xf>
    <xf borderId="0" fillId="25" fontId="50" numFmtId="0" xfId="0" applyAlignment="1" applyFont="1">
      <alignment vertical="bottom"/>
    </xf>
    <xf borderId="0" fillId="25" fontId="59" numFmtId="171" xfId="0" applyAlignment="1" applyFont="1" applyNumberFormat="1">
      <alignment horizontal="center" vertical="bottom"/>
    </xf>
    <xf borderId="0" fillId="25" fontId="59" numFmtId="0" xfId="0" applyAlignment="1" applyFont="1">
      <alignment horizontal="center" readingOrder="0" vertical="bottom"/>
    </xf>
    <xf borderId="0" fillId="25" fontId="59" numFmtId="0" xfId="0" applyAlignment="1" applyFont="1">
      <alignment horizontal="center" vertical="bottom"/>
    </xf>
    <xf borderId="0" fillId="25" fontId="59" numFmtId="187" xfId="0" applyAlignment="1" applyFont="1" applyNumberFormat="1">
      <alignment horizontal="center" vertical="bottom"/>
    </xf>
    <xf borderId="0" fillId="25" fontId="59" numFmtId="185" xfId="0" applyAlignment="1" applyFont="1" applyNumberFormat="1">
      <alignment horizontal="center" vertical="bottom"/>
    </xf>
    <xf borderId="0" fillId="25" fontId="50" numFmtId="0" xfId="0" applyAlignment="1" applyFont="1">
      <alignment vertical="bottom"/>
    </xf>
    <xf borderId="0" fillId="0" fontId="64" numFmtId="0" xfId="0" applyAlignment="1" applyFont="1">
      <alignment horizontal="left" vertical="center"/>
    </xf>
    <xf borderId="0" fillId="0" fontId="135" numFmtId="0" xfId="0" applyAlignment="1" applyFont="1">
      <alignment horizontal="center" vertical="center"/>
    </xf>
    <xf borderId="0" fillId="0" fontId="64" numFmtId="1" xfId="0" applyAlignment="1" applyFont="1" applyNumberFormat="1">
      <alignment horizontal="center" vertical="center"/>
    </xf>
    <xf borderId="0" fillId="23" fontId="62" numFmtId="0" xfId="0" applyAlignment="1" applyFont="1">
      <alignment horizontal="center" vertical="center"/>
    </xf>
    <xf borderId="0" fillId="0" fontId="83" numFmtId="0" xfId="0" applyAlignment="1" applyFont="1">
      <alignment horizontal="center" shrinkToFit="0" vertical="center" wrapText="1"/>
    </xf>
    <xf borderId="0" fillId="0" fontId="136" numFmtId="0" xfId="0" applyFont="1"/>
    <xf borderId="0" fillId="0" fontId="64" numFmtId="171" xfId="0" applyAlignment="1" applyFont="1" applyNumberFormat="1">
      <alignment horizontal="center" vertical="center"/>
    </xf>
    <xf borderId="0" fillId="0" fontId="64" numFmtId="3" xfId="0" applyAlignment="1" applyFont="1" applyNumberFormat="1">
      <alignment horizontal="center" vertical="center"/>
    </xf>
    <xf borderId="0" fillId="6" fontId="64" numFmtId="3" xfId="0" applyAlignment="1" applyFont="1" applyNumberFormat="1">
      <alignment horizontal="center" vertical="center"/>
    </xf>
    <xf borderId="0" fillId="0" fontId="64" numFmtId="184" xfId="0" applyAlignment="1" applyFont="1" applyNumberFormat="1">
      <alignment horizontal="center" vertical="center"/>
    </xf>
    <xf borderId="0" fillId="6" fontId="64" numFmtId="3" xfId="0" applyAlignment="1" applyFont="1" applyNumberFormat="1">
      <alignment horizontal="center" shrinkToFit="0" vertical="center" wrapText="1"/>
    </xf>
    <xf borderId="0" fillId="6" fontId="64" numFmtId="184" xfId="0" applyAlignment="1" applyFont="1" applyNumberFormat="1">
      <alignment horizontal="center" vertical="center"/>
    </xf>
    <xf borderId="0" fillId="0" fontId="64" numFmtId="166" xfId="0" applyAlignment="1" applyFont="1" applyNumberFormat="1">
      <alignment horizontal="center" vertical="center"/>
    </xf>
    <xf borderId="0" fillId="6" fontId="64" numFmtId="188" xfId="0" applyAlignment="1" applyFont="1" applyNumberFormat="1">
      <alignment horizontal="center" vertical="center"/>
    </xf>
    <xf borderId="0" fillId="0" fontId="64" numFmtId="0" xfId="0" applyAlignment="1" applyFont="1">
      <alignment horizontal="left" readingOrder="0" vertical="center"/>
    </xf>
    <xf borderId="0" fillId="0" fontId="64" numFmtId="3" xfId="0" applyAlignment="1" applyFont="1" applyNumberFormat="1">
      <alignment horizontal="center" readingOrder="0" vertical="center"/>
    </xf>
    <xf borderId="0" fillId="0" fontId="64" numFmtId="166" xfId="0" applyAlignment="1" applyFont="1" applyNumberFormat="1">
      <alignment horizontal="center" readingOrder="0" vertical="center"/>
    </xf>
    <xf borderId="0" fillId="0" fontId="137" numFmtId="0" xfId="0" applyAlignment="1" applyFont="1">
      <alignment horizontal="center"/>
    </xf>
    <xf borderId="0" fillId="0" fontId="59" numFmtId="171" xfId="0" applyAlignment="1" applyFont="1" applyNumberFormat="1">
      <alignment horizontal="center"/>
    </xf>
    <xf borderId="0" fillId="0" fontId="134" numFmtId="0" xfId="0" applyFont="1"/>
    <xf borderId="0" fillId="0" fontId="59" numFmtId="3" xfId="0" applyAlignment="1" applyFont="1" applyNumberFormat="1">
      <alignment horizontal="center"/>
    </xf>
    <xf borderId="0" fillId="0" fontId="134" numFmtId="3" xfId="0" applyFont="1" applyNumberFormat="1"/>
    <xf borderId="0" fillId="0" fontId="59" numFmtId="0" xfId="0" applyAlignment="1" applyFont="1">
      <alignment horizontal="center"/>
    </xf>
    <xf borderId="0" fillId="33" fontId="64" numFmtId="0" xfId="0" applyAlignment="1" applyFont="1">
      <alignment horizontal="left" vertical="center"/>
    </xf>
    <xf borderId="0" fillId="33" fontId="135" numFmtId="0" xfId="0" applyAlignment="1" applyFont="1">
      <alignment horizontal="center" vertical="center"/>
    </xf>
    <xf borderId="0" fillId="33" fontId="64" numFmtId="171" xfId="0" applyAlignment="1" applyFont="1" applyNumberFormat="1">
      <alignment horizontal="center" vertical="center"/>
    </xf>
    <xf borderId="0" fillId="33" fontId="64" numFmtId="0" xfId="0" applyAlignment="1" applyFont="1">
      <alignment horizontal="center" vertical="center"/>
    </xf>
    <xf borderId="0" fillId="33" fontId="64" numFmtId="3" xfId="0" applyAlignment="1" applyFont="1" applyNumberFormat="1">
      <alignment horizontal="center" vertical="center"/>
    </xf>
    <xf borderId="0" fillId="33" fontId="64" numFmtId="3" xfId="0" applyAlignment="1" applyFont="1" applyNumberFormat="1">
      <alignment horizontal="center" readingOrder="0" vertical="center"/>
    </xf>
    <xf borderId="0" fillId="6" fontId="64" numFmtId="3" xfId="0" applyAlignment="1" applyFont="1" applyNumberFormat="1">
      <alignment horizontal="center" readingOrder="0" vertical="center"/>
    </xf>
    <xf borderId="0" fillId="0" fontId="64" numFmtId="0" xfId="0" applyAlignment="1" applyFont="1">
      <alignment horizontal="center" readingOrder="0" vertical="center"/>
    </xf>
    <xf borderId="0" fillId="23" fontId="59" numFmtId="0" xfId="0" applyFont="1"/>
    <xf borderId="0" fillId="23" fontId="137" numFmtId="0" xfId="0" applyAlignment="1" applyFont="1">
      <alignment horizontal="center" readingOrder="0"/>
    </xf>
    <xf borderId="0" fillId="23" fontId="59" numFmtId="171" xfId="0" applyAlignment="1" applyFont="1" applyNumberFormat="1">
      <alignment horizontal="center"/>
    </xf>
    <xf borderId="0" fillId="23" fontId="50" numFmtId="0" xfId="0" applyFont="1"/>
    <xf borderId="0" fillId="23" fontId="59" numFmtId="3" xfId="0" applyAlignment="1" applyFont="1" applyNumberFormat="1">
      <alignment horizontal="center"/>
    </xf>
    <xf borderId="0" fillId="23" fontId="59" numFmtId="0" xfId="0" applyAlignment="1" applyFont="1">
      <alignment horizontal="center"/>
    </xf>
    <xf borderId="0" fillId="6" fontId="138" numFmtId="0" xfId="0" applyAlignment="1" applyFont="1">
      <alignment horizontal="left" vertical="center"/>
    </xf>
    <xf borderId="0" fillId="6" fontId="135" numFmtId="0" xfId="0" applyAlignment="1" applyFont="1">
      <alignment horizontal="center" vertical="center"/>
    </xf>
    <xf borderId="0" fillId="23" fontId="62" numFmtId="0" xfId="0" applyAlignment="1" applyFont="1">
      <alignment horizontal="left" vertical="center"/>
    </xf>
    <xf borderId="0" fillId="0" fontId="69" numFmtId="0" xfId="0" applyAlignment="1" applyFont="1">
      <alignment horizontal="center" shrinkToFit="0" vertical="center" wrapText="1"/>
    </xf>
    <xf borderId="0" fillId="25" fontId="64" numFmtId="0" xfId="0" applyAlignment="1" applyFont="1">
      <alignment horizontal="center" vertical="center"/>
    </xf>
    <xf borderId="0" fillId="38" fontId="64" numFmtId="0" xfId="0" applyAlignment="1" applyFont="1">
      <alignment horizontal="center" vertical="center"/>
    </xf>
    <xf borderId="0" fillId="0" fontId="64" numFmtId="0" xfId="0" applyAlignment="1" applyFont="1">
      <alignment horizontal="left" shrinkToFit="0" vertical="center" wrapText="0"/>
    </xf>
    <xf borderId="0" fillId="0" fontId="135" numFmtId="0" xfId="0" applyAlignment="1" applyFont="1">
      <alignment horizontal="center" shrinkToFit="0" vertical="center" wrapText="0"/>
    </xf>
    <xf borderId="0" fillId="0" fontId="64" numFmtId="171" xfId="0" applyAlignment="1" applyFont="1" applyNumberFormat="1">
      <alignment horizontal="center" shrinkToFit="0" vertical="center" wrapText="0"/>
    </xf>
    <xf borderId="0" fillId="0" fontId="64" numFmtId="187" xfId="0" applyAlignment="1" applyFont="1" applyNumberFormat="1">
      <alignment horizontal="center" vertical="center"/>
    </xf>
    <xf borderId="0" fillId="0" fontId="59" numFmtId="0" xfId="0" applyAlignment="1" applyFont="1">
      <alignment horizontal="center" vertical="center"/>
    </xf>
    <xf borderId="0" fillId="0" fontId="111" numFmtId="0" xfId="0" applyAlignment="1" applyFont="1">
      <alignment vertical="center"/>
    </xf>
    <xf borderId="0" fillId="0" fontId="111" numFmtId="0" xfId="0" applyAlignment="1" applyFont="1">
      <alignment horizontal="center" vertical="center"/>
    </xf>
    <xf borderId="0" fillId="0" fontId="69" numFmtId="0" xfId="0" applyAlignment="1" applyFont="1">
      <alignment readingOrder="0" vertical="center"/>
    </xf>
    <xf borderId="0" fillId="0" fontId="59" numFmtId="0" xfId="0" applyAlignment="1" applyFont="1">
      <alignment horizontal="center" readingOrder="0" vertical="center"/>
    </xf>
    <xf borderId="143" fillId="0" fontId="60" numFmtId="0" xfId="0" applyAlignment="1" applyBorder="1" applyFont="1">
      <alignment readingOrder="0" vertical="center"/>
    </xf>
    <xf borderId="144" fillId="27" fontId="111" numFmtId="0" xfId="0" applyAlignment="1" applyBorder="1" applyFont="1">
      <alignment horizontal="center" readingOrder="0" vertical="center"/>
    </xf>
    <xf borderId="145" fillId="0" fontId="60" numFmtId="0" xfId="0" applyAlignment="1" applyBorder="1" applyFont="1">
      <alignment readingOrder="0" vertical="center"/>
    </xf>
    <xf borderId="146" fillId="27" fontId="111" numFmtId="189" xfId="0" applyAlignment="1" applyBorder="1" applyFont="1" applyNumberFormat="1">
      <alignment horizontal="center" readingOrder="0" vertical="center"/>
    </xf>
    <xf borderId="146" fillId="28" fontId="111" numFmtId="190" xfId="0" applyAlignment="1" applyBorder="1" applyFont="1" applyNumberFormat="1">
      <alignment horizontal="center" readingOrder="0" vertical="center"/>
    </xf>
    <xf borderId="146" fillId="27" fontId="139" numFmtId="191" xfId="0" applyAlignment="1" applyBorder="1" applyFont="1" applyNumberFormat="1">
      <alignment horizontal="center" readingOrder="0" vertical="center"/>
    </xf>
    <xf borderId="147" fillId="0" fontId="60" numFmtId="0" xfId="0" applyAlignment="1" applyBorder="1" applyFont="1">
      <alignment readingOrder="0" vertical="center"/>
    </xf>
    <xf borderId="148" fillId="27" fontId="139" numFmtId="0" xfId="0" applyAlignment="1" applyBorder="1" applyFont="1">
      <alignment horizontal="center" readingOrder="0" vertical="center"/>
    </xf>
    <xf borderId="0" fillId="0" fontId="111" numFmtId="0" xfId="0" applyAlignment="1" applyFont="1">
      <alignment horizontal="center" readingOrder="0" vertical="center"/>
    </xf>
    <xf borderId="0" fillId="0" fontId="139" numFmtId="191" xfId="0" applyAlignment="1" applyFont="1" applyNumberFormat="1">
      <alignment horizontal="center" vertical="center"/>
    </xf>
    <xf borderId="0" fillId="0" fontId="60" numFmtId="191" xfId="0" applyAlignment="1" applyFont="1" applyNumberFormat="1">
      <alignment horizontal="center" vertical="center"/>
    </xf>
    <xf borderId="0" fillId="0" fontId="111" numFmtId="0" xfId="0" applyAlignment="1" applyFont="1">
      <alignment readingOrder="0" vertical="center"/>
    </xf>
    <xf borderId="143" fillId="0" fontId="111" numFmtId="0" xfId="0" applyAlignment="1" applyBorder="1" applyFont="1">
      <alignment readingOrder="0" vertical="center"/>
    </xf>
    <xf borderId="144" fillId="6" fontId="83" numFmtId="187" xfId="0" applyAlignment="1" applyBorder="1" applyFont="1" applyNumberFormat="1">
      <alignment horizontal="center" vertical="center"/>
    </xf>
    <xf borderId="0" fillId="6" fontId="140" numFmtId="0" xfId="0" applyAlignment="1" applyFont="1">
      <alignment vertical="center"/>
    </xf>
    <xf borderId="0" fillId="6" fontId="63" numFmtId="0" xfId="0" applyAlignment="1" applyFont="1">
      <alignment vertical="center"/>
    </xf>
    <xf borderId="145" fillId="0" fontId="111" numFmtId="0" xfId="0" applyAlignment="1" applyBorder="1" applyFont="1">
      <alignment readingOrder="0" vertical="center"/>
    </xf>
    <xf borderId="146" fillId="6" fontId="83" numFmtId="187" xfId="0" applyAlignment="1" applyBorder="1" applyFont="1" applyNumberFormat="1">
      <alignment horizontal="center" vertical="center"/>
    </xf>
    <xf borderId="145" fillId="0" fontId="59" numFmtId="0" xfId="0" applyAlignment="1" applyBorder="1" applyFont="1">
      <alignment readingOrder="0" vertical="center"/>
    </xf>
    <xf borderId="146" fillId="0" fontId="83" numFmtId="187" xfId="0" applyAlignment="1" applyBorder="1" applyFont="1" applyNumberFormat="1">
      <alignment horizontal="center" vertical="center"/>
    </xf>
    <xf borderId="0" fillId="6" fontId="141" numFmtId="0" xfId="0" applyAlignment="1" applyFont="1">
      <alignment vertical="center"/>
    </xf>
    <xf borderId="147" fillId="0" fontId="59" numFmtId="0" xfId="0" applyAlignment="1" applyBorder="1" applyFont="1">
      <alignment readingOrder="0" vertical="center"/>
    </xf>
    <xf borderId="148" fillId="6" fontId="83" numFmtId="187" xfId="0" applyAlignment="1" applyBorder="1" applyFont="1" applyNumberFormat="1">
      <alignment horizontal="center" vertical="center"/>
    </xf>
    <xf borderId="0" fillId="0" fontId="142" numFmtId="0" xfId="0" applyFont="1"/>
    <xf borderId="0" fillId="0" fontId="143" numFmtId="0" xfId="0" applyFont="1"/>
    <xf borderId="0" fillId="0" fontId="144" numFmtId="0" xfId="0" applyFont="1"/>
    <xf borderId="0" fillId="0" fontId="145" numFmtId="0" xfId="0" applyFont="1"/>
    <xf borderId="1" fillId="0" fontId="146" numFmtId="0" xfId="0" applyAlignment="1" applyBorder="1" applyFont="1">
      <alignment horizontal="left" vertical="center"/>
    </xf>
    <xf borderId="1" fillId="0" fontId="147" numFmtId="0" xfId="0" applyAlignment="1" applyBorder="1" applyFont="1">
      <alignment horizontal="center" vertical="center"/>
    </xf>
    <xf borderId="0" fillId="0" fontId="148" numFmtId="0" xfId="0" applyAlignment="1" applyFont="1">
      <alignment vertical="bottom"/>
    </xf>
    <xf borderId="0" fillId="0" fontId="149" numFmtId="191" xfId="0" applyAlignment="1" applyFont="1" applyNumberFormat="1">
      <alignment horizontal="center" vertical="bottom"/>
    </xf>
    <xf borderId="0" fillId="0" fontId="150" numFmtId="191" xfId="0" applyAlignment="1" applyFont="1" applyNumberFormat="1">
      <alignment horizontal="center" vertical="bottom"/>
    </xf>
    <xf borderId="1" fillId="0" fontId="151" numFmtId="0" xfId="0" applyAlignment="1" applyBorder="1" applyFont="1">
      <alignment horizontal="left" vertical="center"/>
    </xf>
    <xf borderId="1" fillId="0" fontId="151" numFmtId="0" xfId="0" applyAlignment="1" applyBorder="1" applyFont="1">
      <alignment horizontal="center" vertical="center"/>
    </xf>
    <xf borderId="1" fillId="0" fontId="143" numFmtId="0" xfId="0" applyBorder="1" applyFont="1"/>
    <xf borderId="1" fillId="0" fontId="142" numFmtId="0" xfId="0" applyBorder="1" applyFont="1"/>
    <xf borderId="1" fillId="0" fontId="50" numFmtId="0" xfId="0" applyBorder="1" applyFont="1"/>
    <xf borderId="0" fillId="0" fontId="152" numFmtId="0" xfId="0" applyAlignment="1" applyFont="1">
      <alignment horizontal="center" vertical="center"/>
    </xf>
    <xf borderId="21" fillId="0" fontId="41" numFmtId="0" xfId="0" applyAlignment="1" applyBorder="1" applyFont="1">
      <alignment horizontal="center" vertical="center"/>
    </xf>
    <xf borderId="77" fillId="0" fontId="41" numFmtId="0" xfId="0" applyAlignment="1" applyBorder="1" applyFont="1">
      <alignment horizontal="center" vertical="center"/>
    </xf>
    <xf borderId="128" fillId="0" fontId="41" numFmtId="0" xfId="0" applyAlignment="1" applyBorder="1" applyFont="1">
      <alignment horizontal="center" vertical="center"/>
    </xf>
    <xf borderId="149" fillId="0" fontId="41" numFmtId="0" xfId="0" applyAlignment="1" applyBorder="1" applyFont="1">
      <alignment horizontal="center" vertical="center"/>
    </xf>
    <xf borderId="150" fillId="0" fontId="14" numFmtId="0" xfId="0" applyBorder="1" applyFont="1"/>
    <xf borderId="0" fillId="0" fontId="41" numFmtId="0" xfId="0" applyAlignment="1" applyFont="1">
      <alignment horizontal="center" vertical="center"/>
    </xf>
    <xf borderId="151" fillId="0" fontId="41" numFmtId="0" xfId="0" applyAlignment="1" applyBorder="1" applyFont="1">
      <alignment horizontal="center" vertical="center"/>
    </xf>
    <xf borderId="126" fillId="0" fontId="14" numFmtId="0" xfId="0" applyBorder="1" applyFont="1"/>
    <xf borderId="82" fillId="0" fontId="41" numFmtId="0" xfId="0" applyAlignment="1" applyBorder="1" applyFont="1">
      <alignment horizontal="center" vertical="center"/>
    </xf>
    <xf borderId="87" fillId="0" fontId="41" numFmtId="0" xfId="0" applyAlignment="1" applyBorder="1" applyFont="1">
      <alignment horizontal="center" vertical="center"/>
    </xf>
    <xf borderId="88" fillId="0" fontId="41" numFmtId="0" xfId="0" applyAlignment="1" applyBorder="1" applyFont="1">
      <alignment horizontal="center" vertical="center"/>
    </xf>
    <xf borderId="152" fillId="0" fontId="41" numFmtId="0" xfId="0" applyAlignment="1" applyBorder="1" applyFont="1">
      <alignment horizontal="center" vertical="center"/>
    </xf>
    <xf borderId="95" fillId="0" fontId="41" numFmtId="0" xfId="0" applyAlignment="1" applyBorder="1" applyFont="1">
      <alignment horizontal="center" vertical="center"/>
    </xf>
    <xf borderId="94" fillId="0" fontId="41" numFmtId="0" xfId="0" applyAlignment="1" applyBorder="1" applyFont="1">
      <alignment horizontal="center" vertical="center"/>
    </xf>
    <xf borderId="103" fillId="0" fontId="41" numFmtId="0" xfId="0" applyAlignment="1" applyBorder="1" applyFont="1">
      <alignment horizontal="center" vertical="center"/>
    </xf>
    <xf borderId="6" fillId="0" fontId="41" numFmtId="0" xfId="0" applyAlignment="1" applyBorder="1" applyFont="1">
      <alignment horizontal="center" vertical="center"/>
    </xf>
    <xf borderId="128" fillId="38" fontId="41" numFmtId="0" xfId="0" applyAlignment="1" applyBorder="1" applyFont="1">
      <alignment horizontal="center" vertical="center"/>
    </xf>
    <xf borderId="128" fillId="40" fontId="41" numFmtId="0" xfId="0" applyAlignment="1" applyBorder="1" applyFill="1" applyFont="1">
      <alignment horizontal="center" vertical="center"/>
    </xf>
    <xf borderId="129" fillId="40" fontId="41" numFmtId="0" xfId="0" applyAlignment="1" applyBorder="1" applyFont="1">
      <alignment horizontal="center" vertical="center"/>
    </xf>
    <xf borderId="153" fillId="0" fontId="14" numFmtId="0" xfId="0" applyBorder="1" applyFont="1"/>
    <xf borderId="1" fillId="38" fontId="41" numFmtId="0" xfId="0" applyAlignment="1" applyBorder="1" applyFont="1">
      <alignment horizontal="center" vertical="center"/>
    </xf>
    <xf borderId="1" fillId="40" fontId="41" numFmtId="0" xfId="0" applyAlignment="1" applyBorder="1" applyFont="1">
      <alignment horizontal="center" vertical="center"/>
    </xf>
    <xf borderId="131" fillId="40" fontId="41" numFmtId="0" xfId="0" applyAlignment="1" applyBorder="1" applyFont="1">
      <alignment horizontal="center" vertical="center"/>
    </xf>
    <xf borderId="87" fillId="38" fontId="41" numFmtId="0" xfId="0" applyAlignment="1" applyBorder="1" applyFont="1">
      <alignment horizontal="center" vertical="center"/>
    </xf>
    <xf borderId="87" fillId="40" fontId="41" numFmtId="0" xfId="0" applyAlignment="1" applyBorder="1" applyFont="1">
      <alignment horizontal="center" vertical="center"/>
    </xf>
    <xf borderId="88" fillId="40" fontId="41" numFmtId="0" xfId="0" applyAlignment="1" applyBorder="1" applyFont="1">
      <alignment horizontal="center" vertical="center"/>
    </xf>
    <xf borderId="1" fillId="0" fontId="41" numFmtId="1" xfId="0" applyAlignment="1" applyBorder="1" applyFont="1" applyNumberFormat="1">
      <alignment horizontal="center" vertical="center"/>
    </xf>
    <xf borderId="87" fillId="0" fontId="41" numFmtId="1" xfId="0" applyAlignment="1" applyBorder="1" applyFont="1" applyNumberFormat="1">
      <alignment horizontal="center" vertical="center"/>
    </xf>
    <xf borderId="2" fillId="0" fontId="41" numFmtId="0" xfId="0" applyAlignment="1" applyBorder="1" applyFont="1">
      <alignment horizontal="center" vertical="center"/>
    </xf>
    <xf borderId="1" fillId="41" fontId="41" numFmtId="0" xfId="0" applyAlignment="1" applyBorder="1" applyFill="1" applyFont="1">
      <alignment horizontal="center" vertical="center"/>
    </xf>
    <xf borderId="0" fillId="23" fontId="41" numFmtId="0" xfId="0" applyAlignment="1" applyFont="1">
      <alignment horizontal="center" vertical="center"/>
    </xf>
    <xf borderId="0" fillId="0" fontId="153" numFmtId="0" xfId="0" applyAlignment="1" applyFont="1">
      <alignment horizontal="center" vertical="center"/>
    </xf>
    <xf borderId="0" fillId="14" fontId="154" numFmtId="0" xfId="0" applyAlignment="1" applyFont="1">
      <alignment readingOrder="0" vertical="center"/>
    </xf>
    <xf borderId="0" fillId="0" fontId="155" numFmtId="0" xfId="0" applyAlignment="1" applyFont="1">
      <alignment readingOrder="0" vertical="center"/>
    </xf>
    <xf borderId="0" fillId="0" fontId="156" numFmtId="0" xfId="0" applyAlignment="1" applyFont="1">
      <alignment readingOrder="0" vertical="center"/>
    </xf>
    <xf borderId="0" fillId="0" fontId="155" numFmtId="0" xfId="0" applyAlignment="1" applyFont="1">
      <alignment readingOrder="0" vertical="center"/>
    </xf>
    <xf borderId="0" fillId="0" fontId="155" numFmtId="0" xfId="0" applyAlignment="1" applyFont="1">
      <alignment vertical="center"/>
    </xf>
    <xf borderId="0" fillId="0" fontId="155" numFmtId="0" xfId="0" applyAlignment="1" applyFont="1">
      <alignment readingOrder="0" shrinkToFit="0" vertical="center" wrapText="1"/>
    </xf>
    <xf borderId="0" fillId="0" fontId="157" numFmtId="0" xfId="0" applyAlignment="1" applyFont="1">
      <alignment readingOrder="0" vertical="center"/>
    </xf>
    <xf borderId="154" fillId="0" fontId="22" numFmtId="0" xfId="0" applyAlignment="1" applyBorder="1" applyFont="1">
      <alignment horizontal="center" readingOrder="0" shrinkToFit="0" vertical="center" wrapText="1"/>
    </xf>
    <xf borderId="154" fillId="0" fontId="22" numFmtId="0" xfId="0" applyAlignment="1" applyBorder="1" applyFont="1">
      <alignment horizontal="center" readingOrder="0" shrinkToFit="0" vertical="center" wrapText="0"/>
    </xf>
    <xf borderId="154" fillId="0" fontId="22" numFmtId="49" xfId="0" applyAlignment="1" applyBorder="1" applyFont="1" applyNumberFormat="1">
      <alignment horizontal="center" readingOrder="0" shrinkToFit="0" vertical="center" wrapText="1"/>
    </xf>
    <xf borderId="155" fillId="0" fontId="22" numFmtId="49" xfId="0" applyAlignment="1" applyBorder="1" applyFont="1" applyNumberFormat="1">
      <alignment horizontal="center" readingOrder="0" shrinkToFit="0" vertical="center" wrapText="1"/>
    </xf>
    <xf borderId="156" fillId="0" fontId="12" numFmtId="0" xfId="0" applyAlignment="1" applyBorder="1" applyFont="1">
      <alignment horizontal="center" readingOrder="0" shrinkToFit="0" vertical="center" wrapText="1"/>
    </xf>
    <xf borderId="154" fillId="0" fontId="22" numFmtId="0" xfId="0" applyAlignment="1" applyBorder="1" applyFont="1">
      <alignment horizontal="left" readingOrder="0" shrinkToFit="0" vertical="center" wrapText="0"/>
    </xf>
    <xf borderId="157" fillId="0" fontId="16" numFmtId="0" xfId="0" applyAlignment="1" applyBorder="1" applyFont="1">
      <alignment readingOrder="0" shrinkToFit="0" vertical="center" wrapText="0"/>
    </xf>
    <xf borderId="158" fillId="0" fontId="16" numFmtId="0" xfId="0" applyAlignment="1" applyBorder="1" applyFont="1">
      <alignment horizontal="left" readingOrder="0" shrinkToFit="0" vertical="center" wrapText="0"/>
    </xf>
    <xf borderId="158" fillId="0" fontId="16" numFmtId="0" xfId="0" applyAlignment="1" applyBorder="1" applyFont="1">
      <alignment horizontal="center" readingOrder="0" shrinkToFit="0" vertical="center" wrapText="0"/>
    </xf>
    <xf borderId="158" fillId="0" fontId="16" numFmtId="49" xfId="0" applyAlignment="1" applyBorder="1" applyFont="1" applyNumberFormat="1">
      <alignment horizontal="center" readingOrder="0" shrinkToFit="0" vertical="center" wrapText="0"/>
    </xf>
    <xf borderId="158" fillId="0" fontId="12" numFmtId="0" xfId="0" applyAlignment="1" applyBorder="1" applyFont="1">
      <alignment horizontal="center" readingOrder="0" shrinkToFit="0" vertical="center" wrapText="0"/>
    </xf>
    <xf borderId="158" fillId="0" fontId="158" numFmtId="0" xfId="0" applyAlignment="1" applyBorder="1" applyFont="1">
      <alignment horizontal="center" readingOrder="0" shrinkToFit="0" vertical="center" wrapText="0"/>
    </xf>
    <xf borderId="159" fillId="0" fontId="159" numFmtId="0" xfId="0" applyAlignment="1" applyBorder="1" applyFont="1">
      <alignment horizontal="left" readingOrder="0" shrinkToFit="0" vertical="center" wrapText="0"/>
    </xf>
    <xf borderId="160" fillId="0" fontId="16" numFmtId="0" xfId="0" applyAlignment="1" applyBorder="1" applyFont="1">
      <alignment readingOrder="0" shrinkToFit="0" vertical="center" wrapText="0"/>
    </xf>
    <xf borderId="161" fillId="0" fontId="16" numFmtId="0" xfId="0" applyAlignment="1" applyBorder="1" applyFont="1">
      <alignment horizontal="left" readingOrder="0" shrinkToFit="0" vertical="center" wrapText="0"/>
    </xf>
    <xf borderId="161" fillId="0" fontId="16" numFmtId="0" xfId="0" applyAlignment="1" applyBorder="1" applyFont="1">
      <alignment horizontal="center" readingOrder="0" shrinkToFit="0" vertical="center" wrapText="0"/>
    </xf>
    <xf borderId="161" fillId="0" fontId="16" numFmtId="49" xfId="0" applyAlignment="1" applyBorder="1" applyFont="1" applyNumberFormat="1">
      <alignment horizontal="center" readingOrder="0" shrinkToFit="0" vertical="center" wrapText="0"/>
    </xf>
    <xf borderId="161" fillId="0" fontId="12" numFmtId="0" xfId="0" applyAlignment="1" applyBorder="1" applyFont="1">
      <alignment horizontal="center" readingOrder="0" shrinkToFit="0" vertical="center" wrapText="0"/>
    </xf>
    <xf borderId="161" fillId="0" fontId="158" numFmtId="0" xfId="0" applyAlignment="1" applyBorder="1" applyFont="1">
      <alignment horizontal="center" readingOrder="0" shrinkToFit="0" vertical="center" wrapText="0"/>
    </xf>
    <xf borderId="162" fillId="0" fontId="160" numFmtId="0" xfId="0" applyAlignment="1" applyBorder="1" applyFont="1">
      <alignment horizontal="left" readingOrder="0" shrinkToFit="0" vertical="center" wrapText="0"/>
    </xf>
    <xf borderId="158" fillId="0" fontId="16" numFmtId="0" xfId="0" applyAlignment="1" applyBorder="1" applyFont="1">
      <alignment horizontal="center" readingOrder="0" shrinkToFit="0" vertical="center" wrapText="0"/>
    </xf>
    <xf borderId="161" fillId="0" fontId="16" numFmtId="0" xfId="0" applyAlignment="1" applyBorder="1" applyFont="1">
      <alignment horizontal="center" readingOrder="0" shrinkToFit="0" vertical="center" wrapText="0"/>
    </xf>
    <xf borderId="159" fillId="0" fontId="161" numFmtId="0" xfId="0" applyAlignment="1" applyBorder="1" applyFont="1">
      <alignment horizontal="left" readingOrder="0" shrinkToFit="0" vertical="center" wrapText="0"/>
    </xf>
    <xf borderId="159" fillId="0" fontId="161" numFmtId="0" xfId="0" applyAlignment="1" applyBorder="1" applyFont="1">
      <alignment horizontal="left" readingOrder="0" shrinkToFit="0" vertical="center" wrapText="0"/>
    </xf>
    <xf borderId="162" fillId="0" fontId="161" numFmtId="0" xfId="0" applyAlignment="1" applyBorder="1" applyFont="1">
      <alignment horizontal="left" readingOrder="0" shrinkToFit="0" vertical="center" wrapText="0"/>
    </xf>
    <xf borderId="162" fillId="0" fontId="161" numFmtId="0" xfId="0" applyAlignment="1" applyBorder="1" applyFont="1">
      <alignment horizontal="left" readingOrder="0" shrinkToFit="0" vertical="center" wrapText="0"/>
    </xf>
    <xf borderId="158" fillId="0" fontId="158" numFmtId="184" xfId="0" applyAlignment="1" applyBorder="1" applyFont="1" applyNumberFormat="1">
      <alignment horizontal="center" readingOrder="0" shrinkToFit="0" vertical="center" wrapText="0"/>
    </xf>
    <xf borderId="161" fillId="0" fontId="158" numFmtId="184" xfId="0" applyAlignment="1" applyBorder="1" applyFont="1" applyNumberFormat="1">
      <alignment horizontal="center" readingOrder="0" shrinkToFit="0" vertical="center" wrapText="0"/>
    </xf>
    <xf borderId="157" fillId="42" fontId="12" numFmtId="0" xfId="0" applyAlignment="1" applyBorder="1" applyFill="1" applyFont="1">
      <alignment readingOrder="0" shrinkToFit="0" vertical="center" wrapText="0"/>
    </xf>
    <xf borderId="158" fillId="42" fontId="12" numFmtId="0" xfId="0" applyAlignment="1" applyBorder="1" applyFont="1">
      <alignment readingOrder="0" shrinkToFit="0" vertical="center" wrapText="0"/>
    </xf>
    <xf borderId="158" fillId="42" fontId="12" numFmtId="0" xfId="0" applyAlignment="1" applyBorder="1" applyFont="1">
      <alignment horizontal="center" readingOrder="0" shrinkToFit="0" vertical="center" wrapText="0"/>
    </xf>
    <xf borderId="158" fillId="42" fontId="134" numFmtId="49" xfId="0" applyAlignment="1" applyBorder="1" applyFont="1" applyNumberFormat="1">
      <alignment readingOrder="0" shrinkToFit="0" vertical="center" wrapText="0"/>
    </xf>
    <xf borderId="158" fillId="42" fontId="134" numFmtId="0" xfId="0" applyAlignment="1" applyBorder="1" applyFont="1">
      <alignment readingOrder="0" shrinkToFit="0" vertical="center" wrapText="0"/>
    </xf>
    <xf borderId="158" fillId="42" fontId="162" numFmtId="0" xfId="0" applyAlignment="1" applyBorder="1" applyFont="1">
      <alignment horizontal="center" readingOrder="0" shrinkToFit="0" vertical="center" wrapText="0"/>
    </xf>
    <xf borderId="163" fillId="0" fontId="16" numFmtId="0" xfId="0" applyAlignment="1" applyBorder="1" applyFont="1">
      <alignment readingOrder="0" shrinkToFit="0" vertical="center" wrapText="0"/>
    </xf>
    <xf borderId="164" fillId="0" fontId="16" numFmtId="0" xfId="0" applyAlignment="1" applyBorder="1" applyFont="1">
      <alignment horizontal="left" readingOrder="0" shrinkToFit="0" vertical="center" wrapText="0"/>
    </xf>
    <xf borderId="164" fillId="0" fontId="16" numFmtId="0" xfId="0" applyAlignment="1" applyBorder="1" applyFont="1">
      <alignment horizontal="center" readingOrder="0" shrinkToFit="0" vertical="center" wrapText="0"/>
    </xf>
    <xf borderId="164" fillId="0" fontId="16" numFmtId="49" xfId="0" applyAlignment="1" applyBorder="1" applyFont="1" applyNumberFormat="1">
      <alignment horizontal="center" readingOrder="0" shrinkToFit="0" vertical="center" wrapText="0"/>
    </xf>
    <xf borderId="164" fillId="0" fontId="12" numFmtId="0" xfId="0" applyAlignment="1" applyBorder="1" applyFont="1">
      <alignment horizontal="center" readingOrder="0" shrinkToFit="0" vertical="center" wrapText="0"/>
    </xf>
    <xf borderId="164" fillId="0" fontId="158" numFmtId="0" xfId="0" applyAlignment="1" applyBorder="1" applyFont="1">
      <alignment horizontal="center" readingOrder="0" shrinkToFit="0" vertical="center" wrapText="0"/>
    </xf>
    <xf borderId="164" fillId="0" fontId="16" numFmtId="0" xfId="0" applyAlignment="1" applyBorder="1" applyFont="1">
      <alignment horizontal="center" readingOrder="0" shrinkToFit="0" vertical="center" wrapText="0"/>
    </xf>
    <xf borderId="165" fillId="0" fontId="163" numFmtId="0" xfId="0" applyAlignment="1" applyBorder="1" applyFont="1">
      <alignment horizontal="left" readingOrder="0" shrinkToFit="0" vertical="center" wrapText="0"/>
    </xf>
    <xf borderId="154" fillId="0" fontId="22" numFmtId="0" xfId="0" applyAlignment="1" applyBorder="1" applyFont="1">
      <alignment horizontal="left" readingOrder="0" shrinkToFit="0" vertical="center" wrapText="1"/>
    </xf>
    <xf borderId="158" fillId="0" fontId="16" numFmtId="0" xfId="0" applyAlignment="1" applyBorder="1" applyFont="1">
      <alignment horizontal="left" readingOrder="0" shrinkToFit="0" vertical="center" wrapText="0"/>
    </xf>
    <xf borderId="158" fillId="0" fontId="16" numFmtId="0" xfId="0" applyAlignment="1" applyBorder="1" applyFont="1">
      <alignment horizontal="center" readingOrder="0" shrinkToFit="0" vertical="center" wrapText="0"/>
    </xf>
    <xf borderId="158" fillId="0" fontId="161" numFmtId="0" xfId="0" applyAlignment="1" applyBorder="1" applyFont="1">
      <alignment horizontal="left" readingOrder="0" shrinkToFit="0" vertical="center" wrapText="0"/>
    </xf>
    <xf borderId="159" fillId="0" fontId="16" numFmtId="0" xfId="0" applyAlignment="1" applyBorder="1" applyFont="1">
      <alignment horizontal="center" readingOrder="0" shrinkToFit="0" vertical="center" wrapText="0"/>
    </xf>
    <xf borderId="161" fillId="0" fontId="16" numFmtId="0" xfId="0" applyAlignment="1" applyBorder="1" applyFont="1">
      <alignment horizontal="left" readingOrder="0" shrinkToFit="0" vertical="center" wrapText="0"/>
    </xf>
    <xf borderId="161" fillId="0" fontId="16" numFmtId="0" xfId="0" applyAlignment="1" applyBorder="1" applyFont="1">
      <alignment horizontal="center" readingOrder="0" shrinkToFit="0" vertical="center" wrapText="0"/>
    </xf>
    <xf borderId="161" fillId="0" fontId="161" numFmtId="0" xfId="0" applyAlignment="1" applyBorder="1" applyFont="1">
      <alignment horizontal="left" readingOrder="0" shrinkToFit="0" vertical="center" wrapText="0"/>
    </xf>
    <xf borderId="162" fillId="0" fontId="16" numFmtId="0" xfId="0" applyAlignment="1" applyBorder="1" applyFont="1">
      <alignment horizontal="center" readingOrder="0" shrinkToFit="0" vertical="center" wrapText="0"/>
    </xf>
    <xf borderId="158" fillId="0" fontId="164" numFmtId="0" xfId="0" applyAlignment="1" applyBorder="1" applyFont="1">
      <alignment horizontal="left" readingOrder="0" shrinkToFit="0" vertical="center" wrapText="0"/>
    </xf>
    <xf borderId="161" fillId="0" fontId="165" numFmtId="0" xfId="0" applyAlignment="1" applyBorder="1" applyFont="1">
      <alignment horizontal="left" readingOrder="0" shrinkToFit="0" vertical="center" wrapText="0"/>
    </xf>
    <xf borderId="162" fillId="0" fontId="16" numFmtId="0" xfId="0" applyAlignment="1" applyBorder="1" applyFont="1">
      <alignment horizontal="center" readingOrder="0" shrinkToFit="0" vertical="center" wrapText="0"/>
    </xf>
    <xf borderId="159" fillId="0" fontId="16" numFmtId="0" xfId="0" applyAlignment="1" applyBorder="1" applyFont="1">
      <alignment horizontal="center" readingOrder="0" shrinkToFit="0" vertical="center" wrapText="0"/>
    </xf>
    <xf borderId="159" fillId="0" fontId="16" numFmtId="0" xfId="0" applyAlignment="1" applyBorder="1" applyFont="1">
      <alignment horizontal="center" shrinkToFit="0" vertical="center" wrapText="0"/>
    </xf>
    <xf borderId="160" fillId="42" fontId="12" numFmtId="0" xfId="0" applyAlignment="1" applyBorder="1" applyFont="1">
      <alignment readingOrder="0" shrinkToFit="0" vertical="center" wrapText="0"/>
    </xf>
    <xf borderId="161" fillId="42" fontId="12" numFmtId="0" xfId="0" applyAlignment="1" applyBorder="1" applyFont="1">
      <alignment readingOrder="0" shrinkToFit="0" vertical="center" wrapText="0"/>
    </xf>
    <xf borderId="161" fillId="42" fontId="12" numFmtId="0" xfId="0" applyAlignment="1" applyBorder="1" applyFont="1">
      <alignment horizontal="center" readingOrder="0" shrinkToFit="0" vertical="center" wrapText="0"/>
    </xf>
    <xf borderId="161" fillId="42" fontId="12" numFmtId="0" xfId="0" applyAlignment="1" applyBorder="1" applyFont="1">
      <alignment horizontal="center" readingOrder="0" shrinkToFit="0" vertical="center" wrapText="0"/>
    </xf>
    <xf borderId="161" fillId="42" fontId="134" numFmtId="49" xfId="0" applyAlignment="1" applyBorder="1" applyFont="1" applyNumberFormat="1">
      <alignment readingOrder="0" shrinkToFit="0" vertical="center" wrapText="0"/>
    </xf>
    <xf borderId="161" fillId="42" fontId="134" numFmtId="0" xfId="0" applyAlignment="1" applyBorder="1" applyFont="1">
      <alignment shrinkToFit="0" vertical="center" wrapText="0"/>
    </xf>
    <xf borderId="161" fillId="42" fontId="134" numFmtId="0" xfId="0" applyAlignment="1" applyBorder="1" applyFont="1">
      <alignment readingOrder="0" shrinkToFit="0" vertical="center" wrapText="0"/>
    </xf>
    <xf borderId="158" fillId="42" fontId="12" numFmtId="0" xfId="0" applyAlignment="1" applyBorder="1" applyFont="1">
      <alignment horizontal="center" readingOrder="0" shrinkToFit="0" vertical="center" wrapText="0"/>
    </xf>
    <xf borderId="158" fillId="42" fontId="134" numFmtId="0" xfId="0" applyAlignment="1" applyBorder="1" applyFont="1">
      <alignment shrinkToFit="0" vertical="center" wrapText="0"/>
    </xf>
    <xf borderId="164" fillId="0" fontId="16" numFmtId="0" xfId="0" applyAlignment="1" applyBorder="1" applyFont="1">
      <alignment horizontal="left" readingOrder="0" shrinkToFit="0" vertical="center" wrapText="0"/>
    </xf>
    <xf borderId="164" fillId="0" fontId="16" numFmtId="0" xfId="0" applyAlignment="1" applyBorder="1" applyFont="1">
      <alignment horizontal="center" readingOrder="0" shrinkToFit="0" vertical="center" wrapText="0"/>
    </xf>
    <xf borderId="164" fillId="0" fontId="166" numFmtId="0" xfId="0" applyAlignment="1" applyBorder="1" applyFont="1">
      <alignment horizontal="left" readingOrder="0" shrinkToFit="0" vertical="center" wrapText="0"/>
    </xf>
    <xf borderId="165" fillId="0" fontId="16" numFmtId="0" xfId="0" applyAlignment="1" applyBorder="1" applyFont="1">
      <alignment horizontal="center" readingOrder="0" shrinkToFit="0" vertical="center" wrapText="0"/>
    </xf>
    <xf borderId="166" fillId="8" fontId="16" numFmtId="0" xfId="0" applyAlignment="1" applyBorder="1" applyFont="1">
      <alignment horizontal="center" readingOrder="0" shrinkToFit="0" vertical="center" wrapText="0"/>
    </xf>
    <xf borderId="157" fillId="42" fontId="12" numFmtId="0" xfId="0" applyAlignment="1" applyBorder="1" applyFont="1">
      <alignment shrinkToFit="0" vertical="center" wrapText="0"/>
    </xf>
    <xf borderId="158" fillId="42" fontId="12" numFmtId="0" xfId="0" applyAlignment="1" applyBorder="1" applyFont="1">
      <alignment horizontal="center" shrinkToFit="0" vertical="center" wrapText="0"/>
    </xf>
    <xf borderId="158" fillId="42" fontId="12" numFmtId="0" xfId="0" applyAlignment="1" applyBorder="1" applyFont="1">
      <alignment horizontal="center" shrinkToFit="0" vertical="center" wrapText="0"/>
    </xf>
    <xf borderId="158" fillId="42" fontId="134" numFmtId="49" xfId="0" applyAlignment="1" applyBorder="1" applyFont="1" applyNumberFormat="1">
      <alignment shrinkToFit="0" vertical="center" wrapText="0"/>
    </xf>
    <xf borderId="160" fillId="42" fontId="12" numFmtId="0" xfId="0" applyAlignment="1" applyBorder="1" applyFont="1">
      <alignment shrinkToFit="0" vertical="center" wrapText="0"/>
    </xf>
    <xf borderId="161" fillId="42" fontId="12" numFmtId="0" xfId="0" applyAlignment="1" applyBorder="1" applyFont="1">
      <alignment horizontal="center" shrinkToFit="0" vertical="center" wrapText="0"/>
    </xf>
    <xf borderId="161" fillId="42" fontId="12" numFmtId="0" xfId="0" applyAlignment="1" applyBorder="1" applyFont="1">
      <alignment horizontal="center" shrinkToFit="0" vertical="center" wrapText="0"/>
    </xf>
    <xf borderId="161" fillId="42" fontId="134" numFmtId="49" xfId="0" applyAlignment="1" applyBorder="1" applyFont="1" applyNumberFormat="1">
      <alignment shrinkToFit="0" vertical="center" wrapText="0"/>
    </xf>
    <xf borderId="167" fillId="0" fontId="16" numFmtId="0" xfId="0" applyAlignment="1" applyBorder="1" applyFont="1">
      <alignment readingOrder="0" shrinkToFit="0" vertical="center" wrapText="0"/>
    </xf>
    <xf borderId="168" fillId="0" fontId="16" numFmtId="0" xfId="0" applyAlignment="1" applyBorder="1" applyFont="1">
      <alignment horizontal="left" readingOrder="0" shrinkToFit="0" vertical="center" wrapText="0"/>
    </xf>
    <xf borderId="168" fillId="0" fontId="16" numFmtId="0" xfId="0" applyAlignment="1" applyBorder="1" applyFont="1">
      <alignment horizontal="center" readingOrder="0" shrinkToFit="0" vertical="center" wrapText="0"/>
    </xf>
    <xf borderId="168" fillId="0" fontId="16" numFmtId="0" xfId="0" applyAlignment="1" applyBorder="1" applyFont="1">
      <alignment horizontal="center" readingOrder="0" shrinkToFit="0" vertical="center" wrapText="0"/>
    </xf>
    <xf borderId="168" fillId="0" fontId="16" numFmtId="49" xfId="0" applyAlignment="1" applyBorder="1" applyFont="1" applyNumberFormat="1">
      <alignment horizontal="center" readingOrder="0" shrinkToFit="0" vertical="center" wrapText="0"/>
    </xf>
    <xf borderId="168" fillId="0" fontId="158" numFmtId="0" xfId="0" applyAlignment="1" applyBorder="1" applyFont="1">
      <alignment horizontal="center" readingOrder="0" shrinkToFit="0" vertical="center" wrapText="0"/>
    </xf>
    <xf borderId="168" fillId="0" fontId="161" numFmtId="0" xfId="0" applyAlignment="1" applyBorder="1" applyFont="1">
      <alignment horizontal="left" readingOrder="0" shrinkToFit="0" vertical="center" wrapText="0"/>
    </xf>
    <xf borderId="169" fillId="8" fontId="16" numFmtId="0" xfId="0" applyAlignment="1" applyBorder="1" applyFont="1">
      <alignment horizontal="center" readingOrder="0" shrinkToFit="0" vertical="center" wrapText="0"/>
    </xf>
  </cellXfs>
  <cellStyles count="1">
    <cellStyle xfId="0" name="Normal" builtinId="0"/>
  </cellStyles>
  <dxfs count="16">
    <dxf>
      <font/>
      <fill>
        <patternFill patternType="solid">
          <fgColor rgb="FFC2F2E2"/>
          <bgColor rgb="FFC2F2E2"/>
        </patternFill>
      </fill>
      <border/>
    </dxf>
    <dxf>
      <font/>
      <fill>
        <patternFill patternType="solid">
          <fgColor rgb="FF7DC6AE"/>
          <bgColor rgb="FF7DC6AE"/>
        </patternFill>
      </fill>
      <border/>
    </dxf>
    <dxf>
      <font/>
      <fill>
        <patternFill patternType="solid">
          <fgColor rgb="FFF2A7CA"/>
          <bgColor rgb="FFF2A7CA"/>
        </patternFill>
      </fill>
      <border/>
    </dxf>
    <dxf>
      <font/>
      <fill>
        <patternFill patternType="solid">
          <fgColor rgb="FFF2E4E9"/>
          <bgColor rgb="FFF2E4E9"/>
        </patternFill>
      </fill>
      <border/>
    </dxf>
    <dxf>
      <font/>
      <fill>
        <patternFill patternType="solid">
          <fgColor rgb="FF78F0C8"/>
          <bgColor rgb="FF78F0C8"/>
        </patternFill>
      </fill>
      <border/>
    </dxf>
    <dxf>
      <font/>
      <fill>
        <patternFill patternType="solid">
          <fgColor rgb="FFF26D85"/>
          <bgColor rgb="FFF26D85"/>
        </patternFill>
      </fill>
      <border/>
    </dxf>
    <dxf>
      <font>
        <color rgb="FFD9D9D9"/>
      </font>
      <fill>
        <patternFill patternType="none"/>
      </fill>
      <border/>
    </dxf>
    <dxf>
      <font>
        <color rgb="FF000000"/>
      </font>
      <fill>
        <patternFill patternType="solid">
          <fgColor rgb="FFEFEFEF"/>
          <bgColor rgb="FFEFEFEF"/>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FF0000"/>
          <bgColor rgb="FFFF0000"/>
        </patternFill>
      </fill>
      <border/>
    </dxf>
    <dxf>
      <font>
        <color rgb="FF9C0006"/>
      </font>
      <fill>
        <patternFill patternType="solid">
          <fgColor rgb="FFFFC7CE"/>
          <bgColor rgb="FFFFC7CE"/>
        </patternFill>
      </fill>
      <border/>
    </dxf>
    <dxf>
      <font/>
      <fill>
        <patternFill patternType="solid">
          <fgColor rgb="FF356854"/>
          <bgColor rgb="FF356854"/>
        </patternFill>
      </fill>
      <border/>
    </dxf>
    <dxf>
      <font/>
      <fill>
        <patternFill patternType="solid">
          <fgColor rgb="FFF6F8F9"/>
          <bgColor rgb="FFF6F8F9"/>
        </patternFill>
      </fill>
      <border/>
    </dxf>
  </dxfs>
  <tableStyles count="4">
    <tableStyle count="3" pivot="0" name="Розрахунок кріплення-style">
      <tableStyleElement dxfId="9" type="headerRow"/>
      <tableStyleElement dxfId="10" type="firstRowStripe"/>
      <tableStyleElement dxfId="11" type="secondRowStripe"/>
    </tableStyle>
    <tableStyle count="3" pivot="0" name="Номенклатура_BAF-style">
      <tableStyleElement dxfId="14" type="headerRow"/>
      <tableStyleElement dxfId="10" type="firstRowStripe"/>
      <tableStyleElement dxfId="15" type="secondRowStripe"/>
    </tableStyle>
    <tableStyle count="3" pivot="0" name="РЕЗЕРВ аркуша Номенклатура_BAF-style">
      <tableStyleElement dxfId="14" type="headerRow"/>
      <tableStyleElement dxfId="10" type="firstRowStripe"/>
      <tableStyleElement dxfId="15" type="secondRowStripe"/>
    </tableStyle>
    <tableStyle count="3" pivot="0" name="Прайс-style">
      <tableStyleElement dxfId="14" type="headerRow"/>
      <tableStyleElement dxfId="10" type="firstRowStripe"/>
      <tableStyleElement dxfId="1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8.xml.rels><?xml version="1.0" encoding="UTF-8" standalone="yes"?><Relationships xmlns="http://schemas.openxmlformats.org/package/2006/relationships"><Relationship Id="rId1" Type="http://schemas.openxmlformats.org/officeDocument/2006/relationships/image" Target="../media/image1.jpg"/></Relationships>
</file>

<file path=xl/drawings/_rels/drawing18.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3.png"/><Relationship Id="rId3" Type="http://schemas.openxmlformats.org/officeDocument/2006/relationships/image" Target="../media/image2.png"/><Relationship Id="rId4" Type="http://schemas.openxmlformats.org/officeDocument/2006/relationships/image" Target="../media/image4.png"/><Relationship Id="rId5"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485775</xdr:colOff>
      <xdr:row>31</xdr:row>
      <xdr:rowOff>85725</xdr:rowOff>
    </xdr:from>
    <xdr:ext cx="2314575" cy="619125"/>
    <xdr:sp>
      <xdr:nvSpPr>
        <xdr:cNvPr id="3" name="Shape 3"/>
        <xdr:cNvSpPr/>
      </xdr:nvSpPr>
      <xdr:spPr>
        <a:xfrm>
          <a:off x="8667450" y="0"/>
          <a:ext cx="2305500" cy="597000"/>
        </a:xfrm>
        <a:prstGeom prst="parallelogram">
          <a:avLst>
            <a:gd fmla="val 25000" name="adj"/>
          </a:avLst>
        </a:prstGeom>
        <a:solidFill>
          <a:srgbClr val="204742"/>
        </a:solidFill>
        <a:ln cap="flat" cmpd="sng" w="9525">
          <a:solidFill>
            <a:srgbClr val="E9BA84"/>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800">
              <a:solidFill>
                <a:srgbClr val="E9BA84"/>
              </a:solidFill>
              <a:latin typeface="Merriweather"/>
              <a:ea typeface="Merriweather"/>
              <a:cs typeface="Merriweather"/>
              <a:sym typeface="Merriweather"/>
            </a:rPr>
            <a:t>Розрахувати</a:t>
          </a:r>
          <a:endParaRPr sz="1800">
            <a:solidFill>
              <a:srgbClr val="E9BA84"/>
            </a:solidFill>
            <a:latin typeface="Merriweather"/>
            <a:ea typeface="Merriweather"/>
            <a:cs typeface="Merriweather"/>
            <a:sym typeface="Merriweather"/>
          </a:endParaRPr>
        </a:p>
      </xdr:txBody>
    </xdr:sp>
    <xdr:clientData fLocksWithSheet="0"/>
  </xdr:oneCellAnchor>
  <xdr:oneCellAnchor>
    <xdr:from>
      <xdr:col>2</xdr:col>
      <xdr:colOff>1019175</xdr:colOff>
      <xdr:row>31</xdr:row>
      <xdr:rowOff>85725</xdr:rowOff>
    </xdr:from>
    <xdr:ext cx="2343150" cy="619125"/>
    <xdr:sp>
      <xdr:nvSpPr>
        <xdr:cNvPr id="4" name="Shape 4"/>
        <xdr:cNvSpPr/>
      </xdr:nvSpPr>
      <xdr:spPr>
        <a:xfrm>
          <a:off x="8637600" y="0"/>
          <a:ext cx="2335200" cy="606900"/>
        </a:xfrm>
        <a:prstGeom prst="parallelogram">
          <a:avLst>
            <a:gd fmla="val 25000" name="adj"/>
          </a:avLst>
        </a:prstGeom>
        <a:solidFill>
          <a:srgbClr val="E9BA84"/>
        </a:solidFill>
        <a:ln cap="flat" cmpd="sng" w="9525">
          <a:solidFill>
            <a:srgbClr val="783F04"/>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800">
              <a:solidFill>
                <a:srgbClr val="204742"/>
              </a:solidFill>
              <a:latin typeface="Merriweather"/>
              <a:ea typeface="Merriweather"/>
              <a:cs typeface="Merriweather"/>
              <a:sym typeface="Merriweather"/>
            </a:rPr>
            <a:t>Очистити</a:t>
          </a:r>
          <a:endParaRPr sz="1800">
            <a:solidFill>
              <a:srgbClr val="204742"/>
            </a:solidFill>
            <a:latin typeface="Merriweather"/>
            <a:ea typeface="Merriweather"/>
            <a:cs typeface="Merriweather"/>
            <a:sym typeface="Merriweather"/>
          </a:endParaRPr>
        </a:p>
      </xdr:txBody>
    </xdr:sp>
    <xdr:clientData fLocksWithSheet="0"/>
  </xdr:oneCellAnchor>
  <xdr:oneCellAnchor>
    <xdr:from>
      <xdr:col>5</xdr:col>
      <xdr:colOff>247650</xdr:colOff>
      <xdr:row>31</xdr:row>
      <xdr:rowOff>85725</xdr:rowOff>
    </xdr:from>
    <xdr:ext cx="2305050" cy="638175"/>
    <xdr:sp>
      <xdr:nvSpPr>
        <xdr:cNvPr id="5" name="Shape 5"/>
        <xdr:cNvSpPr/>
      </xdr:nvSpPr>
      <xdr:spPr>
        <a:xfrm>
          <a:off x="8677400" y="0"/>
          <a:ext cx="2295300" cy="627000"/>
        </a:xfrm>
        <a:prstGeom prst="parallelogram">
          <a:avLst>
            <a:gd fmla="val 25000" name="adj"/>
          </a:avLst>
        </a:prstGeom>
        <a:solidFill>
          <a:srgbClr val="FCE194"/>
        </a:solidFill>
        <a:ln cap="flat" cmpd="sng" w="9525">
          <a:solidFill>
            <a:srgbClr val="B45F0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400">
              <a:solidFill>
                <a:srgbClr val="092241"/>
              </a:solidFill>
              <a:latin typeface="Merriweather"/>
              <a:ea typeface="Merriweather"/>
              <a:cs typeface="Merriweather"/>
              <a:sym typeface="Merriweather"/>
            </a:rPr>
            <a:t>Перенести дані розрахунку </a:t>
          </a:r>
          <a:br>
            <a:rPr b="1" lang="en-US" sz="1400">
              <a:solidFill>
                <a:srgbClr val="092241"/>
              </a:solidFill>
              <a:latin typeface="Merriweather"/>
              <a:ea typeface="Merriweather"/>
              <a:cs typeface="Merriweather"/>
              <a:sym typeface="Merriweather"/>
            </a:rPr>
          </a:br>
          <a:r>
            <a:rPr b="1" lang="en-US" sz="1400">
              <a:solidFill>
                <a:srgbClr val="092241"/>
              </a:solidFill>
              <a:latin typeface="Merriweather"/>
              <a:ea typeface="Merriweather"/>
              <a:cs typeface="Merriweather"/>
              <a:sym typeface="Merriweather"/>
            </a:rPr>
            <a:t>в КОШТОРИС</a:t>
          </a:r>
          <a:endParaRPr b="1" sz="1400">
            <a:solidFill>
              <a:srgbClr val="092241"/>
            </a:solidFill>
            <a:latin typeface="Merriweather"/>
            <a:ea typeface="Merriweather"/>
            <a:cs typeface="Merriweather"/>
            <a:sym typeface="Merriweather"/>
          </a:endParaRPr>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57150</xdr:rowOff>
    </xdr:from>
    <xdr:ext cx="1933575" cy="914400"/>
    <xdr:pic>
      <xdr:nvPicPr>
        <xdr:cNvPr descr="Descr " id="0" name="image1.jpg" title="Зображенн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0</xdr:rowOff>
    </xdr:from>
    <xdr:ext cx="10201275" cy="5876925"/>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7</xdr:row>
      <xdr:rowOff>0</xdr:rowOff>
    </xdr:from>
    <xdr:ext cx="11553825" cy="62103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11</xdr:row>
      <xdr:rowOff>0</xdr:rowOff>
    </xdr:from>
    <xdr:ext cx="11649075" cy="71723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22</xdr:row>
      <xdr:rowOff>0</xdr:rowOff>
    </xdr:from>
    <xdr:ext cx="10248900" cy="79057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26</xdr:row>
      <xdr:rowOff>0</xdr:rowOff>
    </xdr:from>
    <xdr:ext cx="9153525" cy="635317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D4" displayName="Table_1" name="Table_1" id="1">
  <tableColumns count="1">
    <tableColumn name="Column1" id="1"/>
  </tableColumns>
  <tableStyleInfo name="Розрахунок кріплення-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I1143" displayName="Номенклатура_BAF" name="Номенклатура_BAF" id="2">
  <autoFilter ref="$A$1:$I$1143"/>
  <tableColumns count="9">
    <tableColumn name="Категорія" id="1"/>
    <tableColumn name="Найменування" id="2"/>
    <tableColumn name="Од.вим" id="3"/>
    <tableColumn name="Облікова ціна б.г. з ПДВ $" id="4"/>
    <tableColumn name="Гуртова ціна з ПДВ, авт% $" id="5"/>
    <tableColumn name="Артикул" id="6"/>
    <tableColumn name="Кількість модулів" id="7"/>
    <tableColumn name="Вільно на складі" id="8"/>
    <tableColumn name="Посилання" id="9"/>
  </tableColumns>
  <tableStyleInfo name="Номенклатура_BAF-style" showColumnStripes="0" showFirstColumn="1" showLastColumn="1" showRowStripes="1"/>
</table>
</file>

<file path=xl/tables/table3.xml><?xml version="1.0" encoding="utf-8"?>
<table xmlns="http://schemas.openxmlformats.org/spreadsheetml/2006/main" ref="A1:H999" displayName="Номенклатура_BAF_3" name="Номенклатура_BAF_3" id="3">
  <autoFilter ref="$A$1:$H$999"/>
  <tableColumns count="8">
    <tableColumn name="Категорія" id="1"/>
    <tableColumn name="Найменування" id="2"/>
    <tableColumn name="Од.вим" id="3"/>
    <tableColumn name="Облікова ціна б.г. з ПДВ $" id="4"/>
    <tableColumn name="Артикул" id="5"/>
    <tableColumn name="Кількість модулів" id="6"/>
    <tableColumn name="Посилання" id="7"/>
    <tableColumn name="Гуртова ціна з ПДВ, авт% $" id="8"/>
  </tableColumns>
  <tableStyleInfo name="РЕЗЕРВ аркуша Номенклатура_BAF-style" showColumnStripes="0" showFirstColumn="1" showLastColumn="1" showRowStripes="1"/>
</table>
</file>

<file path=xl/tables/table4.xml><?xml version="1.0" encoding="utf-8"?>
<table xmlns="http://schemas.openxmlformats.org/spreadsheetml/2006/main" ref="A1:H30" displayName="Номенклатура_BAF_2" name="Номенклатура_BAF_2" id="4">
  <autoFilter ref="$A$1:$H$30"/>
  <tableColumns count="8">
    <tableColumn name="Категорія" id="1"/>
    <tableColumn name="Найменування" id="2"/>
    <tableColumn name="Од.вим" id="3"/>
    <tableColumn name="Облікова ціна, без ПДВ $" id="4"/>
    <tableColumn name="Артикул" id="5"/>
    <tableColumn name="Кількість модулів" id="6"/>
    <tableColumn name="Посилання" id="7"/>
    <tableColumn name="Гуртова ціна з ПДВ, авт% $" id="8"/>
  </tableColumns>
  <tableStyleInfo name="Прайс-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 Id="rId5"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9.xml"/><Relationship Id="rId3"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rive.google.com/drive/folders/1VS0WNUuwrOxJN91OwOW-NUmVqg_fZrGI"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90" Type="http://schemas.openxmlformats.org/officeDocument/2006/relationships/hyperlink" Target="https://001.com.ua/uk/gilza-gt-25-midna-ludzhena-kabelna-zyednuvalna-asko-ukrem" TargetMode="External"/><Relationship Id="rId194" Type="http://schemas.openxmlformats.org/officeDocument/2006/relationships/hyperlink" Target="https://001.com.ua/uk/gilza-gtl-35-midno-alyuminiyeva-kabelna-zyednuvalna-asko-ukrem" TargetMode="External"/><Relationship Id="rId193" Type="http://schemas.openxmlformats.org/officeDocument/2006/relationships/hyperlink" Target="https://001.com.ua/uk/gilza-gtl-25-midno-alyuminiyeva-kabelna-zyednuvalna-asko-ukrem" TargetMode="External"/><Relationship Id="rId192" Type="http://schemas.openxmlformats.org/officeDocument/2006/relationships/hyperlink" Target="https://001.com.ua/uk/gilza-gt-95-midna-ludzhena-kabelna-zyednuvalna-asko-ukrem" TargetMode="External"/><Relationship Id="rId191" Type="http://schemas.openxmlformats.org/officeDocument/2006/relationships/hyperlink" Target="https://001.com.ua/uk/gilza-gt-35-midna-ludzhena-kabelna-zyednuvalna-asko-ukrem" TargetMode="External"/><Relationship Id="rId187" Type="http://schemas.openxmlformats.org/officeDocument/2006/relationships/hyperlink" Target="https://001.com.ua/uk/prystriy-zahystu-vid-impulsnyh-perenaprug-pzip-ez9-1r-n-20ka-10ka-1-3kv-schneider-electric" TargetMode="External"/><Relationship Id="rId186" Type="http://schemas.openxmlformats.org/officeDocument/2006/relationships/hyperlink" Target="https://001.com.ua/uk/tsokol-erb4-t-typ-t-dlya-elektromehanichnyh-rele-erm4-eti" TargetMode="External"/><Relationship Id="rId185" Type="http://schemas.openxmlformats.org/officeDocument/2006/relationships/hyperlink" Target="https://001.com.ua/uk/klema-vvidna-efb-50ft-15-fork-15mm-zverhu-6-50-mm2-125a-690v-ac-1500v-dc-eti" TargetMode="External"/><Relationship Id="rId184" Type="http://schemas.openxmlformats.org/officeDocument/2006/relationships/hyperlink" Target="https://001.com.ua/uk/klema-vvidna-sylova-edbs-50b-pe-150a-690v-ac-16-70-mm2-eti" TargetMode="External"/><Relationship Id="rId189" Type="http://schemas.openxmlformats.org/officeDocument/2006/relationships/hyperlink" Target="https://001.com.ua/uk/gilza-gt-16-midna-ludzhena-kabelna-zyednuvalna-asko-ukrem" TargetMode="External"/><Relationship Id="rId188" Type="http://schemas.openxmlformats.org/officeDocument/2006/relationships/hyperlink" Target="https://001.com.ua/uk/gilza-gl-35-alyuminiyeva-kabelna-zyednuvalna-asko-ukrem" TargetMode="External"/><Relationship Id="rId183" Type="http://schemas.openxmlformats.org/officeDocument/2006/relationships/hyperlink" Target="https://001.com.ua/uk/klema-vvidna-sylova-edbs-50b-n-150a-690v-ac-16-70-mm2-eti" TargetMode="External"/><Relationship Id="rId182" Type="http://schemas.openxmlformats.org/officeDocument/2006/relationships/hyperlink" Target="https://001.com.ua/uk/klema-vvidna-sylova-edbs-50b-150a-690v-ac-16-70-mm2-eti" TargetMode="External"/><Relationship Id="rId181" Type="http://schemas.openxmlformats.org/officeDocument/2006/relationships/hyperlink" Target="https://001.com.ua/uk/blok-rozpodilchyy-edbm-7-n-192a-vyhid-1x4-70-3x2-5-25-4x2-5-16-mm2-eti" TargetMode="External"/><Relationship Id="rId180" Type="http://schemas.openxmlformats.org/officeDocument/2006/relationships/hyperlink" Target="https://001.com.ua/uk/blok-rozpodilchyy-edbm-1-160a-vyhid-1x4-50-3x2-5-25-4x2-5-16-mm2-eti" TargetMode="External"/><Relationship Id="rId176" Type="http://schemas.openxmlformats.org/officeDocument/2006/relationships/hyperlink" Target="https://001.com.ua/uk/klema-vvidna-sylova-edbj-1x35-1x35r-125a-1000v-ac-1500v-dc-35-mm2-chervona-eti" TargetMode="External"/><Relationship Id="rId297" Type="http://schemas.openxmlformats.org/officeDocument/2006/relationships/hyperlink" Target="https://001.com.ua/uk/maydanchyk-dlya-homutiv-cth-2c-chornyy-upakovka-100-sht-asko-ukrem" TargetMode="External"/><Relationship Id="rId175" Type="http://schemas.openxmlformats.org/officeDocument/2006/relationships/hyperlink" Target="https://001.com.ua/uk/klema-vvidna-sylova-edbj-1x35-1x35n-125a-1000v-ac-1500v-dc-35-mm2-synya-eti" TargetMode="External"/><Relationship Id="rId296" Type="http://schemas.openxmlformats.org/officeDocument/2006/relationships/hyperlink" Target="https://001.com.ua/uk/maydanchyk-dlya-homutiv-cth-2b-chornyy-upakovka-100-sht-asko-ukrem" TargetMode="External"/><Relationship Id="rId174" Type="http://schemas.openxmlformats.org/officeDocument/2006/relationships/hyperlink" Target="https://001.com.ua/uk/klema-vvidna-sylova-edbj-1x35-1x35b-125a-1000v-ac-1500v-dc-35-mm2-chorna-eti" TargetMode="External"/><Relationship Id="rId295" Type="http://schemas.openxmlformats.org/officeDocument/2006/relationships/hyperlink" Target="https://001.com.ua/uk/maydanchyk-dlya-homutiv-cth-2a-chornyy-upakovka-100-sht-asko-ukrem" TargetMode="External"/><Relationship Id="rId173" Type="http://schemas.openxmlformats.org/officeDocument/2006/relationships/hyperlink" Target="https://001.com.ua/uk/klema-vvidna-sylova-edbj-1x35-1x35-125a-1000v-ac-1500v-dc-35-mm2-sira-eti" TargetMode="External"/><Relationship Id="rId294" Type="http://schemas.openxmlformats.org/officeDocument/2006/relationships/hyperlink" Target="https://001.com.ua/uk/blok-rozpodilchyy-e-sn-pro-80-80-a-na-din-reyku-e-next" TargetMode="External"/><Relationship Id="rId179" Type="http://schemas.openxmlformats.org/officeDocument/2006/relationships/hyperlink" Target="https://001.com.ua/uk/blok-rozpodilchyy-edbj-4x25-4x25b-100a-vhid-4x25-vyhid-4x25-mm2-chornyy-eti" TargetMode="External"/><Relationship Id="rId178" Type="http://schemas.openxmlformats.org/officeDocument/2006/relationships/hyperlink" Target="https://001.com.ua/uk/blok-rozpodilchyy-edbj-4x25-4x25-100a-vhid-4x25-vyhid-4x25-mm2-siryy-eti" TargetMode="External"/><Relationship Id="rId299" Type="http://schemas.openxmlformats.org/officeDocument/2006/relationships/hyperlink" Target="https://axiomplus.com.ua/ua/zazemlenie-molniezashhita/product-90867/" TargetMode="External"/><Relationship Id="rId177" Type="http://schemas.openxmlformats.org/officeDocument/2006/relationships/hyperlink" Target="https://001.com.ua/uk/klema-vvidna-sylova-edbj-1x35-1x35pe-125a-1000v-ac-1500v-dc-35-mm2-zhovto-zelena-eti" TargetMode="External"/><Relationship Id="rId298" Type="http://schemas.openxmlformats.org/officeDocument/2006/relationships/hyperlink" Target="https://axiomplus.com.ua/ua/zazemlenie-molniezashhita/product-90866/" TargetMode="External"/><Relationship Id="rId198" Type="http://schemas.openxmlformats.org/officeDocument/2006/relationships/hyperlink" Target="https://001.com.ua/uk/peremykach-modulnyy-him406-trypozytsiynyy-i-0-ii-4p-63a-hager" TargetMode="External"/><Relationship Id="rId197" Type="http://schemas.openxmlformats.org/officeDocument/2006/relationships/hyperlink" Target="https://001.com.ua/uk/peremykach-modulnyy-him306-trypozytsiynyy-i-0-ii-3p-63a-hager" TargetMode="External"/><Relationship Id="rId196" Type="http://schemas.openxmlformats.org/officeDocument/2006/relationships/hyperlink" Target="https://001.com.ua/uk/peremykach-modulnyy-him304-trypozytsiynyy-i-0-ii-3p-40a-hager" TargetMode="External"/><Relationship Id="rId195" Type="http://schemas.openxmlformats.org/officeDocument/2006/relationships/hyperlink" Target="https://001.com.ua/uk/gilza-gtl-50-midno-alyuminiyeva-kabelna-zyednuvalna-asko-ukrem" TargetMode="External"/><Relationship Id="rId199" Type="http://schemas.openxmlformats.org/officeDocument/2006/relationships/hyperlink" Target="https://001.com.ua/uk/shyna-zyednuvalna-iz-10-3f-54-10-mm2-3p-1m-fork-54-moduli-eti" TargetMode="External"/><Relationship Id="rId150" Type="http://schemas.openxmlformats.org/officeDocument/2006/relationships/hyperlink" Target="https://001.com.ua/uk/zatyskach-ankernyy-izolovanyy-4x-16-35-mm2-z-provolochnoyu-skoboyu-e-i-clamp-si-4-16-35-e-next" TargetMode="External"/><Relationship Id="rId271" Type="http://schemas.openxmlformats.org/officeDocument/2006/relationships/hyperlink" Target="https://001.com.ua/korpus-posta-upravleniya-4-mestnyy-hj9-4-belyy-asko-ukrem" TargetMode="External"/><Relationship Id="rId392" Type="http://schemas.openxmlformats.org/officeDocument/2006/relationships/hyperlink" Target="https://001.com.ua/uk/korpus-metalevyy-e-mbox-pro-p-120-80-30-ip54-z-montazhnoyu-panellyu-e-next" TargetMode="External"/><Relationship Id="rId270" Type="http://schemas.openxmlformats.org/officeDocument/2006/relationships/hyperlink" Target="https://www.acko.ua/e-store/xml_catalog/rozpodilchi_korobki_serii_ty_ra/21649/" TargetMode="External"/><Relationship Id="rId391" Type="http://schemas.openxmlformats.org/officeDocument/2006/relationships/hyperlink" Target="https://001.com.ua/uk/korpus-metalevyy-e-mbox-pro-p-100-65-30-ip54-z-montazhnoyu-panellyu-e-next" TargetMode="External"/><Relationship Id="rId390" Type="http://schemas.openxmlformats.org/officeDocument/2006/relationships/hyperlink" Target="https://001.com.ua/uk/homut-kabelnyy-e-ct-stand-300-5-black-5x300-mm-neylon-chornyy-upakovka-100-sht-e-next" TargetMode="External"/><Relationship Id="rId1" Type="http://schemas.openxmlformats.org/officeDocument/2006/relationships/hyperlink" Target="https://www.beny.com/ru/product-item/dc-disconnect-switch-up-to-1200v-bb1h-63/" TargetMode="External"/><Relationship Id="rId2" Type="http://schemas.openxmlformats.org/officeDocument/2006/relationships/hyperlink" Target="https://www.beny.com/product-item/dc-disconnect-switch-up-to-1200v-bb1h-63/" TargetMode="External"/><Relationship Id="rId3" Type="http://schemas.openxmlformats.org/officeDocument/2006/relationships/hyperlink" Target="https://001.com.ua/uk/obmezhuvach-perenaprugy-etitec-m-t2-pv-1100-20-y-dlya-pv-system-eti" TargetMode="External"/><Relationship Id="rId149" Type="http://schemas.openxmlformats.org/officeDocument/2006/relationships/hyperlink" Target="https://001.com.ua/uk/rele-chasu-asymetrychnogo-povtorennya-tsyklu-e-control-t17-e-next" TargetMode="External"/><Relationship Id="rId4" Type="http://schemas.openxmlformats.org/officeDocument/2006/relationships/hyperlink" Target="https://001.com.ua/uk/kontaktor-cem-105-11-230v-ac-105a-55kw-ac3-eti" TargetMode="External"/><Relationship Id="rId148" Type="http://schemas.openxmlformats.org/officeDocument/2006/relationships/hyperlink" Target="https://001.com.ua/uk/rele-zatrymky-chasu-na-vklyuchennya-0-3-30-s-e-control-t15-e-next" TargetMode="External"/><Relationship Id="rId269" Type="http://schemas.openxmlformats.org/officeDocument/2006/relationships/hyperlink" Target="https://www.acko.ua/e-store/xml_catalog/rozpodilchi_korobki_serii_ty_ra/21648/" TargetMode="External"/><Relationship Id="rId9" Type="http://schemas.openxmlformats.org/officeDocument/2006/relationships/hyperlink" Target="https://001.com.ua/uk/avtomatychnyy-vymykach-e-mcb-pro-60-1-c-25-new-1p-25-a-harakterystyka-c-e-next" TargetMode="External"/><Relationship Id="rId143" Type="http://schemas.openxmlformats.org/officeDocument/2006/relationships/hyperlink" Target="https://001.com.ua/uk/nakinechnyk-dtl-50-midno-alyuminiyevyy-kabelnyy-pid-opresuvannya-asko-ukrem" TargetMode="External"/><Relationship Id="rId264" Type="http://schemas.openxmlformats.org/officeDocument/2006/relationships/hyperlink" Target="https://001.com.ua/uk/korobka-rozpodilcha-190x140x70mm-ip55-z-kabelnymy-vvodamy-dkc" TargetMode="External"/><Relationship Id="rId385" Type="http://schemas.openxmlformats.org/officeDocument/2006/relationships/hyperlink" Target="https://ecshop.com.ua/p108129-provod_pvs_5h4" TargetMode="External"/><Relationship Id="rId142" Type="http://schemas.openxmlformats.org/officeDocument/2006/relationships/hyperlink" Target="https://001.com.ua/uk/nakinechnyk-dtl-35-midno-alyuminiyevyy-kabelnyy-pid-opresuvannya-asko-ukrem" TargetMode="External"/><Relationship Id="rId263" Type="http://schemas.openxmlformats.org/officeDocument/2006/relationships/hyperlink" Target="https://001.com.ua/uk/izostrichka-0-2x19-mm-synya-20-m-e-tape-pro-20-blue-e-next" TargetMode="External"/><Relationship Id="rId384" Type="http://schemas.openxmlformats.org/officeDocument/2006/relationships/hyperlink" Target="https://ecshop.com.ua/p108111-provod_pvs_4h10" TargetMode="External"/><Relationship Id="rId141" Type="http://schemas.openxmlformats.org/officeDocument/2006/relationships/hyperlink" Target="https://001.com.ua/uk/nakinechnyk-dtl-25-midno-alyuminiyevyy-kabelnyy-pid-opresuvannya-asko-ukrem" TargetMode="External"/><Relationship Id="rId262" Type="http://schemas.openxmlformats.org/officeDocument/2006/relationships/hyperlink" Target="https://001.com.ua/uk/izostrichka-0-2x19-mm-bila-20-m-e-tape-pro-20-white-e-next" TargetMode="External"/><Relationship Id="rId383" Type="http://schemas.openxmlformats.org/officeDocument/2006/relationships/hyperlink" Target="https://ecshop.com.ua/p108114-provod_pvs_3h6" TargetMode="External"/><Relationship Id="rId140" Type="http://schemas.openxmlformats.org/officeDocument/2006/relationships/hyperlink" Target="https://001.com.ua/uk/nakinechnyk-dtl-150-midno-alyuminiyevyy-kabelnyy-pid-opresuvannya-asko-ukrem" TargetMode="External"/><Relationship Id="rId261" Type="http://schemas.openxmlformats.org/officeDocument/2006/relationships/hyperlink" Target="https://001.com.ua/uk/izostrichka-0-13x19-mm-chorna-20-metriv-asko-ukrem" TargetMode="External"/><Relationship Id="rId382" Type="http://schemas.openxmlformats.org/officeDocument/2006/relationships/hyperlink" Target="https://ecshop.com.ua/p108113-provod_pvs_3h4" TargetMode="External"/><Relationship Id="rId5" Type="http://schemas.openxmlformats.org/officeDocument/2006/relationships/hyperlink" Target="https://001.com.ua/uk/vymykach-navantazhennya-clbs-100-3p-bez-rukoyatky-1-0-100a-eti" TargetMode="External"/><Relationship Id="rId147" Type="http://schemas.openxmlformats.org/officeDocument/2006/relationships/hyperlink" Target="https://001.com.ua/uk/shyna-zapos-yednuvalna-e-bc-stand-3-63-3p-63a-e-next" TargetMode="External"/><Relationship Id="rId268" Type="http://schemas.openxmlformats.org/officeDocument/2006/relationships/hyperlink" Target="https://001.com.ua/uk/korobka-rozpodilcha-380x300x120mm-ip55-z-kabelnymy-vvodamy-dkc" TargetMode="External"/><Relationship Id="rId389" Type="http://schemas.openxmlformats.org/officeDocument/2006/relationships/hyperlink" Target="https://001.com.ua/uk/homut-kabelnyy-e-ct-stand-200-4-black-4x200-mm-neylon-chornyy-upakovka-100-sht-e-next" TargetMode="External"/><Relationship Id="rId6" Type="http://schemas.openxmlformats.org/officeDocument/2006/relationships/hyperlink" Target="https://001.com.ua/uk/vymykach-navantazhennya-clbs-125-3p-bez-rukoyatky-1-0-125a-eti" TargetMode="External"/><Relationship Id="rId146" Type="http://schemas.openxmlformats.org/officeDocument/2006/relationships/hyperlink" Target="https://001.com.ua/uk/shyna-zapos-yednuvalna-e-bc-stand-3-100-3p-100a-e-next" TargetMode="External"/><Relationship Id="rId267" Type="http://schemas.openxmlformats.org/officeDocument/2006/relationships/hyperlink" Target="https://001.com.ua/uk/korobka-rozpodilcha-300x220x120mm-ip56-z-gladkymy-stinkamy-dkc" TargetMode="External"/><Relationship Id="rId388" Type="http://schemas.openxmlformats.org/officeDocument/2006/relationships/hyperlink" Target="https://001.com.ua/uk/homut-kabelnyy-e-ct-stand-200-3-black-3x200-mm-neylon-chornyy-upakovka-100-sht-e-next" TargetMode="External"/><Relationship Id="rId7" Type="http://schemas.openxmlformats.org/officeDocument/2006/relationships/hyperlink" Target="https://001.com.ua/uk/peremykach-na-din-reyku-na-3-polozhennya-e-is3-pro-2-63-2r-63a-e-next" TargetMode="External"/><Relationship Id="rId145" Type="http://schemas.openxmlformats.org/officeDocument/2006/relationships/hyperlink" Target="https://001.com.ua/uk/shyna-zapos-yednuvalna-e-bc-stand-2-63-2p-63a-e-next" TargetMode="External"/><Relationship Id="rId266" Type="http://schemas.openxmlformats.org/officeDocument/2006/relationships/hyperlink" Target="https://001.com.ua/uk/korobka-rozpodilcha-300x220x120mm-ip55-z-kabelnymy-vvodamy-dkc" TargetMode="External"/><Relationship Id="rId387" Type="http://schemas.openxmlformats.org/officeDocument/2006/relationships/hyperlink" Target="https://ecshop.com.ua/p108092-provod_shvvp_2h2-5" TargetMode="External"/><Relationship Id="rId8" Type="http://schemas.openxmlformats.org/officeDocument/2006/relationships/hyperlink" Target="https://001.com.ua/uk/peremykach-na-din-reyku-na-3-polozhennya-e-is3-pro-4-63-4r-63a-e-next" TargetMode="External"/><Relationship Id="rId144" Type="http://schemas.openxmlformats.org/officeDocument/2006/relationships/hyperlink" Target="https://001.com.ua/uk/shyna-zapos-yednuvalna-e-bc-stand-1-63-1p-63a-e-next" TargetMode="External"/><Relationship Id="rId265" Type="http://schemas.openxmlformats.org/officeDocument/2006/relationships/hyperlink" Target="https://001.com.ua/uk/korobka-rozpodilcha-240x190x90mm-ip55-z-kabelnymy-vvodamy-dkc" TargetMode="External"/><Relationship Id="rId386" Type="http://schemas.openxmlformats.org/officeDocument/2006/relationships/hyperlink" Target="https://ecshop.com.ua/p108130-provod_pvs_5h6" TargetMode="External"/><Relationship Id="rId260" Type="http://schemas.openxmlformats.org/officeDocument/2006/relationships/hyperlink" Target="https://001.com.ua/uk/izostrichka-0-13x19-mm-chorna-20-m-e-tape-stand-20-black-e-next" TargetMode="External"/><Relationship Id="rId381" Type="http://schemas.openxmlformats.org/officeDocument/2006/relationships/hyperlink" Target="https://ecshop.com.ua/p108107-provod_pvs_2h6" TargetMode="External"/><Relationship Id="rId380" Type="http://schemas.openxmlformats.org/officeDocument/2006/relationships/hyperlink" Target="https://ecshop.com.ua/p108137-provod_pv3_6" TargetMode="External"/><Relationship Id="rId139" Type="http://schemas.openxmlformats.org/officeDocument/2006/relationships/hyperlink" Target="https://001.com.ua/uk/nakinechnyk-dtl-120-midno-alyuminiyevyy-kabelnyy-pid-opresuvannya-asko-ukrem" TargetMode="External"/><Relationship Id="rId138" Type="http://schemas.openxmlformats.org/officeDocument/2006/relationships/hyperlink" Target="https://001.com.ua/uk/nakinechnyk-dt-g-35-midnyy-ludzhenyy-kabelnyy-pid-opresuvannya-asko-ukrem" TargetMode="External"/><Relationship Id="rId259" Type="http://schemas.openxmlformats.org/officeDocument/2006/relationships/hyperlink" Target="https://001.com.ua/uk/izostrichka-0-13x19-mm-chervona-10-metriv-asko-ukrem" TargetMode="External"/><Relationship Id="rId137" Type="http://schemas.openxmlformats.org/officeDocument/2006/relationships/hyperlink" Target="https://001.com.ua/uk/nakinechnyk-dt-g-25-midnyy-ludzhenyy-kabelnyy-pid-opresuvannya-asko-ukrem" TargetMode="External"/><Relationship Id="rId258" Type="http://schemas.openxmlformats.org/officeDocument/2006/relationships/hyperlink" Target="https://001.com.ua/uk/izostrichka-0-13x19-mm-zhovta-20-m-e-tape-stand-20-yellow-e-next" TargetMode="External"/><Relationship Id="rId379" Type="http://schemas.openxmlformats.org/officeDocument/2006/relationships/hyperlink" Target="https://ecshop.com.ua/p108141-provod_pv3_35" TargetMode="External"/><Relationship Id="rId132" Type="http://schemas.openxmlformats.org/officeDocument/2006/relationships/hyperlink" Target="https://001.com.ua/uk/nakinechnyk-dl-25-alyuminiyevyy-kabelnyy-pid-opresuvannya-asko-ukrem" TargetMode="External"/><Relationship Id="rId253" Type="http://schemas.openxmlformats.org/officeDocument/2006/relationships/hyperlink" Target="https://001.com.ua/uk/zapobizhnyk-plavkyy-vstavka-nh-1-gg-160a-500v-kombi-upakovka-3-sht-eti" TargetMode="External"/><Relationship Id="rId374" Type="http://schemas.openxmlformats.org/officeDocument/2006/relationships/hyperlink" Target="https://ecshop.com.ua/p108133-provod_pv3_1" TargetMode="External"/><Relationship Id="rId495" Type="http://schemas.openxmlformats.org/officeDocument/2006/relationships/hyperlink" Target="https://001.com.ua/uk/kryshka-z-zazemlennyam-na-lotok-200x3000-mm-garyachogo-tsynkuvannya-metod-sendzimira-dkc" TargetMode="External"/><Relationship Id="rId131" Type="http://schemas.openxmlformats.org/officeDocument/2006/relationships/hyperlink" Target="https://001.com.ua/uk/din-reyka-th-35x7-5l-1m-eti" TargetMode="External"/><Relationship Id="rId252" Type="http://schemas.openxmlformats.org/officeDocument/2006/relationships/hyperlink" Target="http://shop.mtk.com.ua/id/predohranitel-20a-adler-elektrotechnik-a73-gpv-cilindricheskiy-1038--803.html" TargetMode="External"/><Relationship Id="rId373" Type="http://schemas.openxmlformats.org/officeDocument/2006/relationships/hyperlink" Target="https://ecshop.com.ua/p108132-provod_pv3_0-75" TargetMode="External"/><Relationship Id="rId494" Type="http://schemas.openxmlformats.org/officeDocument/2006/relationships/hyperlink" Target="https://001.com.ua/uk/kryshka-cpo-90-na-kut-goryzontalnyy-90-grad-osnova-300-mm-garyachogo-tsynkuvannya-metod-sendzimira-dkc" TargetMode="External"/><Relationship Id="rId130" Type="http://schemas.openxmlformats.org/officeDocument/2006/relationships/hyperlink" Target="https://001.com.ua/uk/din-reyka-th-ts-35-1-5-1m-asko-ukrem" TargetMode="External"/><Relationship Id="rId251" Type="http://schemas.openxmlformats.org/officeDocument/2006/relationships/hyperlink" Target="https://001.com.ua/uk/zatyskach-ankernyy-zabu-4x10-35-iek" TargetMode="External"/><Relationship Id="rId372" Type="http://schemas.openxmlformats.org/officeDocument/2006/relationships/hyperlink" Target="https://ecshop.com.ua/p108217-kabel_vvgng_5h4" TargetMode="External"/><Relationship Id="rId493" Type="http://schemas.openxmlformats.org/officeDocument/2006/relationships/hyperlink" Target="https://001.com.ua/uk/kryshka-cpo-90-na-kut-goryzontalnyy-90-grad-osnova-200-mm-garyachogo-tsynkuvannya-metod-sendzimira-dkc" TargetMode="External"/><Relationship Id="rId250" Type="http://schemas.openxmlformats.org/officeDocument/2006/relationships/hyperlink" Target="https://axiomplus.com.ua/ua/zazemlenie-molniezashhita/product-90535/" TargetMode="External"/><Relationship Id="rId371" Type="http://schemas.openxmlformats.org/officeDocument/2006/relationships/hyperlink" Target="https://ecshop.com.ua/p108220-kabel_vvgng_5h16" TargetMode="External"/><Relationship Id="rId492" Type="http://schemas.openxmlformats.org/officeDocument/2006/relationships/hyperlink" Target="https://001.com.ua/uk/kryshka-na-kut-cd-90-vertykalnyy-zovnishniy-90-grad-osnova-300-mm-garyachogo-tsynkuvannya-metod-sendzimira-dkc" TargetMode="External"/><Relationship Id="rId136" Type="http://schemas.openxmlformats.org/officeDocument/2006/relationships/hyperlink" Target="https://001.com.ua/uk/nakinechnyk-dt-95-midnyy-ludzhenyy-kabelnyy-pid-opresuvannya-asko-ukrem" TargetMode="External"/><Relationship Id="rId257" Type="http://schemas.openxmlformats.org/officeDocument/2006/relationships/hyperlink" Target="https://001.com.ua/uk/zatyskach-vidgaluzhuvalnyy-izolovanyy-zoy-25-95-25-95-iek" TargetMode="External"/><Relationship Id="rId378" Type="http://schemas.openxmlformats.org/officeDocument/2006/relationships/hyperlink" Target="https://ecshop.com.ua/p108140-provod_pv3_25" TargetMode="External"/><Relationship Id="rId499" Type="http://schemas.openxmlformats.org/officeDocument/2006/relationships/hyperlink" Target="https://001.com.ua/uk/kut-cpo-90-goryzontalnyy-90-grad-200x50-mm-garyachogo-tsynkuvannya-metod-sendzimira-dkc" TargetMode="External"/><Relationship Id="rId135" Type="http://schemas.openxmlformats.org/officeDocument/2006/relationships/hyperlink" Target="https://001.com.ua/uk/nakinechnyk-dt-35-midnyy-ludzhenyy-kabelnyy-pid-opresuvannya-asko-ukrem" TargetMode="External"/><Relationship Id="rId256" Type="http://schemas.openxmlformats.org/officeDocument/2006/relationships/hyperlink" Target="https://axiomplus.com.ua/ua/zazhimyi/product-48169/" TargetMode="External"/><Relationship Id="rId377" Type="http://schemas.openxmlformats.org/officeDocument/2006/relationships/hyperlink" Target="https://ecshop.com.ua/p108135-provod_pv3_2-5" TargetMode="External"/><Relationship Id="rId498" Type="http://schemas.openxmlformats.org/officeDocument/2006/relationships/hyperlink" Target="https://001.com.ua/uk/kut-cd-90-vertykalnyy-zovnishniy-90-grad-300x100-mm-garyachogo-tsynkuvannya-metod-sendzimira-dkc" TargetMode="External"/><Relationship Id="rId134" Type="http://schemas.openxmlformats.org/officeDocument/2006/relationships/hyperlink" Target="https://001.com.ua/uk/nakinechnyk-dl-70-alyuminiyevyy-kabelnyy-pid-opresuvannya-asko-ukrem" TargetMode="External"/><Relationship Id="rId255" Type="http://schemas.openxmlformats.org/officeDocument/2006/relationships/hyperlink" Target="https://001.com.ua/uk/zapobizhnyk-plavkyy-vstavka-nh-2-gg-400a-500v-kombi-upakovka-3-sht-eti" TargetMode="External"/><Relationship Id="rId376" Type="http://schemas.openxmlformats.org/officeDocument/2006/relationships/hyperlink" Target="https://ecshop.com.ua/p108139-provod_pv3_16" TargetMode="External"/><Relationship Id="rId497" Type="http://schemas.openxmlformats.org/officeDocument/2006/relationships/hyperlink" Target="https://www.obo.ua/produkts-ia/kr-plennia-drotianoho-lotka-fs-60-x-40-stal-otsynkovano-metodom-sendzym-ra-6015263.html" TargetMode="External"/><Relationship Id="rId133" Type="http://schemas.openxmlformats.org/officeDocument/2006/relationships/hyperlink" Target="https://001.com.ua/uk/nakinechnyk-dl-35-alyuminiyevyy-kabelnyy-pid-opresuvannya-asko-ukrem" TargetMode="External"/><Relationship Id="rId254" Type="http://schemas.openxmlformats.org/officeDocument/2006/relationships/hyperlink" Target="https://001.com.ua/uk/zapobizhnyk-plavkyy-vstavka-nh-1-gg-200a-500v-kombi-upakovka-3-sht-eti" TargetMode="External"/><Relationship Id="rId375" Type="http://schemas.openxmlformats.org/officeDocument/2006/relationships/hyperlink" Target="https://ecshop.com.ua/p108138-provod_pv3_10" TargetMode="External"/><Relationship Id="rId496" Type="http://schemas.openxmlformats.org/officeDocument/2006/relationships/hyperlink" Target="https://001.com.ua/uk/kryshka-z-zazemlennyam-na-lotok-300x3000-mm-garyachogo-tsynkuvannya-metod-sendzimira-dkc" TargetMode="External"/><Relationship Id="rId172" Type="http://schemas.openxmlformats.org/officeDocument/2006/relationships/hyperlink" Target="https://001.com.ua/uk/schyt-zovnishniy-rozpodilnyy-ect-8-pt-8-moduliv-prozori-dvertsyata-eti" TargetMode="External"/><Relationship Id="rId293" Type="http://schemas.openxmlformats.org/officeDocument/2006/relationships/hyperlink" Target="https://001.com.ua/uk/nakinechnyk-nt-6-0-12-trubchastyy-v-izolyatsiyi-chornyy-upakovka-100-sht-asko-ukrem" TargetMode="External"/><Relationship Id="rId171" Type="http://schemas.openxmlformats.org/officeDocument/2006/relationships/hyperlink" Target="https://www.eti.ua/produktsiya-ua/001100304-ech-surface-mounted-ip-65-48-12-plastic-transparent" TargetMode="External"/><Relationship Id="rId292" Type="http://schemas.openxmlformats.org/officeDocument/2006/relationships/hyperlink" Target="https://001.com.ua/uk/nakinechnyk-nt-6-0-12-trubchastyy-v-izolyatsiyi-zelenyy-upakovka-100-sht-asko-ukrem" TargetMode="External"/><Relationship Id="rId170" Type="http://schemas.openxmlformats.org/officeDocument/2006/relationships/hyperlink" Target="https://ecshop.com.ua/p3686-shchit_raspredelitelniy_ech_36pt_36_moduley_naruzhnogo_ispolneniya_ip65" TargetMode="External"/><Relationship Id="rId291" Type="http://schemas.openxmlformats.org/officeDocument/2006/relationships/hyperlink" Target="https://001.com.ua/uk/nakinechnyk-nt-6-0-12-trubchastyy-v-izolyatsiyi-zhovtyy-upakovka-100-sht-asko-ukrem" TargetMode="External"/><Relationship Id="rId290" Type="http://schemas.openxmlformats.org/officeDocument/2006/relationships/hyperlink" Target="https://001.com.ua/uk/nakinechnyk-nt-4-0-09-trubchastyy-v-izolyatsiyi-pomaranchevyy-upakovka-100-sht-asko-ukrem" TargetMode="External"/><Relationship Id="rId165" Type="http://schemas.openxmlformats.org/officeDocument/2006/relationships/hyperlink" Target="https://001.com.ua/uk/nakinechnyk-vtulkovyy-izolovanyy-na-2-provody-2x2-5-mm2-siryy-upakovka-100-sht-e-terminal-stand-te-2-2-5-grey-e-next" TargetMode="External"/><Relationship Id="rId286" Type="http://schemas.openxmlformats.org/officeDocument/2006/relationships/hyperlink" Target="https://001.com.ua/uk/nakinechnyk-nt-16-0-12-trubchastyy-v-izolyatsiyi-zelenyy-upakovka-100-sht-asko-ukrem" TargetMode="External"/><Relationship Id="rId164" Type="http://schemas.openxmlformats.org/officeDocument/2006/relationships/hyperlink" Target="https://001.com.ua/uk/nakinechnyk-vtulkovyy-izolovanyy-na-2-provody-2x16-mm2-siryy-upakovka-100-sht-e-terminal-stand-te-2-16-grey-e-next" TargetMode="External"/><Relationship Id="rId285" Type="http://schemas.openxmlformats.org/officeDocument/2006/relationships/hyperlink" Target="https://001.com.ua/uk/nakinechnyk-nt-10-0-12-trubchastyy-v-izolyatsiyi-zhovtyy-upakovka-100-sht-asko-ukrem" TargetMode="External"/><Relationship Id="rId163" Type="http://schemas.openxmlformats.org/officeDocument/2006/relationships/hyperlink" Target="https://001.com.ua/uk/nakinechnyk-vtulkovyy-izolovanyy-na-2-provody-2x10-mm2-korychnevyy-upakovka-100-sht-e-terminal-stand-te-2-10-brown-e-next" TargetMode="External"/><Relationship Id="rId284" Type="http://schemas.openxmlformats.org/officeDocument/2006/relationships/hyperlink" Target="https://001.com.ua/uk/nakinechnyk-nt-10-0-12-trubchastyy-v-izolyatsiyi-bilyy-upakovka-100-sht-asko-ukrem" TargetMode="External"/><Relationship Id="rId162" Type="http://schemas.openxmlformats.org/officeDocument/2006/relationships/hyperlink" Target="https://001.com.ua/uk/nakinechnyk-vtulkovyy-izolovanyy-na-2-provody-2x1-0-mm2-bilyy-upakovka-100-sht-e-terminal-stand-te-2-1-white-e-next" TargetMode="External"/><Relationship Id="rId283" Type="http://schemas.openxmlformats.org/officeDocument/2006/relationships/hyperlink" Target="https://001.com.ua/uk/nakinechnyk-nt-1-0-08-trubchastyy-v-izolyatsiyi-chervonyy-upakovka-100-sht-asko-ukrem" TargetMode="External"/><Relationship Id="rId169" Type="http://schemas.openxmlformats.org/officeDocument/2006/relationships/hyperlink" Target="https://ecshop.com.ua/p3685-shchit_raspredelitelniy_ech_24pt_24_modulya_naruzhnogo_ispolneniya_ip65" TargetMode="External"/><Relationship Id="rId168" Type="http://schemas.openxmlformats.org/officeDocument/2006/relationships/hyperlink" Target="https://ecshop.com.ua/p3684-shchit_raspredelitelniy_ech_12pt_12_moduley_naruzhnogo_ispolneniya_ip65" TargetMode="External"/><Relationship Id="rId289" Type="http://schemas.openxmlformats.org/officeDocument/2006/relationships/hyperlink" Target="https://001.com.ua/uk/nakinechnyk-nt-25-0-12-trubchastyy-v-izolyatsiyi-pomaranchevyy-upakovka-100-sht-asko-ukrem" TargetMode="External"/><Relationship Id="rId167" Type="http://schemas.openxmlformats.org/officeDocument/2006/relationships/hyperlink" Target="https://001.com.ua/uk/gilza-e-tube-stand-gty-25-midna-ludzhena-kabelna-zyednuvalna-e-next" TargetMode="External"/><Relationship Id="rId288" Type="http://schemas.openxmlformats.org/officeDocument/2006/relationships/hyperlink" Target="https://001.com.ua/uk/nakinechnyk-nt-2-5-08-trubchastyy-v-izolyatsiyi-synyy-upakovka-100-sht-asko-ukrem" TargetMode="External"/><Relationship Id="rId166" Type="http://schemas.openxmlformats.org/officeDocument/2006/relationships/hyperlink" Target="https://001.com.ua/uk/nakinechnyk-vtulkovyy-izolovanyy-na-2-provody-2x6-0-mm2-chornyy-upakovka-100-sht-e-terminal-stand-te-2-6-black-e-next" TargetMode="External"/><Relationship Id="rId287" Type="http://schemas.openxmlformats.org/officeDocument/2006/relationships/hyperlink" Target="https://001.com.ua/uk/nakinechnyk-nt-16-0-12-trubchastyy-v-izolyatsiyi-synyy-upakovka-100-sht-asko-ukrem" TargetMode="External"/><Relationship Id="rId161" Type="http://schemas.openxmlformats.org/officeDocument/2006/relationships/hyperlink" Target="https://001.com.ua/uk/nakinechnyk-vtulkovyy-izolovanyy-na-2-provody-2x1-0-mm2-chervonyy-upakovka-100-sht-e-terminal-stand-te-2-1-red-e-next" TargetMode="External"/><Relationship Id="rId282" Type="http://schemas.openxmlformats.org/officeDocument/2006/relationships/hyperlink" Target="https://001.com.ua/uk/nakinechnyk-nt-1-0-08-trubchastyy-v-izolyatsiyi-zhovtyy-upakovka-100-sht-asko-ukrem" TargetMode="External"/><Relationship Id="rId160" Type="http://schemas.openxmlformats.org/officeDocument/2006/relationships/hyperlink" Target="https://001.com.ua/uk/nakinechnyk-vtulkovyy-izolovanyy-6-0-mm2-chervonyy-upakovka-100-sht-e-terminal-stand-e6012-red-e-next" TargetMode="External"/><Relationship Id="rId281" Type="http://schemas.openxmlformats.org/officeDocument/2006/relationships/hyperlink" Target="https://001.com.ua/uk/nakinechnyk-nt-0-75-08-trubchastyy-v-izolyatsiyi-synyy-upakovka-100-sht-asko-ukrem" TargetMode="External"/><Relationship Id="rId280" Type="http://schemas.openxmlformats.org/officeDocument/2006/relationships/hyperlink" Target="https://001.com.ua/uk/mufta-truba-korobka-ip67-m50x1-5-d50-mm-dkc" TargetMode="External"/><Relationship Id="rId159" Type="http://schemas.openxmlformats.org/officeDocument/2006/relationships/hyperlink" Target="https://001.com.ua/uk/nakinechnyk-vtulkovyy-izolovanyy-6-0-mm2-syniy-upakovka-100-sht-e-terminal-stand-e6012-blue-e-next" TargetMode="External"/><Relationship Id="rId154" Type="http://schemas.openxmlformats.org/officeDocument/2006/relationships/hyperlink" Target="https://001.com.ua/uk/nakinechnyk-vtulkovyy-izolovanyy-1-0-mm2-zelenyy-upakovka-100-sht-e-terminal-stand-e1008-green-e-next" TargetMode="External"/><Relationship Id="rId275" Type="http://schemas.openxmlformats.org/officeDocument/2006/relationships/hyperlink" Target="https://001.com.ua/uk/sygnalna-lampa-ls-47m-zelena-matrytsya-iek" TargetMode="External"/><Relationship Id="rId396" Type="http://schemas.openxmlformats.org/officeDocument/2006/relationships/hyperlink" Target="https://www.fronius.com/uk-ua/ukraine/sonyachna-enerhiya/instalyatory-ta-partnery/tekhnichni-dani/%D0%B2%D1%81%D1%96-%D0%BF%D1%80%D0%BE%D0%B4%D1%83%D0%BA%D1%82%D0%B8/%D0%BC%D0%BE%D0%BD%D1%96%D1%82%D0%BE%D1%80%D0%B8%D0%BD%D0%B3-%D1%81%D0%B8%D1%81%D1%82%D0%B5%D0%BC%D0%B8/%D0%B0%D0%BF%D0%B0%D1%80%D0%B0%D1%82%D0%BD%D0%B5-%D0%B7%D0%B0%D0%B1%D0%B5%D0%B7%D0%BF%D0%B5%D1%87%D0%B5%D0%BD%D0%BD%D1%8F/fronius-smart-meter/fronius-smart-meter-63a-3" TargetMode="External"/><Relationship Id="rId153" Type="http://schemas.openxmlformats.org/officeDocument/2006/relationships/hyperlink" Target="https://001.com.ua/uk/nakinechnyk-vtulkovyy-izolovanyy-10-0-mm2-zhovtyy-upakovka-100-sht-e-terminal-stand-e10-12-yellow-e-next" TargetMode="External"/><Relationship Id="rId274" Type="http://schemas.openxmlformats.org/officeDocument/2006/relationships/hyperlink" Target="https://001.com.ua/uk/sygnalna-lampa-ls-47m-zhovta-matrytsya-iek" TargetMode="External"/><Relationship Id="rId395" Type="http://schemas.openxmlformats.org/officeDocument/2006/relationships/hyperlink" Target="https://ecshop.com.ua/ua/p143962-schetchik_energii_dtsu666-h_smartmeter_250a_max" TargetMode="External"/><Relationship Id="rId152" Type="http://schemas.openxmlformats.org/officeDocument/2006/relationships/hyperlink" Target="https://001.com.ua/uk/nakinechnyk-vtulkovyy-izolovanyy-10-0-mm2-pomaranchevyy-upakovka-100-sht-e-terminal-stand-e10-12-orange-e-next" TargetMode="External"/><Relationship Id="rId273" Type="http://schemas.openxmlformats.org/officeDocument/2006/relationships/hyperlink" Target="https://001.com.ua/uk/lotok-neperforovanyy-50x50x3000-mm-garyachogo-tsynkuvannya-metod-sendzimira-dkc" TargetMode="External"/><Relationship Id="rId394" Type="http://schemas.openxmlformats.org/officeDocument/2006/relationships/hyperlink" Target="https://ecshop.com.ua/p122849-sdm630mct_5a_ct_analizator_seti_s_rs485_vh-1-5a_na_din_kl_1-0_bi-directional_measurement" TargetMode="External"/><Relationship Id="rId151" Type="http://schemas.openxmlformats.org/officeDocument/2006/relationships/hyperlink" Target="https://001.com.ua/uk/indykator-na-din-reyku-e-industrial-i-1-yellow-1-red-zhovto-chervonyy-e-next" TargetMode="External"/><Relationship Id="rId272" Type="http://schemas.openxmlformats.org/officeDocument/2006/relationships/hyperlink" Target="https://001.com.ua/uk/plastyna-bichna-zaglushka-2-5-mm-asko-ukrem" TargetMode="External"/><Relationship Id="rId393" Type="http://schemas.openxmlformats.org/officeDocument/2006/relationships/hyperlink" Target="https://ecshop.com.ua/ua/p129161-analizator_seti_s_rs485_vh_100a_na_din_kl_1-0" TargetMode="External"/><Relationship Id="rId158" Type="http://schemas.openxmlformats.org/officeDocument/2006/relationships/hyperlink" Target="https://001.com.ua/uk/nakinechnyk-vtulkovyy-izolovanyy-2-5-mm2-zelenyy-upakovka-100-sht-e-terminal-stand-e2508-green-e-next" TargetMode="External"/><Relationship Id="rId279" Type="http://schemas.openxmlformats.org/officeDocument/2006/relationships/hyperlink" Target="https://001.com.ua/uk/mufta-truba-korobka-ip67-m32x1-5-d32-mm-dkc" TargetMode="External"/><Relationship Id="rId157" Type="http://schemas.openxmlformats.org/officeDocument/2006/relationships/hyperlink" Target="https://001.com.ua/uk/nakinechnyk-vtulkovyy-izolovanyy-2-5-mm2-syniy-upakovka-100-sht-e-terminal-stand-e2508-blue-e-next" TargetMode="External"/><Relationship Id="rId278" Type="http://schemas.openxmlformats.org/officeDocument/2006/relationships/hyperlink" Target="https://001.com.ua/uk/mufta-truba-truba-z-obmezhuvachem-ip40-d32-mm-dkc" TargetMode="External"/><Relationship Id="rId399" Type="http://schemas.openxmlformats.org/officeDocument/2006/relationships/hyperlink" Target="https://e-server.com.ua/uk/serverni-stijki/serverni-stijki-lite/serverna-stijka-16u-400-lite-detail" TargetMode="External"/><Relationship Id="rId156" Type="http://schemas.openxmlformats.org/officeDocument/2006/relationships/hyperlink" Target="https://001.com.ua/uk/nakinechnyk-vtulkovyy-izolovanyy-16-0-mm2-zelenyy-upakovka-100-sht-e-terminal-stand-e16-12-green-e-next" TargetMode="External"/><Relationship Id="rId277" Type="http://schemas.openxmlformats.org/officeDocument/2006/relationships/hyperlink" Target="https://001.com.ua/uk/mufta-truba-truba-ip67-d32-mm-dkc" TargetMode="External"/><Relationship Id="rId398" Type="http://schemas.openxmlformats.org/officeDocument/2006/relationships/hyperlink" Target="https://ecshop.com.ua/ua/p129150-mini_transformator_toka_100-5a_s_razemnim_serdechnikom_d-24mm_kl_0-5" TargetMode="External"/><Relationship Id="rId155" Type="http://schemas.openxmlformats.org/officeDocument/2006/relationships/hyperlink" Target="https://001.com.ua/uk/nakinechnyk-vtulkovyy-izolovanyy-1-0-mm2-chervonyy-upakovka-100-sht-e-terminal-stand-e1008-red-e-next" TargetMode="External"/><Relationship Id="rId276" Type="http://schemas.openxmlformats.org/officeDocument/2006/relationships/hyperlink" Target="https://001.com.ua/uk/mistok-zyednuvalnyy-lbs-br400-1p-co-dlya-lbs-400-co-3p-4p-eti" TargetMode="External"/><Relationship Id="rId397" Type="http://schemas.openxmlformats.org/officeDocument/2006/relationships/hyperlink" Target="https://www.acrel.sg/uk/acr10r-d16te-single-phase-energy-meter-for-solar-inverters-product/" TargetMode="External"/><Relationship Id="rId40" Type="http://schemas.openxmlformats.org/officeDocument/2006/relationships/hyperlink" Target="https://001.com.ua/uk/avtomatychnyy-vymykach-etimat-6-6ka-3p-32-a-har-ka-c-eti" TargetMode="External"/><Relationship Id="rId42" Type="http://schemas.openxmlformats.org/officeDocument/2006/relationships/hyperlink" Target="https://001.com.ua/uk/avtomatychnyy-vymykach-etimat-6-6ka-3p-50-a-har-ka-c-eti" TargetMode="External"/><Relationship Id="rId41" Type="http://schemas.openxmlformats.org/officeDocument/2006/relationships/hyperlink" Target="https://001.com.ua/uk/avtomatychnyy-vymykach-etimat-6-6ka-3p-40-a-har-ka-c-eti" TargetMode="External"/><Relationship Id="rId44" Type="http://schemas.openxmlformats.org/officeDocument/2006/relationships/hyperlink" Target="https://001.com.ua/uk/avtomatychnyy-vymykach-etimat-6-6ka-3p-32-a-har-ka-d-eti" TargetMode="External"/><Relationship Id="rId43" Type="http://schemas.openxmlformats.org/officeDocument/2006/relationships/hyperlink" Target="https://001.com.ua/uk/avtomatychnyy-vymykach-etimat-6-6ka-3p-63-a-har-ka-c-eti" TargetMode="External"/><Relationship Id="rId46" Type="http://schemas.openxmlformats.org/officeDocument/2006/relationships/hyperlink" Target="https://001.com.ua/uk/avtomatychnyy-vymykach-etimat-6-6ka-1p-n-25-a-har-ka-c-eti" TargetMode="External"/><Relationship Id="rId45" Type="http://schemas.openxmlformats.org/officeDocument/2006/relationships/hyperlink" Target="https://001.com.ua/uk/avtomatychnyy-vymykach-etimat-6-6ka-1p-n-16-a-har-ka-c-eti" TargetMode="External"/><Relationship Id="rId509" Type="http://schemas.openxmlformats.org/officeDocument/2006/relationships/hyperlink" Target="https://001.com.ua/uk/peremykach-anc-22-2-na-2-fiksovanyh-polozhennya-i-o-neon-zelenyy-240v-1z-1r-iek" TargetMode="External"/><Relationship Id="rId508" Type="http://schemas.openxmlformats.org/officeDocument/2006/relationships/hyperlink" Target="https://e-server.com.ua/uk/panel-19-3u-z-din-reikoiu-dlia-24-x-avtomaticnix-vimikaciv-sira" TargetMode="External"/><Relationship Id="rId503" Type="http://schemas.openxmlformats.org/officeDocument/2006/relationships/hyperlink" Target="https://support.huawei.com/enterprise/en/doc/EDOC1100262247" TargetMode="External"/><Relationship Id="rId502" Type="http://schemas.openxmlformats.org/officeDocument/2006/relationships/hyperlink" Target="https://support.huawei.com/enterprise/en/doc/EDOC1100355594" TargetMode="External"/><Relationship Id="rId501" Type="http://schemas.openxmlformats.org/officeDocument/2006/relationships/hyperlink" Target="https://support.huawei.com/enterprise/en/doc/EDOC1100355588" TargetMode="External"/><Relationship Id="rId500" Type="http://schemas.openxmlformats.org/officeDocument/2006/relationships/hyperlink" Target="https://001.com.ua/uk/kut-cpo-90-goryzontalnyy-90-grad-300x100-mm-garyachogo-tsynkuvannya-metod-sendzimira-dkc" TargetMode="External"/><Relationship Id="rId507" Type="http://schemas.openxmlformats.org/officeDocument/2006/relationships/hyperlink" Target="https://001.com.ua/uzip-ops1-d-1p-klass-iii-d-iek" TargetMode="External"/><Relationship Id="rId506" Type="http://schemas.openxmlformats.org/officeDocument/2006/relationships/hyperlink" Target="https://001.com.ua/uk/lotok-perforovanyy-300x100x3000-mm-garyachogo-tsynkuvannya-metod-sendzimira-dkc" TargetMode="External"/><Relationship Id="rId505" Type="http://schemas.openxmlformats.org/officeDocument/2006/relationships/hyperlink" Target="https://amperok.com.ua/ru/lotok_perforovanyj_200_50_3000_dkc_35264" TargetMode="External"/><Relationship Id="rId504" Type="http://schemas.openxmlformats.org/officeDocument/2006/relationships/hyperlink" Target="https://support.huawei.com/enterprise/en/doc/EDOC1100289910" TargetMode="External"/><Relationship Id="rId48" Type="http://schemas.openxmlformats.org/officeDocument/2006/relationships/hyperlink" Target="https://001.com.ua/uk/avtomatychnyy-vymykach-etimat-6-6ka-1p-n-50-a-har-ka-c-eti" TargetMode="External"/><Relationship Id="rId47" Type="http://schemas.openxmlformats.org/officeDocument/2006/relationships/hyperlink" Target="https://001.com.ua/uk/avtomatychnyy-vymykach-etimat-6-6ka-1p-n-1-modul-32-a-har-ka-c-eti" TargetMode="External"/><Relationship Id="rId49" Type="http://schemas.openxmlformats.org/officeDocument/2006/relationships/hyperlink" Target="https://001.com.ua/uk/avtomatychnyy-vymykach-etimat-6-6ka-1p-n-6-a-har-ka-c-eti" TargetMode="External"/><Relationship Id="rId31" Type="http://schemas.openxmlformats.org/officeDocument/2006/relationships/hyperlink" Target="https://001.com.ua/uk/avtomatychnyy-vymykach-etimat-6-6ka-2p-32-a-har-ka-c-eti" TargetMode="External"/><Relationship Id="rId30" Type="http://schemas.openxmlformats.org/officeDocument/2006/relationships/hyperlink" Target="https://001.com.ua/uk/avtomatychnyy-vymykach-etimat-6-6ka-2p-25-a-har-ka-c-eti" TargetMode="External"/><Relationship Id="rId33" Type="http://schemas.openxmlformats.org/officeDocument/2006/relationships/hyperlink" Target="https://001.com.ua/uk/avtomatychnyy-vymykach-etimat-6-6ka-2p-50-a-har-ka-c-eti" TargetMode="External"/><Relationship Id="rId32" Type="http://schemas.openxmlformats.org/officeDocument/2006/relationships/hyperlink" Target="https://001.com.ua/uk/avtomatychnyy-vymykach-etimat-6-6ka-2p-40-a-har-ka-c-eti" TargetMode="External"/><Relationship Id="rId35" Type="http://schemas.openxmlformats.org/officeDocument/2006/relationships/hyperlink" Target="https://001.com.ua/uk/avtomatychnyy-vymykach-etimat-6-6ka-3p-10-a-har-ka-c-eti" TargetMode="External"/><Relationship Id="rId34" Type="http://schemas.openxmlformats.org/officeDocument/2006/relationships/hyperlink" Target="https://001.com.ua/uk/avtomatychnyy-vymykach-etimat-6-6ka-2p-63-a-har-ka-c-eti" TargetMode="External"/><Relationship Id="rId37" Type="http://schemas.openxmlformats.org/officeDocument/2006/relationships/hyperlink" Target="https://001.com.ua/uk/avtomatychnyy-vymykach-etimat-6-6ka-3p-16-a-har-ka-c-eti" TargetMode="External"/><Relationship Id="rId36" Type="http://schemas.openxmlformats.org/officeDocument/2006/relationships/hyperlink" Target="https://001.com.ua/uk/avtomatychnyy-vymykach-etimat-6-6ka-3p-13-a-har-ka-c-eti" TargetMode="External"/><Relationship Id="rId39" Type="http://schemas.openxmlformats.org/officeDocument/2006/relationships/hyperlink" Target="https://001.com.ua/uk/avtomatychnyy-vymykach-etimat-6-6ka-3p-25-a-har-ka-c-eti" TargetMode="External"/><Relationship Id="rId38" Type="http://schemas.openxmlformats.org/officeDocument/2006/relationships/hyperlink" Target="https://001.com.ua/uk/avtomatychnyy-vymykach-etimat-6-6ka-3p-20-a-har-ka-c-eti" TargetMode="External"/><Relationship Id="rId20" Type="http://schemas.openxmlformats.org/officeDocument/2006/relationships/hyperlink" Target="https://001.com.ua/uk/avtomatychnyy-vymykach-etimat-6-6ka-1p-1-a-har-ka-c-eti" TargetMode="External"/><Relationship Id="rId22" Type="http://schemas.openxmlformats.org/officeDocument/2006/relationships/hyperlink" Target="https://001.com.ua/uk/avtomatychnyy-vymykach-etimat-6-6ka-1p-25-a-har-ka-c-eti" TargetMode="External"/><Relationship Id="rId21" Type="http://schemas.openxmlformats.org/officeDocument/2006/relationships/hyperlink" Target="https://001.com.ua/uk/avtomatychnyy-vymykach-etimat-6-6ka-1p-20-a-har-ka-c-eti" TargetMode="External"/><Relationship Id="rId24" Type="http://schemas.openxmlformats.org/officeDocument/2006/relationships/hyperlink" Target="https://001.com.ua/uk/avtomatychnyy-vymykach-etimat-6-6ka-1p-40-a-har-ka-c-eti" TargetMode="External"/><Relationship Id="rId23" Type="http://schemas.openxmlformats.org/officeDocument/2006/relationships/hyperlink" Target="https://001.com.ua/uk/avtomatychnyy-vymykach-etimat-6-6ka-1p-32-a-har-ka-c-eti" TargetMode="External"/><Relationship Id="rId409" Type="http://schemas.openxmlformats.org/officeDocument/2006/relationships/hyperlink" Target="https://metalvis.ua/ru/catalog/sku-shajba-ploska-m8-nerzha2" TargetMode="External"/><Relationship Id="rId404" Type="http://schemas.openxmlformats.org/officeDocument/2006/relationships/hyperlink" Target="https://metalvis.ua/ru/catalog/sku-din6923-gajka-m10-flanc-8-cb-zubch/" TargetMode="External"/><Relationship Id="rId525" Type="http://schemas.openxmlformats.org/officeDocument/2006/relationships/hyperlink" Target="https://ecshop.com.ua/ua/p122450-transformator_toka_ime_ta327_100-5_ta32750c100_32-5x10-5_d-27mm_kl-0-5-2_va" TargetMode="External"/><Relationship Id="rId403" Type="http://schemas.openxmlformats.org/officeDocument/2006/relationships/hyperlink" Target="https://metalvis.ua/ru/catalog/sku-din934-gajka-m8-a2" TargetMode="External"/><Relationship Id="rId524" Type="http://schemas.openxmlformats.org/officeDocument/2006/relationships/hyperlink" Target="https://novatek-electro.com/ua/vymiriuvalnyi-transformator-strumu-100-5/" TargetMode="External"/><Relationship Id="rId402" Type="http://schemas.openxmlformats.org/officeDocument/2006/relationships/hyperlink" Target="https://metalvis.ua/ru/catalog/sku-iso4032-gajka-m8-8-cb/" TargetMode="External"/><Relationship Id="rId523" Type="http://schemas.openxmlformats.org/officeDocument/2006/relationships/hyperlink" Target="https://amperok.com.ua/ru/smuga_zazemlennja_25_4mm_buhta_32m_nc2254_1" TargetMode="External"/><Relationship Id="rId401" Type="http://schemas.openxmlformats.org/officeDocument/2006/relationships/hyperlink" Target="https://metalvis.ua/ru/catalog/sku-din933-bolt-m8h40-88-cb-pr/" TargetMode="External"/><Relationship Id="rId522" Type="http://schemas.openxmlformats.org/officeDocument/2006/relationships/hyperlink" Target="https://e-server.com.ua/uk/stiika-49u-podviina-sira-ua-of49-d-gr" TargetMode="External"/><Relationship Id="rId408" Type="http://schemas.openxmlformats.org/officeDocument/2006/relationships/hyperlink" Target="https://e-server.com.ua/uk/stacionarna-policia-eserver-1u-19-420x400-mm-sg-corna-ps-1u-400-b-e" TargetMode="External"/><Relationship Id="rId529" Type="http://schemas.openxmlformats.org/officeDocument/2006/relationships/hyperlink" Target="https://novatek-electro.com/ua/vymiriuvalnyi-transformator-strumu-600-5/" TargetMode="External"/><Relationship Id="rId407" Type="http://schemas.openxmlformats.org/officeDocument/2006/relationships/hyperlink" Target="https://e-server.com.ua/aksessuary-krepleniya/servernye-polki/polka-19-4-tochki-krepl-400mm-glub-perforirovannaya-stal-1-5mm-detail" TargetMode="External"/><Relationship Id="rId528" Type="http://schemas.openxmlformats.org/officeDocument/2006/relationships/hyperlink" Target="https://ecshop.com.ua/ua/p122498-transformator_toka_400-5_ta54050c400_ta540_50-5x12-5_d-40mm_kl-0-5-4_va" TargetMode="External"/><Relationship Id="rId406" Type="http://schemas.openxmlformats.org/officeDocument/2006/relationships/hyperlink" Target="https://e-server.com.ua/uk/aksesuari-kriplennja/serverni-polici/policja-nizhnja-400-mm-detail" TargetMode="External"/><Relationship Id="rId527" Type="http://schemas.openxmlformats.org/officeDocument/2006/relationships/hyperlink" Target="https://novatek-electro.com/ua/vymiriuvalnyi-transformator-strumu-400-5/" TargetMode="External"/><Relationship Id="rId405" Type="http://schemas.openxmlformats.org/officeDocument/2006/relationships/hyperlink" Target="https://e-server.com.ua/uk/aksesuari-kriplennja/kriplennja-rizne/komplekt-kriplennja-chornij-gvint-20mm-gajka-shajba-detail" TargetMode="External"/><Relationship Id="rId526" Type="http://schemas.openxmlformats.org/officeDocument/2006/relationships/hyperlink" Target="https://novatek-electro.com/ua/vymiriuvalnyi-transformator-strumu-200-5/" TargetMode="External"/><Relationship Id="rId26" Type="http://schemas.openxmlformats.org/officeDocument/2006/relationships/hyperlink" Target="https://001.com.ua/uk/avtomatychnyy-vymykach-etimat-6-6ka-1p-63-a-har-ka-c-eti" TargetMode="External"/><Relationship Id="rId25" Type="http://schemas.openxmlformats.org/officeDocument/2006/relationships/hyperlink" Target="https://001.com.ua/uk/avtomatychnyy-vymykach-etimat-6-6ka-1p-50-a-har-ka-c-eti" TargetMode="External"/><Relationship Id="rId28" Type="http://schemas.openxmlformats.org/officeDocument/2006/relationships/hyperlink" Target="https://001.com.ua/uk/avtomatychnyy-vymykach-etimat-6-6ka-2p-16-a-har-ka-c-eti" TargetMode="External"/><Relationship Id="rId27" Type="http://schemas.openxmlformats.org/officeDocument/2006/relationships/hyperlink" Target="https://001.com.ua/uk/avtomatychnyy-vymykach-etimat-6-6ka-2p-20-a-har-ka-b-eti" TargetMode="External"/><Relationship Id="rId400" Type="http://schemas.openxmlformats.org/officeDocument/2006/relationships/hyperlink" Target="https://e-server.com.ua/uk/serverni-stijki/serverni-stijki-lite/serverna-stijka-24u-400-lite-detail" TargetMode="External"/><Relationship Id="rId521" Type="http://schemas.openxmlformats.org/officeDocument/2006/relationships/hyperlink" Target="https://can.ua/deye-3u-lrack-19u-3ux8plus1-for-bos-gm5-1/p368722/" TargetMode="External"/><Relationship Id="rId29" Type="http://schemas.openxmlformats.org/officeDocument/2006/relationships/hyperlink" Target="https://001.com.ua/uk/avtomatychnyy-vymykach-etimat-6-6ka-2p-20-a-har-ka-c-eti" TargetMode="External"/><Relationship Id="rId520" Type="http://schemas.openxmlformats.org/officeDocument/2006/relationships/hyperlink" Target="https://can.ua/deye-bos-g/p366031/" TargetMode="External"/><Relationship Id="rId11" Type="http://schemas.openxmlformats.org/officeDocument/2006/relationships/hyperlink" Target="https://001.com.ua/uk/avtomatychnyy-vymykach-eb2-250-3l-3p-250a-25ka-eti" TargetMode="External"/><Relationship Id="rId10" Type="http://schemas.openxmlformats.org/officeDocument/2006/relationships/hyperlink" Target="https://001.com.ua/uk/avtomatychnyy-vymykach-eb2-250-3l-3p-200a-25ka-eti" TargetMode="External"/><Relationship Id="rId13" Type="http://schemas.openxmlformats.org/officeDocument/2006/relationships/hyperlink" Target="https://electrocontrol.com.ua/ua/avtomaticheskie-vyklyuchateli/4671904-avtomaticheskii-vykluchatel-eti-eb2s-160-3sa-125a-25ka-0-63-1in-fiks-3p" TargetMode="External"/><Relationship Id="rId12" Type="http://schemas.openxmlformats.org/officeDocument/2006/relationships/hyperlink" Target="https://001.com.ua/uk/avtomatychnyy-vymykach-eb2s-160-3la-3p-80a-16ka-eti" TargetMode="External"/><Relationship Id="rId519" Type="http://schemas.openxmlformats.org/officeDocument/2006/relationships/hyperlink" Target="https://axiomplus.com.ua/ua/bandazhnye-lenty-i-skrepy/product-149747/" TargetMode="External"/><Relationship Id="rId514" Type="http://schemas.openxmlformats.org/officeDocument/2006/relationships/hyperlink" Target="https://001.com.ua/uk/rele-kontrolyu-naprugy-ta-strumu-tryfazne-z-indykatsiyeyu-e-control-v16-63a-e-next" TargetMode="External"/><Relationship Id="rId513" Type="http://schemas.openxmlformats.org/officeDocument/2006/relationships/hyperlink" Target="https://tnsy.com.ua/product/raspredelitelnyj-blok-na-din-rejku-rbd-80a-tnsy/" TargetMode="External"/><Relationship Id="rId512" Type="http://schemas.openxmlformats.org/officeDocument/2006/relationships/hyperlink" Target="https://esstroy.in.ua/ua/p646947147-solar-classic-prohodnoj.html" TargetMode="External"/><Relationship Id="rId511" Type="http://schemas.openxmlformats.org/officeDocument/2006/relationships/hyperlink" Target="https://namato.prom.ua/ua/p2086356685-alyuminiyevij-profil-dlya.html" TargetMode="External"/><Relationship Id="rId518" Type="http://schemas.openxmlformats.org/officeDocument/2006/relationships/hyperlink" Target="https://e-server.com.ua/uk/serverni-shafi/nastinni-shafi/serverna-shafa-18u-eserver-600h600h907-sh-g-v-sklo-chorna-detail" TargetMode="External"/><Relationship Id="rId517" Type="http://schemas.openxmlformats.org/officeDocument/2006/relationships/hyperlink" Target="https://novatek-electro.com/ua/three-phase-voltage-relay-rnpp-312/?gad_campaignid=22537464389" TargetMode="External"/><Relationship Id="rId516" Type="http://schemas.openxmlformats.org/officeDocument/2006/relationships/hyperlink" Target="https://novatek-electro.com/ua/three-phase-voltage-relay-rnpp-311m/" TargetMode="External"/><Relationship Id="rId515" Type="http://schemas.openxmlformats.org/officeDocument/2006/relationships/hyperlink" Target="https://001.com.ua/uk/rele-kontrolyu-naprugy-odnofazne-na-din-reyku-z-indykatsiyeyu-e-control-v09-63a-e-next" TargetMode="External"/><Relationship Id="rId15" Type="http://schemas.openxmlformats.org/officeDocument/2006/relationships/hyperlink" Target="https://001.com.ua/uk/rele-elektromehanichne-erm4-012dcl-4co-12v-dc-6a-ac1-eti" TargetMode="External"/><Relationship Id="rId14" Type="http://schemas.openxmlformats.org/officeDocument/2006/relationships/hyperlink" Target="https://001.com.ua/uk/avtomatychnyy-vymykach-eb2s-160-3sf-3p-125a-25ka-eti" TargetMode="External"/><Relationship Id="rId17" Type="http://schemas.openxmlformats.org/officeDocument/2006/relationships/hyperlink" Target="https://001.com.ua/uk/kontaktor-modulnyy-esc465-63a-230v-ac-2nv-2nz-hager" TargetMode="External"/><Relationship Id="rId16" Type="http://schemas.openxmlformats.org/officeDocument/2006/relationships/hyperlink" Target="https://001.com.ua/uk/rele-elektromehanichne-erm4-230acl-4co-230v-ac-6a-ac1-eti" TargetMode="External"/><Relationship Id="rId19" Type="http://schemas.openxmlformats.org/officeDocument/2006/relationships/hyperlink" Target="https://001.com.ua/uk/avtomatychnyy-vymykach-etimat-6-6ka-1p-16-a-har-ka-c-eti" TargetMode="External"/><Relationship Id="rId510" Type="http://schemas.openxmlformats.org/officeDocument/2006/relationships/hyperlink" Target="https://e-server.com.ua/uk/policia-19-4-tocki-kripl-850mm-glib-perforovana-stal-2-mm-sira-ua-sh4-850g" TargetMode="External"/><Relationship Id="rId18" Type="http://schemas.openxmlformats.org/officeDocument/2006/relationships/hyperlink" Target="https://001.com.ua/uk/avtomatychnyy-vymykach-etimat-10-20ka-2p-100-a-har-ka-c-eti" TargetMode="External"/><Relationship Id="rId84" Type="http://schemas.openxmlformats.org/officeDocument/2006/relationships/hyperlink" Target="https://001.com.ua/uk/avtomatychnyy-vymykach-va47-29-1p-25-a-h-ka-c-iek" TargetMode="External"/><Relationship Id="rId83" Type="http://schemas.openxmlformats.org/officeDocument/2006/relationships/hyperlink" Target="https://001.com.ua/uk/avtomatychnyy-vymykach-va47-29-1p-25-a-h-ka-b-iek" TargetMode="External"/><Relationship Id="rId86" Type="http://schemas.openxmlformats.org/officeDocument/2006/relationships/hyperlink" Target="https://001.com.ua/uk/avtomatychnyy-vymykach-va47-29-2p-10-a-h-ka-c-iek" TargetMode="External"/><Relationship Id="rId85" Type="http://schemas.openxmlformats.org/officeDocument/2006/relationships/hyperlink" Target="https://001.com.ua/uk/avtomatychnyy-vymykach-va47-29-1p-40-a-h-ka-c-iek" TargetMode="External"/><Relationship Id="rId88" Type="http://schemas.openxmlformats.org/officeDocument/2006/relationships/hyperlink" Target="https://001.com.ua/avtomaticheskiy-vyklyuchatel-va47-60-2p-32-a-h-ka-c-iek" TargetMode="External"/><Relationship Id="rId87" Type="http://schemas.openxmlformats.org/officeDocument/2006/relationships/hyperlink" Target="https://001.com.ua/uk/avtomatychnyy-vymykach-va47-29-2p-20-a-h-ka-c-iek" TargetMode="External"/><Relationship Id="rId89" Type="http://schemas.openxmlformats.org/officeDocument/2006/relationships/hyperlink" Target="https://001.com.ua/uk/avtomatychnyy-vymykach-va47-29-3p-32-a-h-ka-c-iek" TargetMode="External"/><Relationship Id="rId80" Type="http://schemas.openxmlformats.org/officeDocument/2006/relationships/hyperlink" Target="https://001.com.ua/uk/avtomatychnyy-vymykach-st-68-4-5-ka-3p-63-a-har-ka-c-eti" TargetMode="External"/><Relationship Id="rId82" Type="http://schemas.openxmlformats.org/officeDocument/2006/relationships/hyperlink" Target="https://001.com.ua/uk/dodatkovyy-kontakt-zb2-be101-no-dlya-knopok-asko-ukrem" TargetMode="External"/><Relationship Id="rId81" Type="http://schemas.openxmlformats.org/officeDocument/2006/relationships/hyperlink" Target="https://001.com.ua/uk/dodatkovyy-kontakt-zb2-be102-nz-dlya-knopok-asko-ukrem" TargetMode="External"/><Relationship Id="rId73" Type="http://schemas.openxmlformats.org/officeDocument/2006/relationships/hyperlink" Target="https://001.com.ua/uk/kontaktor-modulnyy-rd-63-31-63a-230v-ac-dc-3no-1nc-eti" TargetMode="External"/><Relationship Id="rId72" Type="http://schemas.openxmlformats.org/officeDocument/2006/relationships/hyperlink" Target="https://001.com.ua/uk/kontaktor-modulnyy-rd-63-22-63a-230v-ac-dc-2no-2nc-eti" TargetMode="External"/><Relationship Id="rId75" Type="http://schemas.openxmlformats.org/officeDocument/2006/relationships/hyperlink" Target="https://www.se.com/ua/uk/product/R9F12240/%D0%B0%D0%B2%D1%82%D0%BE%D0%BC%D0%B0%D1%82%D0%B8%D1%87%D0%BD%D0%B8%D0%B9-%D0%B2%D0%B8%D0%BC%D0%B8%D0%BA%D0%B0%D1%87-resi9-40-%D0%B0-2p-%D0%BA%D1%80%D0%B8%D0%B2%D0%B0-%D1%81-6%D0%BA%D0%B0/" TargetMode="External"/><Relationship Id="rId74" Type="http://schemas.openxmlformats.org/officeDocument/2006/relationships/hyperlink" Target="https://001.com.ua/uk/kontaktor-modulnyy-rd-63-40-63a-230v-ac-dc-4no-eti" TargetMode="External"/><Relationship Id="rId77" Type="http://schemas.openxmlformats.org/officeDocument/2006/relationships/hyperlink" Target="https://001.com.ua/uk/avtomatychnyy-vymykach-st-68-4-5-ka-1p-6-a-har-ka-c-eti" TargetMode="External"/><Relationship Id="rId76" Type="http://schemas.openxmlformats.org/officeDocument/2006/relationships/hyperlink" Target="https://001.com.ua/uk/programovanyy-tsyfrovyy-taymer-sht-1-230v-ac-16a-eti" TargetMode="External"/><Relationship Id="rId79" Type="http://schemas.openxmlformats.org/officeDocument/2006/relationships/hyperlink" Target="https://001.com.ua/uk/avtomatychnyy-vymykach-st-68-4-5-ka-3p-32-a-har-ka-c-eti" TargetMode="External"/><Relationship Id="rId78" Type="http://schemas.openxmlformats.org/officeDocument/2006/relationships/hyperlink" Target="https://001.com.ua/uk/avtomatychnyy-vymykach-st-68-4-5-ka-3p-20-a-har-ka-c-eti" TargetMode="External"/><Relationship Id="rId71" Type="http://schemas.openxmlformats.org/officeDocument/2006/relationships/hyperlink" Target="https://001.com.ua/uk/kontaktor-modulnyy-rd-40-22-40a-230v-ac-dc-2no-2nc-eti" TargetMode="External"/><Relationship Id="rId70" Type="http://schemas.openxmlformats.org/officeDocument/2006/relationships/hyperlink" Target="https://001.com.ua/uk/kontaktor-modulnyy-rd-32-20-32a-230v-ac-dc-2no-eti" TargetMode="External"/><Relationship Id="rId62" Type="http://schemas.openxmlformats.org/officeDocument/2006/relationships/hyperlink" Target="https://hager-shop.com.ua/ua/avtomaticheskiy_viklyuchatel_in-40_a_2p_s_6ka_2m_mc240a" TargetMode="External"/><Relationship Id="rId61" Type="http://schemas.openxmlformats.org/officeDocument/2006/relationships/hyperlink" Target="https://001.com.ua/uk/vymykach-navantazhennya-ls-32-sma-a2-2p-1-0-32a-1000v-dc-eti" TargetMode="External"/><Relationship Id="rId64" Type="http://schemas.openxmlformats.org/officeDocument/2006/relationships/hyperlink" Target="https://hager-shop.com.ua/ua/avtomaticheskiy_viklyuchatel_in-20_a_3p_s_6_ka_3m_mc320a" TargetMode="External"/><Relationship Id="rId63" Type="http://schemas.openxmlformats.org/officeDocument/2006/relationships/hyperlink" Target="https://hager-shop.com.ua/ua/avtomaticheskiy_viklyuchatel_in-16a_3p_s_6_ka_3m_mc316a" TargetMode="External"/><Relationship Id="rId66" Type="http://schemas.openxmlformats.org/officeDocument/2006/relationships/hyperlink" Target="https://hager-shop.com.ua/ua/avtomaticheskiy_viklyuchatel_in-32_a_3p_s_6_ka_3m_mc332a" TargetMode="External"/><Relationship Id="rId65" Type="http://schemas.openxmlformats.org/officeDocument/2006/relationships/hyperlink" Target="https://hager-shop.com.ua/ua/avtomaticheskiy_viklyuchatel_in-25_a_3p_s_6_ka_3m_mc325a" TargetMode="External"/><Relationship Id="rId68" Type="http://schemas.openxmlformats.org/officeDocument/2006/relationships/hyperlink" Target="https://001.com.ua/uk/kontaktor-modulnyy-ra-63-40-63a-230v-ac-4no-eti" TargetMode="External"/><Relationship Id="rId67" Type="http://schemas.openxmlformats.org/officeDocument/2006/relationships/hyperlink" Target="https://hager-shop.com.ua/ua/avtomaticheskiy_viklyuchatel_in-40_a_3p_s_6_ka_3m_mc340a" TargetMode="External"/><Relationship Id="rId60" Type="http://schemas.openxmlformats.org/officeDocument/2006/relationships/hyperlink" Target="https://mtk.com.ua/alternativnaya-energetika/oborudovanie-dlya-zaschity-po-postoyannomu-toku/glavnyj-vyklyuchatel-dlya-massiva-solnechnyh-batarej-byt-2-32-4p-32a-1000v-na-din-rejku" TargetMode="External"/><Relationship Id="rId69" Type="http://schemas.openxmlformats.org/officeDocument/2006/relationships/hyperlink" Target="https://001.com.ua/uk/kontaktor-modulnyy-rd-25-22-25a-230v-ac-dc-2no-2nc-eti" TargetMode="External"/><Relationship Id="rId51" Type="http://schemas.openxmlformats.org/officeDocument/2006/relationships/hyperlink" Target="https://001.com.ua/uk/avtomatychnyy-vymykach-etimat-6-6ka-3p-n-10-a-har-ka-c-eti" TargetMode="External"/><Relationship Id="rId50" Type="http://schemas.openxmlformats.org/officeDocument/2006/relationships/hyperlink" Target="https://001.com.ua/uk/avtomatychnyy-vymykach-etimat-6-6ka-3p-n-40-a-har-ka-c-eti" TargetMode="External"/><Relationship Id="rId53" Type="http://schemas.openxmlformats.org/officeDocument/2006/relationships/hyperlink" Target="https://001.com.ua/uk/avtomatychnyy-vymykach-etimat-6-6ka-3p-n-25-a-har-ka-c-eti" TargetMode="External"/><Relationship Id="rId52" Type="http://schemas.openxmlformats.org/officeDocument/2006/relationships/hyperlink" Target="https://001.com.ua/uk/avtomatychnyy-vymykach-etimat-6-6ka-3p-n-20-a-har-ka-c-eti" TargetMode="External"/><Relationship Id="rId55" Type="http://schemas.openxmlformats.org/officeDocument/2006/relationships/hyperlink" Target="https://001.com.ua/uk/modulnyy-avtomatychnyy-vymykach-ex9bn-6ka-har-ka-c-40a-2p-noark" TargetMode="External"/><Relationship Id="rId54" Type="http://schemas.openxmlformats.org/officeDocument/2006/relationships/hyperlink" Target="https://001.com.ua/uk/avtomatychnyy-vymykach-etimat-6-6ka-3p-n-50-a-har-ka-c-eti" TargetMode="External"/><Relationship Id="rId57" Type="http://schemas.openxmlformats.org/officeDocument/2006/relationships/hyperlink" Target="https://001.com.ua/uk/vymykach-navantazhennya-lbs-1000-3p-1-0-1000a-eti" TargetMode="External"/><Relationship Id="rId56" Type="http://schemas.openxmlformats.org/officeDocument/2006/relationships/hyperlink" Target="https://001.com.ua/uk/avtomatychnyy-vymykach-hlf380s-3p-10ka-c-80a-4-5m-hager" TargetMode="External"/><Relationship Id="rId59" Type="http://schemas.openxmlformats.org/officeDocument/2006/relationships/hyperlink" Target="https://001.com.ua/uk/vymykach-navantazhennya-lbs-400-3p-1-0-400a-eti" TargetMode="External"/><Relationship Id="rId58" Type="http://schemas.openxmlformats.org/officeDocument/2006/relationships/hyperlink" Target="https://001.com.ua/uk/vymykach-navantazhennya-lbs-250-3p-1-0-250a-eti" TargetMode="External"/><Relationship Id="rId107" Type="http://schemas.openxmlformats.org/officeDocument/2006/relationships/hyperlink" Target="https://001.com.ua/uk/vymykach-navantazhennya-ls-32-sma-a4-4p-1-0-32a-1000v-dc-eti" TargetMode="External"/><Relationship Id="rId228" Type="http://schemas.openxmlformats.org/officeDocument/2006/relationships/hyperlink" Target="https://001.com.ua/uk/peremykach-sft240-i-0-ii-z-zagalnym-vyhodom-zverhu-2p-40a-230v-hager" TargetMode="External"/><Relationship Id="rId349" Type="http://schemas.openxmlformats.org/officeDocument/2006/relationships/hyperlink" Target="https://001.com.ua/uk/peremykach-na-2-polozhennya-xb2-bd21-asko-ukrem" TargetMode="External"/><Relationship Id="rId106" Type="http://schemas.openxmlformats.org/officeDocument/2006/relationships/hyperlink" Target="https://001.com.ua/uk/plavka-vstavka-tsylindrychna-ch-10x38-gpv-10a-1000v-10ka-eti" TargetMode="External"/><Relationship Id="rId227" Type="http://schemas.openxmlformats.org/officeDocument/2006/relationships/hyperlink" Target="https://001.com.ua/uk/nakinechnyk-sc-6-6-midnyy-ludzhenyy-kabelnyy-pid-payku-asko-ukrem" TargetMode="External"/><Relationship Id="rId348" Type="http://schemas.openxmlformats.org/officeDocument/2006/relationships/hyperlink" Target="https://001.com.ua/uk/rozetka-na-din-reyku-schuko-t-2p-z-eti" TargetMode="External"/><Relationship Id="rId469" Type="http://schemas.openxmlformats.org/officeDocument/2006/relationships/hyperlink" Target="https://001.com.ua/uk/izostrichka-0-13x19-mm-zelena-20-metriv-asko-ukrem" TargetMode="External"/><Relationship Id="rId105" Type="http://schemas.openxmlformats.org/officeDocument/2006/relationships/hyperlink" Target="https://mtk.com.ua/alternativnaya-energetika/oborudovanie-dlya-zaschity-po-postoyannomu-toku/derzhatel-dlya-predohranitelej-fuse-holder-br-30-1p-1000v" TargetMode="External"/><Relationship Id="rId226" Type="http://schemas.openxmlformats.org/officeDocument/2006/relationships/hyperlink" Target="https://001.com.ua/uk/nakinechnyk-sc-35-8-midnyy-ludzhenyy-kabelnyy-pid-payku-asko-ukrem" TargetMode="External"/><Relationship Id="rId347" Type="http://schemas.openxmlformats.org/officeDocument/2006/relationships/hyperlink" Target="https://001.com.ua/uk/rozetka-1-misna-z-zazemlennyam-ip44-bila-z-neprozoroyu-biloyu-kryshkoyu-rhe-1s-seriya-hermetics-eti-slovenyya" TargetMode="External"/><Relationship Id="rId468" Type="http://schemas.openxmlformats.org/officeDocument/2006/relationships/hyperlink" Target="https://001.com.ua/uk/izostrichka-0-13x19-mm-zelena-20-m-e-tape-stand-20-green-e-next" TargetMode="External"/><Relationship Id="rId104" Type="http://schemas.openxmlformats.org/officeDocument/2006/relationships/hyperlink" Target="https://generacia.energy/ru/product/zarjadnaja-stancija-yoobao-en1200q/" TargetMode="External"/><Relationship Id="rId225" Type="http://schemas.openxmlformats.org/officeDocument/2006/relationships/hyperlink" Target="https://001.com.ua/uk/nakinechnyk-sc-25-8-midnyy-ludzhenyy-kabelnyy-pid-payku-asko-ukrem" TargetMode="External"/><Relationship Id="rId346" Type="http://schemas.openxmlformats.org/officeDocument/2006/relationships/hyperlink" Target="https://001.com.ua/uk/rozyednuvach-qs5-63p-4-4p-63a-i-0-ii-perekydnyy-asko-ukrem" TargetMode="External"/><Relationship Id="rId467" Type="http://schemas.openxmlformats.org/officeDocument/2006/relationships/hyperlink" Target="https://001.com.ua/uk/izostrichka-0-13x19-mm-zhovta-20-metriv-asko-ukrem" TargetMode="External"/><Relationship Id="rId109" Type="http://schemas.openxmlformats.org/officeDocument/2006/relationships/hyperlink" Target="https://ecshop.com.ua/p47668-predohranitel_ch_10x38_gpv_16a_1000v_30ka" TargetMode="External"/><Relationship Id="rId108" Type="http://schemas.openxmlformats.org/officeDocument/2006/relationships/hyperlink" Target="https://001.com.ua/uk/plavka-vstavka-tsylindrychna-ch-10x38-gpv-12a-1000v-30ka-eti" TargetMode="External"/><Relationship Id="rId229" Type="http://schemas.openxmlformats.org/officeDocument/2006/relationships/hyperlink" Target="https://001.com.ua/uk/peremykach-sft440-i-0-ii-z-zagalnym-vyhodom-zverhu-4p-40a-400v-hager" TargetMode="External"/><Relationship Id="rId220" Type="http://schemas.openxmlformats.org/officeDocument/2006/relationships/hyperlink" Target="https://001.com.ua/uk/kontakty-dodatkovi-rn-11-1nv-1nz-eti" TargetMode="External"/><Relationship Id="rId341" Type="http://schemas.openxmlformats.org/officeDocument/2006/relationships/hyperlink" Target="https://001.com.ua/uk/salnyk-pg21-diametr-kabelyu-13-18-mm-ip54-asko-ukrem" TargetMode="External"/><Relationship Id="rId462" Type="http://schemas.openxmlformats.org/officeDocument/2006/relationships/hyperlink" Target="https://001.com.ua/uk/kryshka-zahysna-zp-200-do-klemy-vsu-eti" TargetMode="External"/><Relationship Id="rId340" Type="http://schemas.openxmlformats.org/officeDocument/2006/relationships/hyperlink" Target="https://001.com.ua/uk/salnyk-pg18-diametr-kabelyu-12-15-mm-ip54-asko-ukrem" TargetMode="External"/><Relationship Id="rId461" Type="http://schemas.openxmlformats.org/officeDocument/2006/relationships/hyperlink" Target="https://001.com.ua/uk/zatyskach-pidtrymuvalnyy-zpu-4x-10-120-bilmax" TargetMode="External"/><Relationship Id="rId460" Type="http://schemas.openxmlformats.org/officeDocument/2006/relationships/hyperlink" Target="https://amperok.com.ua/zatyskach_ankernyj_za_4_10-25_skoba_za_1_2e_bilmaks_b00043734" TargetMode="External"/><Relationship Id="rId103" Type="http://schemas.openxmlformats.org/officeDocument/2006/relationships/hyperlink" Target="https://001.com.ua/uk/indykator-modulnyy-na-din-reyku-son-h-3k-3-kolorovyy-led-eti" TargetMode="External"/><Relationship Id="rId224" Type="http://schemas.openxmlformats.org/officeDocument/2006/relationships/hyperlink" Target="https://001.com.ua/uk/nakinechnyk-sc-16-8-midnyy-ludzhenyy-kabelnyy-pid-payku-asko-ukrem" TargetMode="External"/><Relationship Id="rId345" Type="http://schemas.openxmlformats.org/officeDocument/2006/relationships/hyperlink" Target="https://001.com.ua/uk/trymach-plavkogo-zapobizhnyka-pt-2-1p-400a-m10-m10-eti" TargetMode="External"/><Relationship Id="rId466" Type="http://schemas.openxmlformats.org/officeDocument/2006/relationships/hyperlink" Target="https://001.com.ua/uk/izostrichka-0-13x19-mm-bila-20-metriv-asko-ukrem" TargetMode="External"/><Relationship Id="rId102" Type="http://schemas.openxmlformats.org/officeDocument/2006/relationships/hyperlink" Target="https://hager-shop.com.ua/ua/avtomaticheskiy_viklyuchatel_in-63_a_3p_s_6_ka_3m_mc363a" TargetMode="External"/><Relationship Id="rId223" Type="http://schemas.openxmlformats.org/officeDocument/2006/relationships/hyperlink" Target="https://001.com.ua/uk/nakinechnyk-sc-16-6-midnyy-ludzhenyy-kabelnyy-pid-payku-asko-ukrem" TargetMode="External"/><Relationship Id="rId344" Type="http://schemas.openxmlformats.org/officeDocument/2006/relationships/hyperlink" Target="https://001.com.ua/uk/trymach-plavkogo-zapobizhnyka-pt-1-1p-250a-m10-m10-eti" TargetMode="External"/><Relationship Id="rId465" Type="http://schemas.openxmlformats.org/officeDocument/2006/relationships/hyperlink" Target="https://001.com.ua/uk/izostrichka-0-13x19-mm-bila-20-m-e-tape-stand-20-white-e-next" TargetMode="External"/><Relationship Id="rId101" Type="http://schemas.openxmlformats.org/officeDocument/2006/relationships/hyperlink" Target="https://001.com.ua/uk/vymykach-rozyednuvach-trypozytsiynyy-vrt-63-3p-63a-iek" TargetMode="External"/><Relationship Id="rId222" Type="http://schemas.openxmlformats.org/officeDocument/2006/relationships/hyperlink" Target="https://001.com.ua/uk/nakinechnyk-rv-5-5-6-pid-gvynt-v-izolyatsiyi-upakovka-100-sht-asko-ukrem" TargetMode="External"/><Relationship Id="rId343" Type="http://schemas.openxmlformats.org/officeDocument/2006/relationships/hyperlink" Target="https://001.com.ua/uk/trymach-plavkogo-zapobizhnyka-pk-2-1p-400a-m10-m10-s-eti" TargetMode="External"/><Relationship Id="rId464" Type="http://schemas.openxmlformats.org/officeDocument/2006/relationships/hyperlink" Target="https://001.com.ua/uk/izolyator-stupinchastyy-e-step-ct4-30-450a-sylovyy-bez-boltiv-e-next" TargetMode="External"/><Relationship Id="rId100" Type="http://schemas.openxmlformats.org/officeDocument/2006/relationships/hyperlink" Target="https://001.com.ua/uk/vymykach-navantazhennya-vn-32-1p-63-a-iek" TargetMode="External"/><Relationship Id="rId221" Type="http://schemas.openxmlformats.org/officeDocument/2006/relationships/hyperlink" Target="https://001.com.ua/uk/nakinechnyk-kiltsevyy-izolovanyy-4-6-mm2-zhovtyy-upakovka-100-sht-e-terminal-stand-rv5-5-6-yellow-e-next" TargetMode="External"/><Relationship Id="rId342" Type="http://schemas.openxmlformats.org/officeDocument/2006/relationships/hyperlink" Target="https://001.com.ua/uk/trymach-plavkogo-zapobizhnyka-pk-1-1p-250a-m10-m10-s-eti" TargetMode="External"/><Relationship Id="rId463" Type="http://schemas.openxmlformats.org/officeDocument/2006/relationships/hyperlink" Target="https://001.com.ua/uk/zumer-na-din-reyku-be-220-eti" TargetMode="External"/><Relationship Id="rId217" Type="http://schemas.openxmlformats.org/officeDocument/2006/relationships/hyperlink" Target="https://001.com.ua/uk/rele-chasu-nte8-120v-zatrymka-vklyuchennya-10-120-s-asko-ukrem" TargetMode="External"/><Relationship Id="rId338" Type="http://schemas.openxmlformats.org/officeDocument/2006/relationships/hyperlink" Target="https://001.com.ua/uk/blok-rozpodilchyy-jhukk-80-asko-ukrem" TargetMode="External"/><Relationship Id="rId459" Type="http://schemas.openxmlformats.org/officeDocument/2006/relationships/hyperlink" Target="https://amperok.com.ua/zatyskach_ankernyj_za_4_25-50_za_3_2e_bilmaks_b00012606" TargetMode="External"/><Relationship Id="rId216" Type="http://schemas.openxmlformats.org/officeDocument/2006/relationships/hyperlink" Target="https://001.com.ua/uk/zapobizhnyk-plavkyy-vstavka-e-fuse-nt1-125-125-a-gabaryt-1-e-next" TargetMode="External"/><Relationship Id="rId337" Type="http://schemas.openxmlformats.org/officeDocument/2006/relationships/hyperlink" Target="https://001.com.ua/uk/triynyk-pvh-do-kabelnyh-kanaliv-eke-100x60-mm-bilyy-kopos" TargetMode="External"/><Relationship Id="rId458" Type="http://schemas.openxmlformats.org/officeDocument/2006/relationships/hyperlink" Target="https://www.obo.ua/produkts-ia/z-jednuvalnyi-element-kabelnoho-lotka-g-29-24-stal-halvan-chno-otsynkovanyi-6016596.html" TargetMode="External"/><Relationship Id="rId215" Type="http://schemas.openxmlformats.org/officeDocument/2006/relationships/hyperlink" Target="https://001.com.ua/uk/peremykach-navantazhennya-nh40-200-3csw-3p-200a-i-0-ii-vynosna-rukoyatka-chint" TargetMode="External"/><Relationship Id="rId336" Type="http://schemas.openxmlformats.org/officeDocument/2006/relationships/hyperlink" Target="https://001.com.ua/uk/kut-plaskyy-pvh-do-kabelnyh-kanaliv-eke-100x60-mm-bilyy-kopos" TargetMode="External"/><Relationship Id="rId457" Type="http://schemas.openxmlformats.org/officeDocument/2006/relationships/hyperlink" Target="https://namato.prom.ua/ua/p2413126124-soedinitel-dlya-alyuminievogo.html" TargetMode="External"/><Relationship Id="rId214" Type="http://schemas.openxmlformats.org/officeDocument/2006/relationships/hyperlink" Target="https://001.com.ua/uk/peremykach-navantazhennya-nh40-200-3cs-3p-200a-i-0-ii-standartna-rukoyatka-chint" TargetMode="External"/><Relationship Id="rId335" Type="http://schemas.openxmlformats.org/officeDocument/2006/relationships/hyperlink" Target="https://001.com.ua/uk/kut-zovnishniy-pvh-do-kabelnyh-kanaliv-eke-100x60-mm-bilyy-kopos" TargetMode="External"/><Relationship Id="rId456" Type="http://schemas.openxmlformats.org/officeDocument/2006/relationships/hyperlink" Target="https://www.obo.ua/produkts-ia/drotianyi-lotok-gr-magic-55-g-3000-50-55-3-9-16-tak-6001441.html" TargetMode="External"/><Relationship Id="rId219" Type="http://schemas.openxmlformats.org/officeDocument/2006/relationships/hyperlink" Target="https://001.com.ua/uk/konektor-rj-45-utp-kat-5e-8p8c-asko-ukrem" TargetMode="External"/><Relationship Id="rId218" Type="http://schemas.openxmlformats.org/officeDocument/2006/relationships/hyperlink" Target="https://001.com.ua/uk/kolodka-pyf11a-pid-promizhne-rele-my3-asko-ukrem" TargetMode="External"/><Relationship Id="rId339" Type="http://schemas.openxmlformats.org/officeDocument/2006/relationships/hyperlink" Target="https://shop.mtk.com.ua/id/komplekt-konnektorov-mc4-tipa-mc4x-b1-864.html" TargetMode="External"/><Relationship Id="rId330" Type="http://schemas.openxmlformats.org/officeDocument/2006/relationships/hyperlink" Target="https://001.com.ua/uk/yaschyk-dlya-3-faznogo-lichylnyka-dot-3-ip54-nik" TargetMode="External"/><Relationship Id="rId451" Type="http://schemas.openxmlformats.org/officeDocument/2006/relationships/hyperlink" Target="https://epicentrk.ua/ua/shop/germetik-silikonovyy-universalnyy-sika-sikasil-universal-prozrachnyy-280-ml.html" TargetMode="External"/><Relationship Id="rId450" Type="http://schemas.openxmlformats.org/officeDocument/2006/relationships/hyperlink" Target="https://001.com.ua/uk/gak-universalnyy-kbu-16-e-next" TargetMode="External"/><Relationship Id="rId213" Type="http://schemas.openxmlformats.org/officeDocument/2006/relationships/hyperlink" Target="https://001.com.ua/uk/zapobizhnyk-plavkyy-vstavka-nh-2c-gg-200a-500v-kombi-upakovka-3-sht-eti" TargetMode="External"/><Relationship Id="rId334" Type="http://schemas.openxmlformats.org/officeDocument/2006/relationships/hyperlink" Target="https://001.com.ua/uk/kut-vnutrishniy-pvh-do-kabelnyh-kanaliv-eke-100x60-mm-bilyy-kopos" TargetMode="External"/><Relationship Id="rId455" Type="http://schemas.openxmlformats.org/officeDocument/2006/relationships/hyperlink" Target="https://www.obo.ua/produkts-ia/drotianyi-lotok-gr-magic-55-g-3000-300-55-4-8-129-tak-6001448.html?sel=16f3e29a35278d71c7f65495871231324%7C%7C" TargetMode="External"/><Relationship Id="rId212" Type="http://schemas.openxmlformats.org/officeDocument/2006/relationships/hyperlink" Target="https://001.com.ua/uk/zapobizhnyk-plavkyy-vstavka-nh-2-gg-300a-500v-kombi-upakovka-3-sht-eti" TargetMode="External"/><Relationship Id="rId333" Type="http://schemas.openxmlformats.org/officeDocument/2006/relationships/hyperlink" Target="https://001.com.ua/uk/zaglushka-pvh-do-kabelnyh-kanaliv-eke-100x60-mm-bila-kopos" TargetMode="External"/><Relationship Id="rId454" Type="http://schemas.openxmlformats.org/officeDocument/2006/relationships/hyperlink" Target="https://www.obo.ua/produkts-ia/drotianyi-lotok-gr-magic-55-g-3000-200-55-3-9-87-tak-6001446.html?sel=1fe2d010308a6b3799a3d9c728ee74244%7C%7C" TargetMode="External"/><Relationship Id="rId211" Type="http://schemas.openxmlformats.org/officeDocument/2006/relationships/hyperlink" Target="https://001.com.ua/uk/zapobizhnyk-plavkyy-vstavka-nh-2-gg-315a-500v-kombi-upakovka-3-sht-eti" TargetMode="External"/><Relationship Id="rId332" Type="http://schemas.openxmlformats.org/officeDocument/2006/relationships/hyperlink" Target="https://001.com.ua/uk/kabelnyy-kanal-pvh-100x60-mm-eke-bilyy-kopos" TargetMode="External"/><Relationship Id="rId453" Type="http://schemas.openxmlformats.org/officeDocument/2006/relationships/hyperlink" Target="https://www.obo.ua/produkts-ia/drotianyi-lotok-gr-magic-55-g-3000-150-55-3-9-63-tak-6001444.html?sel=12b38c2df6a49b97f706ec9148ce48d86%7C%7C" TargetMode="External"/><Relationship Id="rId210" Type="http://schemas.openxmlformats.org/officeDocument/2006/relationships/hyperlink" Target="https://001.com.ua/uk/zapobizhnyk-plavkyy-vstavka-nh-1-gg-250a-500v-kombi-upakovka-3-sht-eti" TargetMode="External"/><Relationship Id="rId331" Type="http://schemas.openxmlformats.org/officeDocument/2006/relationships/hyperlink" Target="https://001.com.ua/uk/taymer-elektronnyy-tyzhnevyy-dvokanalnyy-e-control-t09-e-next" TargetMode="External"/><Relationship Id="rId452" Type="http://schemas.openxmlformats.org/officeDocument/2006/relationships/hyperlink" Target="https://www.obo.ua/produkts-ia/drotianyi-lotok-gr-magic-55-g-3000-100-55-3-9-40-tak-6001442.html?sel=11e6e0a04d20f50967c64dac2d639a577%7C" TargetMode="External"/><Relationship Id="rId370" Type="http://schemas.openxmlformats.org/officeDocument/2006/relationships/hyperlink" Target="https://ecshop.com.ua/p108219-kabel_vvgng_5h10" TargetMode="External"/><Relationship Id="rId491" Type="http://schemas.openxmlformats.org/officeDocument/2006/relationships/hyperlink" Target="https://enext.ua/uk/catalog/korpusi_z_montazhnoyu_panellyu_mbox_serii_stand/korpus_metaleviy_e_mbox_stand_p_50_40_20_ip54_z_montazhnoyu_panellyu_500x400x200/" TargetMode="External"/><Relationship Id="rId490" Type="http://schemas.openxmlformats.org/officeDocument/2006/relationships/hyperlink" Target="https://001.com.ua/uk/korpus-metalevyy-e-mbox-pro-p-160-80-40-ip54-z-montazhnoyu-panellyu-e-next" TargetMode="External"/><Relationship Id="rId129" Type="http://schemas.openxmlformats.org/officeDocument/2006/relationships/hyperlink" Target="https://001.com.ua/uk/din-reyka-ts-35-1-0-t3501-1m-asko-ukrem" TargetMode="External"/><Relationship Id="rId128" Type="http://schemas.openxmlformats.org/officeDocument/2006/relationships/hyperlink" Target="https://001.com.ua/uk/peremykach-kulachkovyy-cs-32-53-png-3p-1-0-2-32a-v-korpusi-ip65-eti-sloveniya" TargetMode="External"/><Relationship Id="rId249" Type="http://schemas.openxmlformats.org/officeDocument/2006/relationships/hyperlink" Target="https://001.com.ua/uk/vymykach-rozyednuvach-trypozytsiynyy-vrt-63-4p-25a-iek" TargetMode="External"/><Relationship Id="rId127" Type="http://schemas.openxmlformats.org/officeDocument/2006/relationships/hyperlink" Target="https://001.com.ua/uk/rukoyatka-na-korpus-clbsv-dh125-b-i-0-ii-chorna-dlya-clbsv-63-125a-3p-co-i-0-ii-eti" TargetMode="External"/><Relationship Id="rId248" Type="http://schemas.openxmlformats.org/officeDocument/2006/relationships/hyperlink" Target="https://001.com.ua/uk/peremykach-na-2-polozhennya-z-fiksatsiyeyu-1nv-chornyy-plastyk-ip50-seriya-b-emas" TargetMode="External"/><Relationship Id="rId369" Type="http://schemas.openxmlformats.org/officeDocument/2006/relationships/hyperlink" Target="https://ecshop.com.ua/p108194-kabel_vvgng_4h6" TargetMode="External"/><Relationship Id="rId126" Type="http://schemas.openxmlformats.org/officeDocument/2006/relationships/hyperlink" Target="https://001.com.ua/uk/peremykach-navantazhennya-clbsv-100-3p-co-i-0-ii-bez-rukoyatky-1-0-2-100a-eti" TargetMode="External"/><Relationship Id="rId247" Type="http://schemas.openxmlformats.org/officeDocument/2006/relationships/hyperlink" Target="https://electrocontrol.com.ua/ua/elektrotehnicheskie-shity-boksy-i-korpusa/metallokonstrukciya-elektrotehnicheskaya-navesnogo-ispolneniya-mkn-6-5-2-l1-z2-ip21-s-montazhnoi-panelu" TargetMode="External"/><Relationship Id="rId368" Type="http://schemas.openxmlformats.org/officeDocument/2006/relationships/hyperlink" Target="https://ecshop.com.ua/p123476-kabel_vvgng_4h25_0-66kv" TargetMode="External"/><Relationship Id="rId489" Type="http://schemas.openxmlformats.org/officeDocument/2006/relationships/hyperlink" Target="https://001.com.ua/uk/korpus-metalevyy-e-mbox-pro-p-160-80-40-ip31-z-montazhnoyu-panellyu-e-next" TargetMode="External"/><Relationship Id="rId121" Type="http://schemas.openxmlformats.org/officeDocument/2006/relationships/hyperlink" Target="https://001.com.ua/uk/svitlosygnalna-armatura-ad22-22ds-bila-220v-ac-asko-ukrem" TargetMode="External"/><Relationship Id="rId242" Type="http://schemas.openxmlformats.org/officeDocument/2006/relationships/hyperlink" Target="https://001.com.ua/uk/klema-sylova-vsu-70-70-mm2-bezheva-eti" TargetMode="External"/><Relationship Id="rId363" Type="http://schemas.openxmlformats.org/officeDocument/2006/relationships/hyperlink" Target="https://e-server.com.ua/patch-kordy/patch-kordy-ftp/patch-kord-litoj-ftp-rj45-15m-kat-5e-detail" TargetMode="External"/><Relationship Id="rId484" Type="http://schemas.openxmlformats.org/officeDocument/2006/relationships/hyperlink" Target="https://001.com.ua/uk/kolodka-klemna-dilyma-10-mm2-10a-12-grup-e-tc-stand-12-10-e-next" TargetMode="External"/><Relationship Id="rId120" Type="http://schemas.openxmlformats.org/officeDocument/2006/relationships/hyperlink" Target="https://001.com.ua/uk/svitlosygnalna-armatura-ad22-22-bm-r-blymayuchyy-chervonyy-220v-ac-asko-ukrem" TargetMode="External"/><Relationship Id="rId241" Type="http://schemas.openxmlformats.org/officeDocument/2006/relationships/hyperlink" Target="https://001.com.ua/uk/klema-sylova-vsu-150-150-mm2-bezheva-eti" TargetMode="External"/><Relationship Id="rId362" Type="http://schemas.openxmlformats.org/officeDocument/2006/relationships/hyperlink" Target="https://001.com.ua/uk/trymach-markuvalnoyi-byrky-dlya-knopok-i-peremykachiv-empty-22-mm-asko-ukrem" TargetMode="External"/><Relationship Id="rId483" Type="http://schemas.openxmlformats.org/officeDocument/2006/relationships/hyperlink" Target="https://001.com.ua/uk/klema-sylova-vsu-120-120-mm2-bezheva-eti" TargetMode="External"/><Relationship Id="rId240" Type="http://schemas.openxmlformats.org/officeDocument/2006/relationships/hyperlink" Target="https://001.com.ua/uk/kabel-kanal-iz-kryshkoyu-ta-gn-80x40-mm-z-napravlyayuchymy-bilyy-dkc" TargetMode="External"/><Relationship Id="rId361" Type="http://schemas.openxmlformats.org/officeDocument/2006/relationships/hyperlink" Target="https://001.com.ua/uk/trymach-z-fiksatorom-d50-mm-dkc" TargetMode="External"/><Relationship Id="rId482" Type="http://schemas.openxmlformats.org/officeDocument/2006/relationships/hyperlink" Target="https://www.obo.ua/produkts-ia/klema-uzemliuvannia-kruhlyi-prov-dnyk-5043107.html" TargetMode="External"/><Relationship Id="rId360" Type="http://schemas.openxmlformats.org/officeDocument/2006/relationships/hyperlink" Target="https://001.com.ua/uk/skoba-dvolapkova-otsynkovana-d48-50-mm-dkc" TargetMode="External"/><Relationship Id="rId481" Type="http://schemas.openxmlformats.org/officeDocument/2006/relationships/hyperlink" Target="https://001.com.ua/uk/vvid-kabelnyy-germetychnyy-e-pgl-stand-36-z-podovzhenoyu-rizboyu-i-uschilnyuvachem-diametr-kabelyu-22-32-mm-ip54-e-next" TargetMode="External"/><Relationship Id="rId125" Type="http://schemas.openxmlformats.org/officeDocument/2006/relationships/hyperlink" Target="https://001.com.ua/uk/svitlosygnalna-armatura-ad22-22ds-chervona-220v-ac-asko-ukrem" TargetMode="External"/><Relationship Id="rId246" Type="http://schemas.openxmlformats.org/officeDocument/2006/relationships/hyperlink" Target="https://001.com.ua/uk/blok-kontakt-1nz-stop-dlya-seriyi-b-emas" TargetMode="External"/><Relationship Id="rId367" Type="http://schemas.openxmlformats.org/officeDocument/2006/relationships/hyperlink" Target="https://ecshop.com.ua/p108196-kabel_vvgng_4h16" TargetMode="External"/><Relationship Id="rId488" Type="http://schemas.openxmlformats.org/officeDocument/2006/relationships/hyperlink" Target="https://e-server.com.ua/uk/aksesuari-kriplennja/aksesuari-do-korpusiv/komplekt-regulovanih-bichnih-opor-600-800-mm-detail" TargetMode="External"/><Relationship Id="rId124" Type="http://schemas.openxmlformats.org/officeDocument/2006/relationships/hyperlink" Target="https://001.com.ua/uk/svitlosygnalna-armatura-ad22-22ds-synya-220v-ac-asko-ukrem" TargetMode="External"/><Relationship Id="rId245" Type="http://schemas.openxmlformats.org/officeDocument/2006/relationships/hyperlink" Target="https://001.com.ua/uk/rele-naprugy-zubr-d63-odnofazne-na-din-reyku-63a" TargetMode="External"/><Relationship Id="rId366" Type="http://schemas.openxmlformats.org/officeDocument/2006/relationships/hyperlink" Target="https://ecshop.com.ua/p108195-kabel_vvgng_4h10" TargetMode="External"/><Relationship Id="rId487" Type="http://schemas.openxmlformats.org/officeDocument/2006/relationships/hyperlink" Target="https://e-server.com.ua/uk/komplekt-kriplennia-sirii-gvint-20mmgaikasaiba-wt-2055b-m6" TargetMode="External"/><Relationship Id="rId123" Type="http://schemas.openxmlformats.org/officeDocument/2006/relationships/hyperlink" Target="https://001.com.ua/uk/svitlosygnalna-armatura-ad22-22ds-zelena-220v-ac-asko-ukrem" TargetMode="External"/><Relationship Id="rId244" Type="http://schemas.openxmlformats.org/officeDocument/2006/relationships/hyperlink" Target="https://electrocontrol.com.ua/ua/montazh/yxd10-ogranichitel-metallicheskii-na-din-reiku-iek" TargetMode="External"/><Relationship Id="rId365" Type="http://schemas.openxmlformats.org/officeDocument/2006/relationships/hyperlink" Target="https://ecshop.com.ua/p108159-kabel_vvgng_3h6" TargetMode="External"/><Relationship Id="rId486" Type="http://schemas.openxmlformats.org/officeDocument/2006/relationships/hyperlink" Target="https://e-server.com.ua/uk/komplekt-bicnix-opor-400-mm-cornii" TargetMode="External"/><Relationship Id="rId122" Type="http://schemas.openxmlformats.org/officeDocument/2006/relationships/hyperlink" Target="https://001.com.ua/uk/svitlosygnalna-armatura-ad22-22ds-zhovta-220v-ac-asko-ukrem" TargetMode="External"/><Relationship Id="rId243" Type="http://schemas.openxmlformats.org/officeDocument/2006/relationships/hyperlink" Target="https://001.com.ua/uk/klema-sylova-vsu-95-95-mm2-bezheva-eti" TargetMode="External"/><Relationship Id="rId364" Type="http://schemas.openxmlformats.org/officeDocument/2006/relationships/hyperlink" Target="https://001.com.ua/kabel-silovoy-avvg-4x10-mm2-s-alyuminievymi-zhilami" TargetMode="External"/><Relationship Id="rId485" Type="http://schemas.openxmlformats.org/officeDocument/2006/relationships/hyperlink" Target="https://001.com.ua/uk/kolodka-klemna-dilyma-16-mm2-30a-12-grup-e-tc-stand-12-16-e-next" TargetMode="External"/><Relationship Id="rId95" Type="http://schemas.openxmlformats.org/officeDocument/2006/relationships/hyperlink" Target="https://001.com.ua/uk/avtomatychnyy-vymykach-va47-60-3p-25-a-h-ka-c-iek" TargetMode="External"/><Relationship Id="rId94" Type="http://schemas.openxmlformats.org/officeDocument/2006/relationships/hyperlink" Target="https://001.com.ua/uk/avtomatychnyy-vymykach-va47-60-2p-32-a-h-ka-c-iek" TargetMode="External"/><Relationship Id="rId97" Type="http://schemas.openxmlformats.org/officeDocument/2006/relationships/hyperlink" Target="https://001.com.ua/uk/avtomatychnyy-vymykach-va47-60-3p-63-a-h-ka-c-iek" TargetMode="External"/><Relationship Id="rId96" Type="http://schemas.openxmlformats.org/officeDocument/2006/relationships/hyperlink" Target="https://001.com.ua/uk/avtomatychnyy-vymykach-va47-60-3p-32-a-h-ka-c-iek" TargetMode="External"/><Relationship Id="rId99" Type="http://schemas.openxmlformats.org/officeDocument/2006/relationships/hyperlink" Target="https://001.com.ua/uk/vymykach-navantazhennya-vn-32-1p-40-a-iek" TargetMode="External"/><Relationship Id="rId480" Type="http://schemas.openxmlformats.org/officeDocument/2006/relationships/hyperlink" Target="https://001.com.ua/uk/vvid-kabelnyy-germetychnyy-e-pg-stand-9-diametr-kabelyu-4-8-mm-ip54-e-next" TargetMode="External"/><Relationship Id="rId98" Type="http://schemas.openxmlformats.org/officeDocument/2006/relationships/hyperlink" Target="https://001.com.ua/uk/knopka-modulna-na-din-reyku-z-fiksatsiyeyu-z-zelenym-indykatorom-16a-230v-1nv-hager" TargetMode="External"/><Relationship Id="rId91" Type="http://schemas.openxmlformats.org/officeDocument/2006/relationships/hyperlink" Target="https://001.com.ua/uk/avtomatychnyy-vymykach-va47-60-1p-40-a-h-ka-c-iek" TargetMode="External"/><Relationship Id="rId90" Type="http://schemas.openxmlformats.org/officeDocument/2006/relationships/hyperlink" Target="https://001.com.ua/uk/avtomatychnyy-vymykach-va47-29-3p-63-a-h-ka-c-iek" TargetMode="External"/><Relationship Id="rId93" Type="http://schemas.openxmlformats.org/officeDocument/2006/relationships/hyperlink" Target="https://001.com.ua/uk/avtomatychnyy-vymykach-va47-60-2p-25-a-h-ka-c-iek" TargetMode="External"/><Relationship Id="rId92" Type="http://schemas.openxmlformats.org/officeDocument/2006/relationships/hyperlink" Target="https://ecshop.com.ua/p28623-avtomaticheskiy_viklyuchatel_va47-29_2p_20a_4-5ka_harakteristika_c_mva20-2-020-c_iek" TargetMode="External"/><Relationship Id="rId118" Type="http://schemas.openxmlformats.org/officeDocument/2006/relationships/hyperlink" Target="https://001.com.ua/uk/pzip-ops1-d-1p-klas-iii-d-iek" TargetMode="External"/><Relationship Id="rId239" Type="http://schemas.openxmlformats.org/officeDocument/2006/relationships/hyperlink" Target="https://001.com.ua/uk/kabel-kanal-iz-kryshkoyu-ta-gn-100x60-mm-z-napravlyayuchymy-bilyy-dkc" TargetMode="External"/><Relationship Id="rId117" Type="http://schemas.openxmlformats.org/officeDocument/2006/relationships/hyperlink" Target="https://001.com.ua/uk/pzip-ops1-c-1p-klas-ii-c-iek" TargetMode="External"/><Relationship Id="rId238" Type="http://schemas.openxmlformats.org/officeDocument/2006/relationships/hyperlink" Target="https://001.com.ua/uk/kabel-kanal-iz-kryshkoyu-ta-gn-100x40-mm-z-napravlyayuchymy-bilyy-dkc" TargetMode="External"/><Relationship Id="rId359" Type="http://schemas.openxmlformats.org/officeDocument/2006/relationships/hyperlink" Target="https://001.com.ua/uk/trymach-z-fiksatorom-d40-mm-dkc" TargetMode="External"/><Relationship Id="rId116" Type="http://schemas.openxmlformats.org/officeDocument/2006/relationships/hyperlink" Target="https://001.com.ua/uk/obmezhuvach-perenaprugy-etitec-c-t2-275-20-4-0-4p-eti" TargetMode="External"/><Relationship Id="rId237" Type="http://schemas.openxmlformats.org/officeDocument/2006/relationships/hyperlink" Target="https://001.com.ua/uk/kabel-kanal-iz-kryshkoyu-ta-en-40x40-mm-iz-ploskoyu-osnovoyu-bilyy-dkc" TargetMode="External"/><Relationship Id="rId358" Type="http://schemas.openxmlformats.org/officeDocument/2006/relationships/hyperlink" Target="https://001.com.ua/uk/skoba-dvolapkova-otsynkovana-d38-40-mm-dkc" TargetMode="External"/><Relationship Id="rId479" Type="http://schemas.openxmlformats.org/officeDocument/2006/relationships/hyperlink" Target="https://001.com.ua/uk/vvid-kabelnyy-germetychnyy-e-pg-stand-29-diametr-kabelyu-18-25-mm-ip54-e-next" TargetMode="External"/><Relationship Id="rId115" Type="http://schemas.openxmlformats.org/officeDocument/2006/relationships/hyperlink" Target="https://001.com.ua/uk/obmezhuvach-perenaprugy-etitec-c-t2-275-20-3-0-3p-eti" TargetMode="External"/><Relationship Id="rId236" Type="http://schemas.openxmlformats.org/officeDocument/2006/relationships/hyperlink" Target="https://001.com.ua/uk/spiralna-obvyazka-dlya-provodu-empty-12-75-mm-swb-15-bila-10-m-asko-ukrem" TargetMode="External"/><Relationship Id="rId357" Type="http://schemas.openxmlformats.org/officeDocument/2006/relationships/hyperlink" Target="https://001.com.ua/uk/skoba-dvolapkova-otsynkovana-d32-mm-dkc" TargetMode="External"/><Relationship Id="rId478" Type="http://schemas.openxmlformats.org/officeDocument/2006/relationships/hyperlink" Target="https://001.com.ua/uk/vvid-kabelnyy-germetychnyy-e-pg-stand-21-diametr-kabelyu-13-18-mm-ip54-e-next" TargetMode="External"/><Relationship Id="rId119" Type="http://schemas.openxmlformats.org/officeDocument/2006/relationships/hyperlink" Target="https://001.com.ua/uk/termozbizhna-trubka-empty-20-0-10-0-mm-chorna-vidrizok-1-m-asko-ukrem" TargetMode="External"/><Relationship Id="rId110" Type="http://schemas.openxmlformats.org/officeDocument/2006/relationships/hyperlink" Target="https://001.com.ua/uk/plavka-vstavka-tsylindrychna-ch-10x38-gpv-15a-1000v-30ka-eti" TargetMode="External"/><Relationship Id="rId231" Type="http://schemas.openxmlformats.org/officeDocument/2006/relationships/hyperlink" Target="https://001.com.ua/uk/izolyator-trymach-sylovoyi-shyny-sm40-z-boltom-m8-asko-ukrem" TargetMode="External"/><Relationship Id="rId352" Type="http://schemas.openxmlformats.org/officeDocument/2006/relationships/hyperlink" Target="https://001.com.ua/uk/knopka-z-pidsvichuvannyam-bez-fiksatsiyi-1nv-1nz-zelena-tb5-aw33m5-asko-ukrem" TargetMode="External"/><Relationship Id="rId473" Type="http://schemas.openxmlformats.org/officeDocument/2006/relationships/hyperlink" Target="https://001.com.ua/uk/izostrichka-0-13x19-mm-chervona-20-m-e-tape-stand-20-red-e-next" TargetMode="External"/><Relationship Id="rId230" Type="http://schemas.openxmlformats.org/officeDocument/2006/relationships/hyperlink" Target="https://001.com.ua/uk/izolyator-trymach-sylovoyi-shyny-sm30-z-boltom-m8-asko-ukrem" TargetMode="External"/><Relationship Id="rId351" Type="http://schemas.openxmlformats.org/officeDocument/2006/relationships/hyperlink" Target="https://001.com.ua/uk/znimach-zapobizhnykiv-zpz-1-asko-ukrem" TargetMode="External"/><Relationship Id="rId472" Type="http://schemas.openxmlformats.org/officeDocument/2006/relationships/hyperlink" Target="https://001.com.ua/uk/izostrichka-0-13x19-mm-chervona-20-metriv-asko-ukrem" TargetMode="External"/><Relationship Id="rId350" Type="http://schemas.openxmlformats.org/officeDocument/2006/relationships/hyperlink" Target="https://001.com.ua/uk/trymach-plavkogo-zapobizhnyka-dp-35-gabaryt-1-250a-iek" TargetMode="External"/><Relationship Id="rId471" Type="http://schemas.openxmlformats.org/officeDocument/2006/relationships/hyperlink" Target="https://001.com.ua/uk/izostrichka-0-13x19-mm-synya-20-metriv-asko-ukrem" TargetMode="External"/><Relationship Id="rId470" Type="http://schemas.openxmlformats.org/officeDocument/2006/relationships/hyperlink" Target="https://001.com.ua/uk/izostrichka-0-13x19-mm-synya-20-m-e-tape-stand-20-blue-e-next" TargetMode="External"/><Relationship Id="rId114" Type="http://schemas.openxmlformats.org/officeDocument/2006/relationships/hyperlink" Target="https://001.com.ua/uk/obmezhuvach-perenaprugy-etitec-c-t2-275-20-1-0-1p-eti" TargetMode="External"/><Relationship Id="rId235" Type="http://schemas.openxmlformats.org/officeDocument/2006/relationships/hyperlink" Target="https://001.com.ua/uk/peremykach-navantazhennya-ssq-463-1-0-2-4p-63a-eti" TargetMode="External"/><Relationship Id="rId356" Type="http://schemas.openxmlformats.org/officeDocument/2006/relationships/hyperlink" Target="https://001.com.ua/uk/trymach-dvokomponentnyy-d25-mm-dkc" TargetMode="External"/><Relationship Id="rId477" Type="http://schemas.openxmlformats.org/officeDocument/2006/relationships/hyperlink" Target="https://001.com.ua/uk/vvid-kabelnyy-d40mm-ip55-dkc" TargetMode="External"/><Relationship Id="rId113" Type="http://schemas.openxmlformats.org/officeDocument/2006/relationships/hyperlink" Target="https://001.com.ua/uk/trymach-plavkoyi-vstavky-rozyednuvach-efh-10-1p-25a-1000v-dc-eti" TargetMode="External"/><Relationship Id="rId234" Type="http://schemas.openxmlformats.org/officeDocument/2006/relationships/hyperlink" Target="https://001.com.ua/uk/peremykach-navantazhennya-ssq-440-1-0-2-4p-40a-eti" TargetMode="External"/><Relationship Id="rId355" Type="http://schemas.openxmlformats.org/officeDocument/2006/relationships/hyperlink" Target="https://001.com.ua/uk/rozetka-rar10-3-op-z-zazemlyuyuchym-kontaktom-na-din-reyku-shuko-iek" TargetMode="External"/><Relationship Id="rId476" Type="http://schemas.openxmlformats.org/officeDocument/2006/relationships/hyperlink" Target="https://001.com.ua/uk/vvid-kabelnyy-d32mm-ip55-dkc" TargetMode="External"/><Relationship Id="rId112" Type="http://schemas.openxmlformats.org/officeDocument/2006/relationships/hyperlink" Target="https://001.com.ua/uk/trymach-plavkoyi-vstavky-rozyednuvach-efh-10-1p-25a-1000v-dc-eti" TargetMode="External"/><Relationship Id="rId233" Type="http://schemas.openxmlformats.org/officeDocument/2006/relationships/hyperlink" Target="https://001.com.ua/uk/peremykach-navantazhennya-ssq-425-1-0-2-4p-25a-eti" TargetMode="External"/><Relationship Id="rId354" Type="http://schemas.openxmlformats.org/officeDocument/2006/relationships/hyperlink" Target="https://001.com.ua/uk/knopka-keruvannya-modulna-kmu11-iek" TargetMode="External"/><Relationship Id="rId475" Type="http://schemas.openxmlformats.org/officeDocument/2006/relationships/hyperlink" Target="https://001.com.ua/uk/vvid-kabelnyy-d20mm-ip55-dkc" TargetMode="External"/><Relationship Id="rId111" Type="http://schemas.openxmlformats.org/officeDocument/2006/relationships/hyperlink" Target="https://001.com.ua/uk/plavka-vstavka-tsylindrychna-ch-10x38-gpv-20a-1000v-30ka-eti" TargetMode="External"/><Relationship Id="rId232" Type="http://schemas.openxmlformats.org/officeDocument/2006/relationships/hyperlink" Target="https://001.com.ua/uk/peremykach-navantazhennya-ssq-240-1-0-2-2p-40a-eti" TargetMode="External"/><Relationship Id="rId353" Type="http://schemas.openxmlformats.org/officeDocument/2006/relationships/hyperlink" Target="https://001.com.ua/uk/knopka-z-fiksatsiyeyu-ta-indykatorom-na-din-reyku-e-pbif-din-green-zelena-e-next" TargetMode="External"/><Relationship Id="rId474" Type="http://schemas.openxmlformats.org/officeDocument/2006/relationships/hyperlink" Target="https://www.fronius.com/en-gb/uk/solar-energy/installers-partners/technical-data/all-products/inverters/fronius-verto/verto-30-0" TargetMode="External"/><Relationship Id="rId305" Type="http://schemas.openxmlformats.org/officeDocument/2006/relationships/hyperlink" Target="https://001.com.ua/uk/nakinechnyk-te-2-5-10-trubchastyy-v-izolyatsiyi-dlya-dvoh-provodiv-syniy-upakovka-100-sht-asko-ukrem" TargetMode="External"/><Relationship Id="rId426" Type="http://schemas.openxmlformats.org/officeDocument/2006/relationships/hyperlink" Target="https://001.com.ua/uk/nakinechnyk-dt-50-midnyy-ludzhenyy-kabelnyy-pid-opresuvannya-asko-ukrem" TargetMode="External"/><Relationship Id="rId304" Type="http://schemas.openxmlformats.org/officeDocument/2006/relationships/hyperlink" Target="https://001.com.ua/uk/nakinechnyk-te-16-0-14-trubchastyy-v-izolyatsiyi-dlya-dvoh-provodiv-bilyy-upakovka-100-sht-asko-ukrem" TargetMode="External"/><Relationship Id="rId425" Type="http://schemas.openxmlformats.org/officeDocument/2006/relationships/hyperlink" Target="https://001.com.ua/uk/nakinechnyk-dt-25-midnyy-ludzhenyy-kabelnyy-pid-opresuvannya-asko-ukrem" TargetMode="External"/><Relationship Id="rId303" Type="http://schemas.openxmlformats.org/officeDocument/2006/relationships/hyperlink" Target="https://001.com.ua/uk/nakinechnyk-te-10-0-14-trubchastyy-v-izolyatsiyi-dlya-dvoh-provodiv-korychnevyy-upakovka-100-sht-asko-ukrem" TargetMode="External"/><Relationship Id="rId424" Type="http://schemas.openxmlformats.org/officeDocument/2006/relationships/hyperlink" Target="https://001.com.ua/uk/nakinechnyk-dl-50-alyuminiyevyy-kabelnyy-iek" TargetMode="External"/><Relationship Id="rId302" Type="http://schemas.openxmlformats.org/officeDocument/2006/relationships/hyperlink" Target="https://001.com.ua/uk/nakinechnyk-te-1-0-10-trubchastyy-v-izolyatsiyi-dlya-dvoh-provodiv-chervonyy-upakovka-100-sht-asko-ukrem" TargetMode="External"/><Relationship Id="rId423" Type="http://schemas.openxmlformats.org/officeDocument/2006/relationships/hyperlink" Target="https://metalvis.ua/ru/catalog/sku-din934-gajka-m10-a2/" TargetMode="External"/><Relationship Id="rId544" Type="http://schemas.openxmlformats.org/officeDocument/2006/relationships/table" Target="../tables/table2.xml"/><Relationship Id="rId309" Type="http://schemas.openxmlformats.org/officeDocument/2006/relationships/hyperlink" Target="https://001.com.ua/uk/truba-pvt-gnuchka-gofrovana-d16-mm-standartna-z-protyazhkoyu-chorna-100m-dkc" TargetMode="External"/><Relationship Id="rId308" Type="http://schemas.openxmlformats.org/officeDocument/2006/relationships/hyperlink" Target="https://001.com.ua/uk/trymach-z-fiksatorom-d32-mm-dkc" TargetMode="External"/><Relationship Id="rId429" Type="http://schemas.openxmlformats.org/officeDocument/2006/relationships/hyperlink" Target="https://001.com.ua/uk/fiksator-metalevyy-na-din-reyku-hdw-211-asko-ukrem" TargetMode="External"/><Relationship Id="rId307" Type="http://schemas.openxmlformats.org/officeDocument/2006/relationships/hyperlink" Target="https://001.com.ua/uk/trymach-z-fiksatorom-d25-mm-dkc" TargetMode="External"/><Relationship Id="rId428" Type="http://schemas.openxmlformats.org/officeDocument/2006/relationships/hyperlink" Target="https://enext.ua/uk/catalog/pzip_serii_e_pro/pristriy_dlya_zakhistu_vid_impulsnikh_perenaprug_e_pro_spd_1d_275_1p_klas_d/" TargetMode="External"/><Relationship Id="rId306" Type="http://schemas.openxmlformats.org/officeDocument/2006/relationships/hyperlink" Target="https://001.com.ua/uk/nakinechnyk-te-6-0-14-trubchastyy-v-izolyatsiyi-dlya-dvoh-provodiv-zhovtyy-upakovka-100-sht-asko-ukrem" TargetMode="External"/><Relationship Id="rId427" Type="http://schemas.openxmlformats.org/officeDocument/2006/relationships/hyperlink" Target="https://001.com.ua/uk/nakinechnyk-dt-70-midnyy-ludzhenyy-kabelnyy-pid-opresuvannya-asko-ukrem" TargetMode="External"/><Relationship Id="rId301" Type="http://schemas.openxmlformats.org/officeDocument/2006/relationships/hyperlink" Target="https://001.com.ua/uk/nakinechnyk-te-1-0-08-trubchastyy-v-izolyatsiyi-dlya-dvoh-provodiv-chervonyy-upakovka-100-sht-asko-ukrem" TargetMode="External"/><Relationship Id="rId422" Type="http://schemas.openxmlformats.org/officeDocument/2006/relationships/hyperlink" Target="https://metalvis.ua/ru/catalog/sku-din933-bolt-m10h20-88-cb-pr/" TargetMode="External"/><Relationship Id="rId300" Type="http://schemas.openxmlformats.org/officeDocument/2006/relationships/hyperlink" Target="https://001.com.ua/uk/nakinechnyk-te-0-75-08-trubchastyy-v-izolyatsiyi-dlya-dvoh-provodiv-syniy-upakovka-100-sht-asko-ukrem" TargetMode="External"/><Relationship Id="rId421" Type="http://schemas.openxmlformats.org/officeDocument/2006/relationships/hyperlink" Target="https://metalvis.ua/uk/catalog/sku-shajba-pruzhkvsch10-cb/" TargetMode="External"/><Relationship Id="rId542" Type="http://schemas.openxmlformats.org/officeDocument/2006/relationships/drawing" Target="../drawings/drawing19.xml"/><Relationship Id="rId420" Type="http://schemas.openxmlformats.org/officeDocument/2006/relationships/hyperlink" Target="https://metalvis.ua/ru/catalog/sku-shajba-ploska-m10-nerzha2/" TargetMode="External"/><Relationship Id="rId541" Type="http://schemas.openxmlformats.org/officeDocument/2006/relationships/hyperlink" Target="https://tnsy.com.ua/product/shina-mednaya-msht-3h20h3000mm-tnsy/" TargetMode="External"/><Relationship Id="rId540" Type="http://schemas.openxmlformats.org/officeDocument/2006/relationships/hyperlink" Target="https://hzem.com.ua/10705020-1_shafa-elektrotehnichna-mkn-10-700h500h200" TargetMode="External"/><Relationship Id="rId415" Type="http://schemas.openxmlformats.org/officeDocument/2006/relationships/hyperlink" Target="https://nartex.ua/tiles/pavement/" TargetMode="External"/><Relationship Id="rId536" Type="http://schemas.openxmlformats.org/officeDocument/2006/relationships/hyperlink" Target="https://001.com.ua/uk/kolodka-ts-1004-gvyntova-v-korpusi-asko-ukrem" TargetMode="External"/><Relationship Id="rId414" Type="http://schemas.openxmlformats.org/officeDocument/2006/relationships/hyperlink" Target="https://001.com.ua/uk/korobka-rozpodilcha-e-db-pro-85-85-50u-e-next" TargetMode="External"/><Relationship Id="rId535" Type="http://schemas.openxmlformats.org/officeDocument/2006/relationships/hyperlink" Target="https://001.com.ua/uk/truba-pvh-zhorstka-gladka-d32-mm-standartna-3m-sira-dkc" TargetMode="External"/><Relationship Id="rId413" Type="http://schemas.openxmlformats.org/officeDocument/2006/relationships/hyperlink" Target="https://001.com.ua/uk/korobka-rozpodilcha-e-db-pro-100-100-50u-e-next" TargetMode="External"/><Relationship Id="rId534" Type="http://schemas.openxmlformats.org/officeDocument/2006/relationships/hyperlink" Target="https://001.com.ua/uk/truba-pvh-gnuchka-gofrovana-d32-mm-standartna-z-protyazhkoyu-sira-25m-dkc" TargetMode="External"/><Relationship Id="rId412" Type="http://schemas.openxmlformats.org/officeDocument/2006/relationships/hyperlink" Target="https://001.com.ua/uk/paketnyy-peremykach-v-korpusi-e-industrial-sb-1-0-2-4-40-4p-40-a-1-0-2-ip65-e-next" TargetMode="External"/><Relationship Id="rId533" Type="http://schemas.openxmlformats.org/officeDocument/2006/relationships/hyperlink" Target="https://001.com.ua/uk/truba-gofrovana-pvh-stiyka-do-uf-z-protyazhkoyu-empty-16-mm-320n-5sm-chorna-buhta-50-m-kopos" TargetMode="External"/><Relationship Id="rId419" Type="http://schemas.openxmlformats.org/officeDocument/2006/relationships/hyperlink" Target="https://www.beny.com/product-item/dc-isolator-up-to-1200v-open-type-byt-2a-32/" TargetMode="External"/><Relationship Id="rId418" Type="http://schemas.openxmlformats.org/officeDocument/2006/relationships/hyperlink" Target="https://www.beny.com/product-item/dc-disconnect-switch-up-to-1200v-bb1h-63/" TargetMode="External"/><Relationship Id="rId539" Type="http://schemas.openxmlformats.org/officeDocument/2006/relationships/hyperlink" Target="https://hzem.com.ua/10605030-1_shafa-elektrotehnichna-mkn-10-600h500h300" TargetMode="External"/><Relationship Id="rId417" Type="http://schemas.openxmlformats.org/officeDocument/2006/relationships/hyperlink" Target="https://www.beny.com/ru/product-item/dc-disconnect-switch-up-to-1200v-bb1h-63/" TargetMode="External"/><Relationship Id="rId538" Type="http://schemas.openxmlformats.org/officeDocument/2006/relationships/hyperlink" Target="https://hzem.com.ua/10605025-1_shafa-elektrotehnichna-mkn-10-600h500h250" TargetMode="External"/><Relationship Id="rId416" Type="http://schemas.openxmlformats.org/officeDocument/2006/relationships/hyperlink" Target="https://www.beny.com/ru/product-item/dc-disconnect-switch-up-to-1200v-bb1h-63/" TargetMode="External"/><Relationship Id="rId537" Type="http://schemas.openxmlformats.org/officeDocument/2006/relationships/hyperlink" Target="https://001.com.ua/uk/kolodka-ts-2004-gvyntova-v-korpusi-asko-ukrem" TargetMode="External"/><Relationship Id="rId411" Type="http://schemas.openxmlformats.org/officeDocument/2006/relationships/hyperlink" Target="https://001.com.ua/uk/peremykach-na-din-reyku-na-3-polozhennya-e-is3-pro-4-40-4r-40a-e-next" TargetMode="External"/><Relationship Id="rId532" Type="http://schemas.openxmlformats.org/officeDocument/2006/relationships/hyperlink" Target="https://xn--b1aeppdc1j.xn--j1amh/ua/p1796673521-polietilenovaya-truba-pn6.html" TargetMode="External"/><Relationship Id="rId410" Type="http://schemas.openxmlformats.org/officeDocument/2006/relationships/hyperlink" Target="https://pl.hanersun.com/wp-content/uploads/download/datasheet/HItouch5N/HN18N-72HT.pdf" TargetMode="External"/><Relationship Id="rId531" Type="http://schemas.openxmlformats.org/officeDocument/2006/relationships/hyperlink" Target="https://001.com.ua/uk/truba-gofrovana-dvostinna-e-kor-tube-black-63-52-63-52mm-50m-chorna-e-next" TargetMode="External"/><Relationship Id="rId530" Type="http://schemas.openxmlformats.org/officeDocument/2006/relationships/hyperlink" Target="https://ecshop.com.ua/ua/p129153-mini_transformator_toka_250-5a_s_razemnim_serdechnikom_d-24mm_kl_0-5" TargetMode="External"/><Relationship Id="rId206" Type="http://schemas.openxmlformats.org/officeDocument/2006/relationships/hyperlink" Target="https://001.com.ua/uk/zaglushka-lan-80x40-mm-bila-dkc" TargetMode="External"/><Relationship Id="rId327" Type="http://schemas.openxmlformats.org/officeDocument/2006/relationships/hyperlink" Target="https://mtk.com.ua/alternativnaya-energetika/oborudovanie-dlya-zaschity-po-postoyannomu-toku/ogranichitel-perenapryazheniya-grozorazryadnik-dc-spd-bud-40-3-3p-1000v-40ka" TargetMode="External"/><Relationship Id="rId448" Type="http://schemas.openxmlformats.org/officeDocument/2006/relationships/hyperlink" Target="https://ecshop.com.ua/p108201-kabel_vvgng_4h50" TargetMode="External"/><Relationship Id="rId205" Type="http://schemas.openxmlformats.org/officeDocument/2006/relationships/hyperlink" Target="https://001.com.ua/uk/peremykach-navantazhennya-la-2-d-250a-3p-co-1-0-2-z-vynosnoyu-rukoyatkoyu-eti" TargetMode="External"/><Relationship Id="rId326" Type="http://schemas.openxmlformats.org/officeDocument/2006/relationships/hyperlink" Target="https://www.beny.com/product-item/dc-spd-type2-up-to-1000v-bud-40-3/" TargetMode="External"/><Relationship Id="rId447" Type="http://schemas.openxmlformats.org/officeDocument/2006/relationships/hyperlink" Target="https://001.com.ua/uk/blok-rozpodilchyy-e-sn-pro-400-400-a-na-din-reyku-e-next" TargetMode="External"/><Relationship Id="rId204" Type="http://schemas.openxmlformats.org/officeDocument/2006/relationships/hyperlink" Target="https://001.com.ua/uk/rozyednuvach-pid-zapobizhnyky-kvl-1-1p-250a-m10-m10-eti" TargetMode="External"/><Relationship Id="rId325" Type="http://schemas.openxmlformats.org/officeDocument/2006/relationships/hyperlink" Target="https://mtk.com.ua/dc-spd-bud-40-2-2p-600v-40ka-ua" TargetMode="External"/><Relationship Id="rId446" Type="http://schemas.openxmlformats.org/officeDocument/2006/relationships/hyperlink" Target="https://001.com.ua/uk/blok-rozpodilchyy-e-sn-pro-125-125-a-na-din-reyku-e-next" TargetMode="External"/><Relationship Id="rId203" Type="http://schemas.openxmlformats.org/officeDocument/2006/relationships/hyperlink" Target="https://001.com.ua/uk/gvyntovyy-kontaktnyy-zatyskach-jxb-2-5-35-na-din-reyku-siryy-asko-ukrem" TargetMode="External"/><Relationship Id="rId324" Type="http://schemas.openxmlformats.org/officeDocument/2006/relationships/hyperlink" Target="https://001.com.ua/uk/shyna-zyednuvalna-shs-100-1-63-typ-pin-asko-ukrem" TargetMode="External"/><Relationship Id="rId445" Type="http://schemas.openxmlformats.org/officeDocument/2006/relationships/hyperlink" Target="https://tnsy.com.ua/product/shina-alyum-ad31-4h30h3000mm-tnsy/" TargetMode="External"/><Relationship Id="rId209" Type="http://schemas.openxmlformats.org/officeDocument/2006/relationships/hyperlink" Target="https://001.com.ua/uk/rele-promizhne-my3-3a-220v-ac-asko-ukrem" TargetMode="External"/><Relationship Id="rId208" Type="http://schemas.openxmlformats.org/officeDocument/2006/relationships/hyperlink" Target="https://001.com.ua/uk/rukoyatka-vynosna-lbs-eh-630-g-hellip-400-g-flbs-chorna-dlya-lbs-cd-160-630aamp-flbs-125-400a-eti" TargetMode="External"/><Relationship Id="rId329" Type="http://schemas.openxmlformats.org/officeDocument/2006/relationships/hyperlink" Target="https://001.com.ua/uk/trymach-shyldika-18mm-dlya-markuvannya-knopok-emas" TargetMode="External"/><Relationship Id="rId207" Type="http://schemas.openxmlformats.org/officeDocument/2006/relationships/hyperlink" Target="https://001.com.ua/uk/peremykach-navantazhennya-lbs-400-3p-co-1-0-2-400a-eti" TargetMode="External"/><Relationship Id="rId328" Type="http://schemas.openxmlformats.org/officeDocument/2006/relationships/hyperlink" Target="https://001.com.ua/uk/pzip-ops1-b-1p-klas-i-b-iek" TargetMode="External"/><Relationship Id="rId449" Type="http://schemas.openxmlformats.org/officeDocument/2006/relationships/hyperlink" Target="https://001.com.ua/uk/peremykach-na-2-polozhennya-z-fiksatsiyeyu-1nv-zelenyy-plastyk-ip50-seriya-b-emas" TargetMode="External"/><Relationship Id="rId440" Type="http://schemas.openxmlformats.org/officeDocument/2006/relationships/hyperlink" Target="https://www.eti.ua/produktsiya-ua/004673026" TargetMode="External"/><Relationship Id="rId202" Type="http://schemas.openxmlformats.org/officeDocument/2006/relationships/hyperlink" Target="https://001.com.ua/uk/gvyntovyy-kontaktnyy-zatyskach-jxb-10-35-na-din-reyku-siryy-asko-ukrem" TargetMode="External"/><Relationship Id="rId323" Type="http://schemas.openxmlformats.org/officeDocument/2006/relationships/hyperlink" Target="https://001.com.ua/uk/shyna-nulova-v-korpusi-kros-modul-edb-207-2p-l-pe-n-125a-7-vyhodiv-eti" TargetMode="External"/><Relationship Id="rId444" Type="http://schemas.openxmlformats.org/officeDocument/2006/relationships/hyperlink" Target="https://www.eti.ua/produktsiya-ua/etibreak/nbs/004673009-nbs" TargetMode="External"/><Relationship Id="rId201" Type="http://schemas.openxmlformats.org/officeDocument/2006/relationships/hyperlink" Target="https://001.com.ua/uk/shyna-zyednuvalna-izs-10-1f-54-10-mm2-1p-1m-pin-54-moduli-eti" TargetMode="External"/><Relationship Id="rId322" Type="http://schemas.openxmlformats.org/officeDocument/2006/relationships/hyperlink" Target="https://001.com.ua/uk/shyna-nulova-e-cbs-pro-2-7-v-korpusi-na-din-reyku-2x7-grup-e-next" TargetMode="External"/><Relationship Id="rId443" Type="http://schemas.openxmlformats.org/officeDocument/2006/relationships/hyperlink" Target="https://electrocontrol.com.ua/ua/avtomaticheskie-vyklyuchateli/4673072-avtomaticheskii-vykluchatel-eti-nbs-tmd-250-3l-250a-36ka-0-8-1in-5-10in-3p" TargetMode="External"/><Relationship Id="rId200" Type="http://schemas.openxmlformats.org/officeDocument/2006/relationships/hyperlink" Target="https://001.com.ua/uk/shyna-zyednuvalna-iz-12-3f-54-12-mm2-3p-1m-fork-54-moduli-eti" TargetMode="External"/><Relationship Id="rId321" Type="http://schemas.openxmlformats.org/officeDocument/2006/relationships/hyperlink" Target="https://001.com.ua/uk/homut-kabelnyy-4-8x290-mm-poliamid-6-6-chornyy-dkc" TargetMode="External"/><Relationship Id="rId442" Type="http://schemas.openxmlformats.org/officeDocument/2006/relationships/hyperlink" Target="https://electrocontrol.com.ua/ua/avtomaticheskie-vyklyuchateli/4673071-avtomaticheskii-vykluchatel-eti-nbs-tmd-250-3l-200a-36ka-0-8-1in-5-10in-3p" TargetMode="External"/><Relationship Id="rId320" Type="http://schemas.openxmlformats.org/officeDocument/2006/relationships/hyperlink" Target="https://001.com.ua/uk/homut-kabelnyy-3-6x290-mm-poliamid-6-6-chornyy-dkc" TargetMode="External"/><Relationship Id="rId441" Type="http://schemas.openxmlformats.org/officeDocument/2006/relationships/hyperlink" Target="https://ecshop.com.ua/ua/p138133-avtomaticheskiy_viklyuchatel_etibreak_nbs-tms_160-3s_125a_3p" TargetMode="External"/><Relationship Id="rId316" Type="http://schemas.openxmlformats.org/officeDocument/2006/relationships/hyperlink" Target="https://001.com.ua/uk/termozbizhna-trubka-na-kleyoviy-osnovi-tsk-empty-15-mm-chorna-asko-ukrem" TargetMode="External"/><Relationship Id="rId437" Type="http://schemas.openxmlformats.org/officeDocument/2006/relationships/hyperlink" Target="https://001.com.ua/uk/kontaktor-modulnyy-ra-25-40-25a-230v-ac-4no-eti" TargetMode="External"/><Relationship Id="rId315" Type="http://schemas.openxmlformats.org/officeDocument/2006/relationships/hyperlink" Target="https://001.com.ua/uk/termozbizhna-trubka-na-kleyoviy-osnovi-tsk-empty-15-mm-chervona-asko-ukrem" TargetMode="External"/><Relationship Id="rId436" Type="http://schemas.openxmlformats.org/officeDocument/2006/relationships/hyperlink" Target="https://mtk.com.ua/montazhnye-aksessuary-alt/komplekt-y-soedinitelej-mc4" TargetMode="External"/><Relationship Id="rId314" Type="http://schemas.openxmlformats.org/officeDocument/2006/relationships/hyperlink" Target="https://001.com.ua/uk/termozbizhna-trubka-na-kleyoviy-osnovi-tsk-empty-12-7-mm-chorna-asko-ukrem" TargetMode="External"/><Relationship Id="rId435" Type="http://schemas.openxmlformats.org/officeDocument/2006/relationships/hyperlink" Target="https://001.com.ua/uk/salnyk-pg29-diametr-kabelyu-18-25-mm-ip54-asko-ukrem" TargetMode="External"/><Relationship Id="rId313" Type="http://schemas.openxmlformats.org/officeDocument/2006/relationships/hyperlink" Target="https://oldimarket.com.ua/product/8113553-truba-ppr-georg-fischer-dn-20-pn20-4001002000121/" TargetMode="External"/><Relationship Id="rId434" Type="http://schemas.openxmlformats.org/officeDocument/2006/relationships/hyperlink" Target="http://shop.mtk.com.ua/id/predohranitel-30a-adler-elektrotechnik-a73-gpv-cilindricheskiy-1038--804.html" TargetMode="External"/><Relationship Id="rId319" Type="http://schemas.openxmlformats.org/officeDocument/2006/relationships/hyperlink" Target="https://001.com.ua/uk/homut-kabelnyy-3-6x200-mm-poliamid-6-6-bilyy-dkc" TargetMode="External"/><Relationship Id="rId318" Type="http://schemas.openxmlformats.org/officeDocument/2006/relationships/hyperlink" Target="https://001.com.ua/uk/termozbizhna-trubka-na-kleyoviy-osnovi-tsk-empty-25-mm-chorna-asko-ukrem" TargetMode="External"/><Relationship Id="rId439" Type="http://schemas.openxmlformats.org/officeDocument/2006/relationships/hyperlink" Target="https://www.eti.ua/produktsiya-ua//004673006-nbs" TargetMode="External"/><Relationship Id="rId317" Type="http://schemas.openxmlformats.org/officeDocument/2006/relationships/hyperlink" Target="https://001.com.ua/uk/termozbizhna-trubka-na-kleyoviy-osnovi-tsk-empty-19-1-mm-chorna-asko-ukrem" TargetMode="External"/><Relationship Id="rId438" Type="http://schemas.openxmlformats.org/officeDocument/2006/relationships/hyperlink" Target="https://001.com.ua/uk/perehidnyky-shynni-zb2-160amp-250-3-rozshyryuvalni-komplekt-3-sht-eti" TargetMode="External"/><Relationship Id="rId312" Type="http://schemas.openxmlformats.org/officeDocument/2006/relationships/hyperlink" Target="https://001.com.ua/uk/truba-pvt-gnuchka-gofrovana-d40-mm-standartna-z-protyazhkoyu-chorna-20m-dkc" TargetMode="External"/><Relationship Id="rId433" Type="http://schemas.openxmlformats.org/officeDocument/2006/relationships/hyperlink" Target="https://001.com.ua/uk/rele-chasu-nte8-10v-zatrymka-vklyuchennya-1-10-s-asko-ukrem" TargetMode="External"/><Relationship Id="rId311" Type="http://schemas.openxmlformats.org/officeDocument/2006/relationships/hyperlink" Target="https://001.com.ua/uk/truba-pvt-gnuchka-gofrovana-d32-mm-standartna-z-protyazhkoyu-chorna-25m-dkc" TargetMode="External"/><Relationship Id="rId432" Type="http://schemas.openxmlformats.org/officeDocument/2006/relationships/hyperlink" Target="https://001.com.ua/uk/kabelnyy-kanal-pvh-40x40-mm-lhd-bilyy-kopos" TargetMode="External"/><Relationship Id="rId310" Type="http://schemas.openxmlformats.org/officeDocument/2006/relationships/hyperlink" Target="https://001.com.ua/uk/truba-pvt-gnuchka-gofrovana-d25-mm-standartna-z-protyazhkoyu-chorna-50m-dkc" TargetMode="External"/><Relationship Id="rId431" Type="http://schemas.openxmlformats.org/officeDocument/2006/relationships/hyperlink" Target="https://001.com.ua/uk/rukoyatka-na-korpus-lbs-dh-co-630-b-chorna-dlya-lbs-160-630a-co-eti" TargetMode="External"/><Relationship Id="rId430" Type="http://schemas.openxmlformats.org/officeDocument/2006/relationships/hyperlink" Target="https://001.com.ua/uk/shyna-zyednuvalna-iz-10-3f-54-10-mm2-3p-1m-fork-54-moduli-eti" TargetMode="External"/></Relationships>
</file>

<file path=xl/worksheets/_rels/sheet20.xml.rels><?xml version="1.0" encoding="UTF-8" standalone="yes"?><Relationships xmlns="http://schemas.openxmlformats.org/package/2006/relationships"><Relationship Id="rId190" Type="http://schemas.openxmlformats.org/officeDocument/2006/relationships/hyperlink" Target="https://001.com.ua/uk/obmezhuvach-perenaprugy-etitec-c-t2-275-20-1-0-1p-eti" TargetMode="External"/><Relationship Id="rId194" Type="http://schemas.openxmlformats.org/officeDocument/2006/relationships/hyperlink" Target="https://hager-shop.com.ua/ua/avtomaticheskiy_viklyuchatel_in-63_a_3p_s_6_ka_3m_mc363a" TargetMode="External"/><Relationship Id="rId193" Type="http://schemas.openxmlformats.org/officeDocument/2006/relationships/hyperlink" Target="https://001.com.ua/uk/pzip-ops1-d-1p-klas-iii-d-iek" TargetMode="External"/><Relationship Id="rId192" Type="http://schemas.openxmlformats.org/officeDocument/2006/relationships/hyperlink" Target="https://001.com.ua/uk/obmezhuvach-perenaprugy-etitec-c-t2-275-20-4-0-4p-eti" TargetMode="External"/><Relationship Id="rId191" Type="http://schemas.openxmlformats.org/officeDocument/2006/relationships/hyperlink" Target="https://001.com.ua/uk/obmezhuvach-perenaprugy-etitec-c-t2-275-20-3-0-3p-eti" TargetMode="External"/><Relationship Id="rId187" Type="http://schemas.openxmlformats.org/officeDocument/2006/relationships/hyperlink" Target="https://001.com.ua/uk/avtomatychnyy-vymykach-etimat-6-6ka-3p-40-a-har-ka-c-eti" TargetMode="External"/><Relationship Id="rId186" Type="http://schemas.openxmlformats.org/officeDocument/2006/relationships/hyperlink" Target="https://001.com.ua/uk/avtomatychnyy-vymykach-etimat-6-6ka-3p-32-a-har-ka-c-eti" TargetMode="External"/><Relationship Id="rId185" Type="http://schemas.openxmlformats.org/officeDocument/2006/relationships/hyperlink" Target="https://001.com.ua/uk/avtomatychnyy-vymykach-etimat-6-6ka-3p-25-a-har-ka-c-eti" TargetMode="External"/><Relationship Id="rId184" Type="http://schemas.openxmlformats.org/officeDocument/2006/relationships/hyperlink" Target="https://001.com.ua/uk/avtomatychnyy-vymykach-etimat-6-6ka-3p-20-a-har-ka-c-eti" TargetMode="External"/><Relationship Id="rId189" Type="http://schemas.openxmlformats.org/officeDocument/2006/relationships/hyperlink" Target="https://001.com.ua/uk/avtomatychnyy-vymykach-etimat-6-6ka-3p-63-a-har-ka-c-eti" TargetMode="External"/><Relationship Id="rId188" Type="http://schemas.openxmlformats.org/officeDocument/2006/relationships/hyperlink" Target="https://001.com.ua/uk/avtomatychnyy-vymykach-etimat-6-6ka-3p-50-a-har-ka-c-eti" TargetMode="External"/><Relationship Id="rId183" Type="http://schemas.openxmlformats.org/officeDocument/2006/relationships/hyperlink" Target="https://001.com.ua/uk/avtomatychnyy-vymykach-etimat-6-6ka-2p-63-a-har-ka-c-eti" TargetMode="External"/><Relationship Id="rId182" Type="http://schemas.openxmlformats.org/officeDocument/2006/relationships/hyperlink" Target="https://001.com.ua/uk/avtomatychnyy-vymykach-etimat-6-6ka-2p-50-a-har-ka-c-eti" TargetMode="External"/><Relationship Id="rId181" Type="http://schemas.openxmlformats.org/officeDocument/2006/relationships/hyperlink" Target="https://001.com.ua/uk/avtomatychnyy-vymykach-etimat-6-6ka-2p-40-a-har-ka-c-eti" TargetMode="External"/><Relationship Id="rId180" Type="http://schemas.openxmlformats.org/officeDocument/2006/relationships/hyperlink" Target="https://001.com.ua/uk/avtomatychnyy-vymykach-etimat-6-6ka-2p-32-a-har-ka-c-eti" TargetMode="External"/><Relationship Id="rId176" Type="http://schemas.openxmlformats.org/officeDocument/2006/relationships/hyperlink" Target="https://www.eti.ua/produktsiya-ua/004673026" TargetMode="External"/><Relationship Id="rId297" Type="http://schemas.openxmlformats.org/officeDocument/2006/relationships/hyperlink" Target="https://001.com.ua/uk/mufta-truba-korobka-ip67-m32x1-5-d32-mm-dkc" TargetMode="External"/><Relationship Id="rId175" Type="http://schemas.openxmlformats.org/officeDocument/2006/relationships/hyperlink" Target="https://001.com.ua/uk/perehidnyky-shynni-zb2-160amp-250-3-rozshyryuvalni-komplekt-3-sht-eti" TargetMode="External"/><Relationship Id="rId296" Type="http://schemas.openxmlformats.org/officeDocument/2006/relationships/hyperlink" Target="https://001.com.ua/uk/mufta-truba-truba-ip67-d32-mm-dkc" TargetMode="External"/><Relationship Id="rId174" Type="http://schemas.openxmlformats.org/officeDocument/2006/relationships/hyperlink" Target="http://shop.mtk.com.ua/id/predohranitel-20a-adler-elektrotechnik-a73-gpv-cilindricheskiy-1038--803.html" TargetMode="External"/><Relationship Id="rId295" Type="http://schemas.openxmlformats.org/officeDocument/2006/relationships/hyperlink" Target="https://001.com.ua/uk/truba-pvh-zhorstka-gladka-d32-mm-standartna-3m-sira-dkc" TargetMode="External"/><Relationship Id="rId173" Type="http://schemas.openxmlformats.org/officeDocument/2006/relationships/hyperlink" Target="http://shop.mtk.com.ua/id/predohranitel-30a-adler-elektrotechnik-a73-gpv-cilindricheskiy-1038--804.html" TargetMode="External"/><Relationship Id="rId294" Type="http://schemas.openxmlformats.org/officeDocument/2006/relationships/hyperlink" Target="https://001.com.ua/uk/kabel-kanal-iz-kryshkoyu-ta-gn-100x60-mm-z-napravlyayuchymy-bilyy-dkc" TargetMode="External"/><Relationship Id="rId179" Type="http://schemas.openxmlformats.org/officeDocument/2006/relationships/hyperlink" Target="https://001.com.ua/uk/avtomatychnyy-vymykach-etimat-6-6ka-2p-25-a-har-ka-c-eti" TargetMode="External"/><Relationship Id="rId178" Type="http://schemas.openxmlformats.org/officeDocument/2006/relationships/hyperlink" Target="https://enext.ua/uk/catalog/pzip_serii_e_pro/pristriy_dlya_zakhistu_vid_impulsnikh_perenaprug_e_pro_spd_1d_275_1p_klas_d/" TargetMode="External"/><Relationship Id="rId299" Type="http://schemas.openxmlformats.org/officeDocument/2006/relationships/hyperlink" Target="https://amperok.com.ua/ru/lotok_perforovanyj_200_50_3000_dkc_35264" TargetMode="External"/><Relationship Id="rId177" Type="http://schemas.openxmlformats.org/officeDocument/2006/relationships/hyperlink" Target="https://www.eti.ua/produktsiya-ua//004673006-nbs" TargetMode="External"/><Relationship Id="rId298" Type="http://schemas.openxmlformats.org/officeDocument/2006/relationships/hyperlink" Target="https://001.com.ua/uk/mufta-truba-truba-z-obmezhuvachem-ip40-d32-mm-dkc" TargetMode="External"/><Relationship Id="rId198" Type="http://schemas.openxmlformats.org/officeDocument/2006/relationships/hyperlink" Target="https://hager-shop.com.ua/ua/avtomaticheskiy_viklyuchatel_in-32_a_3p_s_6_ka_3m_mc332a" TargetMode="External"/><Relationship Id="rId197" Type="http://schemas.openxmlformats.org/officeDocument/2006/relationships/hyperlink" Target="https://hager-shop.com.ua/ua/avtomaticheskiy_viklyuchatel_in-40_a_3p_s_6_ka_3m_mc340a" TargetMode="External"/><Relationship Id="rId196" Type="http://schemas.openxmlformats.org/officeDocument/2006/relationships/hyperlink" Target="https://hager-shop.com.ua/ua/avtomaticheskiy_viklyuchatel_in-40_a_2p_s_6ka_2m_mc240a" TargetMode="External"/><Relationship Id="rId195" Type="http://schemas.openxmlformats.org/officeDocument/2006/relationships/hyperlink" Target="https://001.com.ua/uk/avtomatychnyy-vymykach-eb2s-160-3la-3p-80a-16ka-eti" TargetMode="External"/><Relationship Id="rId199" Type="http://schemas.openxmlformats.org/officeDocument/2006/relationships/hyperlink" Target="https://hager-shop.com.ua/ua/avtomaticheskiy_viklyuchatel_in-20_a_3p_s_6_ka_3m_mc320a" TargetMode="External"/><Relationship Id="rId150" Type="http://schemas.openxmlformats.org/officeDocument/2006/relationships/hyperlink" Target="https://001.com.ua/uk/znimach-zapobizhnykiv-zpz-1-asko-ukrem" TargetMode="External"/><Relationship Id="rId271" Type="http://schemas.openxmlformats.org/officeDocument/2006/relationships/hyperlink" Target="https://ecshop.com.ua/p108201-kabel_vvgng_4h50" TargetMode="External"/><Relationship Id="rId392" Type="http://schemas.openxmlformats.org/officeDocument/2006/relationships/hyperlink" Target="https://001.com.ua/uk/gilza-gt-25-midna-ludzhena-kabelna-zyednuvalna-asko-ukrem" TargetMode="External"/><Relationship Id="rId270" Type="http://schemas.openxmlformats.org/officeDocument/2006/relationships/hyperlink" Target="https://ecshop.com.ua/p108092-provod_shvvp_2h2-5" TargetMode="External"/><Relationship Id="rId391" Type="http://schemas.openxmlformats.org/officeDocument/2006/relationships/hyperlink" Target="https://001.com.ua/uk/nakinechnyk-te-16-0-14-trubchastyy-v-izolyatsiyi-dlya-dvoh-provodiv-bilyy-upakovka-100-sht-asko-ukrem" TargetMode="External"/><Relationship Id="rId390" Type="http://schemas.openxmlformats.org/officeDocument/2006/relationships/hyperlink" Target="https://001.com.ua/uk/nakinechnyk-te-1-0-08-trubchastyy-v-izolyatsiyi-dlya-dvoh-provodiv-chervonyy-upakovka-100-sht-asko-ukrem" TargetMode="External"/><Relationship Id="rId1" Type="http://schemas.openxmlformats.org/officeDocument/2006/relationships/hyperlink" Target="https://shop.mtk.com.ua/id/komplekt-konnektorov-mc4-tipa-mc4x-b1-864.html" TargetMode="External"/><Relationship Id="rId2" Type="http://schemas.openxmlformats.org/officeDocument/2006/relationships/hyperlink" Target="https://mtk.com.ua/montazhnye-aksessuary-alt/komplekt-y-soedinitelej-mc4" TargetMode="External"/><Relationship Id="rId3" Type="http://schemas.openxmlformats.org/officeDocument/2006/relationships/hyperlink" Target="https://001.com.ua/uk/konektor-rj-45-utp-kat-5e-8p8c-asko-ukrem" TargetMode="External"/><Relationship Id="rId149" Type="http://schemas.openxmlformats.org/officeDocument/2006/relationships/hyperlink" Target="https://001.com.ua/uk/zapobizhnyk-plavkyy-vstavka-e-fuse-nt1-125-125-a-gabaryt-1-e-next" TargetMode="External"/><Relationship Id="rId4" Type="http://schemas.openxmlformats.org/officeDocument/2006/relationships/hyperlink" Target="https://001.com.ua/uk/kontaktor-cem-105-11-230v-ac-105a-55kw-ac3-eti" TargetMode="External"/><Relationship Id="rId148" Type="http://schemas.openxmlformats.org/officeDocument/2006/relationships/hyperlink" Target="https://001.com.ua/uk/rozyednuvach-pid-zapobizhnyky-kvl-1-1p-250a-m10-m10-eti" TargetMode="External"/><Relationship Id="rId269" Type="http://schemas.openxmlformats.org/officeDocument/2006/relationships/hyperlink" Target="https://ecshop.com.ua/p108113-provod_pvs_3h4" TargetMode="External"/><Relationship Id="rId9" Type="http://schemas.openxmlformats.org/officeDocument/2006/relationships/hyperlink" Target="https://001.com.ua/uk/kontaktor-modulnyy-rd-63-40-63a-230v-ac-dc-4no-eti" TargetMode="External"/><Relationship Id="rId143" Type="http://schemas.openxmlformats.org/officeDocument/2006/relationships/hyperlink" Target="https://axiomplus.com.ua/ua/zazemlenie-molniezashhita/product-90867/" TargetMode="External"/><Relationship Id="rId264" Type="http://schemas.openxmlformats.org/officeDocument/2006/relationships/hyperlink" Target="https://ecshop.com.ua/p108195-kabel_vvgng_4h10" TargetMode="External"/><Relationship Id="rId385" Type="http://schemas.openxmlformats.org/officeDocument/2006/relationships/hyperlink" Target="https://001.com.ua/uk/nakinechnyk-nt-2-5-08-trubchastyy-v-izolyatsiyi-synyy-upakovka-100-sht-asko-ukrem" TargetMode="External"/><Relationship Id="rId142" Type="http://schemas.openxmlformats.org/officeDocument/2006/relationships/hyperlink" Target="https://axiomplus.com.ua/ua/zazemlenie-molniezashhita/product-90866/" TargetMode="External"/><Relationship Id="rId263" Type="http://schemas.openxmlformats.org/officeDocument/2006/relationships/hyperlink" Target="https://ecshop.com.ua/p108196-kabel_vvgng_4h16" TargetMode="External"/><Relationship Id="rId384" Type="http://schemas.openxmlformats.org/officeDocument/2006/relationships/hyperlink" Target="https://001.com.ua/uk/gilza-gt-35-midna-ludzhena-kabelna-zyednuvalna-asko-ukrem" TargetMode="External"/><Relationship Id="rId141" Type="http://schemas.openxmlformats.org/officeDocument/2006/relationships/hyperlink" Target="https://axiomplus.com.ua/ua/zazemlenie-molniezashhita/product-90535/" TargetMode="External"/><Relationship Id="rId262" Type="http://schemas.openxmlformats.org/officeDocument/2006/relationships/hyperlink" Target="https://ecshop.com.ua/p108111-provod_pvs_4h10" TargetMode="External"/><Relationship Id="rId383" Type="http://schemas.openxmlformats.org/officeDocument/2006/relationships/hyperlink" Target="https://001.com.ua/uk/gilza-gtl-25-midno-alyuminiyeva-kabelna-zyednuvalna-asko-ukrem" TargetMode="External"/><Relationship Id="rId140" Type="http://schemas.openxmlformats.org/officeDocument/2006/relationships/hyperlink" Target="https://amperok.com.ua/ru/smuga_zazemlennja_25_4mm_buhta_32m_nc2254_1" TargetMode="External"/><Relationship Id="rId261" Type="http://schemas.openxmlformats.org/officeDocument/2006/relationships/hyperlink" Target="https://ecshop.com.ua/p108129-provod_pvs_5h4" TargetMode="External"/><Relationship Id="rId382" Type="http://schemas.openxmlformats.org/officeDocument/2006/relationships/hyperlink" Target="https://001.com.ua/uk/nakinechnyk-te-2-5-10-trubchastyy-v-izolyatsiyi-dlya-dvoh-provodiv-syniy-upakovka-100-sht-asko-ukrem" TargetMode="External"/><Relationship Id="rId5" Type="http://schemas.openxmlformats.org/officeDocument/2006/relationships/hyperlink" Target="https://001.com.ua/uk/kontaktor-modulnyy-ra-25-40-25a-230v-ac-4no-eti" TargetMode="External"/><Relationship Id="rId147" Type="http://schemas.openxmlformats.org/officeDocument/2006/relationships/hyperlink" Target="https://001.com.ua/uk/trymach-plavkogo-zapobizhnyka-dp-35-gabaryt-1-250a-iek" TargetMode="External"/><Relationship Id="rId268" Type="http://schemas.openxmlformats.org/officeDocument/2006/relationships/hyperlink" Target="https://ecshop.com.ua/p123476-kabel_vvgng_4h25_0-66kv" TargetMode="External"/><Relationship Id="rId389" Type="http://schemas.openxmlformats.org/officeDocument/2006/relationships/hyperlink" Target="https://001.com.ua/uk/nakinechnyk-nt-10-0-12-trubchastyy-v-izolyatsiyi-bilyy-upakovka-100-sht-asko-ukrem" TargetMode="External"/><Relationship Id="rId6" Type="http://schemas.openxmlformats.org/officeDocument/2006/relationships/hyperlink" Target="https://001.com.ua/uk/kontaktor-modulnyy-rd-63-22-63a-230v-ac-dc-2no-2nc-eti" TargetMode="External"/><Relationship Id="rId146" Type="http://schemas.openxmlformats.org/officeDocument/2006/relationships/hyperlink" Target="https://001.com.ua/uk/trymach-plavkogo-zapobizhnyka-pk-1-1p-250a-m10-m10-s-eti" TargetMode="External"/><Relationship Id="rId267" Type="http://schemas.openxmlformats.org/officeDocument/2006/relationships/hyperlink" Target="https://ecshop.com.ua/p108159-kabel_vvgng_3h6" TargetMode="External"/><Relationship Id="rId388" Type="http://schemas.openxmlformats.org/officeDocument/2006/relationships/hyperlink" Target="https://001.com.ua/uk/nakinechnyk-nt-1-0-08-trubchastyy-v-izolyatsiyi-zhovtyy-upakovka-100-sht-asko-ukrem" TargetMode="External"/><Relationship Id="rId7" Type="http://schemas.openxmlformats.org/officeDocument/2006/relationships/hyperlink" Target="https://001.com.ua/uk/rele-elektromehanichne-erm4-230acl-4co-230v-ac-6a-ac1-eti" TargetMode="External"/><Relationship Id="rId145" Type="http://schemas.openxmlformats.org/officeDocument/2006/relationships/hyperlink" Target="https://001.com.ua/uk/plavka-vstavka-tsylindrychna-ch-10x38-gpv-10a-1000v-10ka-eti" TargetMode="External"/><Relationship Id="rId266" Type="http://schemas.openxmlformats.org/officeDocument/2006/relationships/hyperlink" Target="https://ecshop.com.ua/p108132-provod_pv3_0-75" TargetMode="External"/><Relationship Id="rId387" Type="http://schemas.openxmlformats.org/officeDocument/2006/relationships/hyperlink" Target="https://001.com.ua/uk/nakinechnyk-dl-70-alyuminiyevyy-kabelnyy-pid-opresuvannya-asko-ukrem" TargetMode="External"/><Relationship Id="rId8" Type="http://schemas.openxmlformats.org/officeDocument/2006/relationships/hyperlink" Target="https://001.com.ua/uk/tsokol-erb4-t-typ-t-dlya-elektromehanichnyh-rele-erm4-eti" TargetMode="External"/><Relationship Id="rId144" Type="http://schemas.openxmlformats.org/officeDocument/2006/relationships/hyperlink" Target="https://ecshop.com.ua/p47668-predohranitel_ch_10x38_gpv_16a_1000v_30ka" TargetMode="External"/><Relationship Id="rId265" Type="http://schemas.openxmlformats.org/officeDocument/2006/relationships/hyperlink" Target="https://ecshop.com.ua/p108194-kabel_vvgng_4h6" TargetMode="External"/><Relationship Id="rId386" Type="http://schemas.openxmlformats.org/officeDocument/2006/relationships/hyperlink" Target="https://001.com.ua/uk/nakinechnyk-nt-4-0-09-trubchastyy-v-izolyatsiyi-pomaranchevyy-upakovka-100-sht-asko-ukrem" TargetMode="External"/><Relationship Id="rId260" Type="http://schemas.openxmlformats.org/officeDocument/2006/relationships/hyperlink" Target="https://ecshop.com.ua/p108217-kabel_vvgng_5h4" TargetMode="External"/><Relationship Id="rId381" Type="http://schemas.openxmlformats.org/officeDocument/2006/relationships/hyperlink" Target="https://001.com.ua/uk/nakinechnyk-te-1-0-10-trubchastyy-v-izolyatsiyi-dlya-dvoh-provodiv-chervonyy-upakovka-100-sht-asko-ukrem" TargetMode="External"/><Relationship Id="rId380" Type="http://schemas.openxmlformats.org/officeDocument/2006/relationships/hyperlink" Target="https://001.com.ua/uk/gilza-gl-35-alyuminiyeva-kabelna-zyednuvalna-asko-ukrem" TargetMode="External"/><Relationship Id="rId139" Type="http://schemas.openxmlformats.org/officeDocument/2006/relationships/hyperlink" Target="https://001.com.ua/uk/maydanchyk-dlya-homutiv-cth-2c-chornyy-upakovka-100-sht-asko-ukrem" TargetMode="External"/><Relationship Id="rId138" Type="http://schemas.openxmlformats.org/officeDocument/2006/relationships/hyperlink" Target="https://001.com.ua/uk/homut-kabelnyy-e-ct-stand-300-5-black-5x300-mm-neylon-chornyy-upakovka-100-sht-e-next" TargetMode="External"/><Relationship Id="rId259" Type="http://schemas.openxmlformats.org/officeDocument/2006/relationships/hyperlink" Target="https://ecshop.com.ua/p108219-kabel_vvgng_5h10" TargetMode="External"/><Relationship Id="rId137" Type="http://schemas.openxmlformats.org/officeDocument/2006/relationships/hyperlink" Target="https://oldimarket.com.ua/product/8113553-truba-ppr-georg-fischer-dn-20-pn20-4001002000121/" TargetMode="External"/><Relationship Id="rId258" Type="http://schemas.openxmlformats.org/officeDocument/2006/relationships/hyperlink" Target="https://001.com.ua/kabel-silovoy-avvg-4x10-mm2-s-alyuminievymi-zhilami" TargetMode="External"/><Relationship Id="rId379" Type="http://schemas.openxmlformats.org/officeDocument/2006/relationships/hyperlink" Target="https://001.com.ua/uk/nakinechnyk-dt-35-midnyy-ludzhenyy-kabelnyy-pid-opresuvannya-asko-ukrem" TargetMode="External"/><Relationship Id="rId132" Type="http://schemas.openxmlformats.org/officeDocument/2006/relationships/hyperlink" Target="https://001.com.ua/uk/izolyator-trymach-sylovoyi-shyny-sm30-z-boltom-m8-asko-ukrem" TargetMode="External"/><Relationship Id="rId253" Type="http://schemas.openxmlformats.org/officeDocument/2006/relationships/hyperlink" Target="https://ecshop.com.ua/p108140-provod_pv3_25" TargetMode="External"/><Relationship Id="rId374" Type="http://schemas.openxmlformats.org/officeDocument/2006/relationships/hyperlink" Target="https://001.com.ua/uk/nakinechnyk-sc-16-8-midnyy-ludzhenyy-kabelnyy-pid-payku-asko-ukrem" TargetMode="External"/><Relationship Id="rId495" Type="http://schemas.openxmlformats.org/officeDocument/2006/relationships/hyperlink" Target="https://001.com.ua/uk/shyna-zapos-yednuvalna-e-bc-stand-3-63-3p-63a-e-next" TargetMode="External"/><Relationship Id="rId131" Type="http://schemas.openxmlformats.org/officeDocument/2006/relationships/hyperlink" Target="https://001.com.ua/uk/salnyk-pg18-diametr-kabelyu-12-15-mm-ip54-asko-ukrem" TargetMode="External"/><Relationship Id="rId252" Type="http://schemas.openxmlformats.org/officeDocument/2006/relationships/hyperlink" Target="https://ecshop.com.ua/p108130-provod_pvs_5h6" TargetMode="External"/><Relationship Id="rId373" Type="http://schemas.openxmlformats.org/officeDocument/2006/relationships/hyperlink" Target="https://001.com.ua/uk/nakinechnyk-dl-35-alyuminiyevyy-kabelnyy-pid-opresuvannya-asko-ukrem" TargetMode="External"/><Relationship Id="rId494" Type="http://schemas.openxmlformats.org/officeDocument/2006/relationships/hyperlink" Target="https://001.com.ua/uk/shyna-zapos-yednuvalna-e-bc-stand-2-63-2p-63a-e-next" TargetMode="External"/><Relationship Id="rId130" Type="http://schemas.openxmlformats.org/officeDocument/2006/relationships/hyperlink" Target="https://001.com.ua/uk/salnyk-pg21-diametr-kabelyu-13-18-mm-ip54-asko-ukrem" TargetMode="External"/><Relationship Id="rId251" Type="http://schemas.openxmlformats.org/officeDocument/2006/relationships/hyperlink" Target="https://ecshop.com.ua/p108137-provod_pv3_6" TargetMode="External"/><Relationship Id="rId372" Type="http://schemas.openxmlformats.org/officeDocument/2006/relationships/hyperlink" Target="https://001.com.ua/uk/nakinechnyk-dl-25-alyuminiyevyy-kabelnyy-pid-opresuvannya-asko-ukrem" TargetMode="External"/><Relationship Id="rId493" Type="http://schemas.openxmlformats.org/officeDocument/2006/relationships/hyperlink" Target="https://001.com.ua/uk/shyna-zapos-yednuvalna-e-bc-stand-3-100-3p-100a-e-next" TargetMode="External"/><Relationship Id="rId250" Type="http://schemas.openxmlformats.org/officeDocument/2006/relationships/hyperlink" Target="https://ecshop.com.ua/p108141-provod_pv3_35" TargetMode="External"/><Relationship Id="rId371" Type="http://schemas.openxmlformats.org/officeDocument/2006/relationships/hyperlink" Target="https://001.com.ua/uk/nakinechnyk-nt-16-0-12-trubchastyy-v-izolyatsiyi-zelenyy-upakovka-100-sht-asko-ukrem" TargetMode="External"/><Relationship Id="rId492" Type="http://schemas.openxmlformats.org/officeDocument/2006/relationships/hyperlink" Target="https://001.com.ua/uk/shyna-zyednuvalna-iz-10-3f-54-10-mm2-3p-1m-fork-54-moduli-eti" TargetMode="External"/><Relationship Id="rId136" Type="http://schemas.openxmlformats.org/officeDocument/2006/relationships/hyperlink" Target="https://001.com.ua/uk/vvid-kabelnyy-germetychnyy-e-pg-stand-21-diametr-kabelyu-13-18-mm-ip54-e-next" TargetMode="External"/><Relationship Id="rId257" Type="http://schemas.openxmlformats.org/officeDocument/2006/relationships/hyperlink" Target="https://ecshop.com.ua/p108133-provod_pv3_1" TargetMode="External"/><Relationship Id="rId378" Type="http://schemas.openxmlformats.org/officeDocument/2006/relationships/hyperlink" Target="https://001.com.ua/uk/nakinechnyk-dt-95-midnyy-ludzhenyy-kabelnyy-pid-opresuvannya-asko-ukrem" TargetMode="External"/><Relationship Id="rId499" Type="http://schemas.openxmlformats.org/officeDocument/2006/relationships/hyperlink" Target="https://001.com.ua/uk/korpus-metalevyy-e-mbox-pro-p-160-80-40-ip54-z-montazhnoyu-panellyu-e-next" TargetMode="External"/><Relationship Id="rId135" Type="http://schemas.openxmlformats.org/officeDocument/2006/relationships/hyperlink" Target="https://001.com.ua/uk/vvid-kabelnyy-germetychnyy-e-pgl-stand-36-z-podovzhenoyu-rizboyu-i-uschilnyuvachem-diametr-kabelyu-22-32-mm-ip54-e-next" TargetMode="External"/><Relationship Id="rId256" Type="http://schemas.openxmlformats.org/officeDocument/2006/relationships/hyperlink" Target="https://ecshop.com.ua/p108107-provod_pvs_2h6" TargetMode="External"/><Relationship Id="rId377" Type="http://schemas.openxmlformats.org/officeDocument/2006/relationships/hyperlink" Target="https://001.com.ua/uk/nakinechnyk-te-0-75-08-trubchastyy-v-izolyatsiyi-dlya-dvoh-provodiv-syniy-upakovka-100-sht-asko-ukrem" TargetMode="External"/><Relationship Id="rId498" Type="http://schemas.openxmlformats.org/officeDocument/2006/relationships/hyperlink" Target="https://001.com.ua/uk/shyna-zyednuvalna-izs-10-1f-54-10-mm2-1p-1m-pin-54-moduli-eti" TargetMode="External"/><Relationship Id="rId134" Type="http://schemas.openxmlformats.org/officeDocument/2006/relationships/hyperlink" Target="https://001.com.ua/uk/vvid-kabelnyy-germetychnyy-e-pg-stand-29-diametr-kabelyu-18-25-mm-ip54-e-next" TargetMode="External"/><Relationship Id="rId255" Type="http://schemas.openxmlformats.org/officeDocument/2006/relationships/hyperlink" Target="https://ecshop.com.ua/p108114-provod_pvs_3h6" TargetMode="External"/><Relationship Id="rId376" Type="http://schemas.openxmlformats.org/officeDocument/2006/relationships/hyperlink" Target="https://001.com.ua/uk/nakinechnyk-nt-0-75-08-trubchastyy-v-izolyatsiyi-synyy-upakovka-100-sht-asko-ukrem" TargetMode="External"/><Relationship Id="rId497" Type="http://schemas.openxmlformats.org/officeDocument/2006/relationships/hyperlink" Target="https://001.com.ua/uk/shyna-zyednuvalna-shs-100-1-63-typ-pin-asko-ukrem" TargetMode="External"/><Relationship Id="rId133" Type="http://schemas.openxmlformats.org/officeDocument/2006/relationships/hyperlink" Target="https://001.com.ua/uk/vvid-kabelnyy-germetychnyy-e-pg-stand-9-diametr-kabelyu-4-8-mm-ip54-e-next" TargetMode="External"/><Relationship Id="rId254" Type="http://schemas.openxmlformats.org/officeDocument/2006/relationships/hyperlink" Target="https://ecshop.com.ua/p108139-provod_pv3_16" TargetMode="External"/><Relationship Id="rId375" Type="http://schemas.openxmlformats.org/officeDocument/2006/relationships/hyperlink" Target="https://001.com.ua/uk/gilza-gt-95-midna-ludzhena-kabelna-zyednuvalna-asko-ukrem" TargetMode="External"/><Relationship Id="rId496" Type="http://schemas.openxmlformats.org/officeDocument/2006/relationships/hyperlink" Target="https://001.com.ua/uk/shyna-zapos-yednuvalna-e-bc-stand-1-63-1p-63a-e-next" TargetMode="External"/><Relationship Id="rId172" Type="http://schemas.openxmlformats.org/officeDocument/2006/relationships/hyperlink" Target="https://www.beny.com/ru/product-item/dc-disconnect-switch-up-to-1200v-bb1h-63/" TargetMode="External"/><Relationship Id="rId293" Type="http://schemas.openxmlformats.org/officeDocument/2006/relationships/hyperlink" Target="https://001.com.ua/uk/triynyk-pvh-do-kabelnyh-kanaliv-eke-100x60-mm-bilyy-kopos" TargetMode="External"/><Relationship Id="rId171" Type="http://schemas.openxmlformats.org/officeDocument/2006/relationships/hyperlink" Target="https://www.beny.com/product-item/dc-disconnect-switch-up-to-1200v-bb1h-63/" TargetMode="External"/><Relationship Id="rId292" Type="http://schemas.openxmlformats.org/officeDocument/2006/relationships/hyperlink" Target="https://001.com.ua/uk/kut-zovnishniy-pvh-do-kabelnyh-kanaliv-eke-100x60-mm-bilyy-kopos" TargetMode="External"/><Relationship Id="rId170" Type="http://schemas.openxmlformats.org/officeDocument/2006/relationships/hyperlink" Target="https://www.beny.com/ru/product-item/dc-disconnect-switch-up-to-1200v-bb1h-63/" TargetMode="External"/><Relationship Id="rId291" Type="http://schemas.openxmlformats.org/officeDocument/2006/relationships/hyperlink" Target="https://001.com.ua/uk/kut-vnutrishniy-pvh-do-kabelnyh-kanaliv-eke-100x60-mm-bilyy-kopos" TargetMode="External"/><Relationship Id="rId290" Type="http://schemas.openxmlformats.org/officeDocument/2006/relationships/hyperlink" Target="https://001.com.ua/uk/kut-plaskyy-pvh-do-kabelnyh-kanaliv-eke-100x60-mm-bilyy-kopos" TargetMode="External"/><Relationship Id="rId165" Type="http://schemas.openxmlformats.org/officeDocument/2006/relationships/hyperlink" Target="https://mtk.com.ua/alternativnaya-energetika/oborudovanie-dlya-zaschity-po-postoyannomu-toku/derzhatel-dlya-predohranitelej-fuse-holder-br-30-1p-1000v" TargetMode="External"/><Relationship Id="rId286" Type="http://schemas.openxmlformats.org/officeDocument/2006/relationships/hyperlink" Target="https://001.com.ua/uk/zaglushka-lan-80x40-mm-bila-dkc" TargetMode="External"/><Relationship Id="rId164" Type="http://schemas.openxmlformats.org/officeDocument/2006/relationships/hyperlink" Target="https://001.com.ua/uk/vymykach-navantazhennya-ls-32-sma-a4-4p-1-0-32a-1000v-dc-eti" TargetMode="External"/><Relationship Id="rId285" Type="http://schemas.openxmlformats.org/officeDocument/2006/relationships/hyperlink" Target="https://001.com.ua/uk/kabel-kanal-iz-kryshkoyu-ta-gn-80x40-mm-z-napravlyayuchymy-bilyy-dkc" TargetMode="External"/><Relationship Id="rId163" Type="http://schemas.openxmlformats.org/officeDocument/2006/relationships/hyperlink" Target="https://mtk.com.ua/alternativnaya-energetika/oborudovanie-dlya-zaschity-po-postoyannomu-toku/ogranichitel-perenapryazheniya-grozorazryadnik-dc-spd-bud-40-3-3p-1000v-40ka" TargetMode="External"/><Relationship Id="rId284" Type="http://schemas.openxmlformats.org/officeDocument/2006/relationships/hyperlink" Target="https://001.com.ua/uk/kabel-kanal-iz-kryshkoyu-ta-en-40x40-mm-iz-ploskoyu-osnovoyu-bilyy-dkc" TargetMode="External"/><Relationship Id="rId162" Type="http://schemas.openxmlformats.org/officeDocument/2006/relationships/hyperlink" Target="https://001.com.ua/uk/obmezhuvach-perenaprugy-etitec-m-t2-pv-1100-20-y-dlya-pv-system-eti" TargetMode="External"/><Relationship Id="rId283" Type="http://schemas.openxmlformats.org/officeDocument/2006/relationships/hyperlink" Target="https://001.com.ua/uk/lotok-neperforovanyy-50x50x3000-mm-garyachogo-tsynkuvannya-metod-sendzimira-dkc" TargetMode="External"/><Relationship Id="rId169" Type="http://schemas.openxmlformats.org/officeDocument/2006/relationships/hyperlink" Target="https://mtk.com.ua/dc-spd-bud-40-2-2p-600v-40ka-ua" TargetMode="External"/><Relationship Id="rId168" Type="http://schemas.openxmlformats.org/officeDocument/2006/relationships/hyperlink" Target="https://001.com.ua/uk/plavka-vstavka-tsylindrychna-ch-10x38-gpv-12a-1000v-30ka-eti" TargetMode="External"/><Relationship Id="rId289" Type="http://schemas.openxmlformats.org/officeDocument/2006/relationships/hyperlink" Target="https://001.com.ua/uk/zaglushka-pvh-do-kabelnyh-kanaliv-eke-100x60-mm-bila-kopos" TargetMode="External"/><Relationship Id="rId167" Type="http://schemas.openxmlformats.org/officeDocument/2006/relationships/hyperlink" Target="https://001.com.ua/uk/pzip-ops1-b-1p-klas-i-b-iek" TargetMode="External"/><Relationship Id="rId288" Type="http://schemas.openxmlformats.org/officeDocument/2006/relationships/hyperlink" Target="https://001.com.ua/uk/kabelnyy-kanal-pvh-100x60-mm-eke-bilyy-kopos" TargetMode="External"/><Relationship Id="rId166" Type="http://schemas.openxmlformats.org/officeDocument/2006/relationships/hyperlink" Target="https://001.com.ua/uk/plavka-vstavka-tsylindrychna-ch-10x38-gpv-20a-1000v-30ka-eti" TargetMode="External"/><Relationship Id="rId287" Type="http://schemas.openxmlformats.org/officeDocument/2006/relationships/hyperlink" Target="https://001.com.ua/uk/kabel-kanal-iz-kryshkoyu-ta-gn-100x40-mm-z-napravlyayuchymy-bilyy-dkc" TargetMode="External"/><Relationship Id="rId161" Type="http://schemas.openxmlformats.org/officeDocument/2006/relationships/hyperlink" Target="https://www.beny.com/product-item/dc-spd-type2-up-to-1000v-bud-40-3/" TargetMode="External"/><Relationship Id="rId282" Type="http://schemas.openxmlformats.org/officeDocument/2006/relationships/hyperlink" Target="https://001.com.ua/uk/mufta-truba-korobka-ip67-m50x1-5-d50-mm-dkc" TargetMode="External"/><Relationship Id="rId160" Type="http://schemas.openxmlformats.org/officeDocument/2006/relationships/hyperlink" Target="https://001.com.ua/uk/trymach-plavkoyi-vstavky-rozyednuvach-efh-10-1p-25a-1000v-dc-eti" TargetMode="External"/><Relationship Id="rId281" Type="http://schemas.openxmlformats.org/officeDocument/2006/relationships/hyperlink" Target="https://001.com.ua/uk/vvid-kabelnyy-d20mm-ip55-dkc" TargetMode="External"/><Relationship Id="rId280" Type="http://schemas.openxmlformats.org/officeDocument/2006/relationships/hyperlink" Target="https://001.com.ua/uk/vvid-kabelnyy-d40mm-ip55-dkc" TargetMode="External"/><Relationship Id="rId159" Type="http://schemas.openxmlformats.org/officeDocument/2006/relationships/hyperlink" Target="https://001.com.ua/uk/pzip-ops1-c-1p-klas-ii-c-iek" TargetMode="External"/><Relationship Id="rId154" Type="http://schemas.openxmlformats.org/officeDocument/2006/relationships/hyperlink" Target="https://www.beny.com/ru/product-item/dc-disconnect-switch-up-to-1200v-bb1h-63/" TargetMode="External"/><Relationship Id="rId275" Type="http://schemas.openxmlformats.org/officeDocument/2006/relationships/hyperlink" Target="https://001.com.ua/uk/kut-cpo-90-goryzontalnyy-90-grad-300x100-mm-garyachogo-tsynkuvannya-metod-sendzimira-dkc" TargetMode="External"/><Relationship Id="rId396" Type="http://schemas.openxmlformats.org/officeDocument/2006/relationships/hyperlink" Target="https://001.com.ua/uk/nakinechnyk-vtulkovyy-izolovanyy-10-0-mm2-pomaranchevyy-upakovka-100-sht-e-terminal-stand-e10-12-orange-e-next" TargetMode="External"/><Relationship Id="rId153" Type="http://schemas.openxmlformats.org/officeDocument/2006/relationships/hyperlink" Target="https://www.beny.com/product-item/dc-disconnect-switch-up-to-1200v-bb1h-63/" TargetMode="External"/><Relationship Id="rId274" Type="http://schemas.openxmlformats.org/officeDocument/2006/relationships/hyperlink" Target="https://001.com.ua/uk/kryshka-z-zazemlennyam-na-lotok-300x3000-mm-garyachogo-tsynkuvannya-metod-sendzimira-dkc" TargetMode="External"/><Relationship Id="rId395" Type="http://schemas.openxmlformats.org/officeDocument/2006/relationships/hyperlink" Target="https://001.com.ua/uk/nakinechnyk-vtulkovyy-izolovanyy-na-2-provody-2x6-0-mm2-chornyy-upakovka-100-sht-e-terminal-stand-te-2-6-black-e-next" TargetMode="External"/><Relationship Id="rId152" Type="http://schemas.openxmlformats.org/officeDocument/2006/relationships/hyperlink" Target="https://www.beny.com/product-item/dc-isolator-up-to-1200v-open-type-byt-2a-32/" TargetMode="External"/><Relationship Id="rId273" Type="http://schemas.openxmlformats.org/officeDocument/2006/relationships/hyperlink" Target="https://001.com.ua/uk/lotok-perforovanyy-300x100x3000-mm-garyachogo-tsynkuvannya-metod-sendzimira-dkc" TargetMode="External"/><Relationship Id="rId394" Type="http://schemas.openxmlformats.org/officeDocument/2006/relationships/hyperlink" Target="https://001.com.ua/uk/nakinechnyk-vtulkovyy-izolovanyy-6-0-mm2-chervonyy-upakovka-100-sht-e-terminal-stand-e6012-red-e-next" TargetMode="External"/><Relationship Id="rId151" Type="http://schemas.openxmlformats.org/officeDocument/2006/relationships/hyperlink" Target="https://001.com.ua/uk/trymach-plavkogo-zapobizhnyka-pk-2-1p-400a-m10-m10-s-eti" TargetMode="External"/><Relationship Id="rId272" Type="http://schemas.openxmlformats.org/officeDocument/2006/relationships/hyperlink" Target="https://xn--b1aeppdc1j.xn--j1amh/ua/p1796673521-polietilenovaya-truba-pn6.html" TargetMode="External"/><Relationship Id="rId393" Type="http://schemas.openxmlformats.org/officeDocument/2006/relationships/hyperlink" Target="https://001.com.ua/uk/gilza-gt-16-midna-ludzhena-kabelna-zyednuvalna-asko-ukrem" TargetMode="External"/><Relationship Id="rId158" Type="http://schemas.openxmlformats.org/officeDocument/2006/relationships/hyperlink" Target="https://001.com.ua/uk/plavka-vstavka-tsylindrychna-ch-10x38-gpv-15a-1000v-30ka-eti" TargetMode="External"/><Relationship Id="rId279" Type="http://schemas.openxmlformats.org/officeDocument/2006/relationships/hyperlink" Target="https://001.com.ua/uk/vvid-kabelnyy-d32mm-ip55-dkc" TargetMode="External"/><Relationship Id="rId157" Type="http://schemas.openxmlformats.org/officeDocument/2006/relationships/hyperlink" Target="https://001.com.ua/uk/trymach-plavkoyi-vstavky-rozyednuvach-efh-10-1p-25a-1000v-dc-eti" TargetMode="External"/><Relationship Id="rId278" Type="http://schemas.openxmlformats.org/officeDocument/2006/relationships/hyperlink" Target="https://001.com.ua/uk/kryshka-na-kut-cd-90-vertykalnyy-zovnishniy-90-grad-osnova-300-mm-garyachogo-tsynkuvannya-metod-sendzimira-dkc" TargetMode="External"/><Relationship Id="rId399" Type="http://schemas.openxmlformats.org/officeDocument/2006/relationships/hyperlink" Target="https://001.com.ua/uk/nakinechnyk-sc-16-6-midnyy-ludzhenyy-kabelnyy-pid-payku-asko-ukrem" TargetMode="External"/><Relationship Id="rId156" Type="http://schemas.openxmlformats.org/officeDocument/2006/relationships/hyperlink" Target="https://001.com.ua/uk/vymykach-navantazhennya-ls-32-sma-a2-2p-1-0-32a-1000v-dc-eti" TargetMode="External"/><Relationship Id="rId277" Type="http://schemas.openxmlformats.org/officeDocument/2006/relationships/hyperlink" Target="https://001.com.ua/uk/kut-cd-90-vertykalnyy-zovnishniy-90-grad-300x100-mm-garyachogo-tsynkuvannya-metod-sendzimira-dkc" TargetMode="External"/><Relationship Id="rId398" Type="http://schemas.openxmlformats.org/officeDocument/2006/relationships/hyperlink" Target="https://001.com.ua/uk/nakinechnyk-dt-g-25-midnyy-ludzhenyy-kabelnyy-pid-opresuvannya-asko-ukrem" TargetMode="External"/><Relationship Id="rId155" Type="http://schemas.openxmlformats.org/officeDocument/2006/relationships/hyperlink" Target="https://mtk.com.ua/alternativnaya-energetika/oborudovanie-dlya-zaschity-po-postoyannomu-toku/glavnyj-vyklyuchatel-dlya-massiva-solnechnyh-batarej-byt-2-32-4p-32a-1000v-na-din-rejku" TargetMode="External"/><Relationship Id="rId276" Type="http://schemas.openxmlformats.org/officeDocument/2006/relationships/hyperlink" Target="https://001.com.ua/uk/kryshka-cpo-90-na-kut-goryzontalnyy-90-grad-osnova-300-mm-garyachogo-tsynkuvannya-metod-sendzimira-dkc" TargetMode="External"/><Relationship Id="rId397" Type="http://schemas.openxmlformats.org/officeDocument/2006/relationships/hyperlink" Target="https://001.com.ua/uk/nakinechnyk-sc-25-8-midnyy-ludzhenyy-kabelnyy-pid-payku-asko-ukrem" TargetMode="External"/><Relationship Id="rId40" Type="http://schemas.openxmlformats.org/officeDocument/2006/relationships/hyperlink" Target="https://001.com.ua/uk/avtomatychnyy-vymykach-va47-60-1p-40-a-h-ka-c-iek" TargetMode="External"/><Relationship Id="rId42" Type="http://schemas.openxmlformats.org/officeDocument/2006/relationships/hyperlink" Target="https://001.com.ua/uk/avtomatychnyy-vymykach-etimat-6-6ka-3p-32-a-har-ka-d-eti" TargetMode="External"/><Relationship Id="rId41" Type="http://schemas.openxmlformats.org/officeDocument/2006/relationships/hyperlink" Target="https://001.com.ua/uk/avtomatychnyy-vymykach-va47-29-3p-32-a-h-ka-c-iek" TargetMode="External"/><Relationship Id="rId44" Type="http://schemas.openxmlformats.org/officeDocument/2006/relationships/hyperlink" Target="https://001.com.ua/uk/avtomatychnyy-vymykach-va47-29-2p-20-a-h-ka-c-iek" TargetMode="External"/><Relationship Id="rId43" Type="http://schemas.openxmlformats.org/officeDocument/2006/relationships/hyperlink" Target="https://001.com.ua/uk/avtomatychnyy-vymykach-va47-29-3p-63-a-h-ka-c-iek" TargetMode="External"/><Relationship Id="rId46" Type="http://schemas.openxmlformats.org/officeDocument/2006/relationships/hyperlink" Target="https://ecshop.com.ua/p28623-avtomaticheskiy_viklyuchatel_va47-29_2p_20a_4-5ka_harakteristika_c_mva20-2-020-c_iek" TargetMode="External"/><Relationship Id="rId45" Type="http://schemas.openxmlformats.org/officeDocument/2006/relationships/hyperlink" Target="https://001.com.ua/uk/avtomatychnyy-vymykach-va47-60-2p-25-a-h-ka-c-iek" TargetMode="External"/><Relationship Id="rId509" Type="http://schemas.openxmlformats.org/officeDocument/2006/relationships/hyperlink" Target="https://www.acko.ua/e-store/xml_catalog/rozpodilchi_korobki_serii_ty_ra/21648/" TargetMode="External"/><Relationship Id="rId508" Type="http://schemas.openxmlformats.org/officeDocument/2006/relationships/hyperlink" Target="https://www.eti.ua/produktsiya-ua/001100304-ech-surface-mounted-ip-65-48-12-plastic-transparent" TargetMode="External"/><Relationship Id="rId503" Type="http://schemas.openxmlformats.org/officeDocument/2006/relationships/hyperlink" Target="https://ecshop.com.ua/p3684-shchit_raspredelitelniy_ech_12pt_12_moduley_naruzhnogo_ispolneniya_ip65" TargetMode="External"/><Relationship Id="rId502" Type="http://schemas.openxmlformats.org/officeDocument/2006/relationships/hyperlink" Target="https://enext.ua/uk/catalog/korpusi_z_montazhnoyu_panellyu_mbox_serii_stand/korpus_metaleviy_e_mbox_stand_p_50_40_20_ip54_z_montazhnoyu_panellyu_500x400x200/" TargetMode="External"/><Relationship Id="rId501" Type="http://schemas.openxmlformats.org/officeDocument/2006/relationships/hyperlink" Target="https://hzem.com.ua/10605030-1_shafa-elektrotehnichna-mkn-10-600h500h300" TargetMode="External"/><Relationship Id="rId500" Type="http://schemas.openxmlformats.org/officeDocument/2006/relationships/hyperlink" Target="https://001.com.ua/uk/korpus-metalevyy-e-mbox-pro-p-160-80-40-ip31-z-montazhnoyu-panellyu-e-next" TargetMode="External"/><Relationship Id="rId507" Type="http://schemas.openxmlformats.org/officeDocument/2006/relationships/hyperlink" Target="https://001.com.ua/uk/yaschyk-dlya-3-faznogo-lichylnyka-dot-3-ip54-nik" TargetMode="External"/><Relationship Id="rId506" Type="http://schemas.openxmlformats.org/officeDocument/2006/relationships/hyperlink" Target="https://001.com.ua/uk/korobka-rozpodilcha-240x190x90mm-ip55-z-kabelnymy-vvodamy-dkc" TargetMode="External"/><Relationship Id="rId505" Type="http://schemas.openxmlformats.org/officeDocument/2006/relationships/hyperlink" Target="https://ecshop.com.ua/p3686-shchit_raspredelitelniy_ech_36pt_36_moduley_naruzhnogo_ispolneniya_ip65" TargetMode="External"/><Relationship Id="rId504" Type="http://schemas.openxmlformats.org/officeDocument/2006/relationships/hyperlink" Target="https://ecshop.com.ua/p3685-shchit_raspredelitelniy_ech_24pt_24_modulya_naruzhnogo_ispolneniya_ip65" TargetMode="External"/><Relationship Id="rId48" Type="http://schemas.openxmlformats.org/officeDocument/2006/relationships/hyperlink" Target="https://001.com.ua/uk/avtomatychnyy-vymykach-va47-60-3p-25-a-h-ka-c-iek" TargetMode="External"/><Relationship Id="rId47" Type="http://schemas.openxmlformats.org/officeDocument/2006/relationships/hyperlink" Target="https://001.com.ua/uk/avtomatychnyy-vymykach-va47-60-3p-32-a-h-ka-c-iek" TargetMode="External"/><Relationship Id="rId49" Type="http://schemas.openxmlformats.org/officeDocument/2006/relationships/hyperlink" Target="https://001.com.ua/uk/avtomatychnyy-vymykach-st-68-4-5-ka-3p-63-a-har-ka-c-eti" TargetMode="External"/><Relationship Id="rId31" Type="http://schemas.openxmlformats.org/officeDocument/2006/relationships/hyperlink" Target="https://001.com.ua/uk/avtomatychnyy-vymykach-etimat-6-6ka-3p-n-10-a-har-ka-c-eti" TargetMode="External"/><Relationship Id="rId30" Type="http://schemas.openxmlformats.org/officeDocument/2006/relationships/hyperlink" Target="https://001.com.ua/uk/avtomatychnyy-vymykach-etimat-6-6ka-1p-n-6-a-har-ka-c-eti" TargetMode="External"/><Relationship Id="rId33" Type="http://schemas.openxmlformats.org/officeDocument/2006/relationships/hyperlink" Target="https://001.com.ua/uk/avtomatychnyy-vymykach-etimat-6-6ka-3p-n-25-a-har-ka-c-eti" TargetMode="External"/><Relationship Id="rId32" Type="http://schemas.openxmlformats.org/officeDocument/2006/relationships/hyperlink" Target="https://001.com.ua/uk/avtomatychnyy-vymykach-etimat-6-6ka-3p-n-20-a-har-ka-c-eti" TargetMode="External"/><Relationship Id="rId35" Type="http://schemas.openxmlformats.org/officeDocument/2006/relationships/hyperlink" Target="https://001.com.ua/uk/avtomatychnyy-vymykach-etimat-6-6ka-3p-n-50-a-har-ka-c-eti" TargetMode="External"/><Relationship Id="rId34" Type="http://schemas.openxmlformats.org/officeDocument/2006/relationships/hyperlink" Target="https://001.com.ua/uk/avtomatychnyy-vymykach-etimat-6-6ka-3p-n-40-a-har-ka-c-eti" TargetMode="External"/><Relationship Id="rId37" Type="http://schemas.openxmlformats.org/officeDocument/2006/relationships/hyperlink" Target="https://001.com.ua/uk/avtomatychnyy-vymykach-etimat-6-6ka-3p-10-a-har-ka-c-eti" TargetMode="External"/><Relationship Id="rId36" Type="http://schemas.openxmlformats.org/officeDocument/2006/relationships/hyperlink" Target="https://001.com.ua/uk/avtomatychnyy-vymykach-va47-60-3p-63-a-h-ka-c-iek" TargetMode="External"/><Relationship Id="rId39" Type="http://schemas.openxmlformats.org/officeDocument/2006/relationships/hyperlink" Target="https://001.com.ua/uk/avtomatychnyy-vymykach-st-68-4-5-ka-3p-20-a-har-ka-c-eti" TargetMode="External"/><Relationship Id="rId38" Type="http://schemas.openxmlformats.org/officeDocument/2006/relationships/hyperlink" Target="https://001.com.ua/uk/avtomatychnyy-vymykach-st-68-4-5-ka-3p-32-a-har-ka-c-eti" TargetMode="External"/><Relationship Id="rId20" Type="http://schemas.openxmlformats.org/officeDocument/2006/relationships/hyperlink" Target="https://001.com.ua/uk/avtomatychnyy-vymykach-etimat-6-6ka-1p-40-a-har-ka-c-eti" TargetMode="External"/><Relationship Id="rId22" Type="http://schemas.openxmlformats.org/officeDocument/2006/relationships/hyperlink" Target="https://001.com.ua/uk/avtomatychnyy-vymykach-etimat-6-6ka-1p-63-a-har-ka-c-eti" TargetMode="External"/><Relationship Id="rId21" Type="http://schemas.openxmlformats.org/officeDocument/2006/relationships/hyperlink" Target="https://001.com.ua/uk/avtomatychnyy-vymykach-etimat-6-6ka-1p-50-a-har-ka-c-eti" TargetMode="External"/><Relationship Id="rId24" Type="http://schemas.openxmlformats.org/officeDocument/2006/relationships/hyperlink" Target="https://001.com.ua/uk/avtomatychnyy-vymykach-etimat-6-6ka-2p-20-a-har-ka-c-eti" TargetMode="External"/><Relationship Id="rId23" Type="http://schemas.openxmlformats.org/officeDocument/2006/relationships/hyperlink" Target="https://001.com.ua/uk/avtomatychnyy-vymykach-etimat-6-6ka-2p-16-a-har-ka-c-eti" TargetMode="External"/><Relationship Id="rId409" Type="http://schemas.openxmlformats.org/officeDocument/2006/relationships/hyperlink" Target="https://001.com.ua/uk/nakinechnyk-vtulkovyy-izolovanyy-2-5-mm2-syniy-upakovka-100-sht-e-terminal-stand-e2508-blue-e-next" TargetMode="External"/><Relationship Id="rId404" Type="http://schemas.openxmlformats.org/officeDocument/2006/relationships/hyperlink" Target="https://001.com.ua/uk/nakinechnyk-nt-6-0-12-trubchastyy-v-izolyatsiyi-chornyy-upakovka-100-sht-asko-ukrem" TargetMode="External"/><Relationship Id="rId403" Type="http://schemas.openxmlformats.org/officeDocument/2006/relationships/hyperlink" Target="https://001.com.ua/uk/nakinechnyk-nt-10-0-12-trubchastyy-v-izolyatsiyi-zhovtyy-upakovka-100-sht-asko-ukrem" TargetMode="External"/><Relationship Id="rId402" Type="http://schemas.openxmlformats.org/officeDocument/2006/relationships/hyperlink" Target="https://001.com.ua/uk/nakinechnyk-dt-g-35-midnyy-ludzhenyy-kabelnyy-pid-opresuvannya-asko-ukrem" TargetMode="External"/><Relationship Id="rId523" Type="http://schemas.openxmlformats.org/officeDocument/2006/relationships/table" Target="../tables/table3.xml"/><Relationship Id="rId401" Type="http://schemas.openxmlformats.org/officeDocument/2006/relationships/hyperlink" Target="https://001.com.ua/uk/nakinechnyk-sc-35-8-midnyy-ludzhenyy-kabelnyy-pid-payku-asko-ukrem" TargetMode="External"/><Relationship Id="rId408" Type="http://schemas.openxmlformats.org/officeDocument/2006/relationships/hyperlink" Target="https://001.com.ua/uk/nakinechnyk-nt-6-0-12-trubchastyy-v-izolyatsiyi-zhovtyy-upakovka-100-sht-asko-ukrem" TargetMode="External"/><Relationship Id="rId407" Type="http://schemas.openxmlformats.org/officeDocument/2006/relationships/hyperlink" Target="https://001.com.ua/uk/nakinechnyk-nt-16-0-12-trubchastyy-v-izolyatsiyi-synyy-upakovka-100-sht-asko-ukrem" TargetMode="External"/><Relationship Id="rId406" Type="http://schemas.openxmlformats.org/officeDocument/2006/relationships/hyperlink" Target="https://001.com.ua/uk/nakinechnyk-nt-25-0-12-trubchastyy-v-izolyatsiyi-pomaranchevyy-upakovka-100-sht-asko-ukrem" TargetMode="External"/><Relationship Id="rId405" Type="http://schemas.openxmlformats.org/officeDocument/2006/relationships/hyperlink" Target="https://001.com.ua/uk/nakinechnyk-rv-5-5-6-pid-gvynt-v-izolyatsiyi-upakovka-100-sht-asko-ukrem" TargetMode="External"/><Relationship Id="rId26" Type="http://schemas.openxmlformats.org/officeDocument/2006/relationships/hyperlink" Target="https://001.com.ua/uk/avtomatychnyy-vymykach-etimat-6-6ka-1p-n-1-modul-32-a-har-ka-c-eti" TargetMode="External"/><Relationship Id="rId25" Type="http://schemas.openxmlformats.org/officeDocument/2006/relationships/hyperlink" Target="https://001.com.ua/uk/avtomatychnyy-vymykach-etimat-6-6ka-3p-16-a-har-ka-c-eti" TargetMode="External"/><Relationship Id="rId28" Type="http://schemas.openxmlformats.org/officeDocument/2006/relationships/hyperlink" Target="https://001.com.ua/uk/avtomatychnyy-vymykach-etimat-6-6ka-1p-n-25-a-har-ka-c-eti" TargetMode="External"/><Relationship Id="rId27" Type="http://schemas.openxmlformats.org/officeDocument/2006/relationships/hyperlink" Target="https://001.com.ua/uk/avtomatychnyy-vymykach-etimat-6-6ka-1p-n-16-a-har-ka-c-eti" TargetMode="External"/><Relationship Id="rId400" Type="http://schemas.openxmlformats.org/officeDocument/2006/relationships/hyperlink" Target="https://001.com.ua/uk/nakinechnyk-sc-6-6-midnyy-ludzhenyy-kabelnyy-pid-payku-asko-ukrem" TargetMode="External"/><Relationship Id="rId521" Type="http://schemas.openxmlformats.org/officeDocument/2006/relationships/drawing" Target="../drawings/drawing20.xml"/><Relationship Id="rId29" Type="http://schemas.openxmlformats.org/officeDocument/2006/relationships/hyperlink" Target="https://001.com.ua/uk/avtomatychnyy-vymykach-etimat-6-6ka-1p-n-50-a-har-ka-c-eti" TargetMode="External"/><Relationship Id="rId520" Type="http://schemas.openxmlformats.org/officeDocument/2006/relationships/hyperlink" Target="https://001.com.ua/uk/korpus-metalevyy-e-mbox-pro-p-120-80-30-ip54-z-montazhnoyu-panellyu-e-next" TargetMode="External"/><Relationship Id="rId11" Type="http://schemas.openxmlformats.org/officeDocument/2006/relationships/hyperlink" Target="https://001.com.ua/uk/kontakty-dodatkovi-rn-11-1nv-1nz-eti" TargetMode="External"/><Relationship Id="rId10" Type="http://schemas.openxmlformats.org/officeDocument/2006/relationships/hyperlink" Target="https://001.com.ua/uk/rele-zatrymky-chasu-na-vklyuchennya-0-3-30-s-e-control-t15-e-next" TargetMode="External"/><Relationship Id="rId13" Type="http://schemas.openxmlformats.org/officeDocument/2006/relationships/hyperlink" Target="https://001.com.ua/uk/rele-elektromehanichne-erm4-012dcl-4co-12v-dc-6a-ac1-eti" TargetMode="External"/><Relationship Id="rId12" Type="http://schemas.openxmlformats.org/officeDocument/2006/relationships/hyperlink" Target="https://001.com.ua/uk/rele-chasu-asymetrychnogo-povtorennya-tsyklu-e-control-t17-e-next" TargetMode="External"/><Relationship Id="rId519" Type="http://schemas.openxmlformats.org/officeDocument/2006/relationships/hyperlink" Target="https://001.com.ua/uk/korpus-metalevyy-e-mbox-pro-p-100-65-30-ip54-z-montazhnoyu-panellyu-e-next" TargetMode="External"/><Relationship Id="rId514" Type="http://schemas.openxmlformats.org/officeDocument/2006/relationships/hyperlink" Target="https://001.com.ua/uk/korobka-rozpodilcha-e-db-pro-100-100-50u-e-next" TargetMode="External"/><Relationship Id="rId513" Type="http://schemas.openxmlformats.org/officeDocument/2006/relationships/hyperlink" Target="https://001.com.ua/uk/korobka-rozpodilcha-e-db-pro-85-85-50u-e-next" TargetMode="External"/><Relationship Id="rId512" Type="http://schemas.openxmlformats.org/officeDocument/2006/relationships/hyperlink" Target="https://001.com.ua/korpus-posta-upravleniya-4-mestnyy-hj9-4-belyy-asko-ukrem" TargetMode="External"/><Relationship Id="rId511" Type="http://schemas.openxmlformats.org/officeDocument/2006/relationships/hyperlink" Target="https://www.acko.ua/e-store/xml_catalog/rozpodilchi_korobki_serii_ty_ra/21649/" TargetMode="External"/><Relationship Id="rId518" Type="http://schemas.openxmlformats.org/officeDocument/2006/relationships/hyperlink" Target="https://hzem.com.ua/10705020-1_shafa-elektrotehnichna-mkn-10-700h500h200" TargetMode="External"/><Relationship Id="rId517" Type="http://schemas.openxmlformats.org/officeDocument/2006/relationships/hyperlink" Target="https://001.com.ua/uk/schyt-zovnishniy-rozpodilnyy-ect-8-pt-8-moduliv-prozori-dvertsyata-eti" TargetMode="External"/><Relationship Id="rId516" Type="http://schemas.openxmlformats.org/officeDocument/2006/relationships/hyperlink" Target="https://hzem.com.ua/10605025-1_shafa-elektrotehnichna-mkn-10-600h500h250" TargetMode="External"/><Relationship Id="rId515" Type="http://schemas.openxmlformats.org/officeDocument/2006/relationships/hyperlink" Target="https://electrocontrol.com.ua/ua/elektrotehnicheskie-shity-boksy-i-korpusa/metallokonstrukciya-elektrotehnicheskaya-navesnogo-ispolneniya-mkn-6-5-2-l1-z2-ip21-s-montazhnoi-panelu" TargetMode="External"/><Relationship Id="rId15" Type="http://schemas.openxmlformats.org/officeDocument/2006/relationships/hyperlink" Target="https://www.eti.ua/produktsiya-ua/etibreak/nbs/004673009-nbs" TargetMode="External"/><Relationship Id="rId14" Type="http://schemas.openxmlformats.org/officeDocument/2006/relationships/hyperlink" Target="https://001.com.ua/uk/kontaktor-modulnyy-ra-63-40-63a-230v-ac-4no-eti" TargetMode="External"/><Relationship Id="rId17" Type="http://schemas.openxmlformats.org/officeDocument/2006/relationships/hyperlink" Target="https://001.com.ua/uk/avtomatychnyy-vymykach-etimat-6-6ka-1p-20-a-har-ka-c-eti" TargetMode="External"/><Relationship Id="rId16" Type="http://schemas.openxmlformats.org/officeDocument/2006/relationships/hyperlink" Target="https://001.com.ua/uk/avtomatychnyy-vymykach-etimat-6-6ka-1p-16-a-har-ka-c-eti" TargetMode="External"/><Relationship Id="rId19" Type="http://schemas.openxmlformats.org/officeDocument/2006/relationships/hyperlink" Target="https://001.com.ua/uk/avtomatychnyy-vymykach-etimat-6-6ka-1p-32-a-har-ka-c-eti" TargetMode="External"/><Relationship Id="rId510" Type="http://schemas.openxmlformats.org/officeDocument/2006/relationships/hyperlink" Target="https://001.com.ua/uk/korobka-rozpodilcha-190x140x70mm-ip55-z-kabelnymy-vvodamy-dkc" TargetMode="External"/><Relationship Id="rId18" Type="http://schemas.openxmlformats.org/officeDocument/2006/relationships/hyperlink" Target="https://001.com.ua/uk/avtomatychnyy-vymykach-etimat-6-6ka-1p-25-a-har-ka-c-eti" TargetMode="External"/><Relationship Id="rId84" Type="http://schemas.openxmlformats.org/officeDocument/2006/relationships/hyperlink" Target="https://001.com.ua/uk/skoba-dvolapkova-otsynkovana-d32-mm-dkc" TargetMode="External"/><Relationship Id="rId83" Type="http://schemas.openxmlformats.org/officeDocument/2006/relationships/hyperlink" Target="https://001.com.ua/uk/truba-pvt-gnuchka-gofrovana-d25-mm-standartna-z-protyazhkoyu-chorna-50m-dkc" TargetMode="External"/><Relationship Id="rId86" Type="http://schemas.openxmlformats.org/officeDocument/2006/relationships/hyperlink" Target="https://001.com.ua/uk/truba-gofrovana-dvostinna-e-kor-tube-black-63-52-63-52mm-50m-chorna-e-next" TargetMode="External"/><Relationship Id="rId85" Type="http://schemas.openxmlformats.org/officeDocument/2006/relationships/hyperlink" Target="https://001.com.ua/uk/trymach-dvokomponentnyy-d25-mm-dkc" TargetMode="External"/><Relationship Id="rId88" Type="http://schemas.openxmlformats.org/officeDocument/2006/relationships/hyperlink" Target="https://novatek-electro.com/ua/three-phase-voltage-relay-rnpp-312/?gad_campaignid=22537464389" TargetMode="External"/><Relationship Id="rId87" Type="http://schemas.openxmlformats.org/officeDocument/2006/relationships/hyperlink" Target="https://001.com.ua/uk/truba-pvh-gnuchka-gofrovana-d32-mm-standartna-z-protyazhkoyu-sira-25m-dkc" TargetMode="External"/><Relationship Id="rId89" Type="http://schemas.openxmlformats.org/officeDocument/2006/relationships/hyperlink" Target="https://001.com.ua/uk/zumer-na-din-reyku-be-220-eti" TargetMode="External"/><Relationship Id="rId80" Type="http://schemas.openxmlformats.org/officeDocument/2006/relationships/hyperlink" Target="https://001.com.ua/uk/skoba-dvolapkova-otsynkovana-d38-40-mm-dkc" TargetMode="External"/><Relationship Id="rId82" Type="http://schemas.openxmlformats.org/officeDocument/2006/relationships/hyperlink" Target="https://001.com.ua/uk/trymach-z-fiksatorom-d25-mm-dkc" TargetMode="External"/><Relationship Id="rId81" Type="http://schemas.openxmlformats.org/officeDocument/2006/relationships/hyperlink" Target="https://001.com.ua/uk/skoba-dvolapkova-otsynkovana-d48-50-mm-dkc" TargetMode="External"/><Relationship Id="rId73" Type="http://schemas.openxmlformats.org/officeDocument/2006/relationships/hyperlink" Target="https://001.com.ua/uk/truba-gofrovana-pvh-stiyka-do-uf-z-protyazhkoyu-empty-16-mm-320n-5sm-chorna-buhta-50-m-kopos" TargetMode="External"/><Relationship Id="rId72" Type="http://schemas.openxmlformats.org/officeDocument/2006/relationships/hyperlink" Target="https://amperok.com.ua/zatyskach_ankernyj_za_4_10-25_skoba_za_1_2e_bilmaks_b00043734" TargetMode="External"/><Relationship Id="rId75" Type="http://schemas.openxmlformats.org/officeDocument/2006/relationships/hyperlink" Target="https://001.com.ua/uk/truba-pvt-gnuchka-gofrovana-d40-mm-standartna-z-protyazhkoyu-chorna-20m-dkc" TargetMode="External"/><Relationship Id="rId74" Type="http://schemas.openxmlformats.org/officeDocument/2006/relationships/hyperlink" Target="https://001.com.ua/uk/truba-pvt-gnuchka-gofrovana-d32-mm-standartna-z-protyazhkoyu-chorna-25m-dkc" TargetMode="External"/><Relationship Id="rId77" Type="http://schemas.openxmlformats.org/officeDocument/2006/relationships/hyperlink" Target="https://001.com.ua/uk/trymach-z-fiksatorom-d32-mm-dkc" TargetMode="External"/><Relationship Id="rId76" Type="http://schemas.openxmlformats.org/officeDocument/2006/relationships/hyperlink" Target="https://001.com.ua/uk/trymach-z-fiksatorom-d40-mm-dkc" TargetMode="External"/><Relationship Id="rId79" Type="http://schemas.openxmlformats.org/officeDocument/2006/relationships/hyperlink" Target="https://001.com.ua/uk/trymach-z-fiksatorom-d50-mm-dkc" TargetMode="External"/><Relationship Id="rId78" Type="http://schemas.openxmlformats.org/officeDocument/2006/relationships/hyperlink" Target="https://001.com.ua/uk/truba-pvt-gnuchka-gofrovana-d16-mm-standartna-z-protyazhkoyu-chorna-100m-dkc" TargetMode="External"/><Relationship Id="rId71" Type="http://schemas.openxmlformats.org/officeDocument/2006/relationships/hyperlink" Target="https://axiomplus.com.ua/ua/bandazhnye-lenty-i-skrepy/product-149747/" TargetMode="External"/><Relationship Id="rId70" Type="http://schemas.openxmlformats.org/officeDocument/2006/relationships/hyperlink" Target="https://001.com.ua/uk/zatyskach-pidtrymuvalnyy-zpu-4x-10-120-bilmax" TargetMode="External"/><Relationship Id="rId62" Type="http://schemas.openxmlformats.org/officeDocument/2006/relationships/hyperlink" Target="https://001.com.ua/uk/avtomatychnyy-vymykach-etimat-6-6ka-1p-1-a-har-ka-c-eti" TargetMode="External"/><Relationship Id="rId61" Type="http://schemas.openxmlformats.org/officeDocument/2006/relationships/hyperlink" Target="https://001.com.ua/uk/avtomatychnyy-vymykach-e-mcb-pro-60-1-c-25-new-1p-25-a-harakterystyka-c-e-next" TargetMode="External"/><Relationship Id="rId64" Type="http://schemas.openxmlformats.org/officeDocument/2006/relationships/hyperlink" Target="https://001.com.ua/uk/zatyskach-ankernyy-zabu-4x10-35-iek" TargetMode="External"/><Relationship Id="rId63" Type="http://schemas.openxmlformats.org/officeDocument/2006/relationships/hyperlink" Target="https://001.com.ua/uk/avtomatychnyy-vymykach-st-68-4-5-ka-1p-6-a-har-ka-c-eti" TargetMode="External"/><Relationship Id="rId66" Type="http://schemas.openxmlformats.org/officeDocument/2006/relationships/hyperlink" Target="https://001.com.ua/uk/zatyskach-vidgaluzhuvalnyy-izolovanyy-zoy-25-95-25-95-iek" TargetMode="External"/><Relationship Id="rId65" Type="http://schemas.openxmlformats.org/officeDocument/2006/relationships/hyperlink" Target="https://001.com.ua/uk/zatyskach-ankernyy-izolovanyy-4x-16-35-mm2-z-provolochnoyu-skoboyu-e-i-clamp-si-4-16-35-e-next" TargetMode="External"/><Relationship Id="rId68" Type="http://schemas.openxmlformats.org/officeDocument/2006/relationships/hyperlink" Target="https://001.com.ua/uk/gak-universalnyy-kbu-16-e-next" TargetMode="External"/><Relationship Id="rId67" Type="http://schemas.openxmlformats.org/officeDocument/2006/relationships/hyperlink" Target="https://axiomplus.com.ua/ua/zazhimyi/product-48169/" TargetMode="External"/><Relationship Id="rId60" Type="http://schemas.openxmlformats.org/officeDocument/2006/relationships/hyperlink" Target="https://001.com.ua/uk/avtomatychnyy-vymykach-hlf380s-3p-10ka-c-80a-4-5m-hager" TargetMode="External"/><Relationship Id="rId69" Type="http://schemas.openxmlformats.org/officeDocument/2006/relationships/hyperlink" Target="https://amperok.com.ua/zatyskach_ankernyj_za_4_25-50_za_3_2e_bilmaks_b00012606" TargetMode="External"/><Relationship Id="rId51" Type="http://schemas.openxmlformats.org/officeDocument/2006/relationships/hyperlink" Target="https://001.com.ua/uk/avtomatychnyy-vymykach-etimat-6-6ka-2p-20-a-har-ka-b-eti" TargetMode="External"/><Relationship Id="rId50" Type="http://schemas.openxmlformats.org/officeDocument/2006/relationships/hyperlink" Target="https://001.com.ua/avtomaticheskiy-vyklyuchatel-va47-60-2p-32-a-h-ka-c-iek" TargetMode="External"/><Relationship Id="rId53" Type="http://schemas.openxmlformats.org/officeDocument/2006/relationships/hyperlink" Target="https://001.com.ua/uk/avtomatychnyy-vymykach-va47-29-2p-10-a-h-ka-c-iek" TargetMode="External"/><Relationship Id="rId52" Type="http://schemas.openxmlformats.org/officeDocument/2006/relationships/hyperlink" Target="https://001.com.ua/uk/avtomatychnyy-vymykach-etimat-6-6ka-3p-13-a-har-ka-c-eti" TargetMode="External"/><Relationship Id="rId55" Type="http://schemas.openxmlformats.org/officeDocument/2006/relationships/hyperlink" Target="https://001.com.ua/uk/avtomatychnyy-vymykach-va47-29-1p-25-a-h-ka-c-iek" TargetMode="External"/><Relationship Id="rId54" Type="http://schemas.openxmlformats.org/officeDocument/2006/relationships/hyperlink" Target="https://001.com.ua/uk/avtomatychnyy-vymykach-va47-29-1p-25-a-h-ka-b-iek" TargetMode="External"/><Relationship Id="rId57" Type="http://schemas.openxmlformats.org/officeDocument/2006/relationships/hyperlink" Target="https://001.com.ua/uk/avtomatychnyy-vymykach-va47-29-1p-40-a-h-ka-c-iek" TargetMode="External"/><Relationship Id="rId56" Type="http://schemas.openxmlformats.org/officeDocument/2006/relationships/hyperlink" Target="https://001.com.ua/uk/avtomatychnyy-vymykach-va47-60-2p-32-a-h-ka-c-iek" TargetMode="External"/><Relationship Id="rId59" Type="http://schemas.openxmlformats.org/officeDocument/2006/relationships/hyperlink" Target="https://001.com.ua/uk/modulnyy-avtomatychnyy-vymykach-ex9bn-6ka-har-ka-c-40a-2p-noark" TargetMode="External"/><Relationship Id="rId58" Type="http://schemas.openxmlformats.org/officeDocument/2006/relationships/hyperlink" Target="https://www.se.com/ua/uk/product/R9F12240/%D0%B0%D0%B2%D1%82%D0%BE%D0%BC%D0%B0%D1%82%D0%B8%D1%87%D0%BD%D0%B8%D0%B9-%D0%B2%D0%B8%D0%BC%D0%B8%D0%BA%D0%B0%D1%87-resi9-40-%D0%B0-2p-%D0%BA%D1%80%D0%B8%D0%B2%D0%B0-%D1%81-6%D0%BA%D0%B0/" TargetMode="External"/><Relationship Id="rId107" Type="http://schemas.openxmlformats.org/officeDocument/2006/relationships/hyperlink" Target="https://001.com.ua/uk/dodatkovyy-kontakt-zb2-be101-no-dlya-knopok-asko-ukrem" TargetMode="External"/><Relationship Id="rId228" Type="http://schemas.openxmlformats.org/officeDocument/2006/relationships/hyperlink" Target="https://001.com.ua/uk/termozbizhna-trubka-empty-20-0-10-0-mm-chorna-vidrizok-1-m-asko-ukrem" TargetMode="External"/><Relationship Id="rId349" Type="http://schemas.openxmlformats.org/officeDocument/2006/relationships/hyperlink" Target="https://e-server.com.ua/uk/stacionarna-policia-eserver-1u-19-420x400-mm-sg-corna-ps-1u-400-b-e" TargetMode="External"/><Relationship Id="rId106" Type="http://schemas.openxmlformats.org/officeDocument/2006/relationships/hyperlink" Target="https://001.com.ua/uk/knopka-z-fiksatsiyeyu-ta-indykatorom-na-din-reyku-e-pbif-din-green-zelena-e-next" TargetMode="External"/><Relationship Id="rId227" Type="http://schemas.openxmlformats.org/officeDocument/2006/relationships/hyperlink" Target="https://001.com.ua/uk/termozbizhna-trubka-na-kleyoviy-osnovi-tsk-empty-19-1-mm-chorna-asko-ukrem" TargetMode="External"/><Relationship Id="rId348" Type="http://schemas.openxmlformats.org/officeDocument/2006/relationships/hyperlink" Target="https://e-server.com.ua/uk/serverni-stijki/serverni-stijki-lite/serverna-stijka-16u-400-lite-detail" TargetMode="External"/><Relationship Id="rId469" Type="http://schemas.openxmlformats.org/officeDocument/2006/relationships/hyperlink" Target="https://001.com.ua/uk/kolodka-pyf11a-pid-promizhne-rele-my3-asko-ukrem" TargetMode="External"/><Relationship Id="rId105" Type="http://schemas.openxmlformats.org/officeDocument/2006/relationships/hyperlink" Target="https://001.com.ua/uk/knopka-keruvannya-modulna-kmu11-iek" TargetMode="External"/><Relationship Id="rId226" Type="http://schemas.openxmlformats.org/officeDocument/2006/relationships/hyperlink" Target="https://001.com.ua/uk/izostrichka-0-13x19-mm-synya-20-metriv-asko-ukrem" TargetMode="External"/><Relationship Id="rId347" Type="http://schemas.openxmlformats.org/officeDocument/2006/relationships/hyperlink" Target="https://e-server.com.ua/aksessuary-krepleniya/servernye-polki/polka-19-4-tochki-krepl-400mm-glub-perforirovannaya-stal-1-5mm-detail" TargetMode="External"/><Relationship Id="rId468" Type="http://schemas.openxmlformats.org/officeDocument/2006/relationships/hyperlink" Target="https://001.com.ua/uk/rele-promizhne-my3-3a-220v-ac-asko-ukrem" TargetMode="External"/><Relationship Id="rId104" Type="http://schemas.openxmlformats.org/officeDocument/2006/relationships/hyperlink" Target="https://001.com.ua/uk/peremykach-na-2-polozhennya-xb2-bd21-asko-ukrem" TargetMode="External"/><Relationship Id="rId225" Type="http://schemas.openxmlformats.org/officeDocument/2006/relationships/hyperlink" Target="https://001.com.ua/uk/izostrichka-0-13x19-mm-bila-20-metriv-asko-ukrem" TargetMode="External"/><Relationship Id="rId346" Type="http://schemas.openxmlformats.org/officeDocument/2006/relationships/hyperlink" Target="https://e-server.com.ua/uk/aksesuari-kriplennja/serverni-polici/policja-nizhnja-400-mm-detail" TargetMode="External"/><Relationship Id="rId467" Type="http://schemas.openxmlformats.org/officeDocument/2006/relationships/hyperlink" Target="https://001.com.ua/uk/kontaktor-modulnyy-esc465-63a-230v-ac-2nv-2nz-hager" TargetMode="External"/><Relationship Id="rId109" Type="http://schemas.openxmlformats.org/officeDocument/2006/relationships/hyperlink" Target="https://001.com.ua/uk/trymach-markuvalnoyi-byrky-dlya-knopok-i-peremykachiv-empty-22-mm-asko-ukrem" TargetMode="External"/><Relationship Id="rId108" Type="http://schemas.openxmlformats.org/officeDocument/2006/relationships/hyperlink" Target="https://001.com.ua/uk/dodatkovyy-kontakt-zb2-be102-nz-dlya-knopok-asko-ukrem" TargetMode="External"/><Relationship Id="rId229" Type="http://schemas.openxmlformats.org/officeDocument/2006/relationships/hyperlink" Target="https://001.com.ua/uk/termozbizhna-trubka-na-kleyoviy-osnovi-tsk-empty-12-7-mm-chorna-asko-ukrem" TargetMode="External"/><Relationship Id="rId220" Type="http://schemas.openxmlformats.org/officeDocument/2006/relationships/hyperlink" Target="https://001.com.ua/uk/zapobizhnyk-plavkyy-vstavka-nh-2-gg-300a-500v-kombi-upakovka-3-sht-eti" TargetMode="External"/><Relationship Id="rId341" Type="http://schemas.openxmlformats.org/officeDocument/2006/relationships/hyperlink" Target="https://can.ua/deye-bos-g/p366031/" TargetMode="External"/><Relationship Id="rId462" Type="http://schemas.openxmlformats.org/officeDocument/2006/relationships/hyperlink" Target="https://001.com.ua/uk/rukoyatka-vynosna-lbs-eh-630-g-hellip-400-g-flbs-chorna-dlya-lbs-cd-160-630aamp-flbs-125-400a-eti" TargetMode="External"/><Relationship Id="rId340" Type="http://schemas.openxmlformats.org/officeDocument/2006/relationships/hyperlink" Target="https://can.ua/deye-3u-lrack-19u-3ux8plus1-for-bos-gm5-1/p368722/" TargetMode="External"/><Relationship Id="rId461" Type="http://schemas.openxmlformats.org/officeDocument/2006/relationships/hyperlink" Target="https://001.com.ua/uk/peremykach-navantazhennya-lbs-400-3p-co-1-0-2-400a-eti" TargetMode="External"/><Relationship Id="rId460" Type="http://schemas.openxmlformats.org/officeDocument/2006/relationships/hyperlink" Target="https://001.com.ua/uk/peremykach-navantazhennya-nh40-200-3cs-3p-200a-i-0-ii-standartna-rukoyatka-chint" TargetMode="External"/><Relationship Id="rId103" Type="http://schemas.openxmlformats.org/officeDocument/2006/relationships/hyperlink" Target="https://001.com.ua/uk/svitlosygnalna-armatura-ad22-22-bm-r-blymayuchyy-chervonyy-220v-ac-asko-ukrem" TargetMode="External"/><Relationship Id="rId224" Type="http://schemas.openxmlformats.org/officeDocument/2006/relationships/hyperlink" Target="https://001.com.ua/uk/zapobizhnyk-plavkyy-vstavka-nh-2-gg-315a-500v-kombi-upakovka-3-sht-eti" TargetMode="External"/><Relationship Id="rId345" Type="http://schemas.openxmlformats.org/officeDocument/2006/relationships/hyperlink" Target="https://e-server.com.ua/uk/serverni-stijki/serverni-stijki-lite/serverna-stijka-24u-400-lite-detail" TargetMode="External"/><Relationship Id="rId466" Type="http://schemas.openxmlformats.org/officeDocument/2006/relationships/hyperlink" Target="https://001.com.ua/uk/rele-chasu-nte8-120v-zatrymka-vklyuchennya-10-120-s-asko-ukrem" TargetMode="External"/><Relationship Id="rId102" Type="http://schemas.openxmlformats.org/officeDocument/2006/relationships/hyperlink" Target="https://001.com.ua/uk/knopka-modulna-na-din-reyku-z-fiksatsiyeyu-z-zelenym-indykatorom-16a-230v-1nv-hager" TargetMode="External"/><Relationship Id="rId223" Type="http://schemas.openxmlformats.org/officeDocument/2006/relationships/hyperlink" Target="https://001.com.ua/uk/zapobizhnyk-plavkyy-vstavka-nh-2c-gg-200a-500v-kombi-upakovka-3-sht-eti" TargetMode="External"/><Relationship Id="rId344" Type="http://schemas.openxmlformats.org/officeDocument/2006/relationships/hyperlink" Target="https://e-server.com.ua/uk/aksesuari-kriplennja/aksesuari-do-korpusiv/komplekt-regulovanih-bichnih-opor-600-800-mm-detail" TargetMode="External"/><Relationship Id="rId465" Type="http://schemas.openxmlformats.org/officeDocument/2006/relationships/hyperlink" Target="https://001.com.ua/uk/rele-chasu-nte8-10v-zatrymka-vklyuchennya-1-10-s-asko-ukrem" TargetMode="External"/><Relationship Id="rId101" Type="http://schemas.openxmlformats.org/officeDocument/2006/relationships/hyperlink" Target="https://001.com.ua/uk/sygnalna-lampa-ls-47m-zhovta-matrytsya-iek" TargetMode="External"/><Relationship Id="rId222" Type="http://schemas.openxmlformats.org/officeDocument/2006/relationships/hyperlink" Target="https://001.com.ua/uk/korobka-rozpodilcha-300x220x120mm-ip56-z-gladkymy-stinkamy-dkc" TargetMode="External"/><Relationship Id="rId343" Type="http://schemas.openxmlformats.org/officeDocument/2006/relationships/hyperlink" Target="https://e-server.com.ua/uk/serverni-shafi/nastinni-shafi/serverna-shafa-18u-eserver-600h600h907-sh-g-v-sklo-chorna-detail" TargetMode="External"/><Relationship Id="rId464" Type="http://schemas.openxmlformats.org/officeDocument/2006/relationships/hyperlink" Target="https://001.com.ua/uk/rele-kontrolyu-naprugy-ta-strumu-tryfazne-z-indykatsiyeyu-e-control-v16-63a-e-next" TargetMode="External"/><Relationship Id="rId100" Type="http://schemas.openxmlformats.org/officeDocument/2006/relationships/hyperlink" Target="https://001.com.ua/uk/sygnalna-lampa-ls-47m-zelena-matrytsya-iek" TargetMode="External"/><Relationship Id="rId221" Type="http://schemas.openxmlformats.org/officeDocument/2006/relationships/hyperlink" Target="https://001.com.ua/uk/zapobizhnyk-plavkyy-vstavka-nh-1-gg-160a-500v-kombi-upakovka-3-sht-eti" TargetMode="External"/><Relationship Id="rId342" Type="http://schemas.openxmlformats.org/officeDocument/2006/relationships/hyperlink" Target="https://e-server.com.ua/uk/komplekt-bicnix-opor-400-mm-cornii" TargetMode="External"/><Relationship Id="rId463" Type="http://schemas.openxmlformats.org/officeDocument/2006/relationships/hyperlink" Target="https://001.com.ua/uk/mistok-zyednuvalnyy-lbs-br400-1p-co-dlya-lbs-400-co-3p-4p-eti" TargetMode="External"/><Relationship Id="rId217" Type="http://schemas.openxmlformats.org/officeDocument/2006/relationships/hyperlink" Target="https://001.com.ua/uk/zapobizhnyk-plavkyy-vstavka-nh-1-gg-250a-500v-kombi-upakovka-3-sht-eti" TargetMode="External"/><Relationship Id="rId338" Type="http://schemas.openxmlformats.org/officeDocument/2006/relationships/hyperlink" Target="https://e-server.com.ua/uk/panel-19-3u-z-din-reikoiu-dlia-24-x-avtomaticnix-vimikaciv-sira" TargetMode="External"/><Relationship Id="rId459" Type="http://schemas.openxmlformats.org/officeDocument/2006/relationships/hyperlink" Target="https://001.com.ua/uk/peremykach-navantazhennya-la-2-d-250a-3p-co-1-0-2-z-vynosnoyu-rukoyatkoyu-eti" TargetMode="External"/><Relationship Id="rId216" Type="http://schemas.openxmlformats.org/officeDocument/2006/relationships/hyperlink" Target="https://001.com.ua/uk/trymach-plavkogo-zapobizhnyka-pt-1-1p-250a-m10-m10-eti" TargetMode="External"/><Relationship Id="rId337" Type="http://schemas.openxmlformats.org/officeDocument/2006/relationships/hyperlink" Target="https://e-server.com.ua/uk/policia-19-4-tocki-kripl-850mm-glib-perforovana-stal-2-mm-sira-ua-sh4-850g" TargetMode="External"/><Relationship Id="rId458" Type="http://schemas.openxmlformats.org/officeDocument/2006/relationships/hyperlink" Target="https://001.com.ua/uk/peremykach-modulnyy-him304-trypozytsiynyy-i-0-ii-3p-40a-hager" TargetMode="External"/><Relationship Id="rId215" Type="http://schemas.openxmlformats.org/officeDocument/2006/relationships/hyperlink" Target="https://001.com.ua/uk/korobka-rozpodilcha-380x300x120mm-ip55-z-kabelnymy-vvodamy-dkc" TargetMode="External"/><Relationship Id="rId336" Type="http://schemas.openxmlformats.org/officeDocument/2006/relationships/hyperlink" Target="https://e-server.com.ua/uk/stiika-49u-podviina-sira-ua-of49-d-gr" TargetMode="External"/><Relationship Id="rId457" Type="http://schemas.openxmlformats.org/officeDocument/2006/relationships/hyperlink" Target="https://001.com.ua/uk/peremykach-na-din-reyku-na-3-polozhennya-e-is3-pro-4-40-4r-40a-e-next" TargetMode="External"/><Relationship Id="rId214" Type="http://schemas.openxmlformats.org/officeDocument/2006/relationships/hyperlink" Target="https://001.com.ua/uk/zapobizhnyk-plavkyy-vstavka-nh-1-gg-200a-500v-kombi-upakovka-3-sht-eti" TargetMode="External"/><Relationship Id="rId335" Type="http://schemas.openxmlformats.org/officeDocument/2006/relationships/hyperlink" Target="https://001.com.ua/uk/klema-sylova-vsu-150-150-mm2-bezheva-eti" TargetMode="External"/><Relationship Id="rId456" Type="http://schemas.openxmlformats.org/officeDocument/2006/relationships/hyperlink" Target="https://001.com.ua/uk/rozyednuvach-qs5-63p-4-4p-63a-i-0-ii-perekydnyy-asko-ukrem" TargetMode="External"/><Relationship Id="rId219" Type="http://schemas.openxmlformats.org/officeDocument/2006/relationships/hyperlink" Target="https://001.com.ua/uk/zapobizhnyk-plavkyy-vstavka-nh-2-gg-400a-500v-kombi-upakovka-3-sht-eti" TargetMode="External"/><Relationship Id="rId218" Type="http://schemas.openxmlformats.org/officeDocument/2006/relationships/hyperlink" Target="https://001.com.ua/uk/trymach-plavkogo-zapobizhnyka-pt-2-1p-400a-m10-m10-eti" TargetMode="External"/><Relationship Id="rId339" Type="http://schemas.openxmlformats.org/officeDocument/2006/relationships/hyperlink" Target="https://e-server.com.ua/uk/komplekt-kriplennia-sirii-gvint-20mmgaikasaiba-wt-2055b-m6" TargetMode="External"/><Relationship Id="rId330" Type="http://schemas.openxmlformats.org/officeDocument/2006/relationships/hyperlink" Target="https://001.com.ua/uk/klema-vvidna-sylova-edbj-1x35-1x35pe-125a-1000v-ac-1500v-dc-35-mm2-zhovto-zelena-eti" TargetMode="External"/><Relationship Id="rId451" Type="http://schemas.openxmlformats.org/officeDocument/2006/relationships/hyperlink" Target="https://001.com.ua/uk/peremykach-sft440-i-0-ii-z-zagalnym-vyhodom-zverhu-4p-40a-400v-hager" TargetMode="External"/><Relationship Id="rId450" Type="http://schemas.openxmlformats.org/officeDocument/2006/relationships/hyperlink" Target="https://001.com.ua/uk/rukoyatka-na-korpus-clbsv-dh125-b-i-0-ii-chorna-dlya-clbsv-63-125a-3p-co-i-0-ii-eti" TargetMode="External"/><Relationship Id="rId213" Type="http://schemas.openxmlformats.org/officeDocument/2006/relationships/hyperlink" Target="https://001.com.ua/uk/korobka-rozpodilcha-300x220x120mm-ip55-z-kabelnymy-vvodamy-dkc" TargetMode="External"/><Relationship Id="rId334" Type="http://schemas.openxmlformats.org/officeDocument/2006/relationships/hyperlink" Target="https://001.com.ua/uk/kryshka-zahysna-zp-200-do-klemy-vsu-eti" TargetMode="External"/><Relationship Id="rId455" Type="http://schemas.openxmlformats.org/officeDocument/2006/relationships/hyperlink" Target="https://001.com.ua/uk/paketnyy-peremykach-v-korpusi-e-industrial-sb-1-0-2-4-40-4p-40-a-1-0-2-ip65-e-next" TargetMode="External"/><Relationship Id="rId212" Type="http://schemas.openxmlformats.org/officeDocument/2006/relationships/hyperlink" Target="https://001.com.ua/uk/avtomatychnyy-vymykach-etimat-10-20ka-2p-100-a-har-ka-c-eti" TargetMode="External"/><Relationship Id="rId333" Type="http://schemas.openxmlformats.org/officeDocument/2006/relationships/hyperlink" Target="https://001.com.ua/uk/klema-sylova-vsu-120-120-mm2-bezheva-eti" TargetMode="External"/><Relationship Id="rId454" Type="http://schemas.openxmlformats.org/officeDocument/2006/relationships/hyperlink" Target="https://001.com.ua/uk/peremykach-modulnyy-him406-trypozytsiynyy-i-0-ii-4p-63a-hager" TargetMode="External"/><Relationship Id="rId211" Type="http://schemas.openxmlformats.org/officeDocument/2006/relationships/hyperlink" Target="https://001.com.ua/uzip-ops1-d-1p-klass-iii-d-iek" TargetMode="External"/><Relationship Id="rId332" Type="http://schemas.openxmlformats.org/officeDocument/2006/relationships/hyperlink" Target="https://001.com.ua/uk/kolodka-klemna-dilyma-16-mm2-30a-12-grup-e-tc-stand-12-16-e-next" TargetMode="External"/><Relationship Id="rId453" Type="http://schemas.openxmlformats.org/officeDocument/2006/relationships/hyperlink" Target="https://001.com.ua/uk/peremykach-na-din-reyku-na-3-polozhennya-e-is3-pro-4-63-4r-63a-e-next" TargetMode="External"/><Relationship Id="rId210" Type="http://schemas.openxmlformats.org/officeDocument/2006/relationships/hyperlink" Target="https://ecshop.com.ua/ua/p138133-avtomaticheskiy_viklyuchatel_etibreak_nbs-tms_160-3s_125a_3p" TargetMode="External"/><Relationship Id="rId331" Type="http://schemas.openxmlformats.org/officeDocument/2006/relationships/hyperlink" Target="https://001.com.ua/uk/klema-sylova-vsu-95-95-mm2-bezheva-eti" TargetMode="External"/><Relationship Id="rId452" Type="http://schemas.openxmlformats.org/officeDocument/2006/relationships/hyperlink" Target="https://001.com.ua/uk/peremykach-na-din-reyku-na-3-polozhennya-e-is3-pro-2-63-2r-63a-e-next" TargetMode="External"/><Relationship Id="rId370" Type="http://schemas.openxmlformats.org/officeDocument/2006/relationships/hyperlink" Target="https://001.com.ua/uk/nakinechnyk-te-10-0-14-trubchastyy-v-izolyatsiyi-dlya-dvoh-provodiv-korychnevyy-upakovka-100-sht-asko-ukrem" TargetMode="External"/><Relationship Id="rId491" Type="http://schemas.openxmlformats.org/officeDocument/2006/relationships/hyperlink" Target="https://001.com.ua/uk/shyna-zyednuvalna-iz-12-3f-54-12-mm2-3p-1m-fork-54-moduli-eti" TargetMode="External"/><Relationship Id="rId490" Type="http://schemas.openxmlformats.org/officeDocument/2006/relationships/hyperlink" Target="https://tnsy.com.ua/product/shina-alyum-ad31-4h30h3000mm-tnsy/" TargetMode="External"/><Relationship Id="rId129" Type="http://schemas.openxmlformats.org/officeDocument/2006/relationships/hyperlink" Target="https://001.com.ua/uk/homut-kabelnyy-e-ct-stand-200-3-black-3x200-mm-neylon-chornyy-upakovka-100-sht-e-next" TargetMode="External"/><Relationship Id="rId128" Type="http://schemas.openxmlformats.org/officeDocument/2006/relationships/hyperlink" Target="https://001.com.ua/uk/maydanchyk-dlya-homutiv-cth-2b-chornyy-upakovka-100-sht-asko-ukrem" TargetMode="External"/><Relationship Id="rId249" Type="http://schemas.openxmlformats.org/officeDocument/2006/relationships/hyperlink" Target="https://ecshop.com.ua/p108135-provod_pv3_2-5" TargetMode="External"/><Relationship Id="rId127" Type="http://schemas.openxmlformats.org/officeDocument/2006/relationships/hyperlink" Target="https://001.com.ua/uk/din-reyka-th-ts-35-1-5-1m-asko-ukrem" TargetMode="External"/><Relationship Id="rId248" Type="http://schemas.openxmlformats.org/officeDocument/2006/relationships/hyperlink" Target="https://ecshop.com.ua/p108220-kabel_vvgng_5h16" TargetMode="External"/><Relationship Id="rId369" Type="http://schemas.openxmlformats.org/officeDocument/2006/relationships/hyperlink" Target="https://001.com.ua/uk/nakinechnyk-dtl-35-midno-alyuminiyevyy-kabelnyy-pid-opresuvannya-asko-ukrem" TargetMode="External"/><Relationship Id="rId126" Type="http://schemas.openxmlformats.org/officeDocument/2006/relationships/hyperlink" Target="https://001.com.ua/uk/din-reyka-ts-35-1-0-t3501-1m-asko-ukrem" TargetMode="External"/><Relationship Id="rId247" Type="http://schemas.openxmlformats.org/officeDocument/2006/relationships/hyperlink" Target="https://ecshop.com.ua/p108138-provod_pv3_10" TargetMode="External"/><Relationship Id="rId368" Type="http://schemas.openxmlformats.org/officeDocument/2006/relationships/hyperlink" Target="https://001.com.ua/uk/nakinechnyk-nt-6-0-12-trubchastyy-v-izolyatsiyi-zelenyy-upakovka-100-sht-asko-ukrem" TargetMode="External"/><Relationship Id="rId489" Type="http://schemas.openxmlformats.org/officeDocument/2006/relationships/hyperlink" Target="https://tnsy.com.ua/product/shina-mednaya-msht-3h20h3000mm-tnsy/" TargetMode="External"/><Relationship Id="rId121" Type="http://schemas.openxmlformats.org/officeDocument/2006/relationships/hyperlink" Target="https://electrocontrol.com.ua/ua/montazh/yxd10-ogranichitel-metallicheskii-na-din-reiku-iek" TargetMode="External"/><Relationship Id="rId242" Type="http://schemas.openxmlformats.org/officeDocument/2006/relationships/hyperlink" Target="https://001.com.ua/uk/izostrichka-0-13x19-mm-synya-20-m-e-tape-stand-20-blue-e-next" TargetMode="External"/><Relationship Id="rId363" Type="http://schemas.openxmlformats.org/officeDocument/2006/relationships/hyperlink" Target="https://namato.prom.ua/ua/p2413126124-soedinitel-dlya-alyuminievogo.html" TargetMode="External"/><Relationship Id="rId484" Type="http://schemas.openxmlformats.org/officeDocument/2006/relationships/hyperlink" Target="https://novatek-electro.com/ua/vymiriuvalnyi-transformator-strumu-600-5/" TargetMode="External"/><Relationship Id="rId120" Type="http://schemas.openxmlformats.org/officeDocument/2006/relationships/hyperlink" Target="https://001.com.ua/uk/spiralna-obvyazka-dlya-provodu-empty-12-75-mm-swb-15-bila-10-m-asko-ukrem" TargetMode="External"/><Relationship Id="rId241" Type="http://schemas.openxmlformats.org/officeDocument/2006/relationships/hyperlink" Target="https://001.com.ua/uk/izostrichka-0-13x19-mm-bila-20-m-e-tape-stand-20-white-e-next" TargetMode="External"/><Relationship Id="rId362" Type="http://schemas.openxmlformats.org/officeDocument/2006/relationships/hyperlink" Target="https://namato.prom.ua/ua/p2086356685-alyuminiyevij-profil-dlya.html" TargetMode="External"/><Relationship Id="rId483" Type="http://schemas.openxmlformats.org/officeDocument/2006/relationships/hyperlink" Target="https://ecshop.com.ua/ua/p129150-mini_transformator_toka_100-5a_s_razemnim_serdechnikom_d-24mm_kl_0-5" TargetMode="External"/><Relationship Id="rId240" Type="http://schemas.openxmlformats.org/officeDocument/2006/relationships/hyperlink" Target="https://001.com.ua/uk/izostrichka-0-13x19-mm-zhovta-20-metriv-asko-ukrem" TargetMode="External"/><Relationship Id="rId361" Type="http://schemas.openxmlformats.org/officeDocument/2006/relationships/hyperlink" Target="https://nartex.ua/tiles/pavement/" TargetMode="External"/><Relationship Id="rId482" Type="http://schemas.openxmlformats.org/officeDocument/2006/relationships/hyperlink" Target="https://ecshop.com.ua/ua/p129153-mini_transformator_toka_250-5a_s_razemnim_serdechnikom_d-24mm_kl_0-5" TargetMode="External"/><Relationship Id="rId360" Type="http://schemas.openxmlformats.org/officeDocument/2006/relationships/hyperlink" Target="https://epicentrk.ua/ua/shop/germetik-silikonovyy-universalnyy-sika-sikasil-universal-prozrachnyy-280-ml.html" TargetMode="External"/><Relationship Id="rId481" Type="http://schemas.openxmlformats.org/officeDocument/2006/relationships/hyperlink" Target="https://ecshop.com.ua/ua/p122498-transformator_toka_400-5_ta54050c400_ta540_50-5x12-5_d-40mm_kl-0-5-4_va" TargetMode="External"/><Relationship Id="rId125" Type="http://schemas.openxmlformats.org/officeDocument/2006/relationships/hyperlink" Target="https://001.com.ua/uk/izolyator-trymach-sylovoyi-shyny-sm40-z-boltom-m8-asko-ukrem" TargetMode="External"/><Relationship Id="rId246" Type="http://schemas.openxmlformats.org/officeDocument/2006/relationships/hyperlink" Target="https://e-server.com.ua/patch-kordy/patch-kordy-ftp/patch-kord-litoj-ftp-rj45-15m-kat-5e-detail" TargetMode="External"/><Relationship Id="rId367" Type="http://schemas.openxmlformats.org/officeDocument/2006/relationships/hyperlink" Target="https://001.com.ua/uk/nakinechnyk-te-6-0-14-trubchastyy-v-izolyatsiyi-dlya-dvoh-provodiv-zhovtyy-upakovka-100-sht-asko-ukrem" TargetMode="External"/><Relationship Id="rId488" Type="http://schemas.openxmlformats.org/officeDocument/2006/relationships/hyperlink" Target="https://001.com.ua/uk/shyna-zyednuvalna-iz-10-3f-54-10-mm2-3p-1m-fork-54-moduli-eti" TargetMode="External"/><Relationship Id="rId124" Type="http://schemas.openxmlformats.org/officeDocument/2006/relationships/hyperlink" Target="https://001.com.ua/uk/homut-kabelnyy-e-ct-stand-200-4-black-4x200-mm-neylon-chornyy-upakovka-100-sht-e-next" TargetMode="External"/><Relationship Id="rId245" Type="http://schemas.openxmlformats.org/officeDocument/2006/relationships/hyperlink" Target="https://001.com.ua/uk/izostrichka-0-13x19-mm-chervona-20-metriv-asko-ukrem" TargetMode="External"/><Relationship Id="rId366" Type="http://schemas.openxmlformats.org/officeDocument/2006/relationships/hyperlink" Target="https://001.com.ua/uk/nakinechnyk-dt-25-midnyy-ludzhenyy-kabelnyy-pid-opresuvannya-asko-ukrem" TargetMode="External"/><Relationship Id="rId487" Type="http://schemas.openxmlformats.org/officeDocument/2006/relationships/hyperlink" Target="https://novatek-electro.com/ua/vymiriuvalnyi-transformator-strumu-100-5/" TargetMode="External"/><Relationship Id="rId123" Type="http://schemas.openxmlformats.org/officeDocument/2006/relationships/hyperlink" Target="https://001.com.ua/uk/homut-kabelnyy-3-6x200-mm-poliamid-6-6-bilyy-dkc" TargetMode="External"/><Relationship Id="rId244" Type="http://schemas.openxmlformats.org/officeDocument/2006/relationships/hyperlink" Target="https://001.com.ua/uk/izostrichka-0-13x19-mm-chervona-20-m-e-tape-stand-20-red-e-next" TargetMode="External"/><Relationship Id="rId365" Type="http://schemas.openxmlformats.org/officeDocument/2006/relationships/hyperlink" Target="https://001.com.ua/uk/nakinechnyk-kiltsevyy-izolovanyy-4-6-mm2-zhovtyy-upakovka-100-sht-e-terminal-stand-rv5-5-6-yellow-e-next" TargetMode="External"/><Relationship Id="rId486" Type="http://schemas.openxmlformats.org/officeDocument/2006/relationships/hyperlink" Target="https://novatek-electro.com/ua/vymiriuvalnyi-transformator-strumu-200-5/" TargetMode="External"/><Relationship Id="rId122" Type="http://schemas.openxmlformats.org/officeDocument/2006/relationships/hyperlink" Target="https://001.com.ua/uk/maydanchyk-dlya-homutiv-cth-2a-chornyy-upakovka-100-sht-asko-ukrem" TargetMode="External"/><Relationship Id="rId243" Type="http://schemas.openxmlformats.org/officeDocument/2006/relationships/hyperlink" Target="https://001.com.ua/uk/izostrichka-0-13x19-mm-zelena-20-m-e-tape-stand-20-green-e-next" TargetMode="External"/><Relationship Id="rId364" Type="http://schemas.openxmlformats.org/officeDocument/2006/relationships/hyperlink" Target="https://001.com.ua/uk/nakinechnyk-dt-70-midnyy-ludzhenyy-kabelnyy-pid-opresuvannya-asko-ukrem" TargetMode="External"/><Relationship Id="rId485" Type="http://schemas.openxmlformats.org/officeDocument/2006/relationships/hyperlink" Target="https://novatek-electro.com/ua/vymiriuvalnyi-transformator-strumu-400-5/" TargetMode="External"/><Relationship Id="rId95" Type="http://schemas.openxmlformats.org/officeDocument/2006/relationships/hyperlink" Target="https://001.com.ua/uk/svitlosygnalna-armatura-ad22-22ds-zhovta-220v-ac-asko-ukrem" TargetMode="External"/><Relationship Id="rId94" Type="http://schemas.openxmlformats.org/officeDocument/2006/relationships/hyperlink" Target="https://001.com.ua/uk/svitlosygnalna-armatura-ad22-22ds-synya-220v-ac-asko-ukrem" TargetMode="External"/><Relationship Id="rId97" Type="http://schemas.openxmlformats.org/officeDocument/2006/relationships/hyperlink" Target="https://001.com.ua/uk/peremykach-na-2-polozhennya-z-fiksatsiyeyu-1nv-chornyy-plastyk-ip50-seriya-b-emas" TargetMode="External"/><Relationship Id="rId96" Type="http://schemas.openxmlformats.org/officeDocument/2006/relationships/hyperlink" Target="https://001.com.ua/uk/svitlosygnalna-armatura-ad22-22ds-bila-220v-ac-asko-ukrem" TargetMode="External"/><Relationship Id="rId99" Type="http://schemas.openxmlformats.org/officeDocument/2006/relationships/hyperlink" Target="https://001.com.ua/uk/trymach-shyldika-18mm-dlya-markuvannya-knopok-emas" TargetMode="External"/><Relationship Id="rId480" Type="http://schemas.openxmlformats.org/officeDocument/2006/relationships/hyperlink" Target="https://001.com.ua/uk/rozetka-1-misna-z-zazemlennyam-ip44-bila-z-neprozoroyu-biloyu-kryshkoyu-rhe-1s-seriya-hermetics-eti-slovenyya" TargetMode="External"/><Relationship Id="rId98" Type="http://schemas.openxmlformats.org/officeDocument/2006/relationships/hyperlink" Target="https://001.com.ua/uk/blok-kontakt-1nz-stop-dlya-seriyi-b-emas" TargetMode="External"/><Relationship Id="rId91" Type="http://schemas.openxmlformats.org/officeDocument/2006/relationships/hyperlink" Target="https://001.com.ua/uk/knopka-z-pidsvichuvannyam-bez-fiksatsiyi-1nv-1nz-zelena-tb5-aw33m5-asko-ukrem" TargetMode="External"/><Relationship Id="rId90" Type="http://schemas.openxmlformats.org/officeDocument/2006/relationships/hyperlink" Target="https://novatek-electro.com/ua/three-phase-voltage-relay-rnpp-311m/" TargetMode="External"/><Relationship Id="rId93" Type="http://schemas.openxmlformats.org/officeDocument/2006/relationships/hyperlink" Target="https://001.com.ua/uk/svitlosygnalna-armatura-ad22-22ds-chervona-220v-ac-asko-ukrem" TargetMode="External"/><Relationship Id="rId92" Type="http://schemas.openxmlformats.org/officeDocument/2006/relationships/hyperlink" Target="https://001.com.ua/uk/svitlosygnalna-armatura-ad22-22ds-zelena-220v-ac-asko-ukrem" TargetMode="External"/><Relationship Id="rId118" Type="http://schemas.openxmlformats.org/officeDocument/2006/relationships/hyperlink" Target="https://001.com.ua/uk/homut-kabelnyy-3-6x290-mm-poliamid-6-6-chornyy-dkc" TargetMode="External"/><Relationship Id="rId239" Type="http://schemas.openxmlformats.org/officeDocument/2006/relationships/hyperlink" Target="https://001.com.ua/uk/izostrichka-0-13x19-mm-zelena-20-metriv-asko-ukrem" TargetMode="External"/><Relationship Id="rId117" Type="http://schemas.openxmlformats.org/officeDocument/2006/relationships/hyperlink" Target="https://001.com.ua/uk/din-reyka-th-35x7-5l-1m-eti" TargetMode="External"/><Relationship Id="rId238" Type="http://schemas.openxmlformats.org/officeDocument/2006/relationships/hyperlink" Target="https://001.com.ua/uk/izostrichka-0-2x19-mm-bila-20-m-e-tape-pro-20-white-e-next" TargetMode="External"/><Relationship Id="rId359" Type="http://schemas.openxmlformats.org/officeDocument/2006/relationships/hyperlink" Target="https://ecshop.com.ua/p122849-sdm630mct_5a_ct_analizator_seti_s_rs485_vh-1-5a_na_din_kl_1-0_bi-directional_measurement" TargetMode="External"/><Relationship Id="rId116" Type="http://schemas.openxmlformats.org/officeDocument/2006/relationships/hyperlink" Target="https://001.com.ua/uk/salnyk-pg29-diametr-kabelyu-18-25-mm-ip54-asko-ukrem" TargetMode="External"/><Relationship Id="rId237" Type="http://schemas.openxmlformats.org/officeDocument/2006/relationships/hyperlink" Target="https://001.com.ua/uk/izostrichka-0-2x19-mm-synya-20-m-e-tape-pro-20-blue-e-next" TargetMode="External"/><Relationship Id="rId358" Type="http://schemas.openxmlformats.org/officeDocument/2006/relationships/hyperlink" Target="https://www.fronius.com/uk-ua/ukraine/sonyachna-enerhiya/instalyatory-ta-partnery/tekhnichni-dani/%D0%B2%D1%81%D1%96-%D0%BF%D1%80%D0%BE%D0%B4%D1%83%D0%BA%D1%82%D0%B8/%D0%BC%D0%BE%D0%BD%D1%96%D1%82%D0%BE%D1%80%D0%B8%D0%BD%D0%B3-%D1%81%D0%B8%D1%81%D1%82%D0%B5%D0%BC%D0%B8/%D0%B0%D0%BF%D0%B0%D1%80%D0%B0%D1%82%D0%BD%D0%B5-%D0%B7%D0%B0%D0%B1%D0%B5%D0%B7%D0%BF%D0%B5%D1%87%D0%B5%D0%BD%D0%BD%D1%8F/fronius-smart-meter/fronius-smart-meter-63a-3" TargetMode="External"/><Relationship Id="rId479" Type="http://schemas.openxmlformats.org/officeDocument/2006/relationships/hyperlink" Target="https://001.com.ua/uk/rozetka-rar10-3-op-z-zazemlyuyuchym-kontaktom-na-din-reyku-shuko-iek" TargetMode="External"/><Relationship Id="rId115" Type="http://schemas.openxmlformats.org/officeDocument/2006/relationships/hyperlink" Target="https://001.com.ua/uk/homut-kabelnyy-4-8x290-mm-poliamid-6-6-chornyy-dkc" TargetMode="External"/><Relationship Id="rId236" Type="http://schemas.openxmlformats.org/officeDocument/2006/relationships/hyperlink" Target="https://001.com.ua/uk/izostrichka-0-13x19-mm-chervona-10-metriv-asko-ukrem" TargetMode="External"/><Relationship Id="rId357" Type="http://schemas.openxmlformats.org/officeDocument/2006/relationships/hyperlink" Target="https://ecshop.com.ua/ua/p143962-schetchik_energii_dtsu666-h_smartmeter_250a_max" TargetMode="External"/><Relationship Id="rId478" Type="http://schemas.openxmlformats.org/officeDocument/2006/relationships/hyperlink" Target="https://001.com.ua/uk/rozetka-na-din-reyku-schuko-t-2p-z-eti" TargetMode="External"/><Relationship Id="rId119" Type="http://schemas.openxmlformats.org/officeDocument/2006/relationships/hyperlink" Target="https://001.com.ua/uk/fiksator-metalevyy-na-din-reyku-hdw-211-asko-ukrem" TargetMode="External"/><Relationship Id="rId110" Type="http://schemas.openxmlformats.org/officeDocument/2006/relationships/hyperlink" Target="https://001.com.ua/uk/indykator-na-din-reyku-e-industrial-i-1-yellow-1-red-zhovto-chervonyy-e-next" TargetMode="External"/><Relationship Id="rId231" Type="http://schemas.openxmlformats.org/officeDocument/2006/relationships/hyperlink" Target="https://001.com.ua/uk/izostrichka-0-13x19-mm-chorna-20-metriv-asko-ukrem" TargetMode="External"/><Relationship Id="rId352" Type="http://schemas.openxmlformats.org/officeDocument/2006/relationships/hyperlink" Target="https://support.huawei.com/enterprise/en/doc/EDOC1100355588" TargetMode="External"/><Relationship Id="rId473" Type="http://schemas.openxmlformats.org/officeDocument/2006/relationships/hyperlink" Target="https://001.com.ua/uk/taymer-elektronnyy-tyzhnevyy-dvokanalnyy-e-control-t09-e-next" TargetMode="External"/><Relationship Id="rId230" Type="http://schemas.openxmlformats.org/officeDocument/2006/relationships/hyperlink" Target="https://001.com.ua/uk/termozbizhna-trubka-na-kleyoviy-osnovi-tsk-empty-25-mm-chorna-asko-ukrem" TargetMode="External"/><Relationship Id="rId351" Type="http://schemas.openxmlformats.org/officeDocument/2006/relationships/hyperlink" Target="https://support.huawei.com/enterprise/en/doc/EDOC1100289910" TargetMode="External"/><Relationship Id="rId472" Type="http://schemas.openxmlformats.org/officeDocument/2006/relationships/hyperlink" Target="https://001.com.ua/uk/kontaktor-modulnyy-rd-63-31-63a-230v-ac-dc-3no-1nc-eti" TargetMode="External"/><Relationship Id="rId350" Type="http://schemas.openxmlformats.org/officeDocument/2006/relationships/hyperlink" Target="https://generacia.energy/ru/product/zarjadnaja-stancija-yoobao-en1200q/" TargetMode="External"/><Relationship Id="rId471" Type="http://schemas.openxmlformats.org/officeDocument/2006/relationships/hyperlink" Target="https://001.com.ua/uk/rele-naprugy-zubr-d63-odnofazne-na-din-reyku-63a" TargetMode="External"/><Relationship Id="rId470" Type="http://schemas.openxmlformats.org/officeDocument/2006/relationships/hyperlink" Target="https://001.com.ua/uk/kontaktor-modulnyy-rd-40-22-40a-230v-ac-dc-2no-2nc-eti" TargetMode="External"/><Relationship Id="rId114" Type="http://schemas.openxmlformats.org/officeDocument/2006/relationships/hyperlink" Target="https://esstroy.in.ua/ua/p646947147-solar-classic-prohodnoj.html" TargetMode="External"/><Relationship Id="rId235" Type="http://schemas.openxmlformats.org/officeDocument/2006/relationships/hyperlink" Target="https://001.com.ua/uk/izostrichka-0-13x19-mm-zhovta-20-m-e-tape-stand-20-yellow-e-next" TargetMode="External"/><Relationship Id="rId356" Type="http://schemas.openxmlformats.org/officeDocument/2006/relationships/hyperlink" Target="https://www.acrel.sg/uk/acr10r-d16te-single-phase-energy-meter-for-solar-inverters-product/" TargetMode="External"/><Relationship Id="rId477" Type="http://schemas.openxmlformats.org/officeDocument/2006/relationships/hyperlink" Target="https://001.com.ua/uk/rele-kontrolyu-naprugy-odnofazne-na-din-reyku-z-indykatsiyeyu-e-control-v09-63a-e-next" TargetMode="External"/><Relationship Id="rId113" Type="http://schemas.openxmlformats.org/officeDocument/2006/relationships/hyperlink" Target="https://001.com.ua/uk/izolyator-stupinchastyy-e-step-ct4-30-450a-sylovyy-bez-boltiv-e-next" TargetMode="External"/><Relationship Id="rId234" Type="http://schemas.openxmlformats.org/officeDocument/2006/relationships/hyperlink" Target="https://001.com.ua/uk/izostrichka-0-13x19-mm-chorna-20-m-e-tape-stand-20-black-e-next" TargetMode="External"/><Relationship Id="rId355" Type="http://schemas.openxmlformats.org/officeDocument/2006/relationships/hyperlink" Target="https://ecshop.com.ua/ua/p129161-analizator_seti_s_rs485_vh_100a_na_din_kl_1-0" TargetMode="External"/><Relationship Id="rId476" Type="http://schemas.openxmlformats.org/officeDocument/2006/relationships/hyperlink" Target="https://001.com.ua/uk/kontaktor-modulnyy-rd-25-22-25a-230v-ac-dc-2no-2nc-eti" TargetMode="External"/><Relationship Id="rId112" Type="http://schemas.openxmlformats.org/officeDocument/2006/relationships/hyperlink" Target="https://001.com.ua/uk/peremykach-anc-22-2-na-2-fiksovanyh-polozhennya-i-o-neon-zelenyy-240v-1z-1r-iek" TargetMode="External"/><Relationship Id="rId233" Type="http://schemas.openxmlformats.org/officeDocument/2006/relationships/hyperlink" Target="https://001.com.ua/uk/termozbizhna-trubka-na-kleyoviy-osnovi-tsk-empty-15-mm-chorna-asko-ukrem" TargetMode="External"/><Relationship Id="rId354" Type="http://schemas.openxmlformats.org/officeDocument/2006/relationships/hyperlink" Target="https://support.huawei.com/enterprise/en/doc/EDOC1100355594" TargetMode="External"/><Relationship Id="rId475" Type="http://schemas.openxmlformats.org/officeDocument/2006/relationships/hyperlink" Target="https://001.com.ua/uk/kontaktor-modulnyy-rd-32-20-32a-230v-ac-dc-2no-eti" TargetMode="External"/><Relationship Id="rId111" Type="http://schemas.openxmlformats.org/officeDocument/2006/relationships/hyperlink" Target="https://001.com.ua/uk/peremykach-na-2-polozhennya-z-fiksatsiyeyu-1nv-zelenyy-plastyk-ip50-seriya-b-emas" TargetMode="External"/><Relationship Id="rId232" Type="http://schemas.openxmlformats.org/officeDocument/2006/relationships/hyperlink" Target="https://001.com.ua/uk/termozbizhna-trubka-na-kleyoviy-osnovi-tsk-empty-15-mm-chervona-asko-ukrem" TargetMode="External"/><Relationship Id="rId353" Type="http://schemas.openxmlformats.org/officeDocument/2006/relationships/hyperlink" Target="https://support.huawei.com/enterprise/en/doc/EDOC1100262247" TargetMode="External"/><Relationship Id="rId474" Type="http://schemas.openxmlformats.org/officeDocument/2006/relationships/hyperlink" Target="https://001.com.ua/uk/programovanyy-tsyfrovyy-taymer-sht-1-230v-ac-16a-eti" TargetMode="External"/><Relationship Id="rId305" Type="http://schemas.openxmlformats.org/officeDocument/2006/relationships/hyperlink" Target="https://tnsy.com.ua/product/raspredelitelnyj-blok-na-din-rejku-rbd-80a-tnsy/" TargetMode="External"/><Relationship Id="rId426" Type="http://schemas.openxmlformats.org/officeDocument/2006/relationships/hyperlink" Target="https://001.com.ua/uk/nakinechnyk-dtl-50-midno-alyuminiyevyy-kabelnyy-pid-opresuvannya-asko-ukrem" TargetMode="External"/><Relationship Id="rId304" Type="http://schemas.openxmlformats.org/officeDocument/2006/relationships/hyperlink" Target="https://001.com.ua/uk/blok-rozpodilchyy-e-sn-pro-80-80-a-na-din-reyku-e-next" TargetMode="External"/><Relationship Id="rId425" Type="http://schemas.openxmlformats.org/officeDocument/2006/relationships/hyperlink" Target="https://001.com.ua/uk/nakinechnyk-dl-50-alyuminiyevyy-kabelnyy-iek" TargetMode="External"/><Relationship Id="rId303" Type="http://schemas.openxmlformats.org/officeDocument/2006/relationships/hyperlink" Target="https://001.com.ua/uk/kabelnyy-kanal-pvh-40x40-mm-lhd-bilyy-kopos" TargetMode="External"/><Relationship Id="rId424" Type="http://schemas.openxmlformats.org/officeDocument/2006/relationships/hyperlink" Target="https://001.com.ua/uk/gilza-gtl-50-midno-alyuminiyeva-kabelna-zyednuvalna-asko-ukrem" TargetMode="External"/><Relationship Id="rId302" Type="http://schemas.openxmlformats.org/officeDocument/2006/relationships/hyperlink" Target="https://001.com.ua/uk/kryshka-cpo-90-na-kut-goryzontalnyy-90-grad-osnova-200-mm-garyachogo-tsynkuvannya-metod-sendzimira-dkc" TargetMode="External"/><Relationship Id="rId423" Type="http://schemas.openxmlformats.org/officeDocument/2006/relationships/hyperlink" Target="https://001.com.ua/uk/gilza-gtl-35-midno-alyuminiyeva-kabelna-zyednuvalna-asko-ukrem" TargetMode="External"/><Relationship Id="rId309" Type="http://schemas.openxmlformats.org/officeDocument/2006/relationships/hyperlink" Target="https://001.com.ua/uk/klema-vvidna-efb-50ft-15-fork-15mm-zverhu-6-50-mm2-125a-690v-ac-1500v-dc-eti" TargetMode="External"/><Relationship Id="rId308" Type="http://schemas.openxmlformats.org/officeDocument/2006/relationships/hyperlink" Target="https://001.com.ua/uk/blok-rozpodilchyy-edbm-7-n-192a-vyhid-1x4-70-3x2-5-25-4x2-5-16-mm2-eti" TargetMode="External"/><Relationship Id="rId429" Type="http://schemas.openxmlformats.org/officeDocument/2006/relationships/hyperlink" Target="https://001.com.ua/uk/nakinechnyk-dtl-150-midno-alyuminiyevyy-kabelnyy-pid-opresuvannya-asko-ukrem" TargetMode="External"/><Relationship Id="rId307" Type="http://schemas.openxmlformats.org/officeDocument/2006/relationships/hyperlink" Target="https://001.com.ua/uk/blok-rozpodilchyy-e-sn-pro-125-125-a-na-din-reyku-e-next" TargetMode="External"/><Relationship Id="rId428" Type="http://schemas.openxmlformats.org/officeDocument/2006/relationships/hyperlink" Target="https://001.com.ua/uk/nakinechnyk-nt-1-0-08-trubchastyy-v-izolyatsiyi-chervonyy-upakovka-100-sht-asko-ukrem" TargetMode="External"/><Relationship Id="rId306" Type="http://schemas.openxmlformats.org/officeDocument/2006/relationships/hyperlink" Target="https://001.com.ua/uk/blok-rozpodilchyy-e-sn-pro-400-400-a-na-din-reyku-e-next" TargetMode="External"/><Relationship Id="rId427" Type="http://schemas.openxmlformats.org/officeDocument/2006/relationships/hyperlink" Target="https://001.com.ua/uk/nakinechnyk-dtl-25-midno-alyuminiyevyy-kabelnyy-pid-opresuvannya-asko-ukrem" TargetMode="External"/><Relationship Id="rId301" Type="http://schemas.openxmlformats.org/officeDocument/2006/relationships/hyperlink" Target="https://001.com.ua/uk/kut-cpo-90-goryzontalnyy-90-grad-200x50-mm-garyachogo-tsynkuvannya-metod-sendzimira-dkc" TargetMode="External"/><Relationship Id="rId422" Type="http://schemas.openxmlformats.org/officeDocument/2006/relationships/hyperlink" Target="https://001.com.ua/uk/nakinechnyk-dtl-120-midno-alyuminiyevyy-kabelnyy-pid-opresuvannya-asko-ukrem" TargetMode="External"/><Relationship Id="rId300" Type="http://schemas.openxmlformats.org/officeDocument/2006/relationships/hyperlink" Target="https://001.com.ua/uk/kryshka-z-zazemlennyam-na-lotok-200x3000-mm-garyachogo-tsynkuvannya-metod-sendzimira-dkc" TargetMode="External"/><Relationship Id="rId421" Type="http://schemas.openxmlformats.org/officeDocument/2006/relationships/hyperlink" Target="https://001.com.ua/uk/nakinechnyk-vtulkovyy-izolovanyy-6-0-mm2-syniy-upakovka-100-sht-e-terminal-stand-e6012-blue-e-next" TargetMode="External"/><Relationship Id="rId420" Type="http://schemas.openxmlformats.org/officeDocument/2006/relationships/hyperlink" Target="https://001.com.ua/uk/nakinechnyk-vtulkovyy-izolovanyy-na-2-provody-2x2-5-mm2-siryy-upakovka-100-sht-e-terminal-stand-te-2-2-5-grey-e-next" TargetMode="External"/><Relationship Id="rId415" Type="http://schemas.openxmlformats.org/officeDocument/2006/relationships/hyperlink" Target="https://001.com.ua/uk/nakinechnyk-vtulkovyy-izolovanyy-na-2-provody-2x16-mm2-siryy-upakovka-100-sht-e-terminal-stand-te-2-16-grey-e-next" TargetMode="External"/><Relationship Id="rId414" Type="http://schemas.openxmlformats.org/officeDocument/2006/relationships/hyperlink" Target="https://001.com.ua/uk/nakinechnyk-vtulkovyy-izolovanyy-10-0-mm2-zhovtyy-upakovka-100-sht-e-terminal-stand-e10-12-yellow-e-next" TargetMode="External"/><Relationship Id="rId413" Type="http://schemas.openxmlformats.org/officeDocument/2006/relationships/hyperlink" Target="https://001.com.ua/uk/nakinechnyk-vtulkovyy-izolovanyy-na-2-provody-2x10-mm2-korychnevyy-upakovka-100-sht-e-terminal-stand-te-2-10-brown-e-next" TargetMode="External"/><Relationship Id="rId412" Type="http://schemas.openxmlformats.org/officeDocument/2006/relationships/hyperlink" Target="https://001.com.ua/uk/gilza-e-tube-stand-gty-25-midna-ludzhena-kabelna-zyednuvalna-e-next" TargetMode="External"/><Relationship Id="rId419" Type="http://schemas.openxmlformats.org/officeDocument/2006/relationships/hyperlink" Target="https://001.com.ua/uk/nakinechnyk-vtulkovyy-izolovanyy-2-5-mm2-zelenyy-upakovka-100-sht-e-terminal-stand-e2508-green-e-next" TargetMode="External"/><Relationship Id="rId418" Type="http://schemas.openxmlformats.org/officeDocument/2006/relationships/hyperlink" Target="https://001.com.ua/uk/nakinechnyk-vtulkovyy-izolovanyy-na-2-provody-2x1-0-mm2-bilyy-upakovka-100-sht-e-terminal-stand-te-2-1-white-e-next" TargetMode="External"/><Relationship Id="rId417" Type="http://schemas.openxmlformats.org/officeDocument/2006/relationships/hyperlink" Target="https://001.com.ua/uk/nakinechnyk-vtulkovyy-izolovanyy-1-0-mm2-zelenyy-upakovka-100-sht-e-terminal-stand-e1008-green-e-next" TargetMode="External"/><Relationship Id="rId416" Type="http://schemas.openxmlformats.org/officeDocument/2006/relationships/hyperlink" Target="https://001.com.ua/uk/nakinechnyk-vtulkovyy-izolovanyy-16-0-mm2-zelenyy-upakovka-100-sht-e-terminal-stand-e16-12-green-e-next" TargetMode="External"/><Relationship Id="rId411" Type="http://schemas.openxmlformats.org/officeDocument/2006/relationships/hyperlink" Target="https://001.com.ua/uk/nakinechnyk-vtulkovyy-izolovanyy-na-2-provody-2x1-0-mm2-chervonyy-upakovka-100-sht-e-terminal-stand-te-2-1-red-e-next" TargetMode="External"/><Relationship Id="rId410" Type="http://schemas.openxmlformats.org/officeDocument/2006/relationships/hyperlink" Target="https://001.com.ua/uk/nakinechnyk-vtulkovyy-izolovanyy-1-0-mm2-chervonyy-upakovka-100-sht-e-terminal-stand-e1008-red-e-next" TargetMode="External"/><Relationship Id="rId206" Type="http://schemas.openxmlformats.org/officeDocument/2006/relationships/hyperlink" Target="https://001.com.ua/uk/avtomatychnyy-vymykach-eb2-250-3l-3p-250a-25ka-eti" TargetMode="External"/><Relationship Id="rId327" Type="http://schemas.openxmlformats.org/officeDocument/2006/relationships/hyperlink" Target="https://001.com.ua/uk/blok-rozpodilchyy-edbj-4x25-4x25b-100a-vhid-4x25-vyhid-4x25-mm2-chornyy-eti" TargetMode="External"/><Relationship Id="rId448" Type="http://schemas.openxmlformats.org/officeDocument/2006/relationships/hyperlink" Target="https://001.com.ua/uk/peremykach-navantazhennya-clbsv-100-3p-co-i-0-ii-bez-rukoyatky-1-0-2-100a-eti" TargetMode="External"/><Relationship Id="rId205" Type="http://schemas.openxmlformats.org/officeDocument/2006/relationships/hyperlink" Target="https://001.com.ua/uk/prystriy-zahystu-vid-impulsnyh-perenaprug-pzip-ez9-1r-n-20ka-10ka-1-3kv-schneider-electric" TargetMode="External"/><Relationship Id="rId326" Type="http://schemas.openxmlformats.org/officeDocument/2006/relationships/hyperlink" Target="https://001.com.ua/uk/blok-rozpodilchyy-edbj-4x25-4x25-100a-vhid-4x25-vyhid-4x25-mm2-siryy-eti" TargetMode="External"/><Relationship Id="rId447" Type="http://schemas.openxmlformats.org/officeDocument/2006/relationships/hyperlink" Target="https://001.com.ua/uk/peremykach-navantazhennya-ssq-440-1-0-2-4p-40a-eti" TargetMode="External"/><Relationship Id="rId204" Type="http://schemas.openxmlformats.org/officeDocument/2006/relationships/hyperlink" Target="https://001.com.ua/uk/avtomatychnyy-vymykach-eb2-250-3l-3p-200a-25ka-eti" TargetMode="External"/><Relationship Id="rId325" Type="http://schemas.openxmlformats.org/officeDocument/2006/relationships/hyperlink" Target="https://001.com.ua/uk/blok-rozpodilchyy-edbm-1-160a-vyhid-1x4-50-3x2-5-25-4x2-5-16-mm2-eti" TargetMode="External"/><Relationship Id="rId446" Type="http://schemas.openxmlformats.org/officeDocument/2006/relationships/hyperlink" Target="https://001.com.ua/uk/peremykach-kulachkovyy-cs-32-53-png-3p-1-0-2-32a-v-korpusi-ip65-eti-sloveniya" TargetMode="External"/><Relationship Id="rId203" Type="http://schemas.openxmlformats.org/officeDocument/2006/relationships/hyperlink" Target="https://001.com.ua/uk/avtomatychnyy-vymykach-eb2s-160-3sf-3p-125a-25ka-eti" TargetMode="External"/><Relationship Id="rId324" Type="http://schemas.openxmlformats.org/officeDocument/2006/relationships/hyperlink" Target="https://001.com.ua/uk/shyna-nulova-e-cbs-pro-2-7-v-korpusi-na-din-reyku-2x7-grup-e-next" TargetMode="External"/><Relationship Id="rId445" Type="http://schemas.openxmlformats.org/officeDocument/2006/relationships/hyperlink" Target="https://001.com.ua/uk/vymykach-navantazhennya-vn-32-1p-63-a-iek" TargetMode="External"/><Relationship Id="rId209" Type="http://schemas.openxmlformats.org/officeDocument/2006/relationships/hyperlink" Target="https://electrocontrol.com.ua/ua/avtomaticheskie-vyklyuchateli/4673072-avtomaticheskii-vykluchatel-eti-nbs-tmd-250-3l-250a-36ka-0-8-1in-5-10in-3p" TargetMode="External"/><Relationship Id="rId208" Type="http://schemas.openxmlformats.org/officeDocument/2006/relationships/hyperlink" Target="https://001.com.ua/uk/indykator-modulnyy-na-din-reyku-son-h-3k-3-kolorovyy-led-eti" TargetMode="External"/><Relationship Id="rId329" Type="http://schemas.openxmlformats.org/officeDocument/2006/relationships/hyperlink" Target="https://001.com.ua/uk/kolodka-klemna-dilyma-10-mm2-10a-12-grup-e-tc-stand-12-10-e-next" TargetMode="External"/><Relationship Id="rId207" Type="http://schemas.openxmlformats.org/officeDocument/2006/relationships/hyperlink" Target="https://electrocontrol.com.ua/ua/avtomaticheskie-vyklyuchateli/4673071-avtomaticheskii-vykluchatel-eti-nbs-tmd-250-3l-200a-36ka-0-8-1in-5-10in-3p" TargetMode="External"/><Relationship Id="rId328" Type="http://schemas.openxmlformats.org/officeDocument/2006/relationships/hyperlink" Target="https://001.com.ua/uk/klema-sylova-vsu-70-70-mm2-bezheva-eti" TargetMode="External"/><Relationship Id="rId449" Type="http://schemas.openxmlformats.org/officeDocument/2006/relationships/hyperlink" Target="https://001.com.ua/uk/peremykach-modulnyy-him306-trypozytsiynyy-i-0-ii-3p-63a-hager" TargetMode="External"/><Relationship Id="rId440" Type="http://schemas.openxmlformats.org/officeDocument/2006/relationships/hyperlink" Target="https://001.com.ua/uk/vymykach-rozyednuvach-trypozytsiynyy-vrt-63-3p-63a-iek" TargetMode="External"/><Relationship Id="rId202" Type="http://schemas.openxmlformats.org/officeDocument/2006/relationships/hyperlink" Target="https://electrocontrol.com.ua/ua/avtomaticheskie-vyklyuchateli/4671904-avtomaticheskii-vykluchatel-eti-eb2s-160-3sa-125a-25ka-0-63-1in-fiks-3p" TargetMode="External"/><Relationship Id="rId323" Type="http://schemas.openxmlformats.org/officeDocument/2006/relationships/hyperlink" Target="https://001.com.ua/uk/shyna-nulova-v-korpusi-kros-modul-edb-207-2p-l-pe-n-125a-7-vyhodiv-eti" TargetMode="External"/><Relationship Id="rId444" Type="http://schemas.openxmlformats.org/officeDocument/2006/relationships/hyperlink" Target="https://001.com.ua/uk/vymykach-navantazhennya-vn-32-1p-40-a-iek" TargetMode="External"/><Relationship Id="rId201" Type="http://schemas.openxmlformats.org/officeDocument/2006/relationships/hyperlink" Target="https://hager-shop.com.ua/ua/avtomaticheskiy_viklyuchatel_in-25_a_3p_s_6_ka_3m_mc325a" TargetMode="External"/><Relationship Id="rId322" Type="http://schemas.openxmlformats.org/officeDocument/2006/relationships/hyperlink" Target="https://001.com.ua/uk/klema-vvidna-sylova-edbj-1x35-1x35r-125a-1000v-ac-1500v-dc-35-mm2-chervona-eti" TargetMode="External"/><Relationship Id="rId443" Type="http://schemas.openxmlformats.org/officeDocument/2006/relationships/hyperlink" Target="https://001.com.ua/uk/peremykach-navantazhennya-ssq-425-1-0-2-4p-25a-eti" TargetMode="External"/><Relationship Id="rId200" Type="http://schemas.openxmlformats.org/officeDocument/2006/relationships/hyperlink" Target="https://hager-shop.com.ua/ua/avtomaticheskiy_viklyuchatel_in-16a_3p_s_6_ka_3m_mc316a" TargetMode="External"/><Relationship Id="rId321" Type="http://schemas.openxmlformats.org/officeDocument/2006/relationships/hyperlink" Target="https://001.com.ua/uk/klema-vvidna-sylova-edbj-1x35-1x35b-125a-1000v-ac-1500v-dc-35-mm2-chorna-eti" TargetMode="External"/><Relationship Id="rId442" Type="http://schemas.openxmlformats.org/officeDocument/2006/relationships/hyperlink" Target="https://001.com.ua/uk/peremykach-sft240-i-0-ii-z-zagalnym-vyhodom-zverhu-2p-40a-230v-hager" TargetMode="External"/><Relationship Id="rId320" Type="http://schemas.openxmlformats.org/officeDocument/2006/relationships/hyperlink" Target="https://001.com.ua/uk/klema-vvidna-sylova-edbj-1x35-1x35n-125a-1000v-ac-1500v-dc-35-mm2-synya-eti" TargetMode="External"/><Relationship Id="rId441" Type="http://schemas.openxmlformats.org/officeDocument/2006/relationships/hyperlink" Target="https://001.com.ua/uk/peremykach-navantazhennya-ssq-240-1-0-2-2p-40a-eti" TargetMode="External"/><Relationship Id="rId316" Type="http://schemas.openxmlformats.org/officeDocument/2006/relationships/hyperlink" Target="https://001.com.ua/uk/gvyntovyy-kontaktnyy-zatyskach-jxb-10-35-na-din-reyku-siryy-asko-ukrem" TargetMode="External"/><Relationship Id="rId437" Type="http://schemas.openxmlformats.org/officeDocument/2006/relationships/hyperlink" Target="https://001.com.ua/uk/vymykach-navantazhennya-lbs-250-3p-1-0-250a-eti" TargetMode="External"/><Relationship Id="rId315" Type="http://schemas.openxmlformats.org/officeDocument/2006/relationships/hyperlink" Target="https://001.com.ua/uk/blok-rozpodilchyy-jhukk-80-asko-ukrem" TargetMode="External"/><Relationship Id="rId436" Type="http://schemas.openxmlformats.org/officeDocument/2006/relationships/hyperlink" Target="https://001.com.ua/uk/vymykach-navantazhennya-lbs-1000-3p-1-0-1000a-eti" TargetMode="External"/><Relationship Id="rId314" Type="http://schemas.openxmlformats.org/officeDocument/2006/relationships/hyperlink" Target="https://001.com.ua/uk/klema-vvidna-sylova-edbs-50b-150a-690v-ac-16-70-mm2-eti" TargetMode="External"/><Relationship Id="rId435" Type="http://schemas.openxmlformats.org/officeDocument/2006/relationships/hyperlink" Target="https://001.com.ua/uk/vymykach-navantazhennya-clbs-125-3p-bez-rukoyatky-1-0-125a-eti" TargetMode="External"/><Relationship Id="rId313" Type="http://schemas.openxmlformats.org/officeDocument/2006/relationships/hyperlink" Target="https://001.com.ua/uk/klema-vvidna-sylova-edbs-50b-n-150a-690v-ac-16-70-mm2-eti" TargetMode="External"/><Relationship Id="rId434" Type="http://schemas.openxmlformats.org/officeDocument/2006/relationships/hyperlink" Target="https://001.com.ua/uk/vymykach-navantazhennya-clbs-100-3p-bez-rukoyatky-1-0-100a-eti" TargetMode="External"/><Relationship Id="rId319" Type="http://schemas.openxmlformats.org/officeDocument/2006/relationships/hyperlink" Target="https://001.com.ua/uk/klema-vvidna-sylova-edbj-1x35-1x35-125a-1000v-ac-1500v-dc-35-mm2-sira-eti" TargetMode="External"/><Relationship Id="rId318" Type="http://schemas.openxmlformats.org/officeDocument/2006/relationships/hyperlink" Target="https://001.com.ua/uk/plastyna-bichna-zaglushka-2-5-mm-asko-ukrem" TargetMode="External"/><Relationship Id="rId439" Type="http://schemas.openxmlformats.org/officeDocument/2006/relationships/hyperlink" Target="https://001.com.ua/uk/vymykach-rozyednuvach-trypozytsiynyy-vrt-63-4p-25a-iek" TargetMode="External"/><Relationship Id="rId317" Type="http://schemas.openxmlformats.org/officeDocument/2006/relationships/hyperlink" Target="https://001.com.ua/uk/gvyntovyy-kontaktnyy-zatyskach-jxb-2-5-35-na-din-reyku-siryy-asko-ukrem" TargetMode="External"/><Relationship Id="rId438" Type="http://schemas.openxmlformats.org/officeDocument/2006/relationships/hyperlink" Target="https://001.com.ua/uk/vymykach-navantazhennya-lbs-400-3p-1-0-400a-eti" TargetMode="External"/><Relationship Id="rId312" Type="http://schemas.openxmlformats.org/officeDocument/2006/relationships/hyperlink" Target="https://001.com.ua/uk/klema-vvidna-sylova-edbs-50b-pe-150a-690v-ac-16-70-mm2-eti" TargetMode="External"/><Relationship Id="rId433" Type="http://schemas.openxmlformats.org/officeDocument/2006/relationships/hyperlink" Target="https://001.com.ua/uk/peremykach-navantazhennya-nh40-200-3csw-3p-200a-i-0-ii-vynosna-rukoyatka-chint" TargetMode="External"/><Relationship Id="rId311" Type="http://schemas.openxmlformats.org/officeDocument/2006/relationships/hyperlink" Target="https://001.com.ua/uk/kolodka-ts-1004-gvyntova-v-korpusi-asko-ukrem" TargetMode="External"/><Relationship Id="rId432" Type="http://schemas.openxmlformats.org/officeDocument/2006/relationships/hyperlink" Target="https://001.com.ua/uk/peremykach-navantazhennya-ssq-463-1-0-2-4p-63a-eti" TargetMode="External"/><Relationship Id="rId310" Type="http://schemas.openxmlformats.org/officeDocument/2006/relationships/hyperlink" Target="https://001.com.ua/uk/kolodka-ts-2004-gvyntova-v-korpusi-asko-ukrem" TargetMode="External"/><Relationship Id="rId431" Type="http://schemas.openxmlformats.org/officeDocument/2006/relationships/hyperlink" Target="https://001.com.ua/uk/rukoyatka-na-korpus-lbs-dh-co-630-b-chorna-dlya-lbs-160-630a-co-eti" TargetMode="External"/><Relationship Id="rId430" Type="http://schemas.openxmlformats.org/officeDocument/2006/relationships/hyperlink" Target="https://pl.hanersun.com/wp-content/uploads/download/datasheet/HItouch5N/HN18N-72HT.pd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beny.com/ru/product-item/dc-disconnect-switch-up-to-1200v-bb1h-63/" TargetMode="External"/><Relationship Id="rId2" Type="http://schemas.openxmlformats.org/officeDocument/2006/relationships/hyperlink" Target="https://www.beny.com/ru/product-item/dc-disconnect-switch-up-to-1200v-bb1h-63/" TargetMode="External"/><Relationship Id="rId3" Type="http://schemas.openxmlformats.org/officeDocument/2006/relationships/hyperlink" Target="https://mtk.com.ua/alternativnaya-energetika/oborudovanie-dlya-zaschity-po-postoyannomu-toku/derzhatel-dlya-predohranitelej-fuse-holder-br-30-1p-1000v" TargetMode="External"/><Relationship Id="rId4" Type="http://schemas.openxmlformats.org/officeDocument/2006/relationships/hyperlink" Target="https://001.com.ua/uk/trymach-plavkoyi-vstavky-rozyednuvach-efh-10-2p-25a-1000v-dc-eti" TargetMode="External"/><Relationship Id="rId5" Type="http://schemas.openxmlformats.org/officeDocument/2006/relationships/hyperlink" Target="https://www.beny.com/la/product-item/dc-spd-type2-up-to-1000v-bud-40-2/" TargetMode="External"/><Relationship Id="rId6" Type="http://schemas.openxmlformats.org/officeDocument/2006/relationships/hyperlink" Target="https://001.com.ua/uk/obmezhuvach-perenaprugy-etitec-m-t2-pv-1100-20-y-dlya-pv-system-eti" TargetMode="External"/><Relationship Id="rId7" Type="http://schemas.openxmlformats.org/officeDocument/2006/relationships/hyperlink" Target="https://generacia.energy/ru/product/zarjadnaja-stancija-yoobao-en1200q/" TargetMode="External"/><Relationship Id="rId8" Type="http://schemas.openxmlformats.org/officeDocument/2006/relationships/drawing" Target="../drawings/drawing21.xml"/><Relationship Id="rId10"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95959"/>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29"/>
    <col customWidth="1" min="2" max="2" width="29.0"/>
    <col customWidth="1" min="3" max="3" width="13.71"/>
    <col customWidth="1" min="4" max="4" width="15.14"/>
    <col customWidth="1" min="5" max="7" width="13.71"/>
    <col customWidth="1" min="8" max="8" width="15.57"/>
    <col customWidth="1" min="9" max="9" width="18.29"/>
    <col customWidth="1" min="10" max="10" width="16.14"/>
    <col customWidth="1" min="11" max="11" width="14.57"/>
    <col customWidth="1" min="12" max="13" width="16.14"/>
    <col customWidth="1" min="14" max="14" width="13.71"/>
    <col customWidth="1" min="15" max="16" width="14.29"/>
    <col customWidth="1" min="17" max="17" width="51.86"/>
    <col customWidth="1" min="18" max="18" width="47.86"/>
    <col customWidth="1" min="19" max="19" width="14.29"/>
    <col customWidth="1" min="20" max="20" width="16.43"/>
    <col customWidth="1" min="21" max="21" width="14.14"/>
    <col customWidth="1" min="22" max="22" width="17.0"/>
    <col customWidth="1" min="23" max="24" width="14.29"/>
    <col customWidth="1" min="25" max="25" width="14.43"/>
    <col customWidth="1" min="26" max="30" width="14.29"/>
  </cols>
  <sheetData>
    <row r="1" ht="21.75" customHeight="1">
      <c r="A1" s="1"/>
      <c r="B1" s="2" t="s">
        <v>0</v>
      </c>
      <c r="C1" s="3"/>
      <c r="D1" s="3"/>
      <c r="E1" s="3"/>
      <c r="F1" s="3"/>
      <c r="G1" s="3" t="s">
        <v>1</v>
      </c>
      <c r="H1" s="4" t="s">
        <v>2</v>
      </c>
      <c r="I1" s="4" t="s">
        <v>3</v>
      </c>
      <c r="J1" s="4" t="s">
        <v>4</v>
      </c>
      <c r="K1" s="5" t="s">
        <v>5</v>
      </c>
      <c r="L1" s="5" t="s">
        <v>6</v>
      </c>
      <c r="M1" s="4" t="s">
        <v>7</v>
      </c>
      <c r="N1" s="6" t="s">
        <v>8</v>
      </c>
      <c r="O1" s="7"/>
      <c r="P1" s="8"/>
      <c r="S1" s="9" t="s">
        <v>9</v>
      </c>
      <c r="Z1" s="7"/>
      <c r="AA1" s="7"/>
      <c r="AB1" s="7"/>
      <c r="AC1" s="7"/>
      <c r="AD1" s="7"/>
    </row>
    <row r="2" ht="21.75" customHeight="1">
      <c r="A2" s="10"/>
      <c r="B2" s="11" t="s">
        <v>10</v>
      </c>
      <c r="C2" s="12"/>
      <c r="D2" s="12"/>
      <c r="E2" s="12"/>
      <c r="F2" s="12"/>
      <c r="G2" s="12"/>
      <c r="H2" s="13"/>
      <c r="I2" s="14" t="str">
        <f>SUM(I3:I11)</f>
        <v>#REF!</v>
      </c>
      <c r="J2" s="14"/>
      <c r="K2" s="12"/>
      <c r="L2" s="14" t="str">
        <f>SUM(L3:L11)</f>
        <v>#REF!</v>
      </c>
      <c r="M2" s="14" t="str">
        <f t="shared" ref="M2:M6" si="1">L2-I2</f>
        <v>#REF!</v>
      </c>
      <c r="N2" s="15" t="str">
        <f>M2/L2</f>
        <v>#REF!</v>
      </c>
      <c r="O2" s="16"/>
      <c r="P2" s="17"/>
      <c r="S2" s="18"/>
      <c r="Z2" s="16"/>
      <c r="AA2" s="16"/>
      <c r="AB2" s="16"/>
      <c r="AC2" s="16"/>
      <c r="AD2" s="16"/>
    </row>
    <row r="3" ht="26.25" customHeight="1">
      <c r="A3" s="19">
        <v>1.0</v>
      </c>
      <c r="B3" s="20" t="str">
        <f>'КОШТОРИС'!B6</f>
        <v>#REF!</v>
      </c>
      <c r="C3" s="21"/>
      <c r="D3" s="21"/>
      <c r="E3" s="21"/>
      <c r="F3" s="22"/>
      <c r="G3" s="23" t="str">
        <f>'КОШТОРИС'!C6</f>
        <v>#REF!</v>
      </c>
      <c r="H3" s="24" t="str">
        <f>'КОШТОРИС'!E6</f>
        <v>#REF!</v>
      </c>
      <c r="I3" s="24" t="str">
        <f t="shared" ref="I3:I6" si="2">G3*H3</f>
        <v>#REF!</v>
      </c>
      <c r="J3" s="25"/>
      <c r="K3" s="24">
        <f>0.24*580</f>
        <v>139.2</v>
      </c>
      <c r="L3" s="26" t="str">
        <f t="shared" ref="L3:L6" si="3">K3*G3</f>
        <v>#REF!</v>
      </c>
      <c r="M3" s="26" t="str">
        <f t="shared" si="1"/>
        <v>#REF!</v>
      </c>
      <c r="N3" s="27" t="str">
        <f t="shared" ref="N3:N6" si="4">IF(I3=0,0,L3/I3-100%)</f>
        <v>#REF!</v>
      </c>
      <c r="O3" s="16"/>
      <c r="P3" s="17"/>
      <c r="S3" s="18"/>
      <c r="Z3" s="16"/>
      <c r="AA3" s="16"/>
      <c r="AB3" s="16"/>
      <c r="AC3" s="16"/>
      <c r="AD3" s="16"/>
    </row>
    <row r="4" ht="24.75" customHeight="1">
      <c r="A4" s="19">
        <v>2.0</v>
      </c>
      <c r="B4" s="20" t="str">
        <f>'КОШТОРИС'!B10</f>
        <v>#REF!</v>
      </c>
      <c r="C4" s="21"/>
      <c r="D4" s="21"/>
      <c r="E4" s="21"/>
      <c r="F4" s="22"/>
      <c r="G4" s="23" t="str">
        <f>'КОШТОРИС'!C10</f>
        <v>#REF!</v>
      </c>
      <c r="H4" s="24">
        <v>2420.0</v>
      </c>
      <c r="I4" s="24" t="str">
        <f t="shared" si="2"/>
        <v>#REF!</v>
      </c>
      <c r="J4" s="25">
        <v>0.1</v>
      </c>
      <c r="K4" s="24">
        <f t="shared" ref="K4:K6" si="5">H4+(H4*J4)</f>
        <v>2662</v>
      </c>
      <c r="L4" s="26" t="str">
        <f t="shared" si="3"/>
        <v>#REF!</v>
      </c>
      <c r="M4" s="26" t="str">
        <f t="shared" si="1"/>
        <v>#REF!</v>
      </c>
      <c r="N4" s="27" t="str">
        <f t="shared" si="4"/>
        <v>#REF!</v>
      </c>
      <c r="O4" s="16" t="s">
        <v>11</v>
      </c>
      <c r="P4" s="17"/>
      <c r="S4" s="18" t="s">
        <v>11</v>
      </c>
      <c r="Z4" s="16"/>
      <c r="AA4" s="16"/>
      <c r="AB4" s="16"/>
      <c r="AC4" s="16"/>
      <c r="AD4" s="16"/>
    </row>
    <row r="5" ht="15.75" customHeight="1">
      <c r="A5" s="19">
        <v>3.0</v>
      </c>
      <c r="B5" s="20" t="str">
        <f>'КОШТОРИС'!B30</f>
        <v>#REF!</v>
      </c>
      <c r="C5" s="21"/>
      <c r="D5" s="21"/>
      <c r="E5" s="21"/>
      <c r="F5" s="22"/>
      <c r="G5" s="28" t="str">
        <f>'КОШТОРИС'!C30</f>
        <v>#REF!</v>
      </c>
      <c r="H5" s="24" t="str">
        <f>'КОШТОРИС'!E30</f>
        <v>#REF!</v>
      </c>
      <c r="I5" s="24" t="str">
        <f t="shared" si="2"/>
        <v>#REF!</v>
      </c>
      <c r="J5" s="25">
        <v>0.1</v>
      </c>
      <c r="K5" s="24" t="str">
        <f t="shared" si="5"/>
        <v>#REF!</v>
      </c>
      <c r="L5" s="26" t="str">
        <f t="shared" si="3"/>
        <v>#REF!</v>
      </c>
      <c r="M5" s="26" t="str">
        <f t="shared" si="1"/>
        <v>#REF!</v>
      </c>
      <c r="N5" s="27" t="str">
        <f t="shared" si="4"/>
        <v>#REF!</v>
      </c>
      <c r="O5" s="16" t="s">
        <v>11</v>
      </c>
      <c r="P5" s="17"/>
      <c r="S5" s="18" t="s">
        <v>11</v>
      </c>
      <c r="Z5" s="16"/>
      <c r="AA5" s="16"/>
      <c r="AB5" s="16"/>
      <c r="AC5" s="16"/>
      <c r="AD5" s="16"/>
    </row>
    <row r="6" ht="21.75" customHeight="1">
      <c r="A6" s="19">
        <v>4.0</v>
      </c>
      <c r="B6" s="20" t="str">
        <f>'КОШТОРИС'!B27</f>
        <v>#REF!</v>
      </c>
      <c r="C6" s="21"/>
      <c r="D6" s="21"/>
      <c r="E6" s="21"/>
      <c r="F6" s="22"/>
      <c r="G6" s="23">
        <v>1.0</v>
      </c>
      <c r="H6" s="24" t="str">
        <f>'КОШТОРИС'!E27</f>
        <v>#REF!</v>
      </c>
      <c r="I6" s="24" t="str">
        <f t="shared" si="2"/>
        <v>#REF!</v>
      </c>
      <c r="J6" s="25">
        <v>0.1</v>
      </c>
      <c r="K6" s="24" t="str">
        <f t="shared" si="5"/>
        <v>#REF!</v>
      </c>
      <c r="L6" s="26" t="str">
        <f t="shared" si="3"/>
        <v>#REF!</v>
      </c>
      <c r="M6" s="26" t="str">
        <f t="shared" si="1"/>
        <v>#REF!</v>
      </c>
      <c r="N6" s="27" t="str">
        <f t="shared" si="4"/>
        <v>#REF!</v>
      </c>
      <c r="O6" s="29"/>
      <c r="P6" s="17"/>
      <c r="S6" s="18" t="s">
        <v>11</v>
      </c>
      <c r="Z6" s="16"/>
      <c r="AA6" s="16"/>
      <c r="AB6" s="16"/>
      <c r="AC6" s="16"/>
      <c r="AD6" s="16"/>
    </row>
    <row r="7" ht="21.75" customHeight="1">
      <c r="A7" s="19">
        <v>5.0</v>
      </c>
      <c r="B7" s="20"/>
      <c r="C7" s="21"/>
      <c r="D7" s="21"/>
      <c r="E7" s="21"/>
      <c r="F7" s="22"/>
      <c r="G7" s="23"/>
      <c r="H7" s="24"/>
      <c r="I7" s="24"/>
      <c r="J7" s="25"/>
      <c r="K7" s="24"/>
      <c r="L7" s="26"/>
      <c r="M7" s="26"/>
      <c r="N7" s="27"/>
      <c r="O7" s="29"/>
      <c r="P7" s="17"/>
      <c r="S7" s="18"/>
      <c r="Z7" s="16"/>
      <c r="AA7" s="16"/>
      <c r="AB7" s="16"/>
      <c r="AC7" s="16"/>
      <c r="AD7" s="16"/>
    </row>
    <row r="8" ht="21.75" customHeight="1">
      <c r="A8" s="19"/>
      <c r="B8" s="20"/>
      <c r="C8" s="21"/>
      <c r="D8" s="21"/>
      <c r="E8" s="21"/>
      <c r="F8" s="22"/>
      <c r="G8" s="23"/>
      <c r="H8" s="24"/>
      <c r="I8" s="24"/>
      <c r="J8" s="25"/>
      <c r="K8" s="24"/>
      <c r="L8" s="26"/>
      <c r="M8" s="26"/>
      <c r="N8" s="27"/>
      <c r="O8" s="29"/>
      <c r="P8" s="17"/>
      <c r="S8" s="18"/>
      <c r="Z8" s="16"/>
      <c r="AA8" s="16"/>
      <c r="AB8" s="16"/>
      <c r="AC8" s="16"/>
      <c r="AD8" s="16"/>
    </row>
    <row r="9" ht="21.75" customHeight="1">
      <c r="A9" s="19"/>
      <c r="B9" s="20"/>
      <c r="C9" s="21"/>
      <c r="D9" s="21"/>
      <c r="E9" s="21"/>
      <c r="F9" s="22"/>
      <c r="G9" s="23"/>
      <c r="H9" s="24"/>
      <c r="I9" s="24"/>
      <c r="J9" s="25"/>
      <c r="K9" s="24"/>
      <c r="L9" s="26"/>
      <c r="M9" s="26"/>
      <c r="N9" s="27"/>
      <c r="O9" s="29"/>
      <c r="P9" s="17"/>
      <c r="S9" s="18"/>
      <c r="Z9" s="16"/>
      <c r="AA9" s="16"/>
      <c r="AB9" s="16"/>
      <c r="AC9" s="16"/>
      <c r="AD9" s="16"/>
    </row>
    <row r="10" ht="38.25" customHeight="1">
      <c r="A10" s="10"/>
      <c r="B10" s="11" t="s">
        <v>12</v>
      </c>
      <c r="C10" s="12"/>
      <c r="D10" s="12"/>
      <c r="E10" s="12"/>
      <c r="F10" s="12"/>
      <c r="G10" s="12"/>
      <c r="H10" s="30"/>
      <c r="I10" s="14" t="str">
        <f>SUM(I12:I20)</f>
        <v>#REF!</v>
      </c>
      <c r="J10" s="14"/>
      <c r="K10" s="31"/>
      <c r="L10" s="14" t="str">
        <f>SUM(L12:L20)</f>
        <v>#REF!</v>
      </c>
      <c r="M10" s="14" t="str">
        <f t="shared" ref="M10:M13" si="6">L10-I10</f>
        <v>#REF!</v>
      </c>
      <c r="N10" s="15" t="str">
        <f>M10/L10</f>
        <v>#REF!</v>
      </c>
      <c r="O10" s="16"/>
      <c r="P10" s="17"/>
      <c r="S10" s="32"/>
      <c r="Z10" s="16"/>
      <c r="AA10" s="16"/>
      <c r="AB10" s="16"/>
      <c r="AC10" s="16"/>
      <c r="AD10" s="16"/>
    </row>
    <row r="11" ht="18.0" customHeight="1">
      <c r="A11" s="19">
        <v>1.0</v>
      </c>
      <c r="B11" s="33" t="s">
        <v>13</v>
      </c>
      <c r="C11" s="23"/>
      <c r="D11" s="23"/>
      <c r="E11" s="23"/>
      <c r="F11" s="23"/>
      <c r="G11" s="23">
        <v>60.0</v>
      </c>
      <c r="H11" s="24" t="str">
        <f>'КОШТОРИС'!E36</f>
        <v>#REF!</v>
      </c>
      <c r="I11" s="24" t="str">
        <f>'КОШТОРИС'!G35</f>
        <v>#REF!</v>
      </c>
      <c r="J11" s="25">
        <v>0.3</v>
      </c>
      <c r="K11" s="24" t="str">
        <f t="shared" ref="K11:K13" si="7">H11+(H11*J11)</f>
        <v>#REF!</v>
      </c>
      <c r="L11" s="26" t="str">
        <f t="shared" ref="L11:L13" si="8">K11*G11</f>
        <v>#REF!</v>
      </c>
      <c r="M11" s="26" t="str">
        <f t="shared" si="6"/>
        <v>#REF!</v>
      </c>
      <c r="N11" s="27" t="str">
        <f t="shared" ref="N11:N13" si="9">IF(I11=0,0,L11/I11-100%)</f>
        <v>#REF!</v>
      </c>
      <c r="O11" s="16" t="s">
        <v>11</v>
      </c>
      <c r="P11" s="17"/>
      <c r="S11" s="18" t="s">
        <v>11</v>
      </c>
      <c r="Z11" s="16"/>
      <c r="AA11" s="16"/>
      <c r="AB11" s="16"/>
      <c r="AC11" s="16"/>
      <c r="AD11" s="16"/>
    </row>
    <row r="12" ht="18.0" customHeight="1">
      <c r="A12" s="19">
        <v>2.0</v>
      </c>
      <c r="B12" s="33" t="str">
        <f>'КОШТОРИС'!B51</f>
        <v>#REF!</v>
      </c>
      <c r="C12" s="34"/>
      <c r="D12" s="34"/>
      <c r="E12" s="34"/>
      <c r="F12" s="34"/>
      <c r="G12" s="34">
        <v>1.0</v>
      </c>
      <c r="H12" s="35" t="str">
        <f>'КОШТОРИС'!G51</f>
        <v>#REF!</v>
      </c>
      <c r="I12" s="24" t="str">
        <f t="shared" ref="I12:I13" si="10">G12*H12</f>
        <v>#REF!</v>
      </c>
      <c r="J12" s="25">
        <v>1.0</v>
      </c>
      <c r="K12" s="36" t="str">
        <f t="shared" si="7"/>
        <v>#REF!</v>
      </c>
      <c r="L12" s="26" t="str">
        <f t="shared" si="8"/>
        <v>#REF!</v>
      </c>
      <c r="M12" s="26" t="str">
        <f t="shared" si="6"/>
        <v>#REF!</v>
      </c>
      <c r="N12" s="27" t="str">
        <f t="shared" si="9"/>
        <v>#REF!</v>
      </c>
      <c r="O12" s="16"/>
      <c r="P12" s="17"/>
      <c r="S12" s="37"/>
      <c r="Z12" s="16"/>
      <c r="AA12" s="16"/>
      <c r="AB12" s="16"/>
      <c r="AC12" s="16"/>
      <c r="AD12" s="16"/>
    </row>
    <row r="13" ht="18.0" customHeight="1">
      <c r="A13" s="19">
        <v>3.0</v>
      </c>
      <c r="B13" s="33" t="str">
        <f>'КОШТОРИС'!B68</f>
        <v>#REF!</v>
      </c>
      <c r="C13" s="34"/>
      <c r="D13" s="34"/>
      <c r="E13" s="34"/>
      <c r="F13" s="34"/>
      <c r="G13" s="34">
        <v>1.0</v>
      </c>
      <c r="H13" s="35" t="str">
        <f>'КОШТОРИС'!G68</f>
        <v>#REF!</v>
      </c>
      <c r="I13" s="24" t="str">
        <f t="shared" si="10"/>
        <v>#REF!</v>
      </c>
      <c r="J13" s="25">
        <v>0.3</v>
      </c>
      <c r="K13" s="36" t="str">
        <f t="shared" si="7"/>
        <v>#REF!</v>
      </c>
      <c r="L13" s="26" t="str">
        <f t="shared" si="8"/>
        <v>#REF!</v>
      </c>
      <c r="M13" s="26" t="str">
        <f t="shared" si="6"/>
        <v>#REF!</v>
      </c>
      <c r="N13" s="27" t="str">
        <f t="shared" si="9"/>
        <v>#REF!</v>
      </c>
      <c r="O13" s="16" t="s">
        <v>11</v>
      </c>
      <c r="P13" s="17"/>
      <c r="S13" s="37" t="s">
        <v>11</v>
      </c>
      <c r="Z13" s="16"/>
      <c r="AA13" s="16"/>
      <c r="AB13" s="16"/>
      <c r="AC13" s="16"/>
      <c r="AD13" s="16"/>
    </row>
    <row r="14" ht="18.0" customHeight="1">
      <c r="A14" s="19">
        <v>4.0</v>
      </c>
      <c r="B14" s="33" t="s">
        <v>14</v>
      </c>
      <c r="C14" s="34"/>
      <c r="D14" s="34"/>
      <c r="E14" s="34"/>
      <c r="F14" s="34"/>
      <c r="G14" s="34"/>
      <c r="H14" s="35"/>
      <c r="I14" s="24"/>
      <c r="J14" s="25"/>
      <c r="K14" s="36"/>
      <c r="L14" s="26"/>
      <c r="M14" s="26"/>
      <c r="N14" s="27"/>
      <c r="O14" s="16"/>
      <c r="P14" s="17"/>
      <c r="S14" s="37" t="s">
        <v>11</v>
      </c>
      <c r="Z14" s="16"/>
      <c r="AA14" s="16"/>
      <c r="AB14" s="16"/>
      <c r="AC14" s="16"/>
      <c r="AD14" s="16"/>
    </row>
    <row r="15" ht="18.0" customHeight="1">
      <c r="A15" s="19">
        <v>5.0</v>
      </c>
      <c r="B15" s="38" t="s">
        <v>15</v>
      </c>
      <c r="C15" s="34"/>
      <c r="D15" s="34"/>
      <c r="E15" s="34"/>
      <c r="F15" s="34"/>
      <c r="G15" s="34"/>
      <c r="H15" s="35"/>
      <c r="I15" s="24"/>
      <c r="J15" s="25"/>
      <c r="K15" s="36"/>
      <c r="L15" s="26"/>
      <c r="M15" s="26"/>
      <c r="N15" s="27"/>
      <c r="O15" s="16" t="s">
        <v>11</v>
      </c>
      <c r="P15" s="17"/>
      <c r="S15" s="37" t="s">
        <v>11</v>
      </c>
      <c r="Z15" s="16"/>
      <c r="AA15" s="16"/>
      <c r="AB15" s="16"/>
      <c r="AC15" s="16"/>
      <c r="AD15" s="16"/>
    </row>
    <row r="16" ht="18.0" customHeight="1">
      <c r="A16" s="19">
        <v>6.0</v>
      </c>
      <c r="B16" s="33" t="s">
        <v>16</v>
      </c>
      <c r="C16" s="34"/>
      <c r="D16" s="34"/>
      <c r="E16" s="34"/>
      <c r="F16" s="34"/>
      <c r="G16" s="34">
        <v>1.0</v>
      </c>
      <c r="H16" s="35" t="str">
        <f>'КОШТОРИС'!G107</f>
        <v>#REF!</v>
      </c>
      <c r="I16" s="24" t="str">
        <f>G16*H16</f>
        <v>#REF!</v>
      </c>
      <c r="J16" s="25">
        <v>0.3</v>
      </c>
      <c r="K16" s="36" t="str">
        <f>H16+(H16*J16)</f>
        <v>#REF!</v>
      </c>
      <c r="L16" s="26" t="str">
        <f>K16*G16</f>
        <v>#REF!</v>
      </c>
      <c r="M16" s="26" t="str">
        <f>L16-I16</f>
        <v>#REF!</v>
      </c>
      <c r="N16" s="27" t="str">
        <f>IF(I16=0,0,L16/I16-100%)</f>
        <v>#REF!</v>
      </c>
      <c r="O16" s="16" t="s">
        <v>11</v>
      </c>
      <c r="P16" s="17"/>
      <c r="S16" s="37" t="s">
        <v>11</v>
      </c>
      <c r="Z16" s="16"/>
      <c r="AA16" s="16"/>
      <c r="AB16" s="16"/>
      <c r="AC16" s="16"/>
      <c r="AD16" s="16"/>
    </row>
    <row r="17" ht="18.0" customHeight="1">
      <c r="A17" s="19">
        <v>7.0</v>
      </c>
      <c r="B17" s="33" t="s">
        <v>17</v>
      </c>
      <c r="C17" s="34"/>
      <c r="D17" s="34"/>
      <c r="E17" s="34"/>
      <c r="F17" s="34"/>
      <c r="G17" s="34"/>
      <c r="H17" s="35"/>
      <c r="I17" s="24"/>
      <c r="J17" s="25"/>
      <c r="K17" s="36"/>
      <c r="L17" s="26"/>
      <c r="M17" s="26"/>
      <c r="N17" s="27"/>
      <c r="O17" s="16"/>
      <c r="P17" s="17"/>
      <c r="S17" s="37"/>
      <c r="Z17" s="16"/>
      <c r="AA17" s="16"/>
      <c r="AB17" s="16"/>
      <c r="AC17" s="16"/>
      <c r="AD17" s="16"/>
    </row>
    <row r="18" ht="18.0" customHeight="1">
      <c r="A18" s="19">
        <v>8.0</v>
      </c>
      <c r="B18" s="33" t="str">
        <f>'КОШТОРИС'!B112</f>
        <v>#REF!</v>
      </c>
      <c r="C18" s="34"/>
      <c r="D18" s="34"/>
      <c r="E18" s="34"/>
      <c r="F18" s="34"/>
      <c r="G18" s="34">
        <v>1.0</v>
      </c>
      <c r="H18" s="35" t="str">
        <f>'КОШТОРИС'!G112</f>
        <v>#REF!</v>
      </c>
      <c r="I18" s="24" t="str">
        <f>G18*H18</f>
        <v>#REF!</v>
      </c>
      <c r="J18" s="25">
        <v>0.3</v>
      </c>
      <c r="K18" s="36" t="str">
        <f>H18+(H18*J18)</f>
        <v>#REF!</v>
      </c>
      <c r="L18" s="26" t="str">
        <f>K18*G18</f>
        <v>#REF!</v>
      </c>
      <c r="M18" s="26" t="str">
        <f>L18-I18</f>
        <v>#REF!</v>
      </c>
      <c r="N18" s="27" t="str">
        <f>IF(I18=0,0,L18/I18-100%)</f>
        <v>#REF!</v>
      </c>
      <c r="O18" s="16" t="s">
        <v>11</v>
      </c>
      <c r="P18" s="17"/>
      <c r="S18" s="37" t="s">
        <v>11</v>
      </c>
      <c r="Z18" s="16"/>
      <c r="AA18" s="16"/>
      <c r="AB18" s="16"/>
      <c r="AC18" s="16"/>
      <c r="AD18" s="16"/>
    </row>
    <row r="19" ht="18.0" customHeight="1">
      <c r="A19" s="19">
        <v>9.0</v>
      </c>
      <c r="B19" s="33" t="s">
        <v>18</v>
      </c>
      <c r="C19" s="34"/>
      <c r="D19" s="34"/>
      <c r="E19" s="34"/>
      <c r="F19" s="34"/>
      <c r="G19" s="34"/>
      <c r="H19" s="35"/>
      <c r="I19" s="24"/>
      <c r="J19" s="25"/>
      <c r="K19" s="36"/>
      <c r="L19" s="26"/>
      <c r="M19" s="26"/>
      <c r="N19" s="27"/>
      <c r="O19" s="16"/>
      <c r="P19" s="17"/>
      <c r="S19" s="37"/>
      <c r="Z19" s="16"/>
      <c r="AA19" s="16"/>
      <c r="AB19" s="16"/>
      <c r="AC19" s="16"/>
      <c r="AD19" s="16"/>
    </row>
    <row r="20" ht="21.75" customHeight="1">
      <c r="A20" s="10"/>
      <c r="B20" s="11" t="s">
        <v>19</v>
      </c>
      <c r="C20" s="12"/>
      <c r="D20" s="12"/>
      <c r="E20" s="12"/>
      <c r="F20" s="12"/>
      <c r="G20" s="12"/>
      <c r="H20" s="30"/>
      <c r="I20" s="14" t="str">
        <f>SUM(I21:I22)</f>
        <v>#REF!</v>
      </c>
      <c r="J20" s="14"/>
      <c r="K20" s="31"/>
      <c r="L20" s="14" t="str">
        <f>SUM(L21:L25)</f>
        <v>#REF!</v>
      </c>
      <c r="M20" s="14" t="str">
        <f t="shared" ref="M20:M25" si="11">L20-I20</f>
        <v>#REF!</v>
      </c>
      <c r="N20" s="15" t="str">
        <f>M20/L20</f>
        <v>#REF!</v>
      </c>
      <c r="O20" s="16"/>
      <c r="P20" s="17"/>
      <c r="S20" s="16"/>
      <c r="T20" s="16"/>
      <c r="U20" s="16"/>
      <c r="V20" s="16"/>
      <c r="W20" s="16"/>
      <c r="X20" s="16"/>
      <c r="Y20" s="16"/>
      <c r="Z20" s="16"/>
      <c r="AA20" s="16"/>
      <c r="AB20" s="16"/>
      <c r="AC20" s="16"/>
      <c r="AD20" s="16"/>
    </row>
    <row r="21" ht="18.0" customHeight="1">
      <c r="A21" s="19">
        <v>1.0</v>
      </c>
      <c r="B21" s="39" t="str">
        <f t="shared" ref="B21:B25" si="12">'КОШТОРИС'!B145</f>
        <v>#REF!</v>
      </c>
      <c r="C21" s="40"/>
      <c r="D21" s="40"/>
      <c r="E21" s="40"/>
      <c r="F21" s="40"/>
      <c r="G21" s="40">
        <f t="shared" ref="G21:G25" si="13">1</f>
        <v>1</v>
      </c>
      <c r="H21" s="41" t="str">
        <f t="shared" ref="H21:H25" si="14">'КОШТОРИС'!G145</f>
        <v>#REF!</v>
      </c>
      <c r="I21" s="24" t="str">
        <f t="shared" ref="I21:I25" si="15">G21*H21</f>
        <v>#REF!</v>
      </c>
      <c r="J21" s="25">
        <v>0.5</v>
      </c>
      <c r="K21" s="36" t="str">
        <f t="shared" ref="K21:K25" si="16">H21+(H21*J21)</f>
        <v>#REF!</v>
      </c>
      <c r="L21" s="42" t="str">
        <f t="shared" ref="L21:L25" si="17">K21*G21</f>
        <v>#REF!</v>
      </c>
      <c r="M21" s="26" t="str">
        <f t="shared" si="11"/>
        <v>#REF!</v>
      </c>
      <c r="N21" s="27" t="str">
        <f t="shared" ref="N21:N25" si="18">IF(I21=0,0,L21/I21-100%)</f>
        <v>#REF!</v>
      </c>
      <c r="O21" s="16"/>
      <c r="P21" s="17"/>
      <c r="S21" s="18"/>
      <c r="T21" s="18"/>
      <c r="U21" s="16"/>
      <c r="V21" s="16"/>
      <c r="W21" s="16"/>
      <c r="X21" s="16"/>
      <c r="Y21" s="16"/>
      <c r="Z21" s="16"/>
      <c r="AA21" s="16"/>
      <c r="AB21" s="16"/>
      <c r="AC21" s="16"/>
      <c r="AD21" s="16"/>
    </row>
    <row r="22" ht="18.0" customHeight="1">
      <c r="A22" s="19">
        <v>2.0</v>
      </c>
      <c r="B22" s="39" t="str">
        <f t="shared" si="12"/>
        <v>#REF!</v>
      </c>
      <c r="C22" s="40"/>
      <c r="D22" s="40"/>
      <c r="E22" s="40"/>
      <c r="F22" s="40"/>
      <c r="G22" s="40">
        <f t="shared" si="13"/>
        <v>1</v>
      </c>
      <c r="H22" s="41" t="str">
        <f t="shared" si="14"/>
        <v>#REF!</v>
      </c>
      <c r="I22" s="24" t="str">
        <f t="shared" si="15"/>
        <v>#REF!</v>
      </c>
      <c r="J22" s="25">
        <v>0.5</v>
      </c>
      <c r="K22" s="36" t="str">
        <f t="shared" si="16"/>
        <v>#REF!</v>
      </c>
      <c r="L22" s="42" t="str">
        <f t="shared" si="17"/>
        <v>#REF!</v>
      </c>
      <c r="M22" s="26" t="str">
        <f t="shared" si="11"/>
        <v>#REF!</v>
      </c>
      <c r="N22" s="27" t="str">
        <f t="shared" si="18"/>
        <v>#REF!</v>
      </c>
      <c r="O22" s="16"/>
      <c r="P22" s="17"/>
      <c r="S22" s="18"/>
      <c r="T22" s="18"/>
      <c r="U22" s="16"/>
      <c r="V22" s="16"/>
      <c r="W22" s="16"/>
      <c r="X22" s="16"/>
      <c r="Y22" s="16"/>
      <c r="Z22" s="16"/>
      <c r="AA22" s="16"/>
      <c r="AB22" s="16"/>
      <c r="AC22" s="16"/>
      <c r="AD22" s="16"/>
    </row>
    <row r="23" ht="18.0" customHeight="1">
      <c r="A23" s="19">
        <v>3.0</v>
      </c>
      <c r="B23" s="39" t="str">
        <f t="shared" si="12"/>
        <v>#REF!</v>
      </c>
      <c r="C23" s="40"/>
      <c r="D23" s="40"/>
      <c r="E23" s="40"/>
      <c r="F23" s="40"/>
      <c r="G23" s="40">
        <f t="shared" si="13"/>
        <v>1</v>
      </c>
      <c r="H23" s="41" t="str">
        <f t="shared" si="14"/>
        <v>#REF!</v>
      </c>
      <c r="I23" s="24" t="str">
        <f t="shared" si="15"/>
        <v>#REF!</v>
      </c>
      <c r="J23" s="25">
        <v>0.0</v>
      </c>
      <c r="K23" s="36" t="str">
        <f t="shared" si="16"/>
        <v>#REF!</v>
      </c>
      <c r="L23" s="42" t="str">
        <f t="shared" si="17"/>
        <v>#REF!</v>
      </c>
      <c r="M23" s="26" t="str">
        <f t="shared" si="11"/>
        <v>#REF!</v>
      </c>
      <c r="N23" s="27" t="str">
        <f t="shared" si="18"/>
        <v>#REF!</v>
      </c>
      <c r="O23" s="16"/>
      <c r="P23" s="17"/>
      <c r="S23" s="18"/>
      <c r="T23" s="18"/>
      <c r="U23" s="16"/>
      <c r="V23" s="16"/>
      <c r="W23" s="16"/>
      <c r="X23" s="16"/>
      <c r="Y23" s="16"/>
      <c r="Z23" s="16"/>
      <c r="AA23" s="16"/>
      <c r="AB23" s="16"/>
      <c r="AC23" s="16"/>
      <c r="AD23" s="16"/>
    </row>
    <row r="24" ht="18.0" customHeight="1">
      <c r="A24" s="19">
        <v>4.0</v>
      </c>
      <c r="B24" s="39" t="str">
        <f t="shared" si="12"/>
        <v>#REF!</v>
      </c>
      <c r="C24" s="40"/>
      <c r="D24" s="40"/>
      <c r="E24" s="40"/>
      <c r="F24" s="40"/>
      <c r="G24" s="40">
        <f t="shared" si="13"/>
        <v>1</v>
      </c>
      <c r="H24" s="41" t="str">
        <f t="shared" si="14"/>
        <v>#REF!</v>
      </c>
      <c r="I24" s="24" t="str">
        <f t="shared" si="15"/>
        <v>#REF!</v>
      </c>
      <c r="J24" s="25">
        <v>0.0</v>
      </c>
      <c r="K24" s="36" t="str">
        <f t="shared" si="16"/>
        <v>#REF!</v>
      </c>
      <c r="L24" s="42" t="str">
        <f t="shared" si="17"/>
        <v>#REF!</v>
      </c>
      <c r="M24" s="26" t="str">
        <f t="shared" si="11"/>
        <v>#REF!</v>
      </c>
      <c r="N24" s="27" t="str">
        <f t="shared" si="18"/>
        <v>#REF!</v>
      </c>
      <c r="O24" s="16"/>
      <c r="P24" s="17"/>
      <c r="S24" s="18"/>
      <c r="T24" s="18"/>
      <c r="U24" s="16"/>
      <c r="V24" s="16"/>
      <c r="W24" s="16"/>
      <c r="X24" s="16"/>
      <c r="Y24" s="16"/>
      <c r="Z24" s="16"/>
      <c r="AA24" s="16"/>
      <c r="AB24" s="16"/>
      <c r="AC24" s="16"/>
      <c r="AD24" s="16"/>
    </row>
    <row r="25" ht="18.0" customHeight="1">
      <c r="A25" s="19">
        <v>5.0</v>
      </c>
      <c r="B25" s="39" t="str">
        <f t="shared" si="12"/>
        <v>#REF!</v>
      </c>
      <c r="C25" s="40"/>
      <c r="D25" s="40"/>
      <c r="E25" s="40"/>
      <c r="F25" s="40"/>
      <c r="G25" s="40">
        <f t="shared" si="13"/>
        <v>1</v>
      </c>
      <c r="H25" s="41" t="str">
        <f t="shared" si="14"/>
        <v>#REF!</v>
      </c>
      <c r="I25" s="24" t="str">
        <f t="shared" si="15"/>
        <v>#REF!</v>
      </c>
      <c r="J25" s="25">
        <v>0.5</v>
      </c>
      <c r="K25" s="36" t="str">
        <f t="shared" si="16"/>
        <v>#REF!</v>
      </c>
      <c r="L25" s="42" t="str">
        <f t="shared" si="17"/>
        <v>#REF!</v>
      </c>
      <c r="M25" s="26" t="str">
        <f t="shared" si="11"/>
        <v>#REF!</v>
      </c>
      <c r="N25" s="27" t="str">
        <f t="shared" si="18"/>
        <v>#REF!</v>
      </c>
      <c r="O25" s="16"/>
      <c r="P25" s="17"/>
      <c r="S25" s="18"/>
      <c r="T25" s="18"/>
      <c r="U25" s="16"/>
      <c r="V25" s="16"/>
      <c r="W25" s="16"/>
      <c r="X25" s="16"/>
      <c r="Y25" s="16"/>
      <c r="Z25" s="16"/>
      <c r="AA25" s="16"/>
      <c r="AB25" s="16"/>
      <c r="AC25" s="16"/>
      <c r="AD25" s="16"/>
    </row>
    <row r="26" ht="15.75" customHeight="1">
      <c r="A26" s="43"/>
      <c r="B26" s="21"/>
      <c r="C26" s="21"/>
      <c r="D26" s="21"/>
      <c r="E26" s="21"/>
      <c r="F26" s="21"/>
      <c r="G26" s="21"/>
      <c r="H26" s="21"/>
      <c r="I26" s="21"/>
      <c r="J26" s="21"/>
      <c r="K26" s="21"/>
      <c r="L26" s="21"/>
      <c r="M26" s="21"/>
      <c r="N26" s="22"/>
      <c r="O26" s="16"/>
      <c r="P26" s="17"/>
      <c r="S26" s="16"/>
      <c r="T26" s="16"/>
      <c r="U26" s="16"/>
      <c r="V26" s="16"/>
      <c r="W26" s="16"/>
      <c r="X26" s="16"/>
      <c r="Y26" s="16"/>
      <c r="Z26" s="16"/>
      <c r="AA26" s="16"/>
      <c r="AB26" s="16"/>
      <c r="AC26" s="16"/>
      <c r="AD26" s="16"/>
    </row>
    <row r="27" ht="21.75" customHeight="1">
      <c r="A27" s="10"/>
      <c r="B27" s="44" t="s">
        <v>20</v>
      </c>
      <c r="C27" s="45"/>
      <c r="D27" s="45"/>
      <c r="E27" s="45"/>
      <c r="F27" s="45"/>
      <c r="G27" s="45"/>
      <c r="H27" s="46"/>
      <c r="I27" s="47" t="str">
        <f>I2+I10+I20</f>
        <v>#REF!</v>
      </c>
      <c r="J27" s="47"/>
      <c r="K27" s="48"/>
      <c r="L27" s="49" t="str">
        <f>L2+L10+L20</f>
        <v>#REF!</v>
      </c>
      <c r="M27" s="49" t="str">
        <f>L27-I27</f>
        <v>#REF!</v>
      </c>
      <c r="N27" s="50" t="str">
        <f>M27/L27</f>
        <v>#REF!</v>
      </c>
      <c r="O27" s="16"/>
      <c r="P27" s="17"/>
      <c r="S27" s="16"/>
      <c r="T27" s="16"/>
      <c r="U27" s="16"/>
      <c r="V27" s="16"/>
      <c r="W27" s="16"/>
      <c r="X27" s="16"/>
      <c r="Y27" s="16"/>
      <c r="Z27" s="16"/>
      <c r="AA27" s="16"/>
      <c r="AB27" s="16"/>
      <c r="AC27" s="16"/>
      <c r="AD27" s="16"/>
    </row>
    <row r="28" ht="15.0" customHeight="1">
      <c r="A28" s="51"/>
      <c r="B28" s="52"/>
      <c r="C28" s="53"/>
      <c r="D28" s="53"/>
      <c r="E28" s="53"/>
      <c r="F28" s="53"/>
      <c r="G28" s="53"/>
      <c r="H28" s="54"/>
      <c r="I28" s="54"/>
      <c r="J28" s="54"/>
      <c r="K28" s="53"/>
      <c r="L28" s="53"/>
      <c r="M28" s="54"/>
      <c r="N28" s="54"/>
      <c r="O28" s="16"/>
      <c r="P28" s="17"/>
      <c r="S28" s="16"/>
      <c r="T28" s="16"/>
      <c r="U28" s="16"/>
      <c r="V28" s="16"/>
      <c r="W28" s="16"/>
      <c r="X28" s="16"/>
      <c r="Y28" s="16"/>
      <c r="Z28" s="16"/>
      <c r="AA28" s="16"/>
      <c r="AB28" s="16"/>
      <c r="AC28" s="16"/>
      <c r="AD28" s="16"/>
    </row>
    <row r="29" ht="21.75" customHeight="1">
      <c r="A29" s="55"/>
      <c r="B29" s="56" t="s">
        <v>21</v>
      </c>
      <c r="C29" s="57"/>
      <c r="D29" s="57"/>
      <c r="E29" s="57"/>
      <c r="F29" s="57"/>
      <c r="G29" s="57"/>
      <c r="H29" s="58"/>
      <c r="I29" s="58"/>
      <c r="J29" s="58"/>
      <c r="K29" s="57"/>
      <c r="L29" s="57"/>
      <c r="M29" s="58"/>
      <c r="N29" s="58"/>
      <c r="O29" s="16"/>
      <c r="P29" s="17"/>
      <c r="S29" s="16"/>
      <c r="T29" s="16"/>
      <c r="U29" s="16"/>
      <c r="V29" s="16"/>
      <c r="W29" s="16"/>
      <c r="X29" s="16"/>
      <c r="Y29" s="16"/>
      <c r="Z29" s="16"/>
      <c r="AA29" s="16"/>
      <c r="AB29" s="16"/>
      <c r="AC29" s="16"/>
      <c r="AD29" s="16"/>
    </row>
    <row r="30" ht="18.0" customHeight="1">
      <c r="A30" s="59"/>
      <c r="B30" s="60" t="s">
        <v>22</v>
      </c>
      <c r="C30" s="61"/>
      <c r="D30" s="61"/>
      <c r="E30" s="61"/>
      <c r="F30" s="61"/>
      <c r="G30" s="61"/>
      <c r="H30" s="62"/>
      <c r="I30" s="26" t="str">
        <f>L27*K30</f>
        <v>#REF!</v>
      </c>
      <c r="J30" s="26"/>
      <c r="K30" s="63">
        <v>0.01</v>
      </c>
      <c r="L30" s="62"/>
      <c r="M30" s="61"/>
      <c r="N30" s="61"/>
      <c r="O30" s="16"/>
      <c r="P30" s="17"/>
      <c r="S30" s="16"/>
      <c r="T30" s="16"/>
      <c r="U30" s="16"/>
      <c r="V30" s="16"/>
      <c r="W30" s="16"/>
      <c r="X30" s="16"/>
      <c r="Y30" s="16"/>
      <c r="Z30" s="16"/>
      <c r="AA30" s="16"/>
      <c r="AB30" s="16"/>
      <c r="AC30" s="16"/>
      <c r="AD30" s="16"/>
    </row>
    <row r="31" ht="18.0" customHeight="1">
      <c r="A31" s="59"/>
      <c r="B31" s="60" t="s">
        <v>23</v>
      </c>
      <c r="C31" s="61"/>
      <c r="D31" s="61"/>
      <c r="E31" s="61"/>
      <c r="F31" s="61"/>
      <c r="G31" s="61"/>
      <c r="H31" s="61"/>
      <c r="I31" s="26" t="str">
        <f>L27*K31</f>
        <v>#REF!</v>
      </c>
      <c r="J31" s="26"/>
      <c r="K31" s="63">
        <v>0.02</v>
      </c>
      <c r="L31" s="62"/>
      <c r="M31" s="61"/>
      <c r="N31" s="61"/>
      <c r="O31" s="16"/>
      <c r="P31" s="17"/>
      <c r="S31" s="16"/>
      <c r="T31" s="16"/>
      <c r="U31" s="16"/>
      <c r="V31" s="16"/>
      <c r="W31" s="16"/>
      <c r="X31" s="16"/>
      <c r="Y31" s="16"/>
      <c r="Z31" s="16"/>
      <c r="AA31" s="16"/>
      <c r="AB31" s="16"/>
      <c r="AC31" s="16"/>
      <c r="AD31" s="16"/>
    </row>
    <row r="32" ht="18.0" customHeight="1">
      <c r="A32" s="59"/>
      <c r="B32" s="60" t="s">
        <v>24</v>
      </c>
      <c r="C32" s="61"/>
      <c r="D32" s="61"/>
      <c r="E32" s="61"/>
      <c r="F32" s="61"/>
      <c r="G32" s="61"/>
      <c r="H32" s="61"/>
      <c r="I32" s="26" t="str">
        <f>K32*(M2+M10)+(K32*L20)</f>
        <v>#REF!</v>
      </c>
      <c r="J32" s="26"/>
      <c r="K32" s="63">
        <v>0.2</v>
      </c>
      <c r="L32" s="62"/>
      <c r="M32" s="61"/>
      <c r="N32" s="61"/>
      <c r="O32" s="16"/>
      <c r="P32" s="16"/>
      <c r="Q32" s="16"/>
      <c r="R32" s="16"/>
      <c r="S32" s="16"/>
      <c r="T32" s="16"/>
      <c r="U32" s="16"/>
      <c r="V32" s="16"/>
      <c r="W32" s="16"/>
      <c r="X32" s="16"/>
      <c r="Y32" s="16"/>
      <c r="Z32" s="16"/>
      <c r="AA32" s="16"/>
      <c r="AB32" s="16"/>
      <c r="AC32" s="16"/>
      <c r="AD32" s="16"/>
    </row>
    <row r="33" ht="18.0" customHeight="1">
      <c r="A33" s="59"/>
      <c r="B33" s="60" t="s">
        <v>25</v>
      </c>
      <c r="C33" s="61"/>
      <c r="D33" s="61"/>
      <c r="E33" s="61"/>
      <c r="F33" s="61"/>
      <c r="G33" s="61"/>
      <c r="H33" s="61"/>
      <c r="I33" s="26" t="str">
        <f>K33*M27</f>
        <v>#REF!</v>
      </c>
      <c r="J33" s="26"/>
      <c r="K33" s="63">
        <v>0.05</v>
      </c>
      <c r="L33" s="62"/>
      <c r="M33" s="61"/>
      <c r="N33" s="61"/>
      <c r="O33" s="16"/>
      <c r="P33" s="16"/>
      <c r="Q33" s="16"/>
      <c r="R33" s="16"/>
      <c r="S33" s="16"/>
      <c r="T33" s="16"/>
      <c r="U33" s="16"/>
      <c r="V33" s="16"/>
      <c r="W33" s="16"/>
      <c r="X33" s="16"/>
      <c r="Y33" s="16"/>
      <c r="Z33" s="16"/>
      <c r="AA33" s="16"/>
      <c r="AB33" s="16"/>
      <c r="AC33" s="16"/>
      <c r="AD33" s="16"/>
    </row>
    <row r="34" ht="21.75" customHeight="1">
      <c r="A34" s="10"/>
      <c r="B34" s="64" t="s">
        <v>26</v>
      </c>
      <c r="C34" s="12"/>
      <c r="D34" s="12"/>
      <c r="E34" s="12"/>
      <c r="F34" s="12"/>
      <c r="G34" s="12"/>
      <c r="H34" s="30"/>
      <c r="I34" s="65" t="str">
        <f>SUM(I27,I30:I33)</f>
        <v>#REF!</v>
      </c>
      <c r="J34" s="65"/>
      <c r="K34" s="66"/>
      <c r="L34" s="49" t="str">
        <f>SUM(L27,L30:L33)</f>
        <v>#REF!</v>
      </c>
      <c r="M34" s="49" t="str">
        <f>L34-I34</f>
        <v>#REF!</v>
      </c>
      <c r="N34" s="50" t="str">
        <f>M34/L34</f>
        <v>#REF!</v>
      </c>
      <c r="O34" s="16"/>
      <c r="P34" s="16"/>
      <c r="Q34" s="16"/>
      <c r="R34" s="16"/>
      <c r="S34" s="16"/>
      <c r="T34" s="16"/>
      <c r="U34" s="16"/>
      <c r="V34" s="16"/>
      <c r="W34" s="16"/>
      <c r="X34" s="16"/>
      <c r="Y34" s="16"/>
      <c r="Z34" s="16"/>
      <c r="AA34" s="16"/>
      <c r="AB34" s="16"/>
      <c r="AC34" s="16"/>
      <c r="AD34" s="16"/>
    </row>
    <row r="35" ht="15.75" customHeight="1">
      <c r="A35" s="8"/>
      <c r="B35" s="8"/>
      <c r="C35" s="16"/>
      <c r="D35" s="16"/>
      <c r="E35" s="16"/>
      <c r="F35" s="16"/>
      <c r="G35" s="16"/>
      <c r="H35" s="16"/>
      <c r="I35" s="16"/>
      <c r="J35" s="16"/>
      <c r="K35" s="8"/>
      <c r="L35" s="16"/>
      <c r="M35" s="16"/>
      <c r="N35" s="16"/>
      <c r="O35" s="16"/>
      <c r="P35" s="16"/>
      <c r="Q35" s="16"/>
      <c r="R35" s="16"/>
      <c r="S35" s="16"/>
      <c r="T35" s="16"/>
      <c r="U35" s="16"/>
      <c r="V35" s="16"/>
      <c r="W35" s="16"/>
      <c r="X35" s="16"/>
      <c r="Y35" s="16"/>
      <c r="Z35" s="16"/>
      <c r="AA35" s="16"/>
      <c r="AB35" s="16"/>
      <c r="AC35" s="16"/>
      <c r="AD35" s="16"/>
    </row>
    <row r="36" ht="15.75" customHeight="1">
      <c r="A36" s="8"/>
      <c r="B36" s="67" t="s">
        <v>27</v>
      </c>
      <c r="C36" s="16"/>
      <c r="D36" s="16"/>
      <c r="E36" s="16"/>
      <c r="F36" s="16"/>
      <c r="G36" s="16"/>
      <c r="H36" s="16"/>
      <c r="I36" s="16"/>
      <c r="J36" s="16"/>
      <c r="K36" s="8"/>
      <c r="L36" s="16"/>
      <c r="M36" s="16"/>
      <c r="N36" s="16"/>
      <c r="O36" s="16"/>
      <c r="P36" s="16"/>
      <c r="Q36" s="16"/>
      <c r="R36" s="16"/>
      <c r="S36" s="16"/>
      <c r="T36" s="16"/>
      <c r="U36" s="16"/>
      <c r="V36" s="16"/>
      <c r="W36" s="16"/>
      <c r="X36" s="16"/>
      <c r="Y36" s="16"/>
      <c r="Z36" s="16"/>
      <c r="AA36" s="16"/>
      <c r="AB36" s="16"/>
      <c r="AC36" s="16"/>
      <c r="AD36" s="16"/>
    </row>
    <row r="37" ht="15.75" customHeight="1">
      <c r="A37" s="8"/>
      <c r="B37" s="8"/>
      <c r="C37" s="16"/>
      <c r="D37" s="16"/>
      <c r="E37" s="16"/>
      <c r="F37" s="16"/>
      <c r="G37" s="16"/>
      <c r="H37" s="16"/>
      <c r="I37" s="16"/>
      <c r="J37" s="16"/>
      <c r="K37" s="8"/>
      <c r="L37" s="16"/>
      <c r="M37" s="16"/>
      <c r="N37" s="16"/>
      <c r="O37" s="16"/>
      <c r="P37" s="16"/>
      <c r="Q37" s="16"/>
      <c r="R37" s="16"/>
      <c r="S37" s="16"/>
      <c r="T37" s="16"/>
      <c r="U37" s="16"/>
      <c r="V37" s="16"/>
      <c r="W37" s="16"/>
      <c r="X37" s="16"/>
      <c r="Y37" s="16"/>
      <c r="Z37" s="16"/>
      <c r="AA37" s="16"/>
      <c r="AB37" s="16"/>
      <c r="AC37" s="16"/>
      <c r="AD37" s="16"/>
    </row>
    <row r="38" ht="15.75" customHeight="1">
      <c r="A38" s="8"/>
      <c r="B38" s="8"/>
      <c r="C38" s="16"/>
      <c r="D38" s="16"/>
      <c r="E38" s="16"/>
      <c r="F38" s="16"/>
      <c r="G38" s="16"/>
      <c r="H38" s="16"/>
      <c r="I38" s="16"/>
      <c r="J38" s="16"/>
      <c r="K38" s="8"/>
      <c r="L38" s="16"/>
      <c r="M38" s="16"/>
      <c r="N38" s="16"/>
      <c r="O38" s="16"/>
      <c r="P38" s="16"/>
      <c r="Q38" s="16"/>
      <c r="R38" s="16"/>
      <c r="S38" s="16"/>
      <c r="T38" s="16"/>
      <c r="U38" s="16"/>
      <c r="V38" s="16"/>
      <c r="W38" s="16"/>
      <c r="X38" s="16"/>
      <c r="Y38" s="16"/>
      <c r="Z38" s="16"/>
      <c r="AA38" s="16"/>
      <c r="AB38" s="16"/>
      <c r="AC38" s="16"/>
      <c r="AD38" s="16"/>
    </row>
    <row r="39" ht="21.75" customHeight="1">
      <c r="A39" s="68"/>
      <c r="B39" s="69" t="s">
        <v>28</v>
      </c>
      <c r="C39" s="21"/>
      <c r="D39" s="21"/>
      <c r="E39" s="21"/>
      <c r="F39" s="21"/>
      <c r="G39" s="22"/>
      <c r="H39" s="68"/>
      <c r="I39" s="68"/>
      <c r="J39" s="68"/>
      <c r="K39" s="68"/>
      <c r="L39" s="68"/>
      <c r="M39" s="68"/>
      <c r="N39" s="68"/>
      <c r="O39" s="16"/>
      <c r="P39" s="16"/>
      <c r="Q39" s="68"/>
      <c r="R39" s="68"/>
      <c r="S39" s="68"/>
      <c r="T39" s="70"/>
      <c r="U39" s="16"/>
      <c r="V39" s="16"/>
      <c r="W39" s="16"/>
      <c r="X39" s="16"/>
      <c r="Y39" s="16"/>
      <c r="Z39" s="16"/>
      <c r="AA39" s="16"/>
      <c r="AB39" s="16"/>
      <c r="AC39" s="16"/>
      <c r="AD39" s="16"/>
    </row>
    <row r="40" ht="18.0" customHeight="1">
      <c r="A40" s="68"/>
      <c r="B40" s="71" t="s">
        <v>29</v>
      </c>
      <c r="C40" s="72"/>
      <c r="D40" s="72"/>
      <c r="E40" s="72"/>
      <c r="F40" s="72"/>
      <c r="G40" s="72">
        <v>320.0</v>
      </c>
      <c r="H40" s="68"/>
      <c r="I40" s="68"/>
      <c r="J40" s="68"/>
      <c r="K40" s="68"/>
      <c r="L40" s="68"/>
      <c r="M40" s="68"/>
      <c r="N40" s="68"/>
      <c r="O40" s="16"/>
      <c r="P40" s="16"/>
      <c r="Q40" s="68"/>
      <c r="R40" s="68"/>
      <c r="S40" s="68"/>
      <c r="T40" s="70"/>
      <c r="U40" s="16"/>
      <c r="V40" s="16"/>
      <c r="W40" s="16"/>
      <c r="X40" s="16"/>
      <c r="Y40" s="16"/>
      <c r="Z40" s="16"/>
      <c r="AA40" s="16"/>
      <c r="AB40" s="16"/>
      <c r="AC40" s="16"/>
      <c r="AD40" s="16"/>
    </row>
    <row r="41" ht="18.0" customHeight="1">
      <c r="A41" s="68"/>
      <c r="B41" s="71" t="s">
        <v>30</v>
      </c>
      <c r="C41" s="73"/>
      <c r="D41" s="73"/>
      <c r="E41" s="73"/>
      <c r="F41" s="73"/>
      <c r="G41" s="73" t="s">
        <v>31</v>
      </c>
      <c r="H41" s="68"/>
      <c r="I41" s="68"/>
      <c r="J41" s="68"/>
      <c r="K41" s="68"/>
      <c r="L41" s="68"/>
      <c r="M41" s="68"/>
      <c r="N41" s="68"/>
      <c r="O41" s="16"/>
      <c r="P41" s="16"/>
      <c r="Q41" s="68"/>
      <c r="R41" s="68"/>
      <c r="S41" s="68"/>
      <c r="T41" s="70"/>
      <c r="U41" s="16"/>
      <c r="V41" s="16"/>
      <c r="W41" s="16"/>
      <c r="X41" s="16"/>
      <c r="Y41" s="16"/>
      <c r="Z41" s="16"/>
      <c r="AA41" s="16"/>
      <c r="AB41" s="16"/>
      <c r="AC41" s="16"/>
      <c r="AD41" s="16"/>
    </row>
    <row r="42" ht="15.75" customHeight="1">
      <c r="A42" s="68"/>
      <c r="B42" s="71" t="s">
        <v>32</v>
      </c>
      <c r="C42" s="74"/>
      <c r="D42" s="74"/>
      <c r="E42" s="74"/>
      <c r="F42" s="74"/>
      <c r="G42" s="74">
        <f>580</f>
        <v>580</v>
      </c>
      <c r="H42" s="68"/>
      <c r="I42" s="68"/>
      <c r="J42" s="68"/>
      <c r="K42" s="68"/>
      <c r="L42" s="68"/>
      <c r="M42" s="68"/>
      <c r="N42" s="68"/>
      <c r="O42" s="16"/>
      <c r="P42" s="16"/>
      <c r="Q42" s="68"/>
      <c r="R42" s="68"/>
      <c r="S42" s="68"/>
      <c r="T42" s="70"/>
      <c r="U42" s="16"/>
      <c r="V42" s="16"/>
      <c r="W42" s="16"/>
      <c r="X42" s="16"/>
      <c r="Y42" s="16"/>
      <c r="Z42" s="16"/>
      <c r="AA42" s="16"/>
      <c r="AB42" s="16"/>
      <c r="AC42" s="16"/>
      <c r="AD42" s="16"/>
    </row>
    <row r="43" ht="18.0" customHeight="1">
      <c r="A43" s="68"/>
      <c r="B43" s="71" t="s">
        <v>33</v>
      </c>
      <c r="C43" s="75"/>
      <c r="D43" s="75"/>
      <c r="E43" s="75"/>
      <c r="F43" s="75"/>
      <c r="G43" s="75">
        <v>30.0</v>
      </c>
      <c r="H43" s="68"/>
      <c r="I43" s="68"/>
      <c r="J43" s="68"/>
      <c r="K43" s="68"/>
      <c r="L43" s="68"/>
      <c r="M43" s="68"/>
      <c r="N43" s="68"/>
      <c r="O43" s="16"/>
      <c r="P43" s="16"/>
      <c r="Q43" s="68"/>
      <c r="R43" s="68"/>
      <c r="S43" s="68"/>
      <c r="T43" s="70"/>
      <c r="U43" s="16"/>
      <c r="V43" s="16"/>
      <c r="W43" s="16"/>
      <c r="X43" s="16"/>
      <c r="Y43" s="16"/>
      <c r="Z43" s="16"/>
      <c r="AA43" s="16"/>
      <c r="AB43" s="16"/>
      <c r="AC43" s="16"/>
      <c r="AD43" s="16"/>
    </row>
    <row r="44" ht="15.75" customHeight="1">
      <c r="A44" s="68"/>
      <c r="B44" s="71" t="s">
        <v>34</v>
      </c>
      <c r="C44" s="75"/>
      <c r="D44" s="75"/>
      <c r="E44" s="75"/>
      <c r="F44" s="75"/>
      <c r="G44" s="75" t="str">
        <f>G3*G42</f>
        <v>#REF!</v>
      </c>
      <c r="H44" s="68"/>
      <c r="I44" s="68"/>
      <c r="J44" s="68"/>
      <c r="K44" s="68"/>
      <c r="L44" s="68"/>
      <c r="M44" s="68"/>
      <c r="N44" s="68"/>
      <c r="O44" s="16"/>
      <c r="P44" s="16"/>
      <c r="Q44" s="68"/>
      <c r="R44" s="68"/>
      <c r="S44" s="68"/>
      <c r="T44" s="70"/>
      <c r="U44" s="16"/>
      <c r="V44" s="16"/>
      <c r="W44" s="16"/>
      <c r="X44" s="16"/>
      <c r="Y44" s="16"/>
      <c r="Z44" s="16"/>
      <c r="AA44" s="16"/>
      <c r="AB44" s="16"/>
      <c r="AC44" s="16"/>
      <c r="AD44" s="16"/>
    </row>
    <row r="45" ht="18.0" customHeight="1">
      <c r="A45" s="68"/>
      <c r="B45" s="71" t="s">
        <v>35</v>
      </c>
      <c r="C45" s="73"/>
      <c r="D45" s="73"/>
      <c r="E45" s="73"/>
      <c r="F45" s="73"/>
      <c r="G45" s="73"/>
      <c r="H45" s="68"/>
      <c r="I45" s="68"/>
      <c r="J45" s="68"/>
      <c r="K45" s="68"/>
      <c r="L45" s="68"/>
      <c r="M45" s="68"/>
      <c r="N45" s="68"/>
      <c r="O45" s="16"/>
      <c r="P45" s="16"/>
      <c r="Q45" s="68"/>
      <c r="R45" s="68"/>
      <c r="S45" s="68"/>
      <c r="T45" s="70"/>
      <c r="U45" s="16"/>
      <c r="V45" s="16"/>
      <c r="W45" s="16"/>
      <c r="X45" s="16"/>
      <c r="Y45" s="16"/>
      <c r="Z45" s="16"/>
      <c r="AA45" s="16"/>
      <c r="AB45" s="16"/>
      <c r="AC45" s="16"/>
      <c r="AD45" s="16"/>
    </row>
    <row r="46" ht="18.0" customHeight="1">
      <c r="A46" s="68"/>
      <c r="B46" s="71" t="s">
        <v>36</v>
      </c>
      <c r="C46" s="76"/>
      <c r="D46" s="76"/>
      <c r="E46" s="76"/>
      <c r="F46" s="76"/>
      <c r="G46" s="77"/>
      <c r="H46" s="68"/>
      <c r="I46" s="68"/>
      <c r="J46" s="68"/>
      <c r="K46" s="68"/>
      <c r="L46" s="68"/>
      <c r="M46" s="68"/>
      <c r="N46" s="68"/>
      <c r="O46" s="16"/>
      <c r="P46" s="16"/>
      <c r="Q46" s="68"/>
      <c r="R46" s="68"/>
      <c r="S46" s="68"/>
      <c r="T46" s="70"/>
      <c r="U46" s="16"/>
      <c r="V46" s="16"/>
      <c r="W46" s="16"/>
      <c r="X46" s="16"/>
      <c r="Y46" s="16"/>
      <c r="Z46" s="16"/>
      <c r="AA46" s="16"/>
      <c r="AB46" s="16"/>
      <c r="AC46" s="16"/>
      <c r="AD46" s="16"/>
    </row>
    <row r="47" ht="18.0" customHeight="1">
      <c r="A47" s="68"/>
      <c r="B47" s="71" t="s">
        <v>37</v>
      </c>
      <c r="C47" s="78"/>
      <c r="D47" s="78"/>
      <c r="E47" s="78"/>
      <c r="F47" s="78"/>
      <c r="G47" s="78">
        <v>30.0</v>
      </c>
      <c r="H47" s="68"/>
      <c r="I47" s="68"/>
      <c r="J47" s="68"/>
      <c r="K47" s="68"/>
      <c r="L47" s="68"/>
      <c r="M47" s="68"/>
      <c r="N47" s="68"/>
      <c r="O47" s="16"/>
      <c r="P47" s="16"/>
      <c r="Q47" s="68"/>
      <c r="R47" s="68"/>
      <c r="S47" s="68"/>
      <c r="T47" s="70"/>
      <c r="U47" s="16"/>
      <c r="V47" s="16"/>
      <c r="W47" s="16"/>
      <c r="X47" s="16"/>
      <c r="Y47" s="16"/>
      <c r="Z47" s="16"/>
      <c r="AA47" s="16"/>
      <c r="AB47" s="16"/>
      <c r="AC47" s="16"/>
      <c r="AD47" s="16"/>
    </row>
    <row r="48" ht="18.0" customHeight="1">
      <c r="A48" s="68"/>
      <c r="B48" s="71" t="s">
        <v>38</v>
      </c>
      <c r="C48" s="79"/>
      <c r="D48" s="79"/>
      <c r="E48" s="79"/>
      <c r="F48" s="79"/>
      <c r="G48" s="79" t="str">
        <f>G49/G44</f>
        <v>#REF!</v>
      </c>
      <c r="H48" s="68"/>
      <c r="I48" s="68"/>
      <c r="J48" s="68"/>
      <c r="K48" s="68"/>
      <c r="L48" s="68"/>
      <c r="M48" s="68"/>
      <c r="N48" s="68"/>
      <c r="O48" s="16"/>
      <c r="P48" s="16"/>
      <c r="Q48" s="68"/>
      <c r="R48" s="68"/>
      <c r="S48" s="68"/>
      <c r="T48" s="70"/>
      <c r="U48" s="16"/>
      <c r="V48" s="16"/>
      <c r="W48" s="16"/>
      <c r="X48" s="16"/>
      <c r="Y48" s="16"/>
      <c r="Z48" s="16"/>
      <c r="AA48" s="16"/>
      <c r="AB48" s="16"/>
      <c r="AC48" s="16"/>
      <c r="AD48" s="16"/>
    </row>
    <row r="49" ht="18.0" customHeight="1">
      <c r="A49" s="68"/>
      <c r="B49" s="71" t="s">
        <v>39</v>
      </c>
      <c r="C49" s="79"/>
      <c r="D49" s="79"/>
      <c r="E49" s="79"/>
      <c r="F49" s="79"/>
      <c r="G49" s="79" t="str">
        <f>L27</f>
        <v>#REF!</v>
      </c>
      <c r="H49" s="68"/>
      <c r="I49" s="68"/>
      <c r="J49" s="68"/>
      <c r="K49" s="68"/>
      <c r="L49" s="68"/>
      <c r="M49" s="68"/>
      <c r="N49" s="68"/>
      <c r="O49" s="16"/>
      <c r="P49" s="16"/>
      <c r="Q49" s="68"/>
      <c r="R49" s="68"/>
      <c r="S49" s="68"/>
      <c r="T49" s="70"/>
      <c r="U49" s="16"/>
      <c r="V49" s="16"/>
      <c r="W49" s="16"/>
      <c r="X49" s="16"/>
      <c r="Y49" s="16"/>
      <c r="Z49" s="16"/>
      <c r="AA49" s="16"/>
      <c r="AB49" s="16"/>
      <c r="AC49" s="16"/>
      <c r="AD49" s="16"/>
    </row>
    <row r="50" ht="18.0" customHeight="1">
      <c r="A50" s="68"/>
      <c r="B50" s="71" t="s">
        <v>40</v>
      </c>
      <c r="C50" s="80"/>
      <c r="D50" s="80"/>
      <c r="E50" s="80"/>
      <c r="F50" s="80"/>
      <c r="G50" s="80">
        <f>C85</f>
        <v>183327</v>
      </c>
      <c r="H50" s="68"/>
      <c r="I50" s="68"/>
      <c r="J50" s="68"/>
      <c r="K50" s="68"/>
      <c r="L50" s="68"/>
      <c r="M50" s="68"/>
      <c r="N50" s="68"/>
      <c r="O50" s="16"/>
      <c r="P50" s="16"/>
      <c r="Q50" s="68"/>
      <c r="R50" s="68"/>
      <c r="S50" s="68"/>
      <c r="T50" s="70"/>
      <c r="U50" s="16"/>
      <c r="V50" s="16"/>
      <c r="W50" s="81"/>
      <c r="X50" s="16"/>
      <c r="Y50" s="16"/>
      <c r="Z50" s="16"/>
      <c r="AA50" s="16"/>
      <c r="AB50" s="16"/>
      <c r="AC50" s="16"/>
      <c r="AD50" s="16"/>
    </row>
    <row r="51" ht="18.0" customHeight="1">
      <c r="A51" s="68"/>
      <c r="B51" s="71" t="s">
        <v>41</v>
      </c>
      <c r="C51" s="79"/>
      <c r="D51" s="79"/>
      <c r="E51" s="79"/>
      <c r="F51" s="79"/>
      <c r="G51" s="79" t="str">
        <f>E85</f>
        <v>#REF!</v>
      </c>
      <c r="H51" s="68"/>
      <c r="I51" s="68"/>
      <c r="J51" s="68"/>
      <c r="K51" s="68"/>
      <c r="L51" s="68"/>
      <c r="M51" s="68"/>
      <c r="N51" s="68"/>
      <c r="O51" s="16"/>
      <c r="P51" s="16"/>
      <c r="Q51" s="68"/>
      <c r="R51" s="68"/>
      <c r="S51" s="68"/>
      <c r="T51" s="70"/>
      <c r="U51" s="16"/>
      <c r="V51" s="16"/>
      <c r="W51" s="82"/>
      <c r="X51" s="16"/>
      <c r="Y51" s="16"/>
      <c r="Z51" s="16"/>
      <c r="AA51" s="16"/>
      <c r="AB51" s="16"/>
      <c r="AC51" s="16"/>
      <c r="AD51" s="16"/>
    </row>
    <row r="52" ht="18.0" customHeight="1">
      <c r="A52" s="68"/>
      <c r="B52" s="71"/>
      <c r="C52" s="79"/>
      <c r="D52" s="79"/>
      <c r="E52" s="79"/>
      <c r="F52" s="79"/>
      <c r="G52" s="79"/>
      <c r="H52" s="68"/>
      <c r="I52" s="68"/>
      <c r="J52" s="68"/>
      <c r="K52" s="68"/>
      <c r="L52" s="68"/>
      <c r="M52" s="68"/>
      <c r="N52" s="68"/>
      <c r="O52" s="16"/>
      <c r="P52" s="16"/>
      <c r="Q52" s="68"/>
      <c r="R52" s="68"/>
      <c r="S52" s="68"/>
      <c r="T52" s="70"/>
      <c r="U52" s="16"/>
      <c r="V52" s="16"/>
      <c r="W52" s="16"/>
      <c r="X52" s="16"/>
      <c r="Y52" s="16"/>
      <c r="Z52" s="16"/>
      <c r="AA52" s="16"/>
      <c r="AB52" s="16"/>
      <c r="AC52" s="16"/>
      <c r="AD52" s="16"/>
    </row>
    <row r="53" ht="18.0" customHeight="1">
      <c r="A53" s="68"/>
      <c r="B53" s="71" t="s">
        <v>42</v>
      </c>
      <c r="C53" s="83"/>
      <c r="D53" s="83"/>
      <c r="E53" s="83"/>
      <c r="F53" s="83"/>
      <c r="G53" s="83" t="str">
        <f>G49/G51</f>
        <v>#REF!</v>
      </c>
      <c r="H53" s="68"/>
      <c r="I53" s="68"/>
      <c r="J53" s="68"/>
      <c r="K53" s="68"/>
      <c r="L53" s="68"/>
      <c r="M53" s="68"/>
      <c r="N53" s="68"/>
      <c r="O53" s="16"/>
      <c r="P53" s="16"/>
      <c r="Q53" s="68"/>
      <c r="R53" s="68"/>
      <c r="S53" s="68"/>
      <c r="T53" s="70"/>
      <c r="U53" s="16"/>
      <c r="V53" s="16"/>
      <c r="W53" s="16"/>
      <c r="X53" s="16"/>
      <c r="Y53" s="16"/>
      <c r="Z53" s="16"/>
      <c r="AA53" s="16"/>
      <c r="AB53" s="16"/>
      <c r="AC53" s="16"/>
      <c r="AD53" s="16"/>
    </row>
    <row r="54" ht="18.0" customHeight="1">
      <c r="A54" s="68"/>
      <c r="B54" s="71"/>
      <c r="C54" s="83"/>
      <c r="D54" s="83"/>
      <c r="E54" s="83"/>
      <c r="F54" s="83"/>
      <c r="G54" s="83"/>
      <c r="H54" s="68"/>
      <c r="I54" s="68"/>
      <c r="J54" s="68"/>
      <c r="K54" s="68"/>
      <c r="L54" s="68"/>
      <c r="M54" s="68"/>
      <c r="N54" s="68"/>
      <c r="O54" s="16"/>
      <c r="P54" s="16"/>
      <c r="Q54" s="68"/>
      <c r="R54" s="68"/>
      <c r="S54" s="68"/>
      <c r="T54" s="70"/>
      <c r="U54" s="16"/>
      <c r="V54" s="16"/>
      <c r="W54" s="16"/>
      <c r="X54" s="16"/>
      <c r="Y54" s="16"/>
      <c r="Z54" s="16"/>
      <c r="AA54" s="16"/>
      <c r="AB54" s="16"/>
      <c r="AC54" s="16"/>
      <c r="AD54" s="16"/>
    </row>
    <row r="55" ht="18.0" customHeight="1">
      <c r="A55" s="68"/>
      <c r="B55" s="84" t="s">
        <v>43</v>
      </c>
      <c r="C55" s="85"/>
      <c r="D55" s="85"/>
      <c r="E55" s="85"/>
      <c r="F55" s="85"/>
      <c r="G55" s="85">
        <v>30.0</v>
      </c>
      <c r="H55" s="68"/>
      <c r="I55" s="68"/>
      <c r="J55" s="68"/>
      <c r="K55" s="68"/>
      <c r="L55" s="68"/>
      <c r="M55" s="68"/>
      <c r="N55" s="68"/>
      <c r="O55" s="16"/>
      <c r="P55" s="16"/>
      <c r="Q55" s="68"/>
      <c r="R55" s="68"/>
      <c r="S55" s="68"/>
      <c r="T55" s="70"/>
      <c r="U55" s="16"/>
      <c r="V55" s="16"/>
      <c r="W55" s="16"/>
      <c r="X55" s="16"/>
      <c r="Y55" s="16"/>
      <c r="Z55" s="16"/>
      <c r="AA55" s="16"/>
      <c r="AB55" s="16"/>
      <c r="AC55" s="16"/>
      <c r="AD55" s="16"/>
    </row>
    <row r="56" ht="18.0" customHeight="1">
      <c r="A56" s="68"/>
      <c r="B56" s="71" t="s">
        <v>44</v>
      </c>
      <c r="C56" s="86"/>
      <c r="D56" s="86"/>
      <c r="E56" s="86"/>
      <c r="F56" s="86"/>
      <c r="G56" s="86">
        <f>K3/G42</f>
        <v>0.24</v>
      </c>
      <c r="H56" s="68"/>
      <c r="I56" s="68"/>
      <c r="J56" s="68"/>
      <c r="K56" s="68"/>
      <c r="L56" s="68"/>
      <c r="M56" s="68"/>
      <c r="N56" s="68"/>
      <c r="O56" s="16"/>
      <c r="P56" s="16"/>
      <c r="Q56" s="68"/>
      <c r="R56" s="68"/>
      <c r="S56" s="68"/>
      <c r="T56" s="70"/>
      <c r="U56" s="16"/>
      <c r="V56" s="16"/>
      <c r="W56" s="16"/>
      <c r="X56" s="16"/>
      <c r="Y56" s="16"/>
      <c r="Z56" s="16"/>
      <c r="AA56" s="16"/>
      <c r="AB56" s="16"/>
      <c r="AC56" s="16"/>
      <c r="AD56" s="16"/>
    </row>
    <row r="57" ht="18.0" customHeight="1">
      <c r="A57" s="68"/>
      <c r="B57" s="71" t="s">
        <v>45</v>
      </c>
      <c r="C57" s="73"/>
      <c r="D57" s="73"/>
      <c r="E57" s="73"/>
      <c r="F57" s="73"/>
      <c r="G57" s="73"/>
      <c r="H57" s="68"/>
      <c r="I57" s="68"/>
      <c r="J57" s="68"/>
      <c r="K57" s="68"/>
      <c r="L57" s="68"/>
      <c r="M57" s="68"/>
      <c r="N57" s="68"/>
      <c r="O57" s="16"/>
      <c r="P57" s="16"/>
      <c r="Q57" s="68"/>
      <c r="R57" s="68"/>
      <c r="S57" s="68"/>
      <c r="T57" s="70"/>
      <c r="U57" s="16"/>
      <c r="V57" s="16"/>
      <c r="W57" s="16"/>
      <c r="X57" s="16"/>
      <c r="Y57" s="16"/>
      <c r="Z57" s="16"/>
      <c r="AA57" s="16"/>
      <c r="AB57" s="16"/>
      <c r="AC57" s="16"/>
      <c r="AD57" s="16"/>
    </row>
    <row r="58" ht="18.0" customHeight="1">
      <c r="A58" s="68"/>
      <c r="B58" s="71"/>
      <c r="C58" s="73"/>
      <c r="D58" s="73"/>
      <c r="E58" s="73"/>
      <c r="F58" s="73"/>
      <c r="G58" s="73"/>
      <c r="H58" s="68"/>
      <c r="I58" s="68"/>
      <c r="J58" s="68"/>
      <c r="K58" s="68"/>
      <c r="L58" s="68"/>
      <c r="M58" s="68"/>
      <c r="N58" s="68"/>
      <c r="O58" s="16"/>
      <c r="P58" s="16"/>
      <c r="Q58" s="68"/>
      <c r="R58" s="68"/>
      <c r="S58" s="68"/>
      <c r="T58" s="70"/>
      <c r="U58" s="16"/>
      <c r="V58" s="16"/>
      <c r="W58" s="16"/>
      <c r="X58" s="16"/>
      <c r="Y58" s="16"/>
      <c r="Z58" s="16"/>
      <c r="AA58" s="16"/>
      <c r="AB58" s="16"/>
      <c r="AC58" s="16"/>
      <c r="AD58" s="16"/>
    </row>
    <row r="59" ht="18.0" customHeight="1">
      <c r="A59" s="68"/>
      <c r="B59" s="71"/>
      <c r="C59" s="73"/>
      <c r="D59" s="73"/>
      <c r="E59" s="73"/>
      <c r="F59" s="73"/>
      <c r="G59" s="73"/>
      <c r="H59" s="68"/>
      <c r="I59" s="68"/>
      <c r="J59" s="68"/>
      <c r="K59" s="68"/>
      <c r="L59" s="68"/>
      <c r="M59" s="68"/>
      <c r="N59" s="68"/>
      <c r="O59" s="16"/>
      <c r="P59" s="16"/>
      <c r="Q59" s="68"/>
      <c r="R59" s="68"/>
      <c r="S59" s="68"/>
      <c r="T59" s="70"/>
      <c r="U59" s="16"/>
      <c r="V59" s="16"/>
      <c r="W59" s="16"/>
      <c r="X59" s="16"/>
      <c r="Y59" s="16"/>
      <c r="Z59" s="16"/>
      <c r="AA59" s="16"/>
      <c r="AB59" s="16"/>
      <c r="AC59" s="16"/>
      <c r="AD59" s="16"/>
    </row>
    <row r="60" ht="18.0" customHeight="1">
      <c r="A60" s="68"/>
      <c r="B60" s="71"/>
      <c r="C60" s="73"/>
      <c r="D60" s="73"/>
      <c r="E60" s="73"/>
      <c r="F60" s="73"/>
      <c r="G60" s="73"/>
      <c r="H60" s="68"/>
      <c r="I60" s="68"/>
      <c r="J60" s="68"/>
      <c r="K60" s="68"/>
      <c r="L60" s="68"/>
      <c r="M60" s="68"/>
      <c r="N60" s="68"/>
      <c r="O60" s="16"/>
      <c r="P60" s="16"/>
      <c r="Q60" s="68"/>
      <c r="R60" s="68"/>
      <c r="S60" s="68"/>
      <c r="T60" s="70"/>
      <c r="U60" s="16"/>
      <c r="V60" s="16"/>
      <c r="W60" s="16"/>
      <c r="X60" s="16"/>
      <c r="Y60" s="16"/>
      <c r="Z60" s="16"/>
      <c r="AA60" s="16"/>
      <c r="AB60" s="16"/>
      <c r="AC60" s="16"/>
      <c r="AD60" s="16"/>
    </row>
    <row r="61" ht="18.0" customHeight="1">
      <c r="A61" s="68"/>
      <c r="B61" s="71"/>
      <c r="C61" s="73"/>
      <c r="D61" s="73"/>
      <c r="E61" s="73"/>
      <c r="F61" s="73"/>
      <c r="G61" s="73"/>
      <c r="H61" s="68"/>
      <c r="I61" s="68"/>
      <c r="J61" s="68"/>
      <c r="K61" s="68"/>
      <c r="L61" s="68"/>
      <c r="M61" s="68"/>
      <c r="N61" s="68"/>
      <c r="O61" s="16"/>
      <c r="P61" s="16"/>
      <c r="Q61" s="68"/>
      <c r="R61" s="68"/>
      <c r="S61" s="68"/>
      <c r="T61" s="70"/>
      <c r="U61" s="16"/>
      <c r="V61" s="16"/>
      <c r="W61" s="16"/>
      <c r="X61" s="16"/>
      <c r="Y61" s="16"/>
      <c r="Z61" s="16"/>
      <c r="AA61" s="16"/>
      <c r="AB61" s="16"/>
      <c r="AC61" s="16"/>
      <c r="AD61" s="16"/>
    </row>
    <row r="62" ht="15.75" customHeight="1">
      <c r="A62" s="68"/>
      <c r="B62" s="87" t="s">
        <v>46</v>
      </c>
      <c r="C62" s="88"/>
      <c r="D62" s="88"/>
      <c r="E62" s="88"/>
      <c r="F62" s="88"/>
      <c r="G62" s="88">
        <v>200.0</v>
      </c>
      <c r="H62" s="68"/>
      <c r="I62" s="68"/>
      <c r="J62" s="68"/>
      <c r="K62" s="68"/>
      <c r="L62" s="68"/>
      <c r="M62" s="68"/>
      <c r="N62" s="68"/>
      <c r="O62" s="16"/>
      <c r="P62" s="16"/>
      <c r="Q62" s="68"/>
      <c r="R62" s="68"/>
      <c r="S62" s="68"/>
      <c r="T62" s="70"/>
      <c r="U62" s="16"/>
      <c r="V62" s="16"/>
      <c r="W62" s="16"/>
      <c r="X62" s="16"/>
      <c r="Y62" s="16"/>
      <c r="Z62" s="16"/>
      <c r="AA62" s="16"/>
      <c r="AB62" s="16"/>
      <c r="AC62" s="16"/>
      <c r="AD62" s="16"/>
    </row>
    <row r="63" ht="18.0" customHeight="1">
      <c r="A63" s="68"/>
      <c r="B63" s="87" t="s">
        <v>47</v>
      </c>
      <c r="C63" s="89"/>
      <c r="D63" s="89"/>
      <c r="E63" s="89"/>
      <c r="F63" s="89"/>
      <c r="G63" s="89">
        <v>1.1</v>
      </c>
      <c r="H63" s="68"/>
      <c r="I63" s="68"/>
      <c r="J63" s="68"/>
      <c r="K63" s="68"/>
      <c r="L63" s="68"/>
      <c r="M63" s="68"/>
      <c r="N63" s="68"/>
      <c r="O63" s="16"/>
      <c r="P63" s="16"/>
      <c r="Q63" s="68"/>
      <c r="R63" s="68"/>
      <c r="S63" s="68"/>
      <c r="T63" s="70"/>
      <c r="U63" s="16"/>
      <c r="V63" s="16"/>
      <c r="W63" s="16"/>
      <c r="X63" s="16"/>
      <c r="Y63" s="16"/>
      <c r="Z63" s="16"/>
      <c r="AA63" s="16"/>
      <c r="AB63" s="16"/>
      <c r="AC63" s="16"/>
      <c r="AD63" s="16"/>
    </row>
    <row r="64" ht="18.0" customHeight="1">
      <c r="A64" s="68"/>
      <c r="B64" s="87" t="s">
        <v>48</v>
      </c>
      <c r="C64" s="88"/>
      <c r="D64" s="88"/>
      <c r="E64" s="88"/>
      <c r="F64" s="88"/>
      <c r="G64" s="88">
        <v>11700.0</v>
      </c>
      <c r="H64" s="68"/>
      <c r="I64" s="68"/>
      <c r="J64" s="68"/>
      <c r="K64" s="68"/>
      <c r="L64" s="68"/>
      <c r="M64" s="68"/>
      <c r="N64" s="68"/>
      <c r="O64" s="16"/>
      <c r="P64" s="16"/>
      <c r="Q64" s="68"/>
      <c r="R64" s="68"/>
      <c r="S64" s="68"/>
      <c r="T64" s="70"/>
      <c r="U64" s="16"/>
      <c r="V64" s="16"/>
      <c r="W64" s="16"/>
      <c r="X64" s="16"/>
      <c r="Y64" s="16"/>
      <c r="Z64" s="16"/>
      <c r="AA64" s="16"/>
      <c r="AB64" s="16"/>
      <c r="AC64" s="16"/>
      <c r="AD64" s="16"/>
    </row>
    <row r="65" ht="18.0" customHeight="1">
      <c r="A65" s="68"/>
      <c r="B65" s="87" t="s">
        <v>49</v>
      </c>
      <c r="C65" s="90"/>
      <c r="D65" s="90"/>
      <c r="E65" s="90"/>
      <c r="F65" s="90"/>
      <c r="G65" s="90" t="str">
        <f>#REF!</f>
        <v>#REF!</v>
      </c>
      <c r="H65" s="68"/>
      <c r="I65" s="68"/>
      <c r="J65" s="68"/>
      <c r="K65" s="68"/>
      <c r="L65" s="68"/>
      <c r="M65" s="68"/>
      <c r="N65" s="68"/>
      <c r="O65" s="16"/>
      <c r="P65" s="16"/>
      <c r="Q65" s="68"/>
      <c r="R65" s="68"/>
      <c r="S65" s="68"/>
      <c r="T65" s="70"/>
      <c r="U65" s="16"/>
      <c r="V65" s="16"/>
      <c r="W65" s="16"/>
      <c r="X65" s="16"/>
      <c r="Y65" s="16"/>
      <c r="Z65" s="16"/>
      <c r="AA65" s="16"/>
      <c r="AB65" s="16"/>
      <c r="AC65" s="16"/>
      <c r="AD65" s="16"/>
    </row>
    <row r="66" ht="18.0" customHeight="1">
      <c r="A66" s="68"/>
      <c r="B66" s="91" t="s">
        <v>50</v>
      </c>
      <c r="C66" s="92"/>
      <c r="D66" s="92"/>
      <c r="E66" s="92"/>
      <c r="F66" s="92"/>
      <c r="G66" s="92" t="str">
        <f>(SUM(#REF!)+G64+G49)*#REF!/G65</f>
        <v>#REF!</v>
      </c>
      <c r="H66" s="68"/>
      <c r="I66" s="68"/>
      <c r="J66" s="68"/>
      <c r="K66" s="68"/>
      <c r="L66" s="68"/>
      <c r="M66" s="68"/>
      <c r="N66" s="68"/>
      <c r="O66" s="16"/>
      <c r="P66" s="16"/>
      <c r="Q66" s="68"/>
      <c r="R66" s="68"/>
      <c r="S66" s="68"/>
      <c r="T66" s="70"/>
      <c r="U66" s="16"/>
      <c r="V66" s="16"/>
      <c r="W66" s="16"/>
      <c r="X66" s="16"/>
      <c r="Y66" s="16"/>
      <c r="Z66" s="16"/>
      <c r="AA66" s="16"/>
      <c r="AB66" s="16"/>
      <c r="AC66" s="16"/>
      <c r="AD66" s="16"/>
    </row>
    <row r="67" ht="18.0" customHeight="1">
      <c r="A67" s="68"/>
      <c r="B67" s="91" t="s">
        <v>51</v>
      </c>
      <c r="C67" s="93"/>
      <c r="D67" s="93"/>
      <c r="E67" s="93"/>
      <c r="F67" s="93"/>
      <c r="G67" s="93" t="str">
        <f>#REF!</f>
        <v>#REF!</v>
      </c>
      <c r="H67" s="68"/>
      <c r="I67" s="68"/>
      <c r="J67" s="68"/>
      <c r="K67" s="68"/>
      <c r="L67" s="68"/>
      <c r="M67" s="68"/>
      <c r="N67" s="68"/>
      <c r="O67" s="16"/>
      <c r="P67" s="16"/>
      <c r="Q67" s="68"/>
      <c r="R67" s="68"/>
      <c r="S67" s="68"/>
      <c r="T67" s="70"/>
      <c r="U67" s="16"/>
      <c r="V67" s="16"/>
      <c r="W67" s="16"/>
      <c r="X67" s="16"/>
      <c r="Y67" s="16"/>
      <c r="Z67" s="16"/>
      <c r="AA67" s="16"/>
      <c r="AB67" s="16"/>
      <c r="AC67" s="16"/>
      <c r="AD67" s="16"/>
    </row>
    <row r="68" ht="18.0" customHeight="1">
      <c r="A68" s="68"/>
      <c r="B68" s="68"/>
      <c r="C68" s="68"/>
      <c r="D68" s="68"/>
      <c r="E68" s="68"/>
      <c r="F68" s="68"/>
      <c r="G68" s="68"/>
      <c r="H68" s="68"/>
      <c r="I68" s="68"/>
      <c r="J68" s="68"/>
      <c r="K68" s="68"/>
      <c r="L68" s="68"/>
      <c r="M68" s="68"/>
      <c r="N68" s="68"/>
      <c r="O68" s="16"/>
      <c r="P68" s="16"/>
      <c r="Q68" s="68"/>
      <c r="R68" s="68"/>
      <c r="S68" s="68"/>
      <c r="T68" s="70"/>
      <c r="U68" s="16"/>
      <c r="V68" s="16"/>
      <c r="W68" s="16"/>
      <c r="X68" s="16"/>
      <c r="Y68" s="16"/>
      <c r="Z68" s="16"/>
      <c r="AA68" s="16"/>
      <c r="AB68" s="16"/>
      <c r="AC68" s="16"/>
      <c r="AD68" s="16"/>
    </row>
    <row r="69" ht="15.75" customHeight="1">
      <c r="A69" s="68"/>
      <c r="B69" s="68"/>
      <c r="C69" s="68"/>
      <c r="D69" s="68"/>
      <c r="E69" s="68"/>
      <c r="F69" s="68"/>
      <c r="G69" s="68"/>
      <c r="H69" s="68"/>
      <c r="I69" s="68"/>
      <c r="J69" s="68"/>
      <c r="K69" s="68"/>
      <c r="L69" s="68"/>
      <c r="M69" s="68"/>
      <c r="N69" s="68"/>
      <c r="O69" s="16"/>
      <c r="P69" s="16"/>
      <c r="Q69" s="16"/>
      <c r="R69" s="94"/>
      <c r="S69" s="94"/>
      <c r="T69" s="16"/>
      <c r="U69" s="16"/>
      <c r="V69" s="16"/>
      <c r="W69" s="16"/>
      <c r="X69" s="16"/>
      <c r="Y69" s="16"/>
      <c r="Z69" s="16"/>
      <c r="AA69" s="16"/>
      <c r="AB69" s="16"/>
      <c r="AC69" s="16"/>
      <c r="AD69" s="16"/>
    </row>
    <row r="70" ht="15.75" customHeight="1">
      <c r="A70" s="68"/>
      <c r="B70" s="95" t="s">
        <v>52</v>
      </c>
      <c r="C70" s="21"/>
      <c r="D70" s="21"/>
      <c r="E70" s="21"/>
      <c r="F70" s="21"/>
      <c r="G70" s="21"/>
      <c r="H70" s="21"/>
      <c r="I70" s="21"/>
      <c r="J70" s="21"/>
      <c r="K70" s="22"/>
      <c r="L70" s="68"/>
      <c r="M70" s="68"/>
      <c r="N70" s="68"/>
      <c r="O70" s="16"/>
      <c r="P70" s="16"/>
      <c r="Q70" s="51"/>
      <c r="R70" s="68"/>
      <c r="S70" s="68"/>
      <c r="T70" s="68"/>
      <c r="U70" s="68"/>
      <c r="V70" s="68"/>
      <c r="W70" s="68"/>
      <c r="X70" s="58"/>
      <c r="Y70" s="58"/>
      <c r="Z70" s="16"/>
      <c r="AA70" s="16"/>
      <c r="AB70" s="16"/>
      <c r="AC70" s="16"/>
      <c r="AD70" s="16"/>
    </row>
    <row r="71" ht="15.75" customHeight="1">
      <c r="A71" s="68"/>
      <c r="B71" s="96" t="s">
        <v>53</v>
      </c>
      <c r="C71" s="97">
        <v>29910.0</v>
      </c>
      <c r="D71" s="97">
        <v>30000.0</v>
      </c>
      <c r="E71" s="98" t="str">
        <f>(C71*$G$40)/$G$44</f>
        <v>#REF!</v>
      </c>
      <c r="F71" s="99">
        <f>C71/D71</f>
        <v>0.997</v>
      </c>
      <c r="G71" s="22"/>
      <c r="L71" s="68"/>
      <c r="M71" s="68"/>
      <c r="N71" s="68"/>
      <c r="O71" s="16"/>
      <c r="P71" s="16"/>
      <c r="Q71" s="100"/>
      <c r="R71" s="68"/>
      <c r="S71" s="68"/>
      <c r="T71" s="68"/>
      <c r="U71" s="68"/>
      <c r="V71" s="68"/>
      <c r="W71" s="68"/>
      <c r="X71" s="101"/>
      <c r="Y71" s="102"/>
      <c r="Z71" s="16"/>
      <c r="AA71" s="16"/>
      <c r="AB71" s="16"/>
      <c r="AC71" s="16"/>
      <c r="AD71" s="16"/>
    </row>
    <row r="72" ht="15.75" customHeight="1">
      <c r="A72" s="68"/>
      <c r="B72" s="103" t="s">
        <v>54</v>
      </c>
      <c r="C72" s="104" t="s">
        <v>55</v>
      </c>
      <c r="D72" s="105" t="s">
        <v>56</v>
      </c>
      <c r="E72" s="106" t="s">
        <v>57</v>
      </c>
      <c r="F72" s="107" t="s">
        <v>58</v>
      </c>
      <c r="G72" s="22"/>
      <c r="L72" s="68"/>
      <c r="M72" s="68"/>
      <c r="N72" s="68"/>
      <c r="O72" s="16"/>
      <c r="P72" s="16"/>
      <c r="Q72" s="100"/>
      <c r="R72" s="68"/>
      <c r="S72" s="68"/>
      <c r="T72" s="68"/>
      <c r="U72" s="68"/>
      <c r="V72" s="68"/>
      <c r="W72" s="68"/>
      <c r="X72" s="101"/>
      <c r="Y72" s="102"/>
      <c r="Z72" s="16"/>
      <c r="AA72" s="16"/>
      <c r="AB72" s="16"/>
      <c r="AC72" s="16"/>
      <c r="AD72" s="16"/>
    </row>
    <row r="73" ht="21.0" customHeight="1">
      <c r="A73" s="68"/>
      <c r="B73" s="96" t="s">
        <v>59</v>
      </c>
      <c r="C73" s="97">
        <v>17972.0</v>
      </c>
      <c r="D73" s="97">
        <v>30000.0</v>
      </c>
      <c r="E73" s="98" t="str">
        <f t="shared" ref="E73:E75" si="19">(C73*$G$40)/$G$44</f>
        <v>#REF!</v>
      </c>
      <c r="F73" s="99">
        <f t="shared" ref="F73:F75" si="20">C73/D73</f>
        <v>0.5990666667</v>
      </c>
      <c r="G73" s="22"/>
      <c r="L73" s="68"/>
      <c r="M73" s="68"/>
      <c r="N73" s="68"/>
      <c r="O73" s="16"/>
      <c r="P73" s="16"/>
      <c r="Q73" s="100" t="s">
        <v>11</v>
      </c>
      <c r="R73" s="68"/>
      <c r="S73" s="68"/>
      <c r="T73" s="68"/>
      <c r="U73" s="68"/>
      <c r="V73" s="68"/>
      <c r="W73" s="68"/>
      <c r="X73" s="101" t="s">
        <v>11</v>
      </c>
      <c r="Y73" s="102" t="s">
        <v>11</v>
      </c>
      <c r="Z73" s="16"/>
      <c r="AA73" s="16"/>
      <c r="AB73" s="16"/>
      <c r="AC73" s="16"/>
      <c r="AD73" s="16"/>
    </row>
    <row r="74" ht="21.0" customHeight="1">
      <c r="A74" s="68"/>
      <c r="B74" s="96" t="s">
        <v>60</v>
      </c>
      <c r="C74" s="97">
        <v>24872.0</v>
      </c>
      <c r="D74" s="97">
        <v>30000.0</v>
      </c>
      <c r="E74" s="98" t="str">
        <f t="shared" si="19"/>
        <v>#REF!</v>
      </c>
      <c r="F74" s="99">
        <f t="shared" si="20"/>
        <v>0.8290666667</v>
      </c>
      <c r="G74" s="22"/>
      <c r="L74" s="68"/>
      <c r="M74" s="68"/>
      <c r="N74" s="68"/>
      <c r="O74" s="16"/>
      <c r="P74" s="16"/>
      <c r="Q74" s="100" t="s">
        <v>11</v>
      </c>
      <c r="R74" s="68"/>
      <c r="S74" s="68"/>
      <c r="T74" s="68"/>
      <c r="U74" s="68"/>
      <c r="V74" s="68"/>
      <c r="W74" s="68"/>
      <c r="X74" s="101" t="s">
        <v>11</v>
      </c>
      <c r="Y74" s="102" t="s">
        <v>11</v>
      </c>
      <c r="Z74" s="16"/>
      <c r="AA74" s="16"/>
      <c r="AB74" s="16"/>
      <c r="AC74" s="16"/>
      <c r="AD74" s="16"/>
    </row>
    <row r="75" ht="21.0" customHeight="1">
      <c r="A75" s="68"/>
      <c r="B75" s="96" t="s">
        <v>61</v>
      </c>
      <c r="C75" s="97">
        <v>29439.0</v>
      </c>
      <c r="D75" s="97">
        <v>30000.0</v>
      </c>
      <c r="E75" s="98" t="str">
        <f t="shared" si="19"/>
        <v>#REF!</v>
      </c>
      <c r="F75" s="99">
        <f t="shared" si="20"/>
        <v>0.9813</v>
      </c>
      <c r="G75" s="22"/>
      <c r="L75" s="68"/>
      <c r="M75" s="68"/>
      <c r="N75" s="68"/>
      <c r="O75" s="16"/>
      <c r="P75" s="16"/>
      <c r="Q75" s="100" t="s">
        <v>11</v>
      </c>
      <c r="R75" s="68"/>
      <c r="S75" s="68"/>
      <c r="T75" s="68"/>
      <c r="U75" s="68"/>
      <c r="V75" s="68"/>
      <c r="W75" s="68"/>
      <c r="X75" s="101" t="s">
        <v>11</v>
      </c>
      <c r="Y75" s="102" t="s">
        <v>11</v>
      </c>
      <c r="Z75" s="16"/>
      <c r="AA75" s="16"/>
      <c r="AB75" s="16"/>
      <c r="AC75" s="16"/>
      <c r="AD75" s="16"/>
    </row>
    <row r="76" ht="21.0" customHeight="1">
      <c r="A76" s="68"/>
      <c r="B76" s="108"/>
      <c r="C76" s="109"/>
      <c r="D76" s="109"/>
      <c r="E76" s="110"/>
      <c r="F76" s="111"/>
      <c r="G76" s="111"/>
      <c r="L76" s="68"/>
      <c r="M76" s="68"/>
      <c r="N76" s="68"/>
      <c r="O76" s="16"/>
      <c r="P76" s="16"/>
      <c r="Q76" s="100" t="s">
        <v>11</v>
      </c>
      <c r="R76" s="68"/>
      <c r="S76" s="68"/>
      <c r="T76" s="68"/>
      <c r="U76" s="68"/>
      <c r="V76" s="68"/>
      <c r="W76" s="68"/>
      <c r="X76" s="101" t="s">
        <v>11</v>
      </c>
      <c r="Y76" s="102" t="s">
        <v>11</v>
      </c>
      <c r="Z76" s="16"/>
      <c r="AA76" s="16"/>
      <c r="AB76" s="16"/>
      <c r="AC76" s="16"/>
      <c r="AD76" s="16"/>
    </row>
    <row r="77" ht="21.0" customHeight="1">
      <c r="A77" s="68"/>
      <c r="B77" s="32"/>
      <c r="C77" s="16"/>
      <c r="D77" s="16"/>
      <c r="E77" s="16"/>
      <c r="F77" s="16"/>
      <c r="G77" s="16"/>
      <c r="L77" s="68"/>
      <c r="M77" s="68"/>
      <c r="N77" s="68"/>
      <c r="O77" s="16"/>
      <c r="P77" s="16"/>
      <c r="Q77" s="100" t="s">
        <v>11</v>
      </c>
      <c r="R77" s="68"/>
      <c r="S77" s="68"/>
      <c r="T77" s="68"/>
      <c r="U77" s="68"/>
      <c r="V77" s="68"/>
      <c r="W77" s="68"/>
      <c r="X77" s="101" t="s">
        <v>11</v>
      </c>
      <c r="Y77" s="102" t="s">
        <v>11</v>
      </c>
      <c r="Z77" s="16"/>
      <c r="AA77" s="16"/>
      <c r="AB77" s="16"/>
      <c r="AC77" s="16"/>
      <c r="AD77" s="16"/>
    </row>
    <row r="78" ht="21.0" customHeight="1">
      <c r="A78" s="68"/>
      <c r="B78" s="96" t="s">
        <v>62</v>
      </c>
      <c r="C78" s="97">
        <v>29378.0</v>
      </c>
      <c r="D78" s="97">
        <v>30000.0</v>
      </c>
      <c r="E78" s="98" t="str">
        <f t="shared" ref="E78:E83" si="21">(C78*$G$40)/$G$44</f>
        <v>#REF!</v>
      </c>
      <c r="F78" s="99">
        <f t="shared" ref="F78:F83" si="22">C78/D78</f>
        <v>0.9792666667</v>
      </c>
      <c r="G78" s="22"/>
      <c r="L78" s="68"/>
      <c r="M78" s="68"/>
      <c r="N78" s="68"/>
      <c r="O78" s="16"/>
      <c r="P78" s="16"/>
      <c r="Q78" s="100" t="s">
        <v>11</v>
      </c>
      <c r="R78" s="68"/>
      <c r="S78" s="68"/>
      <c r="T78" s="68"/>
      <c r="U78" s="68"/>
      <c r="V78" s="68"/>
      <c r="W78" s="68"/>
      <c r="X78" s="101" t="s">
        <v>11</v>
      </c>
      <c r="Y78" s="102" t="s">
        <v>11</v>
      </c>
      <c r="Z78" s="16"/>
      <c r="AA78" s="16"/>
      <c r="AB78" s="16"/>
      <c r="AC78" s="16"/>
      <c r="AD78" s="16"/>
    </row>
    <row r="79" ht="21.0" customHeight="1">
      <c r="A79" s="68"/>
      <c r="B79" s="96" t="s">
        <v>63</v>
      </c>
      <c r="C79" s="97">
        <v>29673.0</v>
      </c>
      <c r="D79" s="97">
        <v>30000.0</v>
      </c>
      <c r="E79" s="98" t="str">
        <f t="shared" si="21"/>
        <v>#REF!</v>
      </c>
      <c r="F79" s="99">
        <f t="shared" si="22"/>
        <v>0.9891</v>
      </c>
      <c r="G79" s="22"/>
      <c r="L79" s="68"/>
      <c r="M79" s="68"/>
      <c r="N79" s="68"/>
      <c r="O79" s="16"/>
      <c r="P79" s="16"/>
      <c r="Q79" s="100" t="s">
        <v>11</v>
      </c>
      <c r="R79" s="68"/>
      <c r="S79" s="68"/>
      <c r="T79" s="68"/>
      <c r="U79" s="68"/>
      <c r="V79" s="68"/>
      <c r="W79" s="68"/>
      <c r="X79" s="101" t="s">
        <v>11</v>
      </c>
      <c r="Y79" s="102" t="s">
        <v>11</v>
      </c>
      <c r="Z79" s="16"/>
      <c r="AA79" s="16"/>
      <c r="AB79" s="16"/>
      <c r="AC79" s="16"/>
      <c r="AD79" s="16"/>
    </row>
    <row r="80" ht="21.0" customHeight="1">
      <c r="A80" s="68"/>
      <c r="B80" s="96" t="s">
        <v>64</v>
      </c>
      <c r="C80" s="97">
        <v>16386.0</v>
      </c>
      <c r="D80" s="97">
        <v>30000.0</v>
      </c>
      <c r="E80" s="98" t="str">
        <f t="shared" si="21"/>
        <v>#REF!</v>
      </c>
      <c r="F80" s="99">
        <f t="shared" si="22"/>
        <v>0.5462</v>
      </c>
      <c r="G80" s="22"/>
      <c r="L80" s="68"/>
      <c r="M80" s="68"/>
      <c r="N80" s="68"/>
      <c r="O80" s="16"/>
      <c r="P80" s="16"/>
      <c r="Q80" s="100" t="s">
        <v>11</v>
      </c>
      <c r="R80" s="68"/>
      <c r="S80" s="68"/>
      <c r="T80" s="68"/>
      <c r="U80" s="68"/>
      <c r="V80" s="68"/>
      <c r="W80" s="68"/>
      <c r="X80" s="101" t="s">
        <v>11</v>
      </c>
      <c r="Y80" s="102" t="s">
        <v>11</v>
      </c>
      <c r="Z80" s="16"/>
      <c r="AA80" s="16"/>
      <c r="AB80" s="16"/>
      <c r="AC80" s="16"/>
      <c r="AD80" s="16"/>
    </row>
    <row r="81" ht="21.0" customHeight="1">
      <c r="A81" s="68"/>
      <c r="B81" s="96" t="s">
        <v>65</v>
      </c>
      <c r="C81" s="97">
        <v>23215.0</v>
      </c>
      <c r="D81" s="97">
        <v>30000.0</v>
      </c>
      <c r="E81" s="98" t="str">
        <f t="shared" si="21"/>
        <v>#REF!</v>
      </c>
      <c r="F81" s="99">
        <f t="shared" si="22"/>
        <v>0.7738333333</v>
      </c>
      <c r="G81" s="22"/>
      <c r="L81" s="68"/>
      <c r="M81" s="68"/>
      <c r="N81" s="68"/>
      <c r="O81" s="16"/>
      <c r="P81" s="16"/>
      <c r="Q81" s="100" t="s">
        <v>11</v>
      </c>
      <c r="R81" s="68"/>
      <c r="S81" s="68"/>
      <c r="T81" s="68"/>
      <c r="U81" s="68"/>
      <c r="V81" s="68"/>
      <c r="W81" s="68"/>
      <c r="X81" s="101" t="s">
        <v>11</v>
      </c>
      <c r="Y81" s="102" t="s">
        <v>11</v>
      </c>
      <c r="Z81" s="16"/>
      <c r="AA81" s="16"/>
      <c r="AB81" s="16"/>
      <c r="AC81" s="16"/>
      <c r="AD81" s="16"/>
    </row>
    <row r="82" ht="21.0" customHeight="1">
      <c r="A82" s="68"/>
      <c r="B82" s="96" t="s">
        <v>66</v>
      </c>
      <c r="C82" s="97">
        <v>6791.0</v>
      </c>
      <c r="D82" s="97">
        <v>30000.0</v>
      </c>
      <c r="E82" s="98" t="str">
        <f t="shared" si="21"/>
        <v>#REF!</v>
      </c>
      <c r="F82" s="99">
        <f t="shared" si="22"/>
        <v>0.2263666667</v>
      </c>
      <c r="G82" s="22"/>
      <c r="L82" s="68"/>
      <c r="M82" s="68"/>
      <c r="N82" s="68"/>
      <c r="O82" s="16"/>
      <c r="P82" s="16"/>
      <c r="Q82" s="100" t="s">
        <v>11</v>
      </c>
      <c r="R82" s="68"/>
      <c r="S82" s="68"/>
      <c r="T82" s="68"/>
      <c r="U82" s="68"/>
      <c r="V82" s="68"/>
      <c r="W82" s="68"/>
      <c r="X82" s="101" t="s">
        <v>11</v>
      </c>
      <c r="Y82" s="102" t="s">
        <v>11</v>
      </c>
      <c r="Z82" s="16"/>
      <c r="AA82" s="16"/>
      <c r="AB82" s="16"/>
      <c r="AC82" s="16"/>
      <c r="AD82" s="16"/>
    </row>
    <row r="83" ht="21.0" customHeight="1">
      <c r="A83" s="68"/>
      <c r="B83" s="96" t="s">
        <v>67</v>
      </c>
      <c r="C83" s="97">
        <v>5601.0</v>
      </c>
      <c r="D83" s="97">
        <v>30000.0</v>
      </c>
      <c r="E83" s="98" t="str">
        <f t="shared" si="21"/>
        <v>#REF!</v>
      </c>
      <c r="F83" s="99">
        <f t="shared" si="22"/>
        <v>0.1867</v>
      </c>
      <c r="G83" s="22"/>
      <c r="L83" s="68"/>
      <c r="M83" s="68"/>
      <c r="N83" s="68"/>
      <c r="O83" s="16"/>
      <c r="P83" s="16"/>
      <c r="Q83" s="100" t="s">
        <v>11</v>
      </c>
      <c r="R83" s="68"/>
      <c r="S83" s="68"/>
      <c r="T83" s="68"/>
      <c r="U83" s="68"/>
      <c r="V83" s="68"/>
      <c r="W83" s="68"/>
      <c r="X83" s="101" t="s">
        <v>11</v>
      </c>
      <c r="Y83" s="102" t="s">
        <v>11</v>
      </c>
      <c r="Z83" s="16"/>
      <c r="AA83" s="16"/>
      <c r="AB83" s="16"/>
      <c r="AC83" s="16"/>
      <c r="AD83" s="16"/>
    </row>
    <row r="84" ht="15.75" customHeight="1">
      <c r="A84" s="68"/>
      <c r="B84" s="108"/>
      <c r="C84" s="109"/>
      <c r="D84" s="109"/>
      <c r="E84" s="110"/>
      <c r="F84" s="25"/>
      <c r="G84" s="25"/>
      <c r="L84" s="68"/>
      <c r="M84" s="68"/>
      <c r="N84" s="68"/>
      <c r="O84" s="16"/>
      <c r="P84" s="16"/>
      <c r="Q84" s="112"/>
      <c r="R84" s="68"/>
      <c r="S84" s="68"/>
      <c r="T84" s="68"/>
      <c r="U84" s="68"/>
      <c r="V84" s="68"/>
      <c r="W84" s="68"/>
      <c r="X84" s="101"/>
      <c r="Y84" s="102"/>
      <c r="Z84" s="16"/>
      <c r="AA84" s="16"/>
      <c r="AB84" s="16"/>
      <c r="AC84" s="16"/>
      <c r="AD84" s="16"/>
    </row>
    <row r="85" ht="15.75" customHeight="1">
      <c r="A85" s="68"/>
      <c r="B85" s="113" t="s">
        <v>68</v>
      </c>
      <c r="C85" s="114">
        <f t="shared" ref="C85:E85" si="23">SUM(C73:C83)</f>
        <v>183327</v>
      </c>
      <c r="D85" s="114">
        <f t="shared" si="23"/>
        <v>270000</v>
      </c>
      <c r="E85" s="115" t="str">
        <f t="shared" si="23"/>
        <v>#REF!</v>
      </c>
      <c r="F85" s="116">
        <f>C85/D85</f>
        <v>0.6789888889</v>
      </c>
      <c r="G85" s="22"/>
      <c r="L85" s="68"/>
      <c r="M85" s="68"/>
      <c r="N85" s="68"/>
      <c r="O85" s="16"/>
      <c r="P85" s="16"/>
      <c r="Q85" s="102"/>
      <c r="R85" s="102"/>
      <c r="S85" s="102"/>
      <c r="T85" s="102"/>
      <c r="U85" s="102"/>
      <c r="V85" s="102"/>
      <c r="W85" s="102"/>
      <c r="X85" s="102"/>
      <c r="Y85" s="102"/>
      <c r="Z85" s="16"/>
      <c r="AA85" s="16"/>
      <c r="AB85" s="16"/>
      <c r="AC85" s="16"/>
      <c r="AD85" s="16"/>
    </row>
    <row r="86" ht="15.75" customHeight="1">
      <c r="A86" s="68"/>
      <c r="B86" s="117"/>
      <c r="C86" s="118"/>
      <c r="D86" s="118"/>
      <c r="E86" s="118"/>
      <c r="F86" s="118"/>
      <c r="G86" s="118"/>
      <c r="H86" s="118"/>
      <c r="I86" s="119"/>
      <c r="J86" s="120"/>
      <c r="K86" s="120"/>
      <c r="L86" s="68"/>
      <c r="M86" s="68"/>
      <c r="N86" s="68"/>
      <c r="O86" s="16"/>
      <c r="P86" s="16"/>
      <c r="Q86" s="16"/>
      <c r="R86" s="16"/>
      <c r="S86" s="16"/>
      <c r="T86" s="16"/>
      <c r="U86" s="16"/>
      <c r="V86" s="16"/>
      <c r="W86" s="16"/>
      <c r="X86" s="16"/>
      <c r="Y86" s="16"/>
      <c r="Z86" s="16"/>
      <c r="AA86" s="16"/>
      <c r="AB86" s="16"/>
      <c r="AC86" s="16"/>
      <c r="AD86" s="16"/>
    </row>
    <row r="87" ht="15.75" customHeight="1">
      <c r="A87" s="68"/>
      <c r="B87" s="68"/>
      <c r="C87" s="68"/>
      <c r="D87" s="68"/>
      <c r="E87" s="68"/>
      <c r="F87" s="68"/>
      <c r="G87" s="68"/>
      <c r="H87" s="68"/>
      <c r="I87" s="68"/>
      <c r="J87" s="68"/>
      <c r="K87" s="68"/>
      <c r="L87" s="68"/>
      <c r="M87" s="68"/>
      <c r="N87" s="68"/>
      <c r="O87" s="16"/>
      <c r="P87" s="16"/>
      <c r="Q87" s="68"/>
      <c r="R87" s="68"/>
      <c r="S87" s="68"/>
      <c r="T87" s="68"/>
      <c r="U87" s="68"/>
      <c r="V87" s="68"/>
      <c r="W87" s="68"/>
      <c r="X87" s="68"/>
      <c r="Y87" s="68"/>
      <c r="Z87" s="16"/>
      <c r="AA87" s="16"/>
      <c r="AB87" s="16"/>
      <c r="AC87" s="16"/>
      <c r="AD87" s="16"/>
    </row>
    <row r="88" ht="59.25" customHeight="1">
      <c r="A88" s="68"/>
      <c r="B88" s="68"/>
      <c r="C88" s="68"/>
      <c r="D88" s="68"/>
      <c r="E88" s="68"/>
      <c r="F88" s="68"/>
      <c r="G88" s="68"/>
      <c r="H88" s="68"/>
      <c r="I88" s="68"/>
      <c r="J88" s="68"/>
      <c r="K88" s="68"/>
      <c r="L88" s="68"/>
      <c r="M88" s="68"/>
      <c r="N88" s="68"/>
      <c r="O88" s="16"/>
      <c r="P88" s="16"/>
      <c r="Q88" s="68"/>
      <c r="R88" s="68"/>
      <c r="S88" s="68"/>
      <c r="T88" s="68"/>
      <c r="U88" s="68"/>
      <c r="V88" s="68"/>
      <c r="W88" s="68"/>
      <c r="X88" s="68"/>
      <c r="Y88" s="68"/>
      <c r="Z88" s="16"/>
      <c r="AA88" s="16"/>
      <c r="AB88" s="16"/>
      <c r="AC88" s="16"/>
      <c r="AD88" s="16"/>
    </row>
    <row r="89" ht="15.75" customHeight="1">
      <c r="A89" s="68"/>
      <c r="B89" s="68"/>
      <c r="C89" s="68"/>
      <c r="D89" s="68"/>
      <c r="E89" s="68"/>
      <c r="F89" s="68"/>
      <c r="G89" s="68"/>
      <c r="H89" s="68"/>
      <c r="I89" s="68"/>
      <c r="J89" s="68"/>
      <c r="K89" s="68"/>
      <c r="L89" s="68"/>
      <c r="M89" s="68"/>
      <c r="N89" s="68"/>
      <c r="O89" s="16"/>
      <c r="P89" s="16"/>
      <c r="Q89" s="68"/>
      <c r="R89" s="68"/>
      <c r="S89" s="68"/>
      <c r="T89" s="68"/>
      <c r="U89" s="68"/>
      <c r="V89" s="68"/>
      <c r="W89" s="68"/>
      <c r="X89" s="68"/>
      <c r="Y89" s="68"/>
      <c r="Z89" s="16"/>
      <c r="AA89" s="16"/>
      <c r="AB89" s="16"/>
      <c r="AC89" s="16"/>
      <c r="AD89" s="16"/>
    </row>
    <row r="90" ht="18.0" customHeight="1">
      <c r="A90" s="68"/>
      <c r="B90" s="68"/>
      <c r="C90" s="68"/>
      <c r="D90" s="68"/>
      <c r="E90" s="68"/>
      <c r="F90" s="68"/>
      <c r="G90" s="68"/>
      <c r="H90" s="68"/>
      <c r="I90" s="68"/>
      <c r="J90" s="68"/>
      <c r="K90" s="68"/>
      <c r="L90" s="68"/>
      <c r="M90" s="68"/>
      <c r="N90" s="68"/>
      <c r="O90" s="16"/>
      <c r="P90" s="16"/>
      <c r="Q90" s="68"/>
      <c r="R90" s="68"/>
      <c r="S90" s="68"/>
      <c r="T90" s="68"/>
      <c r="U90" s="68"/>
      <c r="V90" s="68"/>
      <c r="W90" s="68"/>
      <c r="X90" s="68"/>
      <c r="Y90" s="68"/>
      <c r="Z90" s="16"/>
      <c r="AA90" s="16"/>
      <c r="AB90" s="16"/>
      <c r="AC90" s="16"/>
      <c r="AD90" s="16"/>
    </row>
    <row r="91" ht="15.75" customHeight="1">
      <c r="A91" s="68"/>
      <c r="B91" s="68"/>
      <c r="C91" s="68"/>
      <c r="D91" s="68"/>
      <c r="E91" s="68"/>
      <c r="F91" s="68"/>
      <c r="G91" s="68"/>
      <c r="H91" s="68"/>
      <c r="I91" s="68"/>
      <c r="J91" s="68"/>
      <c r="K91" s="68"/>
      <c r="L91" s="68"/>
      <c r="M91" s="68"/>
      <c r="N91" s="68"/>
      <c r="O91" s="16"/>
      <c r="P91" s="16"/>
      <c r="Q91" s="68"/>
      <c r="R91" s="68"/>
      <c r="S91" s="68"/>
      <c r="T91" s="68"/>
      <c r="U91" s="68"/>
      <c r="V91" s="68"/>
      <c r="W91" s="68"/>
      <c r="X91" s="68"/>
      <c r="Y91" s="68"/>
      <c r="Z91" s="16"/>
      <c r="AA91" s="16"/>
      <c r="AB91" s="16"/>
      <c r="AC91" s="16"/>
      <c r="AD91" s="16"/>
    </row>
    <row r="92" ht="15.75" customHeight="1">
      <c r="A92" s="68"/>
      <c r="B92" s="68"/>
      <c r="C92" s="68"/>
      <c r="D92" s="68"/>
      <c r="E92" s="68"/>
      <c r="F92" s="68"/>
      <c r="G92" s="68"/>
      <c r="H92" s="68"/>
      <c r="I92" s="68"/>
      <c r="J92" s="68"/>
      <c r="K92" s="68"/>
      <c r="L92" s="68"/>
      <c r="M92" s="68"/>
      <c r="N92" s="68"/>
      <c r="O92" s="16"/>
      <c r="P92" s="16"/>
      <c r="Q92" s="68"/>
      <c r="R92" s="68"/>
      <c r="S92" s="68"/>
      <c r="T92" s="68"/>
      <c r="U92" s="68"/>
      <c r="V92" s="68"/>
      <c r="W92" s="68"/>
      <c r="X92" s="68"/>
      <c r="Y92" s="68"/>
      <c r="Z92" s="16"/>
      <c r="AA92" s="16"/>
      <c r="AB92" s="16"/>
      <c r="AC92" s="16"/>
      <c r="AD92" s="16"/>
    </row>
    <row r="93" ht="15.75" customHeight="1">
      <c r="A93" s="68"/>
      <c r="B93" s="68"/>
      <c r="C93" s="68"/>
      <c r="D93" s="68"/>
      <c r="E93" s="68"/>
      <c r="F93" s="68"/>
      <c r="G93" s="68"/>
      <c r="H93" s="68"/>
      <c r="I93" s="68"/>
      <c r="J93" s="68"/>
      <c r="K93" s="68"/>
      <c r="L93" s="68"/>
      <c r="M93" s="68"/>
      <c r="N93" s="68"/>
      <c r="O93" s="16"/>
      <c r="P93" s="16"/>
      <c r="Q93" s="68"/>
      <c r="R93" s="68"/>
      <c r="S93" s="68"/>
      <c r="T93" s="68"/>
      <c r="U93" s="68"/>
      <c r="V93" s="68"/>
      <c r="W93" s="68"/>
      <c r="X93" s="68"/>
      <c r="Y93" s="68"/>
      <c r="Z93" s="16"/>
      <c r="AA93" s="16"/>
      <c r="AB93" s="16"/>
      <c r="AC93" s="16"/>
      <c r="AD93" s="16"/>
    </row>
    <row r="94" ht="15.75" customHeight="1">
      <c r="A94" s="68"/>
      <c r="B94" s="68"/>
      <c r="C94" s="68"/>
      <c r="D94" s="68"/>
      <c r="E94" s="68"/>
      <c r="F94" s="68"/>
      <c r="G94" s="68"/>
      <c r="H94" s="68"/>
      <c r="I94" s="68"/>
      <c r="J94" s="68"/>
      <c r="K94" s="68"/>
      <c r="L94" s="68"/>
      <c r="M94" s="68"/>
      <c r="N94" s="68"/>
      <c r="O94" s="16"/>
      <c r="P94" s="16"/>
      <c r="Q94" s="68"/>
      <c r="R94" s="68"/>
      <c r="S94" s="68"/>
      <c r="T94" s="68"/>
      <c r="U94" s="68"/>
      <c r="V94" s="68"/>
      <c r="W94" s="68"/>
      <c r="X94" s="68"/>
      <c r="Y94" s="68"/>
      <c r="Z94" s="16"/>
      <c r="AA94" s="16"/>
      <c r="AB94" s="16"/>
      <c r="AC94" s="16"/>
      <c r="AD94" s="16"/>
    </row>
    <row r="95" ht="15.75" customHeight="1">
      <c r="A95" s="68"/>
      <c r="B95" s="68"/>
      <c r="C95" s="68"/>
      <c r="D95" s="68"/>
      <c r="E95" s="68"/>
      <c r="F95" s="68"/>
      <c r="G95" s="68"/>
      <c r="H95" s="68"/>
      <c r="I95" s="68"/>
      <c r="J95" s="68"/>
      <c r="K95" s="68"/>
      <c r="L95" s="68"/>
      <c r="M95" s="68"/>
      <c r="N95" s="68"/>
      <c r="O95" s="16"/>
      <c r="P95" s="16"/>
      <c r="Q95" s="68"/>
      <c r="R95" s="68"/>
      <c r="S95" s="68"/>
      <c r="T95" s="68"/>
      <c r="U95" s="68"/>
      <c r="V95" s="68"/>
      <c r="W95" s="68"/>
      <c r="X95" s="68"/>
      <c r="Y95" s="68"/>
      <c r="Z95" s="16"/>
      <c r="AA95" s="16"/>
      <c r="AB95" s="16"/>
      <c r="AC95" s="16"/>
      <c r="AD95" s="16"/>
    </row>
    <row r="96" ht="15.75" customHeight="1">
      <c r="A96" s="68"/>
      <c r="B96" s="68"/>
      <c r="C96" s="68"/>
      <c r="D96" s="68"/>
      <c r="E96" s="68"/>
      <c r="F96" s="68"/>
      <c r="G96" s="68"/>
      <c r="H96" s="68"/>
      <c r="I96" s="68"/>
      <c r="J96" s="68"/>
      <c r="K96" s="68"/>
      <c r="L96" s="68"/>
      <c r="M96" s="68"/>
      <c r="N96" s="68"/>
      <c r="O96" s="16"/>
      <c r="P96" s="16"/>
      <c r="Q96" s="68"/>
      <c r="R96" s="68"/>
      <c r="S96" s="68"/>
      <c r="T96" s="68"/>
      <c r="U96" s="68"/>
      <c r="V96" s="68"/>
      <c r="W96" s="68"/>
      <c r="X96" s="68"/>
      <c r="Y96" s="68"/>
      <c r="Z96" s="16"/>
      <c r="AA96" s="16"/>
      <c r="AB96" s="16"/>
      <c r="AC96" s="16"/>
      <c r="AD96" s="16"/>
    </row>
    <row r="97" ht="15.75" customHeight="1">
      <c r="A97" s="68"/>
      <c r="B97" s="68"/>
      <c r="C97" s="68"/>
      <c r="D97" s="68"/>
      <c r="E97" s="68"/>
      <c r="F97" s="68"/>
      <c r="G97" s="68"/>
      <c r="H97" s="68"/>
      <c r="I97" s="68"/>
      <c r="J97" s="68"/>
      <c r="K97" s="68"/>
      <c r="L97" s="68"/>
      <c r="M97" s="68"/>
      <c r="N97" s="68"/>
      <c r="O97" s="16"/>
      <c r="P97" s="16"/>
      <c r="Q97" s="68"/>
      <c r="R97" s="68"/>
      <c r="S97" s="68"/>
      <c r="T97" s="68"/>
      <c r="U97" s="68"/>
      <c r="V97" s="68"/>
      <c r="W97" s="68"/>
      <c r="X97" s="68"/>
      <c r="Y97" s="68"/>
      <c r="Z97" s="16"/>
      <c r="AA97" s="16"/>
      <c r="AB97" s="16"/>
      <c r="AC97" s="16"/>
      <c r="AD97" s="16"/>
    </row>
    <row r="98" ht="15.75" customHeight="1">
      <c r="A98" s="68"/>
      <c r="B98" s="68"/>
      <c r="C98" s="68"/>
      <c r="D98" s="68"/>
      <c r="E98" s="68"/>
      <c r="F98" s="68"/>
      <c r="G98" s="68"/>
      <c r="H98" s="68"/>
      <c r="I98" s="68"/>
      <c r="J98" s="68"/>
      <c r="K98" s="68"/>
      <c r="L98" s="68"/>
      <c r="M98" s="68"/>
      <c r="N98" s="68"/>
      <c r="O98" s="16"/>
      <c r="P98" s="16"/>
      <c r="Q98" s="68"/>
      <c r="R98" s="68"/>
      <c r="S98" s="68"/>
      <c r="T98" s="68"/>
      <c r="U98" s="68"/>
      <c r="V98" s="68"/>
      <c r="W98" s="68"/>
      <c r="X98" s="68"/>
      <c r="Y98" s="68"/>
      <c r="Z98" s="16"/>
      <c r="AA98" s="16"/>
      <c r="AB98" s="16"/>
      <c r="AC98" s="16"/>
      <c r="AD98" s="16"/>
    </row>
    <row r="99" ht="15.75" customHeight="1">
      <c r="A99" s="68"/>
      <c r="B99" s="68"/>
      <c r="C99" s="68"/>
      <c r="D99" s="68"/>
      <c r="E99" s="68"/>
      <c r="F99" s="68"/>
      <c r="G99" s="68"/>
      <c r="H99" s="68"/>
      <c r="I99" s="68"/>
      <c r="J99" s="68"/>
      <c r="K99" s="68"/>
      <c r="L99" s="68"/>
      <c r="M99" s="68"/>
      <c r="N99" s="68"/>
      <c r="O99" s="16"/>
      <c r="P99" s="16"/>
      <c r="Q99" s="68"/>
      <c r="R99" s="68"/>
      <c r="S99" s="68"/>
      <c r="T99" s="68"/>
      <c r="U99" s="68"/>
      <c r="V99" s="68"/>
      <c r="W99" s="68"/>
      <c r="X99" s="68"/>
      <c r="Y99" s="68"/>
      <c r="Z99" s="16"/>
      <c r="AA99" s="16"/>
      <c r="AB99" s="16"/>
      <c r="AC99" s="16"/>
      <c r="AD99" s="16"/>
    </row>
    <row r="100" ht="15.75" customHeight="1">
      <c r="A100" s="68"/>
      <c r="B100" s="68"/>
      <c r="C100" s="68"/>
      <c r="D100" s="68"/>
      <c r="E100" s="68"/>
      <c r="F100" s="68"/>
      <c r="G100" s="68"/>
      <c r="H100" s="68"/>
      <c r="I100" s="68"/>
      <c r="J100" s="68"/>
      <c r="K100" s="68"/>
      <c r="L100" s="68"/>
      <c r="M100" s="68"/>
      <c r="N100" s="68"/>
      <c r="O100" s="16"/>
      <c r="P100" s="16"/>
      <c r="Q100" s="68"/>
      <c r="R100" s="68"/>
      <c r="S100" s="68"/>
      <c r="T100" s="68"/>
      <c r="U100" s="68"/>
      <c r="V100" s="68"/>
      <c r="W100" s="68"/>
      <c r="X100" s="68"/>
      <c r="Y100" s="68"/>
      <c r="Z100" s="16"/>
      <c r="AA100" s="16"/>
      <c r="AB100" s="16"/>
      <c r="AC100" s="16"/>
      <c r="AD100" s="16"/>
    </row>
    <row r="101" ht="15.75" customHeight="1">
      <c r="A101" s="68"/>
      <c r="B101" s="68"/>
      <c r="C101" s="68"/>
      <c r="D101" s="68"/>
      <c r="E101" s="68"/>
      <c r="F101" s="68"/>
      <c r="G101" s="68"/>
      <c r="H101" s="68"/>
      <c r="I101" s="68"/>
      <c r="J101" s="68"/>
      <c r="K101" s="68"/>
      <c r="L101" s="68"/>
      <c r="M101" s="68"/>
      <c r="N101" s="68"/>
      <c r="O101" s="16"/>
      <c r="P101" s="16"/>
      <c r="Q101" s="68"/>
      <c r="R101" s="68"/>
      <c r="S101" s="68"/>
      <c r="T101" s="68"/>
      <c r="U101" s="68"/>
      <c r="V101" s="68"/>
      <c r="W101" s="68"/>
      <c r="X101" s="68"/>
      <c r="Y101" s="68"/>
      <c r="Z101" s="16"/>
      <c r="AA101" s="16"/>
      <c r="AB101" s="16"/>
      <c r="AC101" s="16"/>
      <c r="AD101" s="16"/>
    </row>
    <row r="102" ht="15.75" customHeight="1">
      <c r="A102" s="68"/>
      <c r="B102" s="68"/>
      <c r="C102" s="68"/>
      <c r="D102" s="68"/>
      <c r="E102" s="68"/>
      <c r="F102" s="68"/>
      <c r="G102" s="68"/>
      <c r="H102" s="68"/>
      <c r="I102" s="68"/>
      <c r="J102" s="68"/>
      <c r="K102" s="68"/>
      <c r="L102" s="68"/>
      <c r="M102" s="68"/>
      <c r="N102" s="68"/>
      <c r="O102" s="16"/>
      <c r="P102" s="16"/>
      <c r="Q102" s="68"/>
      <c r="R102" s="68"/>
      <c r="S102" s="68"/>
      <c r="T102" s="68"/>
      <c r="U102" s="68"/>
      <c r="V102" s="68"/>
      <c r="W102" s="68"/>
      <c r="X102" s="68"/>
      <c r="Y102" s="68"/>
      <c r="Z102" s="16"/>
      <c r="AA102" s="16"/>
      <c r="AB102" s="16"/>
      <c r="AC102" s="16"/>
      <c r="AD102" s="16"/>
    </row>
    <row r="103" ht="15.75" customHeight="1">
      <c r="A103" s="68"/>
      <c r="B103" s="68"/>
      <c r="C103" s="68"/>
      <c r="D103" s="68"/>
      <c r="E103" s="68"/>
      <c r="F103" s="68"/>
      <c r="G103" s="68"/>
      <c r="H103" s="68"/>
      <c r="I103" s="68"/>
      <c r="J103" s="68"/>
      <c r="K103" s="68"/>
      <c r="L103" s="68"/>
      <c r="M103" s="68"/>
      <c r="N103" s="68"/>
      <c r="O103" s="16"/>
      <c r="P103" s="16"/>
      <c r="Q103" s="68"/>
      <c r="R103" s="68"/>
      <c r="S103" s="68"/>
      <c r="T103" s="68"/>
      <c r="U103" s="68"/>
      <c r="V103" s="68"/>
      <c r="W103" s="68"/>
      <c r="X103" s="68"/>
      <c r="Y103" s="68"/>
      <c r="Z103" s="16"/>
      <c r="AA103" s="16"/>
      <c r="AB103" s="16"/>
      <c r="AC103" s="16"/>
      <c r="AD103" s="16"/>
    </row>
    <row r="104" ht="15.75" customHeight="1">
      <c r="A104" s="68"/>
      <c r="B104" s="68"/>
      <c r="C104" s="68"/>
      <c r="D104" s="68"/>
      <c r="E104" s="68"/>
      <c r="F104" s="68"/>
      <c r="G104" s="68"/>
      <c r="H104" s="68"/>
      <c r="I104" s="68"/>
      <c r="J104" s="68"/>
      <c r="K104" s="68"/>
      <c r="L104" s="68"/>
      <c r="M104" s="68"/>
      <c r="N104" s="68"/>
      <c r="O104" s="16"/>
      <c r="P104" s="16"/>
      <c r="Q104" s="68"/>
      <c r="R104" s="68"/>
      <c r="S104" s="68"/>
      <c r="T104" s="68"/>
      <c r="U104" s="68"/>
      <c r="V104" s="68"/>
      <c r="W104" s="68"/>
      <c r="X104" s="68"/>
      <c r="Y104" s="68"/>
      <c r="Z104" s="16"/>
      <c r="AA104" s="16"/>
      <c r="AB104" s="16"/>
      <c r="AC104" s="16"/>
      <c r="AD104" s="16"/>
    </row>
    <row r="105" ht="15.75" customHeight="1">
      <c r="A105" s="68"/>
      <c r="B105" s="68"/>
      <c r="C105" s="68"/>
      <c r="D105" s="68"/>
      <c r="E105" s="68"/>
      <c r="F105" s="68"/>
      <c r="G105" s="68"/>
      <c r="H105" s="68"/>
      <c r="I105" s="68"/>
      <c r="J105" s="68"/>
      <c r="K105" s="68"/>
      <c r="L105" s="68"/>
      <c r="M105" s="68"/>
      <c r="N105" s="68"/>
      <c r="O105" s="16"/>
      <c r="P105" s="16"/>
      <c r="Q105" s="68"/>
      <c r="R105" s="68"/>
      <c r="S105" s="68"/>
      <c r="T105" s="68"/>
      <c r="U105" s="68"/>
      <c r="V105" s="68"/>
      <c r="W105" s="68"/>
      <c r="X105" s="68"/>
      <c r="Y105" s="68"/>
      <c r="Z105" s="16"/>
      <c r="AA105" s="16"/>
      <c r="AB105" s="16"/>
      <c r="AC105" s="16"/>
      <c r="AD105" s="16"/>
    </row>
    <row r="106" ht="15.75" customHeight="1">
      <c r="A106" s="68"/>
      <c r="B106" s="68"/>
      <c r="C106" s="68"/>
      <c r="D106" s="68"/>
      <c r="E106" s="68"/>
      <c r="F106" s="68"/>
      <c r="G106" s="68"/>
      <c r="H106" s="68"/>
      <c r="I106" s="68"/>
      <c r="J106" s="68"/>
      <c r="K106" s="68"/>
      <c r="L106" s="68"/>
      <c r="M106" s="68"/>
      <c r="N106" s="68"/>
      <c r="O106" s="16"/>
      <c r="P106" s="16"/>
      <c r="Q106" s="68"/>
      <c r="R106" s="68"/>
      <c r="S106" s="68"/>
      <c r="T106" s="68"/>
      <c r="U106" s="68"/>
      <c r="V106" s="68"/>
      <c r="W106" s="68"/>
      <c r="X106" s="68"/>
      <c r="Y106" s="68"/>
      <c r="Z106" s="16"/>
      <c r="AA106" s="16"/>
      <c r="AB106" s="16"/>
      <c r="AC106" s="16"/>
      <c r="AD106" s="16"/>
    </row>
    <row r="107" ht="15.75" customHeight="1">
      <c r="A107" s="68"/>
      <c r="B107" s="68"/>
      <c r="C107" s="68"/>
      <c r="D107" s="68"/>
      <c r="E107" s="68"/>
      <c r="F107" s="68"/>
      <c r="G107" s="68"/>
      <c r="H107" s="68"/>
      <c r="I107" s="68"/>
      <c r="J107" s="68"/>
      <c r="K107" s="68"/>
      <c r="L107" s="68"/>
      <c r="M107" s="68"/>
      <c r="N107" s="68"/>
      <c r="O107" s="16"/>
      <c r="P107" s="16"/>
      <c r="Q107" s="68"/>
      <c r="R107" s="68"/>
      <c r="S107" s="68"/>
      <c r="T107" s="68"/>
      <c r="U107" s="68"/>
      <c r="V107" s="68"/>
      <c r="W107" s="68"/>
      <c r="X107" s="68"/>
      <c r="Y107" s="68"/>
      <c r="Z107" s="16"/>
      <c r="AA107" s="16"/>
      <c r="AB107" s="16"/>
      <c r="AC107" s="16"/>
      <c r="AD107" s="16"/>
    </row>
    <row r="108" ht="15.75" customHeight="1">
      <c r="A108" s="68"/>
      <c r="B108" s="68"/>
      <c r="C108" s="68"/>
      <c r="D108" s="68"/>
      <c r="E108" s="68"/>
      <c r="F108" s="68"/>
      <c r="G108" s="68"/>
      <c r="H108" s="68"/>
      <c r="I108" s="68"/>
      <c r="J108" s="68"/>
      <c r="K108" s="68"/>
      <c r="L108" s="68"/>
      <c r="M108" s="68"/>
      <c r="N108" s="68"/>
      <c r="O108" s="16"/>
      <c r="P108" s="16"/>
      <c r="Q108" s="68"/>
      <c r="R108" s="68"/>
      <c r="S108" s="68"/>
      <c r="T108" s="68"/>
      <c r="U108" s="68"/>
      <c r="V108" s="68"/>
      <c r="W108" s="68"/>
      <c r="X108" s="68"/>
      <c r="Y108" s="68"/>
      <c r="Z108" s="16"/>
      <c r="AA108" s="16"/>
      <c r="AB108" s="16"/>
      <c r="AC108" s="16"/>
      <c r="AD108" s="16"/>
    </row>
    <row r="109" ht="15.75" customHeight="1">
      <c r="A109" s="68"/>
      <c r="B109" s="68"/>
      <c r="C109" s="68"/>
      <c r="D109" s="68"/>
      <c r="E109" s="68"/>
      <c r="F109" s="68"/>
      <c r="G109" s="68"/>
      <c r="H109" s="68"/>
      <c r="I109" s="68"/>
      <c r="J109" s="68"/>
      <c r="K109" s="68"/>
      <c r="L109" s="68"/>
      <c r="M109" s="68"/>
      <c r="N109" s="68"/>
      <c r="O109" s="16"/>
      <c r="P109" s="16"/>
      <c r="Q109" s="68"/>
      <c r="R109" s="68"/>
      <c r="S109" s="68"/>
      <c r="T109" s="68"/>
      <c r="U109" s="68"/>
      <c r="V109" s="68"/>
      <c r="W109" s="68"/>
      <c r="X109" s="68"/>
      <c r="Y109" s="68"/>
      <c r="Z109" s="16"/>
      <c r="AA109" s="16"/>
      <c r="AB109" s="16"/>
      <c r="AC109" s="16"/>
      <c r="AD109" s="16"/>
    </row>
    <row r="110" ht="15.75" customHeight="1">
      <c r="A110" s="68"/>
      <c r="B110" s="68"/>
      <c r="C110" s="68"/>
      <c r="D110" s="68"/>
      <c r="E110" s="68"/>
      <c r="F110" s="68"/>
      <c r="G110" s="68"/>
      <c r="H110" s="68"/>
      <c r="I110" s="68"/>
      <c r="J110" s="68"/>
      <c r="K110" s="68"/>
      <c r="L110" s="68"/>
      <c r="M110" s="68"/>
      <c r="N110" s="68"/>
      <c r="O110" s="16"/>
      <c r="P110" s="16"/>
      <c r="Q110" s="68"/>
      <c r="R110" s="68"/>
      <c r="S110" s="68"/>
      <c r="T110" s="68"/>
      <c r="U110" s="68"/>
      <c r="V110" s="68"/>
      <c r="W110" s="68"/>
      <c r="X110" s="68"/>
      <c r="Y110" s="68"/>
      <c r="Z110" s="16"/>
      <c r="AA110" s="16"/>
      <c r="AB110" s="16"/>
      <c r="AC110" s="16"/>
      <c r="AD110" s="16"/>
    </row>
    <row r="111" ht="15.75" customHeight="1">
      <c r="A111" s="68"/>
      <c r="B111" s="68"/>
      <c r="C111" s="68"/>
      <c r="D111" s="68"/>
      <c r="E111" s="68"/>
      <c r="F111" s="68"/>
      <c r="G111" s="68"/>
      <c r="H111" s="68"/>
      <c r="I111" s="68"/>
      <c r="J111" s="68"/>
      <c r="K111" s="68"/>
      <c r="L111" s="68"/>
      <c r="M111" s="68"/>
      <c r="N111" s="68"/>
      <c r="O111" s="16"/>
      <c r="P111" s="16"/>
      <c r="Q111" s="68"/>
      <c r="R111" s="68"/>
      <c r="S111" s="68"/>
      <c r="T111" s="68"/>
      <c r="U111" s="68"/>
      <c r="V111" s="68"/>
      <c r="W111" s="68"/>
      <c r="X111" s="68"/>
      <c r="Y111" s="68"/>
      <c r="Z111" s="16"/>
      <c r="AA111" s="16"/>
      <c r="AB111" s="16"/>
      <c r="AC111" s="16"/>
      <c r="AD111" s="16"/>
    </row>
    <row r="112" ht="15.75" customHeight="1">
      <c r="A112" s="68"/>
      <c r="B112" s="68"/>
      <c r="C112" s="68"/>
      <c r="D112" s="68"/>
      <c r="E112" s="68"/>
      <c r="F112" s="68"/>
      <c r="G112" s="68"/>
      <c r="H112" s="68"/>
      <c r="I112" s="68"/>
      <c r="J112" s="68"/>
      <c r="K112" s="68"/>
      <c r="L112" s="68"/>
      <c r="M112" s="68"/>
      <c r="N112" s="68"/>
      <c r="O112" s="16"/>
      <c r="P112" s="16"/>
      <c r="Q112" s="68"/>
      <c r="R112" s="68"/>
      <c r="S112" s="68"/>
      <c r="T112" s="68"/>
      <c r="U112" s="68"/>
      <c r="V112" s="68"/>
      <c r="W112" s="68"/>
      <c r="X112" s="68"/>
      <c r="Y112" s="68"/>
      <c r="Z112" s="16"/>
      <c r="AA112" s="16"/>
      <c r="AB112" s="16"/>
      <c r="AC112" s="16"/>
      <c r="AD112" s="16"/>
    </row>
    <row r="113" ht="15.75" customHeight="1">
      <c r="A113" s="68"/>
      <c r="B113" s="68"/>
      <c r="C113" s="68"/>
      <c r="D113" s="68"/>
      <c r="E113" s="68"/>
      <c r="F113" s="68"/>
      <c r="G113" s="68"/>
      <c r="H113" s="68"/>
      <c r="I113" s="68"/>
      <c r="J113" s="68"/>
      <c r="K113" s="68"/>
      <c r="L113" s="68"/>
      <c r="M113" s="68"/>
      <c r="N113" s="68"/>
      <c r="O113" s="16"/>
      <c r="P113" s="16"/>
      <c r="Q113" s="68"/>
      <c r="R113" s="68"/>
      <c r="S113" s="68"/>
      <c r="T113" s="68"/>
      <c r="U113" s="68"/>
      <c r="V113" s="68"/>
      <c r="W113" s="68"/>
      <c r="X113" s="68"/>
      <c r="Y113" s="68"/>
      <c r="Z113" s="16"/>
      <c r="AA113" s="16"/>
      <c r="AB113" s="16"/>
      <c r="AC113" s="16"/>
      <c r="AD113" s="16"/>
    </row>
    <row r="114" ht="15.75" customHeight="1">
      <c r="A114" s="68"/>
      <c r="B114" s="68"/>
      <c r="C114" s="68"/>
      <c r="D114" s="68"/>
      <c r="E114" s="68"/>
      <c r="F114" s="68"/>
      <c r="G114" s="68"/>
      <c r="H114" s="68"/>
      <c r="I114" s="68"/>
      <c r="J114" s="68"/>
      <c r="K114" s="68"/>
      <c r="L114" s="68"/>
      <c r="M114" s="68"/>
      <c r="N114" s="68"/>
      <c r="O114" s="16"/>
      <c r="P114" s="16"/>
      <c r="Q114" s="68"/>
      <c r="R114" s="68"/>
      <c r="S114" s="68"/>
      <c r="T114" s="68"/>
      <c r="U114" s="68"/>
      <c r="V114" s="68"/>
      <c r="W114" s="68"/>
      <c r="X114" s="68"/>
      <c r="Y114" s="68"/>
      <c r="Z114" s="16"/>
      <c r="AA114" s="16"/>
      <c r="AB114" s="16"/>
      <c r="AC114" s="16"/>
      <c r="AD114" s="16"/>
    </row>
    <row r="115" ht="15.75" customHeight="1">
      <c r="A115" s="68"/>
      <c r="B115" s="68"/>
      <c r="C115" s="68"/>
      <c r="D115" s="68"/>
      <c r="E115" s="68"/>
      <c r="F115" s="68"/>
      <c r="G115" s="68"/>
      <c r="H115" s="68"/>
      <c r="I115" s="68"/>
      <c r="J115" s="68"/>
      <c r="K115" s="68"/>
      <c r="L115" s="68"/>
      <c r="M115" s="68"/>
      <c r="N115" s="68"/>
      <c r="O115" s="16"/>
      <c r="P115" s="16"/>
      <c r="Q115" s="68"/>
      <c r="R115" s="68"/>
      <c r="S115" s="68"/>
      <c r="T115" s="68"/>
      <c r="U115" s="68"/>
      <c r="V115" s="68"/>
      <c r="W115" s="68"/>
      <c r="X115" s="68"/>
      <c r="Y115" s="68"/>
      <c r="Z115" s="16"/>
      <c r="AA115" s="16"/>
      <c r="AB115" s="16"/>
      <c r="AC115" s="16"/>
      <c r="AD115" s="16"/>
    </row>
    <row r="116" ht="15.75" customHeight="1">
      <c r="A116" s="68"/>
      <c r="B116" s="68"/>
      <c r="C116" s="68"/>
      <c r="D116" s="68"/>
      <c r="E116" s="68"/>
      <c r="F116" s="68"/>
      <c r="G116" s="68"/>
      <c r="H116" s="68"/>
      <c r="I116" s="68"/>
      <c r="J116" s="68"/>
      <c r="K116" s="68"/>
      <c r="L116" s="68"/>
      <c r="M116" s="68"/>
      <c r="N116" s="68"/>
      <c r="O116" s="16"/>
      <c r="P116" s="16"/>
      <c r="Q116" s="68"/>
      <c r="R116" s="68"/>
      <c r="S116" s="68"/>
      <c r="T116" s="68"/>
      <c r="U116" s="68"/>
      <c r="V116" s="68"/>
      <c r="W116" s="68"/>
      <c r="X116" s="68"/>
      <c r="Y116" s="68"/>
      <c r="Z116" s="16"/>
      <c r="AA116" s="16"/>
      <c r="AB116" s="16"/>
      <c r="AC116" s="16"/>
      <c r="AD116" s="16"/>
    </row>
    <row r="117" ht="15.75" customHeight="1">
      <c r="A117" s="68"/>
      <c r="B117" s="68"/>
      <c r="C117" s="68"/>
      <c r="D117" s="68"/>
      <c r="E117" s="68"/>
      <c r="F117" s="68"/>
      <c r="G117" s="68"/>
      <c r="H117" s="68"/>
      <c r="I117" s="68"/>
      <c r="J117" s="68"/>
      <c r="K117" s="68"/>
      <c r="L117" s="68"/>
      <c r="M117" s="68"/>
      <c r="N117" s="68"/>
      <c r="O117" s="16"/>
      <c r="P117" s="16"/>
      <c r="Q117" s="68"/>
      <c r="R117" s="68"/>
      <c r="S117" s="68"/>
      <c r="T117" s="68"/>
      <c r="U117" s="68"/>
      <c r="V117" s="68"/>
      <c r="W117" s="68"/>
      <c r="X117" s="68"/>
      <c r="Y117" s="68"/>
      <c r="Z117" s="16"/>
      <c r="AA117" s="16"/>
      <c r="AB117" s="16"/>
      <c r="AC117" s="16"/>
      <c r="AD117" s="16"/>
    </row>
    <row r="118" ht="15.75" customHeight="1">
      <c r="A118" s="68"/>
      <c r="B118" s="68"/>
      <c r="C118" s="68"/>
      <c r="D118" s="68"/>
      <c r="E118" s="68"/>
      <c r="F118" s="68"/>
      <c r="G118" s="68"/>
      <c r="H118" s="68"/>
      <c r="I118" s="68"/>
      <c r="J118" s="68"/>
      <c r="K118" s="68"/>
      <c r="L118" s="68"/>
      <c r="M118" s="68"/>
      <c r="N118" s="68"/>
      <c r="O118" s="16"/>
      <c r="P118" s="16"/>
      <c r="Q118" s="68"/>
      <c r="R118" s="68"/>
      <c r="S118" s="68"/>
      <c r="T118" s="68"/>
      <c r="U118" s="68"/>
      <c r="V118" s="68"/>
      <c r="W118" s="68"/>
      <c r="X118" s="68"/>
      <c r="Y118" s="68"/>
      <c r="Z118" s="16"/>
      <c r="AA118" s="16"/>
      <c r="AB118" s="16"/>
      <c r="AC118" s="16"/>
      <c r="AD118" s="16"/>
    </row>
    <row r="119" ht="15.75" customHeight="1">
      <c r="A119" s="68"/>
      <c r="B119" s="68"/>
      <c r="C119" s="68"/>
      <c r="D119" s="68"/>
      <c r="E119" s="68"/>
      <c r="F119" s="68"/>
      <c r="G119" s="68"/>
      <c r="H119" s="68"/>
      <c r="I119" s="68"/>
      <c r="J119" s="68"/>
      <c r="K119" s="68"/>
      <c r="L119" s="68"/>
      <c r="M119" s="68"/>
      <c r="N119" s="68"/>
      <c r="O119" s="16"/>
      <c r="P119" s="16"/>
      <c r="Q119" s="68"/>
      <c r="R119" s="68"/>
      <c r="S119" s="68"/>
      <c r="T119" s="68"/>
      <c r="U119" s="68"/>
      <c r="V119" s="68"/>
      <c r="W119" s="68"/>
      <c r="X119" s="68"/>
      <c r="Y119" s="68"/>
      <c r="Z119" s="16"/>
      <c r="AA119" s="16"/>
      <c r="AB119" s="16"/>
      <c r="AC119" s="16"/>
      <c r="AD119" s="16"/>
    </row>
    <row r="120" ht="15.75" customHeight="1">
      <c r="A120" s="68"/>
      <c r="B120" s="68"/>
      <c r="C120" s="68"/>
      <c r="D120" s="68"/>
      <c r="E120" s="68"/>
      <c r="F120" s="68"/>
      <c r="G120" s="68"/>
      <c r="H120" s="68"/>
      <c r="I120" s="68"/>
      <c r="J120" s="68"/>
      <c r="K120" s="68"/>
      <c r="L120" s="68"/>
      <c r="M120" s="68"/>
      <c r="N120" s="68"/>
      <c r="O120" s="16"/>
      <c r="P120" s="16"/>
      <c r="Q120" s="68"/>
      <c r="R120" s="68"/>
      <c r="S120" s="68"/>
      <c r="T120" s="68"/>
      <c r="U120" s="68"/>
      <c r="V120" s="68"/>
      <c r="W120" s="68"/>
      <c r="X120" s="68"/>
      <c r="Y120" s="68"/>
      <c r="Z120" s="16"/>
      <c r="AA120" s="16"/>
      <c r="AB120" s="16"/>
      <c r="AC120" s="16"/>
      <c r="AD120" s="16"/>
    </row>
    <row r="121" ht="15.75" customHeight="1">
      <c r="A121" s="68"/>
      <c r="B121" s="68"/>
      <c r="C121" s="68"/>
      <c r="D121" s="68"/>
      <c r="E121" s="68"/>
      <c r="F121" s="68"/>
      <c r="G121" s="68"/>
      <c r="H121" s="68"/>
      <c r="I121" s="68"/>
      <c r="J121" s="68"/>
      <c r="K121" s="68"/>
      <c r="L121" s="68"/>
      <c r="M121" s="68"/>
      <c r="N121" s="68"/>
      <c r="O121" s="16"/>
      <c r="P121" s="16"/>
      <c r="Q121" s="68"/>
      <c r="R121" s="68"/>
      <c r="S121" s="68"/>
      <c r="T121" s="68"/>
      <c r="U121" s="68"/>
      <c r="V121" s="68"/>
      <c r="W121" s="68"/>
      <c r="X121" s="68"/>
      <c r="Y121" s="68"/>
      <c r="Z121" s="16"/>
      <c r="AA121" s="16"/>
      <c r="AB121" s="16"/>
      <c r="AC121" s="16"/>
      <c r="AD121" s="16"/>
    </row>
    <row r="122" ht="15.75" customHeight="1">
      <c r="A122" s="68"/>
      <c r="B122" s="68"/>
      <c r="C122" s="68"/>
      <c r="D122" s="68"/>
      <c r="E122" s="68"/>
      <c r="F122" s="68"/>
      <c r="G122" s="68"/>
      <c r="H122" s="68"/>
      <c r="I122" s="68"/>
      <c r="J122" s="68"/>
      <c r="K122" s="68"/>
      <c r="L122" s="68"/>
      <c r="M122" s="68"/>
      <c r="N122" s="68"/>
      <c r="O122" s="16"/>
      <c r="P122" s="16"/>
      <c r="Q122" s="16"/>
      <c r="R122" s="16"/>
      <c r="S122" s="16"/>
      <c r="T122" s="16"/>
      <c r="U122" s="16"/>
      <c r="V122" s="16"/>
      <c r="W122" s="16"/>
      <c r="X122" s="16"/>
      <c r="Y122" s="16"/>
      <c r="Z122" s="16"/>
      <c r="AA122" s="16"/>
      <c r="AB122" s="16"/>
      <c r="AC122" s="16"/>
      <c r="AD122" s="16"/>
    </row>
    <row r="123" ht="15.75" customHeight="1">
      <c r="A123" s="68"/>
      <c r="B123" s="68"/>
      <c r="C123" s="68"/>
      <c r="D123" s="68"/>
      <c r="E123" s="68"/>
      <c r="F123" s="68"/>
      <c r="G123" s="68"/>
      <c r="H123" s="68"/>
      <c r="I123" s="68"/>
      <c r="J123" s="68"/>
      <c r="K123" s="68"/>
      <c r="L123" s="68"/>
      <c r="M123" s="68"/>
      <c r="N123" s="68"/>
      <c r="O123" s="16"/>
      <c r="P123" s="16"/>
      <c r="Q123" s="16"/>
      <c r="R123" s="16"/>
      <c r="S123" s="16"/>
      <c r="T123" s="16"/>
      <c r="U123" s="16"/>
      <c r="V123" s="16"/>
      <c r="W123" s="16"/>
      <c r="X123" s="16"/>
      <c r="Y123" s="16"/>
      <c r="Z123" s="16"/>
      <c r="AA123" s="16"/>
      <c r="AB123" s="16"/>
      <c r="AC123" s="16"/>
      <c r="AD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row>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B3:F3"/>
    <mergeCell ref="B4:F4"/>
    <mergeCell ref="B5:F5"/>
    <mergeCell ref="B6:F6"/>
    <mergeCell ref="B7:F7"/>
    <mergeCell ref="B8:F8"/>
    <mergeCell ref="A26:N26"/>
    <mergeCell ref="F75:G75"/>
    <mergeCell ref="F78:G78"/>
    <mergeCell ref="F79:G79"/>
    <mergeCell ref="F80:G80"/>
    <mergeCell ref="F81:G81"/>
    <mergeCell ref="F82:G82"/>
    <mergeCell ref="F83:G83"/>
    <mergeCell ref="F85:G85"/>
    <mergeCell ref="B9:F9"/>
    <mergeCell ref="B39:G39"/>
    <mergeCell ref="B70:K70"/>
    <mergeCell ref="F71:G71"/>
    <mergeCell ref="F72:G72"/>
    <mergeCell ref="F73:G73"/>
    <mergeCell ref="F74:G74"/>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6.71"/>
    <col customWidth="1" min="2" max="2" width="85.43"/>
    <col customWidth="1" min="3" max="5" width="9.29"/>
    <col customWidth="1" min="6" max="6" width="12.29"/>
    <col customWidth="1" min="7" max="7" width="14.43"/>
    <col customWidth="1" min="8" max="9" width="11.57"/>
    <col customWidth="1" min="10" max="10" width="14.43"/>
    <col customWidth="1" min="11" max="11" width="9.86"/>
    <col customWidth="1" min="12" max="12" width="14.43"/>
    <col customWidth="1" min="13" max="13" width="10.57"/>
    <col customWidth="1" min="14" max="15" width="11.57"/>
    <col customWidth="1" min="16" max="16" width="14.14"/>
    <col customWidth="1" min="17" max="17" width="11.57"/>
    <col customWidth="1" min="18" max="18" width="16.0"/>
    <col customWidth="1" min="19" max="20" width="14.43"/>
  </cols>
  <sheetData>
    <row r="1" ht="22.5" customHeight="1">
      <c r="A1" s="121"/>
      <c r="B1" s="122" t="s">
        <v>69</v>
      </c>
      <c r="C1" s="123" t="str">
        <f>getDocumentName()</f>
        <v>Кошторис Генерація_2.0</v>
      </c>
      <c r="M1" s="68"/>
      <c r="N1" s="124"/>
      <c r="O1" s="68"/>
      <c r="P1" s="125"/>
      <c r="Q1" s="126"/>
      <c r="R1" s="127"/>
      <c r="S1" s="127"/>
      <c r="T1" s="127"/>
    </row>
    <row r="2" ht="24.0" customHeight="1">
      <c r="A2" s="128"/>
      <c r="B2" s="122" t="s">
        <v>70</v>
      </c>
      <c r="C2" s="123"/>
      <c r="I2" s="123"/>
      <c r="J2" s="129"/>
      <c r="K2" s="130"/>
      <c r="L2" s="130"/>
      <c r="M2" s="68"/>
      <c r="N2" s="124"/>
      <c r="O2" s="68"/>
      <c r="P2" s="131" t="s">
        <v>71</v>
      </c>
      <c r="Q2" s="126"/>
      <c r="R2" s="127"/>
      <c r="S2" s="127"/>
      <c r="T2" s="127"/>
    </row>
    <row r="3" ht="37.5" customHeight="1">
      <c r="A3" s="132" t="s">
        <v>72</v>
      </c>
      <c r="B3" s="133" t="s">
        <v>73</v>
      </c>
      <c r="C3" s="134" t="s">
        <v>74</v>
      </c>
      <c r="D3" s="135" t="s">
        <v>75</v>
      </c>
      <c r="E3" s="136" t="s">
        <v>76</v>
      </c>
      <c r="F3" s="136" t="s">
        <v>77</v>
      </c>
      <c r="G3" s="136" t="s">
        <v>78</v>
      </c>
      <c r="H3" s="137" t="s">
        <v>79</v>
      </c>
      <c r="I3" s="137" t="s">
        <v>80</v>
      </c>
      <c r="J3" s="138" t="s">
        <v>81</v>
      </c>
      <c r="K3" s="136" t="s">
        <v>82</v>
      </c>
      <c r="L3" s="136" t="s">
        <v>83</v>
      </c>
      <c r="M3" s="139" t="s">
        <v>84</v>
      </c>
      <c r="N3" s="140" t="s">
        <v>85</v>
      </c>
      <c r="O3" s="141"/>
      <c r="P3" s="142">
        <f>IFERROR(__xludf.DUMMYFUNCTION("IMPORTXML(""https://index.minfin.com.ua/ua/exchange/bank/nbu/"",""/html/body/main/div/div/div[1]/div/div[1]/article/div[4]/table/tbody/tr[10]/td[5]"")"),41.7)</f>
        <v>41.7</v>
      </c>
      <c r="Q3" s="143"/>
      <c r="R3" s="127"/>
      <c r="S3" s="144"/>
      <c r="T3" s="144"/>
    </row>
    <row r="4" ht="6.75" customHeight="1">
      <c r="A4" s="145"/>
      <c r="B4" s="145"/>
      <c r="C4" s="145"/>
      <c r="D4" s="145"/>
      <c r="E4" s="146"/>
      <c r="F4" s="147"/>
      <c r="G4" s="147"/>
      <c r="H4" s="145"/>
      <c r="I4" s="145"/>
      <c r="J4" s="148"/>
      <c r="K4" s="149"/>
      <c r="L4" s="150"/>
      <c r="M4" s="151"/>
      <c r="N4" s="124"/>
      <c r="O4" s="148"/>
      <c r="P4" s="151"/>
      <c r="Q4" s="151"/>
      <c r="R4" s="152"/>
      <c r="S4" s="152"/>
      <c r="T4" s="153"/>
    </row>
    <row r="5" ht="18.75" customHeight="1">
      <c r="A5" s="154" t="s">
        <v>86</v>
      </c>
      <c r="B5" s="155" t="s">
        <v>87</v>
      </c>
      <c r="C5" s="155"/>
      <c r="D5" s="155"/>
      <c r="E5" s="155"/>
      <c r="F5" s="155"/>
      <c r="G5" s="156">
        <f t="array" ref="G5">SUM(OFFSET(INDIRECT(ADDRESS(ROW(), COLUMN())), 1, 0, MATCH("Інвертор", $B:$B, 0) - ROW() - 1))</f>
        <v>0</v>
      </c>
      <c r="H5" s="157"/>
      <c r="I5" s="155"/>
      <c r="J5" s="158">
        <f t="shared" ref="J5:L5" si="1">SUM(OFFSET(INDIRECT(ADDRESS(ROW(), COLUMN())), 1, 0, MATCH("Інвертор", $B:$B, 0) - ROW() - 1))</f>
        <v>0</v>
      </c>
      <c r="K5" s="159">
        <f t="shared" si="1"/>
        <v>60</v>
      </c>
      <c r="L5" s="160">
        <f t="shared" si="1"/>
        <v>0</v>
      </c>
      <c r="M5" s="148"/>
      <c r="N5" s="124"/>
      <c r="O5" s="68"/>
      <c r="P5" s="161"/>
      <c r="Q5" s="161"/>
      <c r="R5" s="162"/>
      <c r="S5" s="162"/>
      <c r="T5" s="162"/>
    </row>
    <row r="6" ht="15.0" customHeight="1">
      <c r="A6" s="163" t="s">
        <v>88</v>
      </c>
      <c r="B6" s="164" t="s">
        <v>89</v>
      </c>
      <c r="C6" s="165">
        <v>60.0</v>
      </c>
      <c r="D6" s="165" t="str">
        <f t="array" ref="D6">IFERROR(INDEX('Номенклатура_BAF'!$C$2:$C200, MATCH($B6, 'Номенклатура_BAF'!$B$2:$B200, 0)), "")</f>
        <v/>
      </c>
      <c r="E6" s="166" t="str">
        <f t="array" ref="E6">IFERROR(INDEX('Номенклатура_BAF'!$D$2:$D200, MATCH($B6, 'Номенклатура_BAF'!$B$2:$B200, 0)), "")</f>
        <v/>
      </c>
      <c r="F6" s="167"/>
      <c r="G6" s="168">
        <f t="shared" ref="G6:G8" si="2">$E6*$C6</f>
        <v>0</v>
      </c>
      <c r="H6" s="169"/>
      <c r="I6" s="165"/>
      <c r="J6" s="170">
        <f t="shared" ref="J6:J8" si="3">E6*(I6+H6)</f>
        <v>0</v>
      </c>
      <c r="K6" s="171">
        <f t="shared" ref="K6:K8" si="4">C6-(H6+I6)</f>
        <v>60</v>
      </c>
      <c r="L6" s="172">
        <f t="shared" ref="L6:L8" si="5">G6-J6</f>
        <v>0</v>
      </c>
      <c r="M6" s="173"/>
      <c r="N6" s="174" t="str">
        <f t="array" ref="N6">IFERROR(INDEX('Номенклатура_BAF'!$G$2:$G200, MATCH($B6, 'Номенклатура_BAF'!$B$2:$B200, 0)), "")</f>
        <v/>
      </c>
      <c r="O6" s="68"/>
      <c r="P6" s="161"/>
      <c r="Q6" s="161"/>
      <c r="R6" s="152"/>
      <c r="S6" s="152"/>
      <c r="T6" s="153"/>
    </row>
    <row r="7" ht="15.0" customHeight="1">
      <c r="A7" s="175" t="s">
        <v>90</v>
      </c>
      <c r="B7" s="176"/>
      <c r="C7" s="177"/>
      <c r="D7" s="165" t="str">
        <f t="array" ref="D7">IFERROR(INDEX('Номенклатура_BAF'!$C$2:$C200, MATCH($B7, 'Номенклатура_BAF'!$B$2:$B200, 0)), "")</f>
        <v/>
      </c>
      <c r="E7" s="166" t="str">
        <f t="array" ref="E7">IFERROR(INDEX('Номенклатура_BAF'!$D$2:$D200, MATCH($B7, 'Номенклатура_BAF'!$B$2:$B200, 0)), "")</f>
        <v/>
      </c>
      <c r="F7" s="178"/>
      <c r="G7" s="179">
        <f t="shared" si="2"/>
        <v>0</v>
      </c>
      <c r="H7" s="180"/>
      <c r="I7" s="177"/>
      <c r="J7" s="181">
        <f t="shared" si="3"/>
        <v>0</v>
      </c>
      <c r="K7" s="171">
        <f t="shared" si="4"/>
        <v>0</v>
      </c>
      <c r="L7" s="182">
        <f t="shared" si="5"/>
        <v>0</v>
      </c>
      <c r="M7" s="173"/>
      <c r="N7" s="174" t="str">
        <f t="array" ref="N7">IFERROR(INDEX('Номенклатура_BAF'!$G$2:$G200, MATCH($B7, 'Номенклатура_BAF'!$B$2:$B200, 0)), "")</f>
        <v/>
      </c>
      <c r="O7" s="68"/>
      <c r="P7" s="161"/>
      <c r="Q7" s="161"/>
      <c r="R7" s="152"/>
      <c r="S7" s="152"/>
      <c r="T7" s="153"/>
    </row>
    <row r="8" ht="15.0" customHeight="1">
      <c r="A8" s="183" t="s">
        <v>91</v>
      </c>
      <c r="B8" s="184"/>
      <c r="C8" s="185"/>
      <c r="D8" s="165" t="str">
        <f t="array" ref="D8">IFERROR(INDEX('Номенклатура_BAF'!$C$2:$C200, MATCH($B8, 'Номенклатура_BAF'!$B$2:$B200, 0)), "")</f>
        <v/>
      </c>
      <c r="E8" s="166" t="str">
        <f t="array" ref="E8">IFERROR(INDEX('Номенклатура_BAF'!$D$2:$D200, MATCH($B8, 'Номенклатура_BAF'!$B$2:$B200, 0)), "")</f>
        <v/>
      </c>
      <c r="F8" s="186"/>
      <c r="G8" s="187">
        <f t="shared" si="2"/>
        <v>0</v>
      </c>
      <c r="H8" s="188"/>
      <c r="I8" s="185"/>
      <c r="J8" s="189">
        <f t="shared" si="3"/>
        <v>0</v>
      </c>
      <c r="K8" s="171">
        <f t="shared" si="4"/>
        <v>0</v>
      </c>
      <c r="L8" s="190">
        <f t="shared" si="5"/>
        <v>0</v>
      </c>
      <c r="M8" s="173"/>
      <c r="N8" s="174" t="str">
        <f t="array" ref="N8">IFERROR(INDEX('Номенклатура_BAF'!$G$2:$G200, MATCH($B8, 'Номенклатура_BAF'!$B$2:$B200, 0)), "")</f>
        <v/>
      </c>
      <c r="O8" s="68"/>
      <c r="P8" s="162"/>
      <c r="Q8" s="162"/>
      <c r="R8" s="68"/>
      <c r="S8" s="152"/>
      <c r="T8" s="153"/>
    </row>
    <row r="9" ht="18.75" customHeight="1">
      <c r="A9" s="154" t="s">
        <v>92</v>
      </c>
      <c r="B9" s="155" t="s">
        <v>93</v>
      </c>
      <c r="C9" s="155"/>
      <c r="D9" s="155"/>
      <c r="E9" s="155"/>
      <c r="F9" s="155"/>
      <c r="G9" s="156">
        <f t="array" ref="G9">SUM(OFFSET(INDIRECT(ADDRESS(ROW(), COLUMN())), 1, 0, MATCH("Аккумулятори (низьковольтні)", $B:$B, 0) - ROW() - 1))</f>
        <v>0</v>
      </c>
      <c r="H9" s="157"/>
      <c r="I9" s="155"/>
      <c r="J9" s="191">
        <f t="shared" ref="J9:L9" si="6">SUM(OFFSET(INDIRECT(ADDRESS(ROW(), COLUMN())), 1, 0, MATCH("Аккумулятори (низьковольтні)", $B:$B, 0) - ROW() - 1))</f>
        <v>0</v>
      </c>
      <c r="K9" s="159">
        <f t="shared" si="6"/>
        <v>1</v>
      </c>
      <c r="L9" s="160">
        <f t="shared" si="6"/>
        <v>0</v>
      </c>
      <c r="M9" s="173"/>
      <c r="N9" s="174" t="str">
        <f t="array" ref="N9">IFERROR(INDEX('Номенклатура_BAF'!$G$2:$G200, MATCH($B9, 'Номенклатура_BAF'!$B$2:$B200, 0)), "")</f>
        <v/>
      </c>
      <c r="O9" s="148"/>
      <c r="P9" s="162"/>
      <c r="Q9" s="162"/>
      <c r="R9" s="68"/>
      <c r="S9" s="162"/>
      <c r="T9" s="162"/>
    </row>
    <row r="10" ht="15.0" customHeight="1">
      <c r="A10" s="163" t="s">
        <v>94</v>
      </c>
      <c r="B10" s="164" t="s">
        <v>95</v>
      </c>
      <c r="C10" s="165">
        <v>1.0</v>
      </c>
      <c r="D10" s="165" t="str">
        <f t="array" ref="D10">IFERROR(INDEX('Номенклатура_BAF'!$C$2:$C200, MATCH($B10, 'Номенклатура_BAF'!$B$2:$B200, 0)), "")</f>
        <v/>
      </c>
      <c r="E10" s="166" t="str">
        <f t="array" ref="E10">IFERROR(INDEX('Номенклатура_BAF'!$D$2:$D200, MATCH($B10, 'Номенклатура_BAF'!$B$2:$B200, 0)), "")</f>
        <v/>
      </c>
      <c r="F10" s="167"/>
      <c r="G10" s="168">
        <f t="shared" ref="G10:G13" si="7">$E10*$C10</f>
        <v>0</v>
      </c>
      <c r="H10" s="169"/>
      <c r="I10" s="165"/>
      <c r="J10" s="170">
        <f t="shared" ref="J10:J13" si="8">E10*(I10+H10)</f>
        <v>0</v>
      </c>
      <c r="K10" s="171">
        <f t="shared" ref="K10:K13" si="9">C10-(H10+I10)</f>
        <v>1</v>
      </c>
      <c r="L10" s="172">
        <f t="shared" ref="L10:L13" si="10">G10-J10</f>
        <v>0</v>
      </c>
      <c r="M10" s="173"/>
      <c r="N10" s="174" t="str">
        <f t="array" ref="N10">IFERROR(INDEX('Номенклатура_BAF'!$G$2:$G200, MATCH($B10, 'Номенклатура_BAF'!$B$2:$B200, 0)), "")</f>
        <v/>
      </c>
      <c r="O10" s="127"/>
      <c r="P10" s="161"/>
      <c r="Q10" s="161"/>
      <c r="R10" s="162"/>
      <c r="S10" s="162"/>
      <c r="T10" s="162"/>
    </row>
    <row r="11" ht="15.0" customHeight="1">
      <c r="A11" s="175" t="s">
        <v>96</v>
      </c>
      <c r="B11" s="192"/>
      <c r="C11" s="193"/>
      <c r="D11" s="165" t="str">
        <f t="array" ref="D11">IFERROR(INDEX('Номенклатура_BAF'!$C$2:$C200, MATCH($B11, 'Номенклатура_BAF'!$B$2:$B200, 0)), "")</f>
        <v/>
      </c>
      <c r="E11" s="166" t="str">
        <f t="array" ref="E11">IFERROR(INDEX('Номенклатура_BAF'!$D$2:$D200, MATCH($B11, 'Номенклатура_BAF'!$B$2:$B200, 0)), "")</f>
        <v/>
      </c>
      <c r="F11" s="178"/>
      <c r="G11" s="179">
        <f t="shared" si="7"/>
        <v>0</v>
      </c>
      <c r="H11" s="194"/>
      <c r="I11" s="193"/>
      <c r="J11" s="181">
        <f t="shared" si="8"/>
        <v>0</v>
      </c>
      <c r="K11" s="171">
        <f t="shared" si="9"/>
        <v>0</v>
      </c>
      <c r="L11" s="182">
        <f t="shared" si="10"/>
        <v>0</v>
      </c>
      <c r="M11" s="173"/>
      <c r="N11" s="174" t="str">
        <f t="array" ref="N11">IFERROR(INDEX('Номенклатура_BAF'!$G$2:$G200, MATCH($B11, 'Номенклатура_BAF'!$B$2:$B200, 0)), "")</f>
        <v/>
      </c>
      <c r="O11" s="127"/>
      <c r="P11" s="161"/>
      <c r="Q11" s="161"/>
      <c r="R11" s="162"/>
      <c r="S11" s="162"/>
      <c r="T11" s="162"/>
    </row>
    <row r="12" ht="15.0" customHeight="1">
      <c r="A12" s="183" t="s">
        <v>97</v>
      </c>
      <c r="B12" s="195"/>
      <c r="C12" s="196"/>
      <c r="D12" s="165" t="str">
        <f t="array" ref="D12">IFERROR(INDEX('Номенклатура_BAF'!$C$2:$C200, MATCH($B12, 'Номенклатура_BAF'!$B$2:$B200, 0)), "")</f>
        <v/>
      </c>
      <c r="E12" s="166" t="str">
        <f t="array" ref="E12">IFERROR(INDEX('Номенклатура_BAF'!$D$2:$D200, MATCH($B12, 'Номенклатура_BAF'!$B$2:$B200, 0)), "")</f>
        <v/>
      </c>
      <c r="F12" s="186"/>
      <c r="G12" s="197">
        <f t="shared" si="7"/>
        <v>0</v>
      </c>
      <c r="H12" s="198"/>
      <c r="I12" s="196"/>
      <c r="J12" s="181">
        <f t="shared" si="8"/>
        <v>0</v>
      </c>
      <c r="K12" s="171">
        <f t="shared" si="9"/>
        <v>0</v>
      </c>
      <c r="L12" s="199">
        <f t="shared" si="10"/>
        <v>0</v>
      </c>
      <c r="M12" s="173"/>
      <c r="N12" s="174" t="str">
        <f t="array" ref="N12">IFERROR(INDEX('Номенклатура_BAF'!$G$2:$G200, MATCH($B12, 'Номенклатура_BAF'!$B$2:$B200, 0)), "")</f>
        <v/>
      </c>
      <c r="O12" s="200"/>
      <c r="P12" s="201"/>
      <c r="Q12" s="161"/>
      <c r="R12" s="162"/>
      <c r="S12" s="162"/>
      <c r="T12" s="162"/>
    </row>
    <row r="13" ht="15.0" customHeight="1">
      <c r="A13" s="183" t="s">
        <v>98</v>
      </c>
      <c r="B13" s="195"/>
      <c r="C13" s="196"/>
      <c r="D13" s="165" t="str">
        <f t="array" ref="D13">IFERROR(INDEX('Номенклатура_BAF'!$C$2:$C200, MATCH($B13, 'Номенклатура_BAF'!$B$2:$B200, 0)), "")</f>
        <v/>
      </c>
      <c r="E13" s="166" t="str">
        <f t="array" ref="E13">IFERROR(INDEX('Номенклатура_BAF'!$D$2:$D200, MATCH($B13, 'Номенклатура_BAF'!$B$2:$B200, 0)), "")</f>
        <v/>
      </c>
      <c r="F13" s="186"/>
      <c r="G13" s="197">
        <f t="shared" si="7"/>
        <v>0</v>
      </c>
      <c r="H13" s="198"/>
      <c r="I13" s="196"/>
      <c r="J13" s="181">
        <f t="shared" si="8"/>
        <v>0</v>
      </c>
      <c r="K13" s="171">
        <f t="shared" si="9"/>
        <v>0</v>
      </c>
      <c r="L13" s="199">
        <f t="shared" si="10"/>
        <v>0</v>
      </c>
      <c r="M13" s="173"/>
      <c r="N13" s="174" t="str">
        <f t="array" ref="N13">IFERROR(INDEX('Номенклатура_BAF'!$G$2:$G200, MATCH($B13, 'Номенклатура_BAF'!$B$2:$B200, 0)), "")</f>
        <v/>
      </c>
      <c r="O13" s="200"/>
      <c r="P13" s="201"/>
      <c r="Q13" s="161"/>
      <c r="R13" s="162"/>
      <c r="S13" s="162"/>
      <c r="T13" s="162"/>
    </row>
    <row r="14" ht="18.75" customHeight="1">
      <c r="A14" s="154" t="s">
        <v>99</v>
      </c>
      <c r="B14" s="155" t="s">
        <v>100</v>
      </c>
      <c r="C14" s="155"/>
      <c r="D14" s="155"/>
      <c r="E14" s="155"/>
      <c r="F14" s="155"/>
      <c r="G14" s="191">
        <f t="array" ref="G14">SUM(OFFSET(INDIRECT(ADDRESS(ROW(), COLUMN())), 1, 0, MATCH("Аккумулятори (високовольтні)", $B:$B, 0) - ROW() - 1))</f>
        <v>0</v>
      </c>
      <c r="H14" s="157"/>
      <c r="I14" s="155"/>
      <c r="J14" s="202">
        <f t="shared" ref="J14:L14" si="11">SUM(OFFSET(INDIRECT(ADDRESS(ROW(), COLUMN())), 1, 0, MATCH("Аккумулятори (високовольтні)", $B:$B, 0) - ROW() - 1))</f>
        <v>0</v>
      </c>
      <c r="K14" s="159">
        <f t="shared" si="11"/>
        <v>0</v>
      </c>
      <c r="L14" s="160">
        <f t="shared" si="11"/>
        <v>0</v>
      </c>
      <c r="M14" s="173"/>
      <c r="N14" s="174" t="str">
        <f t="array" ref="N14">IFERROR(INDEX('Номенклатура_BAF'!$G$2:$G200, MATCH($B14, 'Номенклатура_BAF'!$B$2:$B200, 0)), "")</f>
        <v/>
      </c>
      <c r="O14" s="200"/>
      <c r="P14" s="201"/>
      <c r="Q14" s="161"/>
      <c r="R14" s="162"/>
      <c r="S14" s="162"/>
      <c r="T14" s="162"/>
    </row>
    <row r="15" ht="15.0" customHeight="1">
      <c r="A15" s="163" t="s">
        <v>101</v>
      </c>
      <c r="B15" s="164"/>
      <c r="C15" s="165"/>
      <c r="D15" s="165" t="str">
        <f t="array" ref="D15">IFERROR(INDEX('Номенклатура_BAF'!$C$2:$C200, MATCH($B15, 'Номенклатура_BAF'!$B$2:$B200, 0)), "")</f>
        <v/>
      </c>
      <c r="E15" s="166" t="str">
        <f t="array" ref="E15">IFERROR(INDEX('Номенклатура_BAF'!$D$2:$D200, MATCH($B15, 'Номенклатура_BAF'!$B$2:$B200, 0)), "")</f>
        <v/>
      </c>
      <c r="F15" s="167"/>
      <c r="G15" s="203">
        <f t="shared" ref="G15:G17" si="12">$E15*$C15</f>
        <v>0</v>
      </c>
      <c r="H15" s="169"/>
      <c r="I15" s="165"/>
      <c r="J15" s="170">
        <f t="shared" ref="J15:J17" si="13">E15*(I15+H15)</f>
        <v>0</v>
      </c>
      <c r="K15" s="171">
        <f t="shared" ref="K15:K17" si="14">C15-(H15+I15)</f>
        <v>0</v>
      </c>
      <c r="L15" s="172">
        <f t="shared" ref="L15:L17" si="15">G15-J15</f>
        <v>0</v>
      </c>
      <c r="M15" s="173"/>
      <c r="N15" s="174" t="str">
        <f t="array" ref="N15">IFERROR(INDEX('Номенклатура_BAF'!$G$2:$G200, MATCH($B15, 'Номенклатура_BAF'!$B$2:$B200, 0)), "")</f>
        <v/>
      </c>
      <c r="O15" s="204"/>
      <c r="P15" s="201"/>
      <c r="Q15" s="161"/>
      <c r="R15" s="162"/>
      <c r="S15" s="162"/>
      <c r="T15" s="162"/>
    </row>
    <row r="16" ht="15.0" customHeight="1">
      <c r="A16" s="175" t="s">
        <v>102</v>
      </c>
      <c r="B16" s="176"/>
      <c r="C16" s="177"/>
      <c r="D16" s="165" t="str">
        <f t="array" ref="D16">IFERROR(INDEX('Номенклатура_BAF'!$C$2:$C200, MATCH($B16, 'Номенклатура_BAF'!$B$2:$B200, 0)), "")</f>
        <v/>
      </c>
      <c r="E16" s="166" t="str">
        <f t="array" ref="E16">IFERROR(INDEX('Номенклатура_BAF'!$D$2:$D200, MATCH($B16, 'Номенклатура_BAF'!$B$2:$B200, 0)), "")</f>
        <v/>
      </c>
      <c r="F16" s="178"/>
      <c r="G16" s="205">
        <f t="shared" si="12"/>
        <v>0</v>
      </c>
      <c r="H16" s="180"/>
      <c r="I16" s="177"/>
      <c r="J16" s="181">
        <f t="shared" si="13"/>
        <v>0</v>
      </c>
      <c r="K16" s="171">
        <f t="shared" si="14"/>
        <v>0</v>
      </c>
      <c r="L16" s="182">
        <f t="shared" si="15"/>
        <v>0</v>
      </c>
      <c r="M16" s="173"/>
      <c r="N16" s="174" t="str">
        <f t="array" ref="N16">IFERROR(INDEX('Номенклатура_BAF'!$G$2:$G200, MATCH($B16, 'Номенклатура_BAF'!$B$2:$B200, 0)), "")</f>
        <v/>
      </c>
      <c r="O16" s="204"/>
      <c r="P16" s="201"/>
      <c r="Q16" s="161"/>
      <c r="R16" s="162"/>
      <c r="S16" s="162"/>
      <c r="T16" s="162"/>
    </row>
    <row r="17" ht="15.0" customHeight="1">
      <c r="A17" s="206" t="s">
        <v>103</v>
      </c>
      <c r="B17" s="184"/>
      <c r="C17" s="207"/>
      <c r="D17" s="165" t="str">
        <f t="array" ref="D17">IFERROR(INDEX('Номенклатура_BAF'!$C$2:$C200, MATCH($B17, 'Номенклатура_BAF'!$B$2:$B200, 0)), "")</f>
        <v/>
      </c>
      <c r="E17" s="166" t="str">
        <f t="array" ref="E17">IFERROR(INDEX('Номенклатура_BAF'!$D$2:$D200, MATCH($B17, 'Номенклатура_BAF'!$B$2:$B200, 0)), "")</f>
        <v/>
      </c>
      <c r="F17" s="186"/>
      <c r="G17" s="197">
        <f t="shared" si="12"/>
        <v>0</v>
      </c>
      <c r="H17" s="188"/>
      <c r="I17" s="185"/>
      <c r="J17" s="189">
        <f t="shared" si="13"/>
        <v>0</v>
      </c>
      <c r="K17" s="171">
        <f t="shared" si="14"/>
        <v>0</v>
      </c>
      <c r="L17" s="190">
        <f t="shared" si="15"/>
        <v>0</v>
      </c>
      <c r="M17" s="173"/>
      <c r="N17" s="174" t="str">
        <f t="array" ref="N17">IFERROR(INDEX('Номенклатура_BAF'!$G$2:$G200, MATCH($B17, 'Номенклатура_BAF'!$B$2:$B200, 0)), "")</f>
        <v/>
      </c>
      <c r="O17" s="204"/>
      <c r="P17" s="201"/>
      <c r="Q17" s="161"/>
      <c r="R17" s="162"/>
      <c r="S17" s="162"/>
      <c r="T17" s="162"/>
    </row>
    <row r="18" ht="18.75" customHeight="1">
      <c r="A18" s="154" t="s">
        <v>104</v>
      </c>
      <c r="B18" s="155" t="s">
        <v>105</v>
      </c>
      <c r="C18" s="155"/>
      <c r="D18" s="155"/>
      <c r="E18" s="155"/>
      <c r="F18" s="155"/>
      <c r="G18" s="191">
        <f t="array" ref="G18">SUM(OFFSET(INDIRECT(ADDRESS(ROW(), COLUMN())), 1, 0, MATCH("Блок BMS (для високовольтних АКБ)", $B:$B, 0) - ROW() - 1))</f>
        <v>0</v>
      </c>
      <c r="H18" s="157"/>
      <c r="I18" s="155"/>
      <c r="J18" s="202">
        <f t="shared" ref="J18:L18" si="16">SUM(OFFSET(INDIRECT(ADDRESS(ROW(), COLUMN())), 1, 0, MATCH("Блок BMS (для високовольтних АКБ)", $B:$B, 0) - ROW() - 1))</f>
        <v>0</v>
      </c>
      <c r="K18" s="159">
        <f t="shared" si="16"/>
        <v>0</v>
      </c>
      <c r="L18" s="160">
        <f t="shared" si="16"/>
        <v>0</v>
      </c>
      <c r="M18" s="173"/>
      <c r="N18" s="174" t="str">
        <f t="array" ref="N18">IFERROR(INDEX('Номенклатура_BAF'!$G$2:$G200, MATCH($B18, 'Номенклатура_BAF'!$B$2:$B200, 0)), "")</f>
        <v/>
      </c>
      <c r="O18" s="204"/>
      <c r="P18" s="201"/>
      <c r="Q18" s="161"/>
      <c r="R18" s="162"/>
      <c r="S18" s="162"/>
      <c r="T18" s="162"/>
    </row>
    <row r="19" ht="15.0" customHeight="1">
      <c r="A19" s="163" t="s">
        <v>106</v>
      </c>
      <c r="B19" s="164"/>
      <c r="C19" s="165"/>
      <c r="D19" s="165" t="str">
        <f t="array" ref="D19">IFERROR(INDEX('Номенклатура_BAF'!$C$2:$C200, MATCH($B19, 'Номенклатура_BAF'!$B$2:$B200, 0)), "")</f>
        <v/>
      </c>
      <c r="E19" s="166" t="str">
        <f t="array" ref="E19">IFERROR(INDEX('Номенклатура_BAF'!$D$2:$D200, MATCH($B19, 'Номенклатура_BAF'!$B$2:$B200, 0)), "")</f>
        <v/>
      </c>
      <c r="F19" s="167"/>
      <c r="G19" s="203">
        <f t="shared" ref="G19:G21" si="17">$E19*$C19</f>
        <v>0</v>
      </c>
      <c r="H19" s="169"/>
      <c r="I19" s="165"/>
      <c r="J19" s="170">
        <f t="shared" ref="J19:J21" si="18">E19*(I19+H19)</f>
        <v>0</v>
      </c>
      <c r="K19" s="171">
        <f t="shared" ref="K19:K21" si="19">C19-(H19+I19)</f>
        <v>0</v>
      </c>
      <c r="L19" s="172">
        <f t="shared" ref="L19:L21" si="20">G19-J19</f>
        <v>0</v>
      </c>
      <c r="M19" s="173"/>
      <c r="N19" s="174" t="str">
        <f t="array" ref="N19">IFERROR(INDEX('Номенклатура_BAF'!$G$2:$G200, MATCH($B19, 'Номенклатура_BAF'!$B$2:$B200, 0)), "")</f>
        <v/>
      </c>
      <c r="O19" s="200"/>
      <c r="P19" s="201"/>
      <c r="Q19" s="161"/>
      <c r="R19" s="162"/>
      <c r="S19" s="162"/>
      <c r="T19" s="162"/>
    </row>
    <row r="20" ht="15.0" customHeight="1">
      <c r="A20" s="175" t="s">
        <v>107</v>
      </c>
      <c r="B20" s="176"/>
      <c r="C20" s="177"/>
      <c r="D20" s="165" t="str">
        <f t="array" ref="D20">IFERROR(INDEX('Номенклатура_BAF'!$C$2:$C200, MATCH($B20, 'Номенклатура_BAF'!$B$2:$B200, 0)), "")</f>
        <v/>
      </c>
      <c r="E20" s="166" t="str">
        <f t="array" ref="E20">IFERROR(INDEX('Номенклатура_BAF'!$D$2:$D200, MATCH($B20, 'Номенклатура_BAF'!$B$2:$B200, 0)), "")</f>
        <v/>
      </c>
      <c r="F20" s="178"/>
      <c r="G20" s="205">
        <f t="shared" si="17"/>
        <v>0</v>
      </c>
      <c r="H20" s="180"/>
      <c r="I20" s="177"/>
      <c r="J20" s="181">
        <f t="shared" si="18"/>
        <v>0</v>
      </c>
      <c r="K20" s="171">
        <f t="shared" si="19"/>
        <v>0</v>
      </c>
      <c r="L20" s="182">
        <f t="shared" si="20"/>
        <v>0</v>
      </c>
      <c r="M20" s="173"/>
      <c r="N20" s="174" t="str">
        <f t="array" ref="N20">IFERROR(INDEX('Номенклатура_BAF'!$G$2:$G200, MATCH($B20, 'Номенклатура_BAF'!$B$2:$B200, 0)), "")</f>
        <v/>
      </c>
      <c r="O20" s="200"/>
      <c r="P20" s="201"/>
      <c r="Q20" s="161"/>
      <c r="R20" s="162"/>
      <c r="S20" s="162"/>
      <c r="T20" s="162"/>
    </row>
    <row r="21" ht="15.0" customHeight="1">
      <c r="A21" s="206" t="s">
        <v>108</v>
      </c>
      <c r="B21" s="184"/>
      <c r="C21" s="207"/>
      <c r="D21" s="165" t="str">
        <f t="array" ref="D21">IFERROR(INDEX('Номенклатура_BAF'!$C$2:$C200, MATCH($B21, 'Номенклатура_BAF'!$B$2:$B200, 0)), "")</f>
        <v/>
      </c>
      <c r="E21" s="166" t="str">
        <f t="array" ref="E21">IFERROR(INDEX('Номенклатура_BAF'!$D$2:$D200, MATCH($B21, 'Номенклатура_BAF'!$B$2:$B200, 0)), "")</f>
        <v/>
      </c>
      <c r="F21" s="186"/>
      <c r="G21" s="197">
        <f t="shared" si="17"/>
        <v>0</v>
      </c>
      <c r="H21" s="188"/>
      <c r="I21" s="185"/>
      <c r="J21" s="189">
        <f t="shared" si="18"/>
        <v>0</v>
      </c>
      <c r="K21" s="171">
        <f t="shared" si="19"/>
        <v>0</v>
      </c>
      <c r="L21" s="190">
        <f t="shared" si="20"/>
        <v>0</v>
      </c>
      <c r="M21" s="173"/>
      <c r="N21" s="174" t="str">
        <f t="array" ref="N21">IFERROR(INDEX('Номенклатура_BAF'!$G$2:$G200, MATCH($B21, 'Номенклатура_BAF'!$B$2:$B200, 0)), "")</f>
        <v/>
      </c>
      <c r="O21" s="200"/>
      <c r="P21" s="201"/>
      <c r="Q21" s="161"/>
      <c r="R21" s="162"/>
      <c r="S21" s="162"/>
      <c r="T21" s="162"/>
    </row>
    <row r="22" ht="18.75" customHeight="1">
      <c r="A22" s="154" t="s">
        <v>109</v>
      </c>
      <c r="B22" s="155" t="s">
        <v>110</v>
      </c>
      <c r="C22" s="155"/>
      <c r="D22" s="155"/>
      <c r="E22" s="155"/>
      <c r="F22" s="155"/>
      <c r="G22" s="191">
        <f t="array" ref="G22">SUM(OFFSET(INDIRECT(ADDRESS(ROW(), COLUMN())), 1, 0, MATCH("Лічильник Smart Meter", $B:$B, 0) - ROW() - 1))</f>
        <v>0</v>
      </c>
      <c r="H22" s="157"/>
      <c r="I22" s="155"/>
      <c r="J22" s="202">
        <f t="shared" ref="J22:L22" si="21">SUM(OFFSET(INDIRECT(ADDRESS(ROW(), COLUMN())), 1, 0, MATCH("Лічильник Smart Meter", $B:$B, 0) - ROW() - 1))</f>
        <v>0</v>
      </c>
      <c r="K22" s="159">
        <f t="shared" si="21"/>
        <v>0</v>
      </c>
      <c r="L22" s="160">
        <f t="shared" si="21"/>
        <v>0</v>
      </c>
      <c r="M22" s="173"/>
      <c r="N22" s="174" t="str">
        <f t="array" ref="N22">IFERROR(INDEX('Номенклатура_BAF'!$G$2:$G200, MATCH($B22, 'Номенклатура_BAF'!$B$2:$B200, 0)), "")</f>
        <v/>
      </c>
      <c r="O22" s="127"/>
      <c r="P22" s="161"/>
      <c r="Q22" s="161"/>
      <c r="R22" s="162"/>
      <c r="S22" s="162"/>
      <c r="T22" s="162"/>
    </row>
    <row r="23" ht="15.0" customHeight="1">
      <c r="A23" s="163" t="s">
        <v>111</v>
      </c>
      <c r="B23" s="164"/>
      <c r="C23" s="165"/>
      <c r="D23" s="165" t="str">
        <f t="array" ref="D23">IFERROR(INDEX('Номенклатура_BAF'!$C$2:$C200, MATCH($B23, 'Номенклатура_BAF'!$B$2:$B200, 0)), "")</f>
        <v/>
      </c>
      <c r="E23" s="166" t="str">
        <f t="array" ref="E23">IFERROR(INDEX('Номенклатура_BAF'!$D$2:$D200, MATCH($B23, 'Номенклатура_BAF'!$B$2:$B200, 0)), "")</f>
        <v/>
      </c>
      <c r="F23" s="167"/>
      <c r="G23" s="203">
        <f t="shared" ref="G23:G25" si="22">$E23*$C23</f>
        <v>0</v>
      </c>
      <c r="H23" s="169"/>
      <c r="I23" s="165"/>
      <c r="J23" s="170">
        <f t="shared" ref="J23:J25" si="23">E23*(I23+H23)</f>
        <v>0</v>
      </c>
      <c r="K23" s="171">
        <f t="shared" ref="K23:K25" si="24">C23-(H23+I23)</f>
        <v>0</v>
      </c>
      <c r="L23" s="172">
        <f t="shared" ref="L23:L25" si="25">G23-J23</f>
        <v>0</v>
      </c>
      <c r="M23" s="173"/>
      <c r="N23" s="174" t="str">
        <f t="array" ref="N23">IFERROR(INDEX('Номенклатура_BAF'!$G$2:$G200, MATCH($B23, 'Номенклатура_BAF'!$B$2:$B200, 0)), "")</f>
        <v/>
      </c>
      <c r="O23" s="127"/>
      <c r="P23" s="161"/>
      <c r="Q23" s="161"/>
      <c r="R23" s="162"/>
      <c r="S23" s="162"/>
      <c r="T23" s="162"/>
    </row>
    <row r="24" ht="15.0" customHeight="1">
      <c r="A24" s="163" t="s">
        <v>112</v>
      </c>
      <c r="B24" s="164"/>
      <c r="C24" s="165"/>
      <c r="D24" s="165" t="str">
        <f t="array" ref="D24">IFERROR(INDEX('Номенклатура_BAF'!$C$2:$C200, MATCH($B24, 'Номенклатура_BAF'!$B$2:$B200, 0)), "")</f>
        <v/>
      </c>
      <c r="E24" s="166" t="str">
        <f t="array" ref="E24">IFERROR(INDEX('Номенклатура_BAF'!$D$2:$D200, MATCH($B24, 'Номенклатура_BAF'!$B$2:$B200, 0)), "")</f>
        <v/>
      </c>
      <c r="F24" s="167"/>
      <c r="G24" s="203">
        <f t="shared" si="22"/>
        <v>0</v>
      </c>
      <c r="H24" s="169"/>
      <c r="I24" s="165"/>
      <c r="J24" s="170">
        <f t="shared" si="23"/>
        <v>0</v>
      </c>
      <c r="K24" s="171">
        <f t="shared" si="24"/>
        <v>0</v>
      </c>
      <c r="L24" s="172">
        <f t="shared" si="25"/>
        <v>0</v>
      </c>
      <c r="M24" s="173"/>
      <c r="N24" s="174" t="str">
        <f t="array" ref="N24">IFERROR(INDEX('Номенклатура_BAF'!$G$2:$G200, MATCH($B24, 'Номенклатура_BAF'!$B$2:$B200, 0)), "")</f>
        <v/>
      </c>
      <c r="O24" s="127"/>
      <c r="P24" s="161"/>
      <c r="Q24" s="161"/>
      <c r="R24" s="162"/>
      <c r="S24" s="162"/>
      <c r="T24" s="162"/>
    </row>
    <row r="25" ht="15.0" customHeight="1">
      <c r="A25" s="206" t="s">
        <v>112</v>
      </c>
      <c r="B25" s="184"/>
      <c r="C25" s="207"/>
      <c r="D25" s="165" t="str">
        <f t="array" ref="D25">IFERROR(INDEX('Номенклатура_BAF'!$C$2:$C200, MATCH($B25, 'Номенклатура_BAF'!$B$2:$B200, 0)), "")</f>
        <v/>
      </c>
      <c r="E25" s="166" t="str">
        <f t="array" ref="E25">IFERROR(INDEX('Номенклатура_BAF'!$D$2:$D200, MATCH($B25, 'Номенклатура_BAF'!$B$2:$B200, 0)), "")</f>
        <v/>
      </c>
      <c r="F25" s="186"/>
      <c r="G25" s="197">
        <f t="shared" si="22"/>
        <v>0</v>
      </c>
      <c r="H25" s="188"/>
      <c r="I25" s="185"/>
      <c r="J25" s="189">
        <f t="shared" si="23"/>
        <v>0</v>
      </c>
      <c r="K25" s="171">
        <f t="shared" si="24"/>
        <v>0</v>
      </c>
      <c r="L25" s="190">
        <f t="shared" si="25"/>
        <v>0</v>
      </c>
      <c r="M25" s="173"/>
      <c r="N25" s="174" t="str">
        <f t="array" ref="N25">IFERROR(INDEX('Номенклатура_BAF'!$G$2:$G200, MATCH($B25, 'Номенклатура_BAF'!$B$2:$B200, 0)), "")</f>
        <v/>
      </c>
      <c r="O25" s="127"/>
      <c r="P25" s="161"/>
      <c r="Q25" s="161"/>
      <c r="R25" s="162"/>
      <c r="S25" s="162"/>
      <c r="T25" s="162"/>
    </row>
    <row r="26" ht="18.75" customHeight="1">
      <c r="A26" s="154" t="s">
        <v>113</v>
      </c>
      <c r="B26" s="155" t="s">
        <v>114</v>
      </c>
      <c r="C26" s="155"/>
      <c r="D26" s="155"/>
      <c r="E26" s="155"/>
      <c r="F26" s="155"/>
      <c r="G26" s="191">
        <f t="array" ref="G26">SUM(OFFSET(INDIRECT(ADDRESS(ROW(), COLUMN())), 1, 0, MATCH("Моніторинг", $B:$B, 0) - ROW() - 1))</f>
        <v>0</v>
      </c>
      <c r="H26" s="157"/>
      <c r="I26" s="155"/>
      <c r="J26" s="202">
        <f t="shared" ref="J26:L26" si="26">SUM(OFFSET(INDIRECT(ADDRESS(ROW(), COLUMN())), 1, 0, MATCH("Моніторинг", $B:$B, 0) - ROW() - 1))</f>
        <v>0</v>
      </c>
      <c r="K26" s="159">
        <f t="shared" si="26"/>
        <v>1</v>
      </c>
      <c r="L26" s="160">
        <f t="shared" si="26"/>
        <v>0</v>
      </c>
      <c r="M26" s="173"/>
      <c r="N26" s="174" t="str">
        <f t="array" ref="N26">IFERROR(INDEX('Номенклатура_BAF'!$G$2:$G200, MATCH($B26, 'Номенклатура_BAF'!$B$2:$B200, 0)), "")</f>
        <v/>
      </c>
      <c r="O26" s="127"/>
      <c r="P26" s="161"/>
      <c r="Q26" s="161"/>
      <c r="R26" s="162"/>
      <c r="S26" s="162"/>
      <c r="T26" s="162"/>
    </row>
    <row r="27" ht="15.0" customHeight="1">
      <c r="A27" s="163" t="s">
        <v>115</v>
      </c>
      <c r="B27" s="164" t="s">
        <v>116</v>
      </c>
      <c r="C27" s="165">
        <v>1.0</v>
      </c>
      <c r="D27" s="165" t="str">
        <f t="array" ref="D27">IFERROR(INDEX('Номенклатура_BAF'!$C$2:$C200, MATCH($B27, 'Номенклатура_BAF'!$B$2:$B200, 0)), "")</f>
        <v/>
      </c>
      <c r="E27" s="166" t="str">
        <f t="array" ref="E27">IFERROR(INDEX('Номенклатура_BAF'!$D$2:$D200, MATCH($B27, 'Номенклатура_BAF'!$B$2:$B200, 0)), "")</f>
        <v/>
      </c>
      <c r="F27" s="167"/>
      <c r="G27" s="203">
        <f t="shared" ref="G27:G28" si="27">$E27*$C27</f>
        <v>0</v>
      </c>
      <c r="H27" s="169"/>
      <c r="I27" s="165"/>
      <c r="J27" s="170">
        <f t="shared" ref="J27:J28" si="28">E27*(I27+H27)</f>
        <v>0</v>
      </c>
      <c r="K27" s="171">
        <f t="shared" ref="K27:K28" si="29">C27-(H27+I27)</f>
        <v>1</v>
      </c>
      <c r="L27" s="172">
        <f t="shared" ref="L27:L28" si="30">G27-J27</f>
        <v>0</v>
      </c>
      <c r="M27" s="173"/>
      <c r="N27" s="208" t="str">
        <f t="array" ref="N27">IFERROR(INDEX('Номенклатура_BAF'!$G$2:$G200, MATCH($B27, 'Номенклатура_BAF'!$B$2:$B200, 0)), "")</f>
        <v/>
      </c>
      <c r="O27" s="127"/>
      <c r="P27" s="161"/>
      <c r="Q27" s="161"/>
      <c r="R27" s="162"/>
      <c r="S27" s="162"/>
      <c r="T27" s="162"/>
    </row>
    <row r="28" ht="15.0" customHeight="1">
      <c r="A28" s="206" t="s">
        <v>117</v>
      </c>
      <c r="B28" s="184"/>
      <c r="C28" s="207"/>
      <c r="D28" s="165" t="str">
        <f t="array" ref="D28">IFERROR(INDEX('Номенклатура_BAF'!$C$2:$C200, MATCH($B28, 'Номенклатура_BAF'!$B$2:$B200, 0)), "")</f>
        <v/>
      </c>
      <c r="E28" s="166" t="str">
        <f t="array" ref="E28">IFERROR(INDEX('Номенклатура_BAF'!$D$2:$D200, MATCH($B28, 'Номенклатура_BAF'!$B$2:$B200, 0)), "")</f>
        <v/>
      </c>
      <c r="F28" s="186"/>
      <c r="G28" s="197">
        <f t="shared" si="27"/>
        <v>0</v>
      </c>
      <c r="H28" s="188"/>
      <c r="I28" s="185"/>
      <c r="J28" s="189">
        <f t="shared" si="28"/>
        <v>0</v>
      </c>
      <c r="K28" s="171">
        <f t="shared" si="29"/>
        <v>0</v>
      </c>
      <c r="L28" s="190">
        <f t="shared" si="30"/>
        <v>0</v>
      </c>
      <c r="M28" s="173"/>
      <c r="N28" s="174" t="str">
        <f t="array" ref="N28">IFERROR(INDEX('Номенклатура_BAF'!$G$2:$G200, MATCH($B28, 'Номенклатура_BAF'!$B$2:$B200, 0)), "")</f>
        <v/>
      </c>
      <c r="O28" s="127"/>
      <c r="P28" s="161"/>
      <c r="Q28" s="161"/>
      <c r="R28" s="162"/>
      <c r="S28" s="162"/>
      <c r="T28" s="162"/>
    </row>
    <row r="29" ht="18.75" customHeight="1">
      <c r="A29" s="154" t="s">
        <v>118</v>
      </c>
      <c r="B29" s="155" t="s">
        <v>119</v>
      </c>
      <c r="C29" s="155"/>
      <c r="D29" s="155"/>
      <c r="E29" s="155"/>
      <c r="F29" s="155"/>
      <c r="G29" s="191">
        <f t="array" ref="G29">SUM(OFFSET(INDIRECT(ADDRESS(ROW(), COLUMN())), 1, 0, MATCH("Трансформатор струму", $B:$B, 0) - ROW() - 1))</f>
        <v>0</v>
      </c>
      <c r="H29" s="157"/>
      <c r="I29" s="155"/>
      <c r="J29" s="202">
        <f t="shared" ref="J29:L29" si="31">SUM(OFFSET(INDIRECT(ADDRESS(ROW(), COLUMN())), 1, 0, MATCH("Трансформатор струму", $B:$B, 0) - ROW() - 1))</f>
        <v>0</v>
      </c>
      <c r="K29" s="159">
        <f t="shared" si="31"/>
        <v>1</v>
      </c>
      <c r="L29" s="160">
        <f t="shared" si="31"/>
        <v>0</v>
      </c>
      <c r="M29" s="173"/>
      <c r="N29" s="174" t="str">
        <f t="array" ref="N29">IFERROR(INDEX('Номенклатура_BAF'!$G$2:$G200, MATCH($B29, 'Номенклатура_BAF'!$B$2:$B200, 0)), "")</f>
        <v/>
      </c>
      <c r="O29" s="127"/>
      <c r="P29" s="161"/>
      <c r="Q29" s="161"/>
      <c r="R29" s="162"/>
      <c r="S29" s="162"/>
      <c r="T29" s="162"/>
    </row>
    <row r="30" ht="15.0" customHeight="1">
      <c r="A30" s="163" t="s">
        <v>120</v>
      </c>
      <c r="B30" s="164" t="s">
        <v>121</v>
      </c>
      <c r="C30" s="165">
        <v>1.0</v>
      </c>
      <c r="D30" s="165" t="str">
        <f t="array" ref="D30">IFERROR(INDEX('Номенклатура_BAF'!$C$2:$C200, MATCH($B30, 'Номенклатура_BAF'!$B$2:$B200, 0)), "")</f>
        <v/>
      </c>
      <c r="E30" s="166" t="str">
        <f t="array" ref="E30">IFERROR(INDEX('Номенклатура_BAF'!$D$2:$D200, MATCH($B30, 'Номенклатура_BAF'!$B$2:$B200, 0)), "")</f>
        <v/>
      </c>
      <c r="F30" s="167"/>
      <c r="G30" s="203">
        <f t="shared" ref="G30:G31" si="32">$E30*$C30</f>
        <v>0</v>
      </c>
      <c r="H30" s="169"/>
      <c r="I30" s="165"/>
      <c r="J30" s="170">
        <f t="shared" ref="J30:J31" si="33">E30*(I30+H30)</f>
        <v>0</v>
      </c>
      <c r="K30" s="171">
        <f t="shared" ref="K30:K31" si="34">C30-(H30+I30)</f>
        <v>1</v>
      </c>
      <c r="L30" s="172">
        <f t="shared" ref="L30:L31" si="35">G30-J30</f>
        <v>0</v>
      </c>
      <c r="M30" s="173"/>
      <c r="N30" s="174" t="str">
        <f t="array" ref="N30">IFERROR(INDEX('Номенклатура_BAF'!$G$2:$G200, MATCH($B30, 'Номенклатура_BAF'!$B$2:$B200, 0)), "")</f>
        <v/>
      </c>
      <c r="O30" s="127"/>
      <c r="P30" s="161"/>
      <c r="Q30" s="161"/>
      <c r="R30" s="162"/>
      <c r="S30" s="162"/>
      <c r="T30" s="162"/>
    </row>
    <row r="31" ht="15.0" customHeight="1">
      <c r="A31" s="206" t="s">
        <v>122</v>
      </c>
      <c r="B31" s="184"/>
      <c r="C31" s="207"/>
      <c r="D31" s="165" t="str">
        <f t="array" ref="D31">IFERROR(INDEX('Номенклатура_BAF'!$C$2:$C200, MATCH($B31, 'Номенклатура_BAF'!$B$2:$B200, 0)), "")</f>
        <v/>
      </c>
      <c r="E31" s="166" t="str">
        <f t="array" ref="E31">IFERROR(INDEX('Номенклатура_BAF'!$D$2:$D200, MATCH($B31, 'Номенклатура_BAF'!$B$2:$B200, 0)), "")</f>
        <v/>
      </c>
      <c r="F31" s="186"/>
      <c r="G31" s="197">
        <f t="shared" si="32"/>
        <v>0</v>
      </c>
      <c r="H31" s="188"/>
      <c r="I31" s="185"/>
      <c r="J31" s="189">
        <f t="shared" si="33"/>
        <v>0</v>
      </c>
      <c r="K31" s="171">
        <f t="shared" si="34"/>
        <v>0</v>
      </c>
      <c r="L31" s="190">
        <f t="shared" si="35"/>
        <v>0</v>
      </c>
      <c r="M31" s="173"/>
      <c r="N31" s="174" t="str">
        <f t="array" ref="N31">IFERROR(INDEX('Номенклатура_BAF'!$G$2:$G200, MATCH($B31, 'Номенклатура_BAF'!$B$2:$B200, 0)), "")</f>
        <v/>
      </c>
      <c r="O31" s="127"/>
      <c r="P31" s="161"/>
      <c r="Q31" s="161"/>
      <c r="R31" s="162"/>
      <c r="S31" s="162"/>
      <c r="T31" s="162"/>
    </row>
    <row r="32" ht="18.75" customHeight="1">
      <c r="A32" s="154" t="s">
        <v>123</v>
      </c>
      <c r="B32" s="155" t="s">
        <v>124</v>
      </c>
      <c r="C32" s="155"/>
      <c r="D32" s="155"/>
      <c r="E32" s="155"/>
      <c r="F32" s="155"/>
      <c r="G32" s="191">
        <f t="array" ref="G32">SUM(OFFSET(INDIRECT(ADDRESS(ROW(), COLUMN())), 1, 0, MATCH("Кріплення", $B:$B, 0) - ROW() - 1))</f>
        <v>0</v>
      </c>
      <c r="H32" s="157"/>
      <c r="I32" s="155"/>
      <c r="J32" s="202">
        <f t="shared" ref="J32:L32" si="36">SUM(OFFSET(INDIRECT(ADDRESS(ROW(), COLUMN())), 1, 0, MATCH("Кріплення", $B:$B, 0) - ROW() - 1))</f>
        <v>0</v>
      </c>
      <c r="K32" s="159">
        <f t="shared" si="36"/>
        <v>0</v>
      </c>
      <c r="L32" s="160">
        <f t="shared" si="36"/>
        <v>0</v>
      </c>
      <c r="M32" s="173"/>
      <c r="N32" s="174" t="str">
        <f t="array" ref="N32">IFERROR(INDEX('Номенклатура_BAF'!$G$2:$G200, MATCH($B32, 'Номенклатура_BAF'!$B$2:$B200, 0)), "")</f>
        <v/>
      </c>
      <c r="O32" s="127"/>
      <c r="P32" s="161"/>
      <c r="Q32" s="161"/>
      <c r="R32" s="162"/>
      <c r="S32" s="162"/>
      <c r="T32" s="162"/>
    </row>
    <row r="33" ht="15.0" customHeight="1">
      <c r="A33" s="163" t="s">
        <v>125</v>
      </c>
      <c r="B33" s="164"/>
      <c r="C33" s="165"/>
      <c r="D33" s="165" t="str">
        <f t="array" ref="D33">IFERROR(INDEX('Номенклатура_BAF'!$C$2:$C200, MATCH($B33, 'Номенклатура_BAF'!$B$2:$B200, 0)), "")</f>
        <v/>
      </c>
      <c r="E33" s="166" t="str">
        <f t="array" ref="E33">IFERROR(INDEX('Номенклатура_BAF'!$D$2:$D200, MATCH($B33, 'Номенклатура_BAF'!$B$2:$B200, 0)), "")</f>
        <v/>
      </c>
      <c r="F33" s="167"/>
      <c r="G33" s="203">
        <f t="shared" ref="G33:G34" si="37">$E33*$C33</f>
        <v>0</v>
      </c>
      <c r="H33" s="169"/>
      <c r="I33" s="165"/>
      <c r="J33" s="170">
        <f t="shared" ref="J33:J34" si="38">E33*(I33+H33)</f>
        <v>0</v>
      </c>
      <c r="K33" s="171">
        <f t="shared" ref="K33:K34" si="39">C33-(H33+I33)</f>
        <v>0</v>
      </c>
      <c r="L33" s="172">
        <f t="shared" ref="L33:L34" si="40">G33-J33</f>
        <v>0</v>
      </c>
      <c r="M33" s="173"/>
      <c r="N33" s="174" t="str">
        <f t="array" ref="N33">IFERROR(INDEX('Номенклатура_BAF'!$G$2:$G200, MATCH($B33, 'Номенклатура_BAF'!$B$2:$B200, 0)), "")</f>
        <v/>
      </c>
      <c r="O33" s="127"/>
      <c r="P33" s="161"/>
      <c r="Q33" s="161"/>
      <c r="R33" s="162"/>
      <c r="S33" s="162"/>
      <c r="T33" s="162"/>
    </row>
    <row r="34" ht="15.0" customHeight="1">
      <c r="A34" s="183" t="s">
        <v>126</v>
      </c>
      <c r="B34" s="184"/>
      <c r="C34" s="207"/>
      <c r="D34" s="165" t="str">
        <f t="array" ref="D34">IFERROR(INDEX('Номенклатура_BAF'!$C$2:$C200, MATCH($B34, 'Номенклатура_BAF'!$B$2:$B200, 0)), "")</f>
        <v/>
      </c>
      <c r="E34" s="166" t="str">
        <f t="array" ref="E34">IFERROR(INDEX('Номенклатура_BAF'!$D$2:$D200, MATCH($B34, 'Номенклатура_BAF'!$B$2:$B200, 0)), "")</f>
        <v/>
      </c>
      <c r="F34" s="186"/>
      <c r="G34" s="197">
        <f t="shared" si="37"/>
        <v>0</v>
      </c>
      <c r="H34" s="188"/>
      <c r="I34" s="185"/>
      <c r="J34" s="189">
        <f t="shared" si="38"/>
        <v>0</v>
      </c>
      <c r="K34" s="171">
        <f t="shared" si="39"/>
        <v>0</v>
      </c>
      <c r="L34" s="190">
        <f t="shared" si="40"/>
        <v>0</v>
      </c>
      <c r="M34" s="173"/>
      <c r="N34" s="174" t="str">
        <f t="array" ref="N34">IFERROR(INDEX('Номенклатура_BAF'!$G$2:$G200, MATCH($B34, 'Номенклатура_BAF'!$B$2:$B200, 0)), "")</f>
        <v/>
      </c>
      <c r="O34" s="127"/>
      <c r="P34" s="209"/>
      <c r="Q34" s="161"/>
      <c r="R34" s="162"/>
      <c r="S34" s="162"/>
      <c r="T34" s="162"/>
    </row>
    <row r="35" ht="18.75" customHeight="1">
      <c r="A35" s="210" t="s">
        <v>127</v>
      </c>
      <c r="B35" s="211" t="s">
        <v>13</v>
      </c>
      <c r="C35" s="211"/>
      <c r="D35" s="211"/>
      <c r="E35" s="211"/>
      <c r="F35" s="211"/>
      <c r="G35" s="212">
        <f t="array" ref="G35">SUM(OFFSET(INDIRECT(ADDRESS(ROW(), COLUMN())), 1, 0, MATCH("Захист DC (основне)", $B:$B, 0) - ROW() - 1))</f>
        <v>5400</v>
      </c>
      <c r="H35" s="213"/>
      <c r="I35" s="211"/>
      <c r="J35" s="214">
        <f t="shared" ref="J35:L35" si="41">SUM(OFFSET(INDIRECT(ADDRESS(ROW(), COLUMN())), 1, 0, MATCH("Захист DC (основне)", $B:$B, 0) - ROW() - 1))</f>
        <v>0</v>
      </c>
      <c r="K35" s="159">
        <f t="shared" si="41"/>
        <v>300</v>
      </c>
      <c r="L35" s="160">
        <f t="shared" si="41"/>
        <v>5400</v>
      </c>
      <c r="M35" s="173"/>
      <c r="N35" s="174" t="str">
        <f t="array" ref="N35">IFERROR(INDEX('Номенклатура_BAF'!$G$2:$G200, MATCH($B35, 'Номенклатура_BAF'!$B$2:$B200, 0)), "")</f>
        <v/>
      </c>
      <c r="O35" s="127"/>
      <c r="P35" s="209"/>
      <c r="Q35" s="161"/>
      <c r="R35" s="162"/>
      <c r="S35" s="162"/>
      <c r="T35" s="162"/>
    </row>
    <row r="36" ht="15.0" customHeight="1">
      <c r="A36" s="163" t="s">
        <v>128</v>
      </c>
      <c r="B36" s="164" t="s">
        <v>129</v>
      </c>
      <c r="C36" s="165">
        <v>60.0</v>
      </c>
      <c r="D36" s="165" t="str">
        <f t="array" ref="D36">IFERROR(INDEX('Номенклатура_BAF'!$C$2:$C200, MATCH($B36, 'Номенклатура_BAF'!$B$2:$B200, 0)), "")</f>
        <v/>
      </c>
      <c r="E36" s="166">
        <v>50.0</v>
      </c>
      <c r="F36" s="167"/>
      <c r="G36" s="203">
        <f t="shared" ref="G36:G50" si="42">$E36*$C36</f>
        <v>3000</v>
      </c>
      <c r="H36" s="169"/>
      <c r="I36" s="165"/>
      <c r="J36" s="170">
        <f t="shared" ref="J36:J50" si="43">E36*(I36+H36)</f>
        <v>0</v>
      </c>
      <c r="K36" s="171">
        <f t="shared" ref="K36:K50" si="44">C36-(H36+I36)</f>
        <v>60</v>
      </c>
      <c r="L36" s="172">
        <f t="shared" ref="L36:L50" si="45">G36-J36</f>
        <v>3000</v>
      </c>
      <c r="M36" s="173"/>
      <c r="N36" s="174" t="str">
        <f t="array" ref="N36">IFERROR(INDEX('Номенклатура_BAF'!$G$2:$G200, MATCH($B36, 'Номенклатура_BAF'!$B$2:$B200, 0)), "")</f>
        <v/>
      </c>
      <c r="O36" s="127"/>
      <c r="P36" s="201"/>
      <c r="Q36" s="161"/>
      <c r="R36" s="162"/>
      <c r="S36" s="162"/>
      <c r="T36" s="162"/>
    </row>
    <row r="37" ht="15.0" customHeight="1">
      <c r="A37" s="175" t="s">
        <v>130</v>
      </c>
      <c r="B37" s="176" t="s">
        <v>131</v>
      </c>
      <c r="C37" s="177">
        <v>240.0</v>
      </c>
      <c r="D37" s="165" t="str">
        <f t="array" ref="D37">IFERROR(INDEX('Номенклатура_BAF'!$C$2:$C200, MATCH($B37, 'Номенклатура_BAF'!$B$2:$B200, 0)), "")</f>
        <v/>
      </c>
      <c r="E37" s="166">
        <v>10.0</v>
      </c>
      <c r="F37" s="178"/>
      <c r="G37" s="205">
        <f t="shared" si="42"/>
        <v>2400</v>
      </c>
      <c r="H37" s="180"/>
      <c r="I37" s="177"/>
      <c r="J37" s="181">
        <f t="shared" si="43"/>
        <v>0</v>
      </c>
      <c r="K37" s="171">
        <f t="shared" si="44"/>
        <v>240</v>
      </c>
      <c r="L37" s="182">
        <f t="shared" si="45"/>
        <v>2400</v>
      </c>
      <c r="M37" s="173"/>
      <c r="N37" s="208" t="str">
        <f t="array" ref="N37">IFERROR(INDEX('Номенклатура_BAF'!$G$2:$G200, MATCH($B37, 'Номенклатура_BAF'!$B$2:$B200, 0)), "")</f>
        <v/>
      </c>
      <c r="O37" s="127"/>
      <c r="P37" s="201"/>
      <c r="Q37" s="161"/>
      <c r="R37" s="162"/>
      <c r="S37" s="162"/>
      <c r="T37" s="162"/>
    </row>
    <row r="38" ht="15.0" customHeight="1">
      <c r="A38" s="175" t="s">
        <v>132</v>
      </c>
      <c r="B38" s="176"/>
      <c r="C38" s="177"/>
      <c r="D38" s="165" t="str">
        <f t="array" ref="D38">IFERROR(INDEX('Номенклатура_BAF'!$C$2:$C200, MATCH($B38, 'Номенклатура_BAF'!$B$2:$B200, 0)), "")</f>
        <v/>
      </c>
      <c r="E38" s="166" t="str">
        <f t="array" ref="E38">IFERROR(INDEX('Номенклатура_BAF'!$D$2:$D200, MATCH($B38, 'Номенклатура_BAF'!$B$2:$B200, 0)), "")</f>
        <v/>
      </c>
      <c r="F38" s="178"/>
      <c r="G38" s="205">
        <f t="shared" si="42"/>
        <v>0</v>
      </c>
      <c r="H38" s="180"/>
      <c r="I38" s="177"/>
      <c r="J38" s="181">
        <f t="shared" si="43"/>
        <v>0</v>
      </c>
      <c r="K38" s="171">
        <f t="shared" si="44"/>
        <v>0</v>
      </c>
      <c r="L38" s="182">
        <f t="shared" si="45"/>
        <v>0</v>
      </c>
      <c r="M38" s="173"/>
      <c r="N38" s="174" t="str">
        <f t="array" ref="N38">IFERROR(INDEX('Номенклатура_BAF'!$G$2:$G200, MATCH($B38, 'Номенклатура_BAF'!$B$2:$B200, 0)), "")</f>
        <v/>
      </c>
      <c r="O38" s="127"/>
      <c r="P38" s="201"/>
      <c r="Q38" s="161"/>
      <c r="R38" s="162"/>
      <c r="S38" s="162"/>
      <c r="T38" s="162"/>
    </row>
    <row r="39" ht="15.0" customHeight="1">
      <c r="A39" s="175" t="s">
        <v>133</v>
      </c>
      <c r="B39" s="176"/>
      <c r="C39" s="177"/>
      <c r="D39" s="165" t="str">
        <f t="array" ref="D39">IFERROR(INDEX('Номенклатура_BAF'!$C$2:$C200, MATCH($B39, 'Номенклатура_BAF'!$B$2:$B200, 0)), "")</f>
        <v/>
      </c>
      <c r="E39" s="166" t="str">
        <f t="array" ref="E39">IFERROR(INDEX('Номенклатура_BAF'!$D$2:$D200, MATCH($B39, 'Номенклатура_BAF'!$B$2:$B200, 0)), "")</f>
        <v/>
      </c>
      <c r="F39" s="178"/>
      <c r="G39" s="205">
        <f t="shared" si="42"/>
        <v>0</v>
      </c>
      <c r="H39" s="180"/>
      <c r="I39" s="177"/>
      <c r="J39" s="181">
        <f t="shared" si="43"/>
        <v>0</v>
      </c>
      <c r="K39" s="171">
        <f t="shared" si="44"/>
        <v>0</v>
      </c>
      <c r="L39" s="182">
        <f t="shared" si="45"/>
        <v>0</v>
      </c>
      <c r="M39" s="173"/>
      <c r="N39" s="174" t="str">
        <f t="array" ref="N39">IFERROR(INDEX('Номенклатура_BAF'!$G$2:$G200, MATCH($B39, 'Номенклатура_BAF'!$B$2:$B200, 0)), "")</f>
        <v/>
      </c>
      <c r="O39" s="127"/>
      <c r="P39" s="201"/>
      <c r="Q39" s="161"/>
      <c r="R39" s="162"/>
      <c r="S39" s="162"/>
      <c r="T39" s="162"/>
    </row>
    <row r="40" ht="15.0" customHeight="1">
      <c r="A40" s="175" t="s">
        <v>134</v>
      </c>
      <c r="B40" s="176"/>
      <c r="C40" s="177"/>
      <c r="D40" s="165" t="str">
        <f t="array" ref="D40">IFERROR(INDEX('Номенклатура_BAF'!$C$2:$C200, MATCH($B40, 'Номенклатура_BAF'!$B$2:$B200, 0)), "")</f>
        <v/>
      </c>
      <c r="E40" s="166" t="str">
        <f t="array" ref="E40">IFERROR(INDEX('Номенклатура_BAF'!$D$2:$D200, MATCH($B40, 'Номенклатура_BAF'!$B$2:$B200, 0)), "")</f>
        <v/>
      </c>
      <c r="F40" s="178"/>
      <c r="G40" s="205">
        <f t="shared" si="42"/>
        <v>0</v>
      </c>
      <c r="H40" s="180"/>
      <c r="I40" s="177"/>
      <c r="J40" s="181">
        <f t="shared" si="43"/>
        <v>0</v>
      </c>
      <c r="K40" s="171">
        <f t="shared" si="44"/>
        <v>0</v>
      </c>
      <c r="L40" s="182">
        <f t="shared" si="45"/>
        <v>0</v>
      </c>
      <c r="M40" s="173"/>
      <c r="N40" s="174" t="str">
        <f t="array" ref="N40">IFERROR(INDEX('Номенклатура_BAF'!$G$2:$G200, MATCH($B40, 'Номенклатура_BAF'!$B$2:$B200, 0)), "")</f>
        <v/>
      </c>
      <c r="O40" s="127"/>
      <c r="P40" s="201"/>
      <c r="Q40" s="161"/>
      <c r="R40" s="162"/>
      <c r="S40" s="162"/>
      <c r="T40" s="162"/>
    </row>
    <row r="41" ht="15.0" customHeight="1">
      <c r="A41" s="175" t="s">
        <v>135</v>
      </c>
      <c r="B41" s="176"/>
      <c r="C41" s="177"/>
      <c r="D41" s="165" t="str">
        <f t="array" ref="D41">IFERROR(INDEX('Номенклатура_BAF'!$C$2:$C200, MATCH($B41, 'Номенклатура_BAF'!$B$2:$B200, 0)), "")</f>
        <v/>
      </c>
      <c r="E41" s="166" t="str">
        <f t="array" ref="E41">IFERROR(INDEX('Номенклатура_BAF'!$D$2:$D200, MATCH($B41, 'Номенклатура_BAF'!$B$2:$B200, 0)), "")</f>
        <v/>
      </c>
      <c r="F41" s="178"/>
      <c r="G41" s="205">
        <f t="shared" si="42"/>
        <v>0</v>
      </c>
      <c r="H41" s="180"/>
      <c r="I41" s="177"/>
      <c r="J41" s="181">
        <f t="shared" si="43"/>
        <v>0</v>
      </c>
      <c r="K41" s="171">
        <f t="shared" si="44"/>
        <v>0</v>
      </c>
      <c r="L41" s="182">
        <f t="shared" si="45"/>
        <v>0</v>
      </c>
      <c r="M41" s="173"/>
      <c r="N41" s="174" t="str">
        <f t="array" ref="N41">IFERROR(INDEX('Номенклатура_BAF'!$G$2:$G200, MATCH($B41, 'Номенклатура_BAF'!$B$2:$B200, 0)), "")</f>
        <v/>
      </c>
      <c r="O41" s="127"/>
      <c r="P41" s="201"/>
      <c r="Q41" s="161"/>
      <c r="R41" s="162"/>
      <c r="S41" s="162"/>
      <c r="T41" s="162"/>
    </row>
    <row r="42" ht="15.0" customHeight="1">
      <c r="A42" s="175" t="s">
        <v>136</v>
      </c>
      <c r="B42" s="176"/>
      <c r="C42" s="177"/>
      <c r="D42" s="165" t="str">
        <f t="array" ref="D42">IFERROR(INDEX('Номенклатура_BAF'!$C$2:$C200, MATCH($B42, 'Номенклатура_BAF'!$B$2:$B200, 0)), "")</f>
        <v/>
      </c>
      <c r="E42" s="166" t="str">
        <f t="array" ref="E42">IFERROR(INDEX('Номенклатура_BAF'!$D$2:$D200, MATCH($B42, 'Номенклатура_BAF'!$B$2:$B200, 0)), "")</f>
        <v/>
      </c>
      <c r="F42" s="178"/>
      <c r="G42" s="205">
        <f t="shared" si="42"/>
        <v>0</v>
      </c>
      <c r="H42" s="180"/>
      <c r="I42" s="177"/>
      <c r="J42" s="181">
        <f t="shared" si="43"/>
        <v>0</v>
      </c>
      <c r="K42" s="171">
        <f t="shared" si="44"/>
        <v>0</v>
      </c>
      <c r="L42" s="182">
        <f t="shared" si="45"/>
        <v>0</v>
      </c>
      <c r="M42" s="173"/>
      <c r="N42" s="174" t="str">
        <f t="array" ref="N42">IFERROR(INDEX('Номенклатура_BAF'!$G$2:$G200, MATCH($B42, 'Номенклатура_BAF'!$B$2:$B200, 0)), "")</f>
        <v/>
      </c>
      <c r="O42" s="127"/>
      <c r="P42" s="201"/>
      <c r="Q42" s="161"/>
      <c r="R42" s="162"/>
      <c r="S42" s="162"/>
      <c r="T42" s="162"/>
    </row>
    <row r="43" ht="15.0" customHeight="1">
      <c r="A43" s="175" t="s">
        <v>137</v>
      </c>
      <c r="B43" s="176"/>
      <c r="C43" s="177"/>
      <c r="D43" s="165" t="str">
        <f t="array" ref="D43">IFERROR(INDEX('Номенклатура_BAF'!$C$2:$C200, MATCH($B43, 'Номенклатура_BAF'!$B$2:$B200, 0)), "")</f>
        <v/>
      </c>
      <c r="E43" s="166" t="str">
        <f t="array" ref="E43">IFERROR(INDEX('Номенклатура_BAF'!$D$2:$D200, MATCH($B43, 'Номенклатура_BAF'!$B$2:$B200, 0)), "")</f>
        <v/>
      </c>
      <c r="F43" s="178"/>
      <c r="G43" s="205">
        <f t="shared" si="42"/>
        <v>0</v>
      </c>
      <c r="H43" s="180"/>
      <c r="I43" s="177"/>
      <c r="J43" s="181">
        <f t="shared" si="43"/>
        <v>0</v>
      </c>
      <c r="K43" s="171">
        <f t="shared" si="44"/>
        <v>0</v>
      </c>
      <c r="L43" s="182">
        <f t="shared" si="45"/>
        <v>0</v>
      </c>
      <c r="M43" s="173"/>
      <c r="N43" s="174" t="str">
        <f t="array" ref="N43">IFERROR(INDEX('Номенклатура_BAF'!$G$2:$G200, MATCH($B43, 'Номенклатура_BAF'!$B$2:$B200, 0)), "")</f>
        <v/>
      </c>
      <c r="O43" s="127"/>
      <c r="P43" s="201"/>
      <c r="Q43" s="161"/>
      <c r="R43" s="162"/>
      <c r="S43" s="162"/>
      <c r="T43" s="162"/>
    </row>
    <row r="44" ht="15.0" customHeight="1">
      <c r="A44" s="175" t="s">
        <v>138</v>
      </c>
      <c r="B44" s="176"/>
      <c r="C44" s="177"/>
      <c r="D44" s="165" t="str">
        <f t="array" ref="D44">IFERROR(INDEX('Номенклатура_BAF'!$C$2:$C200, MATCH($B44, 'Номенклатура_BAF'!$B$2:$B200, 0)), "")</f>
        <v/>
      </c>
      <c r="E44" s="166" t="str">
        <f t="array" ref="E44">IFERROR(INDEX('Номенклатура_BAF'!$D$2:$D200, MATCH($B44, 'Номенклатура_BAF'!$B$2:$B200, 0)), "")</f>
        <v/>
      </c>
      <c r="F44" s="178"/>
      <c r="G44" s="205">
        <f t="shared" si="42"/>
        <v>0</v>
      </c>
      <c r="H44" s="180"/>
      <c r="I44" s="177"/>
      <c r="J44" s="181">
        <f t="shared" si="43"/>
        <v>0</v>
      </c>
      <c r="K44" s="171">
        <f t="shared" si="44"/>
        <v>0</v>
      </c>
      <c r="L44" s="182">
        <f t="shared" si="45"/>
        <v>0</v>
      </c>
      <c r="M44" s="173"/>
      <c r="N44" s="174" t="str">
        <f t="array" ref="N44">IFERROR(INDEX('Номенклатура_BAF'!$G$2:$G200, MATCH($B44, 'Номенклатура_BAF'!$B$2:$B200, 0)), "")</f>
        <v/>
      </c>
      <c r="O44" s="127"/>
      <c r="P44" s="161"/>
      <c r="Q44" s="161"/>
      <c r="R44" s="162"/>
      <c r="S44" s="162"/>
      <c r="T44" s="162"/>
    </row>
    <row r="45" ht="15.0" customHeight="1">
      <c r="A45" s="183" t="s">
        <v>139</v>
      </c>
      <c r="B45" s="184"/>
      <c r="C45" s="185"/>
      <c r="D45" s="165" t="str">
        <f t="array" ref="D45">IFERROR(INDEX('Номенклатура_BAF'!$C$2:$C200, MATCH($B45, 'Номенклатура_BAF'!$B$2:$B200, 0)), "")</f>
        <v/>
      </c>
      <c r="E45" s="166" t="str">
        <f t="array" ref="E45">IFERROR(INDEX('Номенклатура_BAF'!$D$2:$D200, MATCH($B45, 'Номенклатура_BAF'!$B$2:$B200, 0)), "")</f>
        <v/>
      </c>
      <c r="F45" s="186"/>
      <c r="G45" s="197">
        <f t="shared" si="42"/>
        <v>0</v>
      </c>
      <c r="H45" s="188"/>
      <c r="I45" s="185"/>
      <c r="J45" s="189">
        <f t="shared" si="43"/>
        <v>0</v>
      </c>
      <c r="K45" s="171">
        <f t="shared" si="44"/>
        <v>0</v>
      </c>
      <c r="L45" s="190">
        <f t="shared" si="45"/>
        <v>0</v>
      </c>
      <c r="M45" s="173"/>
      <c r="N45" s="174" t="str">
        <f t="array" ref="N45">IFERROR(INDEX('Номенклатура_BAF'!$G$2:$G200, MATCH($B45, 'Номенклатура_BAF'!$B$2:$B200, 0)), "")</f>
        <v/>
      </c>
      <c r="O45" s="127"/>
      <c r="P45" s="161"/>
      <c r="Q45" s="161"/>
      <c r="R45" s="162"/>
      <c r="S45" s="162"/>
      <c r="T45" s="162"/>
    </row>
    <row r="46" ht="15.0" customHeight="1">
      <c r="A46" s="183" t="s">
        <v>140</v>
      </c>
      <c r="B46" s="184"/>
      <c r="C46" s="185"/>
      <c r="D46" s="165" t="str">
        <f t="array" ref="D46">IFERROR(INDEX('Номенклатура_BAF'!$C$2:$C200, MATCH($B46, 'Номенклатура_BAF'!$B$2:$B200, 0)), "")</f>
        <v/>
      </c>
      <c r="E46" s="166" t="str">
        <f t="array" ref="E46">IFERROR(INDEX('Номенклатура_BAF'!$D$2:$D200, MATCH($B46, 'Номенклатура_BAF'!$B$2:$B200, 0)), "")</f>
        <v/>
      </c>
      <c r="F46" s="186"/>
      <c r="G46" s="197">
        <f t="shared" si="42"/>
        <v>0</v>
      </c>
      <c r="H46" s="188"/>
      <c r="I46" s="185"/>
      <c r="J46" s="189">
        <f t="shared" si="43"/>
        <v>0</v>
      </c>
      <c r="K46" s="171">
        <f t="shared" si="44"/>
        <v>0</v>
      </c>
      <c r="L46" s="190">
        <f t="shared" si="45"/>
        <v>0</v>
      </c>
      <c r="M46" s="173"/>
      <c r="N46" s="174" t="str">
        <f t="array" ref="N46">IFERROR(INDEX('Номенклатура_BAF'!$G$2:$G200, MATCH($B46, 'Номенклатура_BAF'!$B$2:$B200, 0)), "")</f>
        <v/>
      </c>
      <c r="O46" s="127"/>
      <c r="P46" s="161"/>
      <c r="Q46" s="161"/>
      <c r="R46" s="162"/>
      <c r="S46" s="162"/>
      <c r="T46" s="162"/>
    </row>
    <row r="47" ht="15.0" customHeight="1">
      <c r="A47" s="183" t="s">
        <v>141</v>
      </c>
      <c r="B47" s="184"/>
      <c r="C47" s="185"/>
      <c r="D47" s="165" t="str">
        <f t="array" ref="D47">IFERROR(INDEX('Номенклатура_BAF'!$C$2:$C200, MATCH($B47, 'Номенклатура_BAF'!$B$2:$B200, 0)), "")</f>
        <v/>
      </c>
      <c r="E47" s="166" t="str">
        <f t="array" ref="E47">IFERROR(INDEX('Номенклатура_BAF'!$D$2:$D200, MATCH($B47, 'Номенклатура_BAF'!$B$2:$B200, 0)), "")</f>
        <v/>
      </c>
      <c r="F47" s="186"/>
      <c r="G47" s="197">
        <f t="shared" si="42"/>
        <v>0</v>
      </c>
      <c r="H47" s="188"/>
      <c r="I47" s="185"/>
      <c r="J47" s="189">
        <f t="shared" si="43"/>
        <v>0</v>
      </c>
      <c r="K47" s="171">
        <f t="shared" si="44"/>
        <v>0</v>
      </c>
      <c r="L47" s="190">
        <f t="shared" si="45"/>
        <v>0</v>
      </c>
      <c r="M47" s="173"/>
      <c r="N47" s="174" t="str">
        <f t="array" ref="N47">IFERROR(INDEX('Номенклатура_BAF'!$G$2:$G200, MATCH($B47, 'Номенклатура_BAF'!$B$2:$B200, 0)), "")</f>
        <v/>
      </c>
      <c r="O47" s="127"/>
      <c r="P47" s="161"/>
      <c r="Q47" s="161"/>
      <c r="R47" s="162"/>
      <c r="S47" s="162"/>
      <c r="T47" s="162"/>
    </row>
    <row r="48" ht="15.0" customHeight="1">
      <c r="A48" s="183" t="s">
        <v>142</v>
      </c>
      <c r="B48" s="184"/>
      <c r="C48" s="185"/>
      <c r="D48" s="165" t="str">
        <f t="array" ref="D48">IFERROR(INDEX('Номенклатура_BAF'!$C$2:$C200, MATCH($B48, 'Номенклатура_BAF'!$B$2:$B200, 0)), "")</f>
        <v/>
      </c>
      <c r="E48" s="166" t="str">
        <f t="array" ref="E48">IFERROR(INDEX('Номенклатура_BAF'!$D$2:$D200, MATCH($B48, 'Номенклатура_BAF'!$B$2:$B200, 0)), "")</f>
        <v/>
      </c>
      <c r="F48" s="186"/>
      <c r="G48" s="197">
        <f t="shared" si="42"/>
        <v>0</v>
      </c>
      <c r="H48" s="188"/>
      <c r="I48" s="185"/>
      <c r="J48" s="189">
        <f t="shared" si="43"/>
        <v>0</v>
      </c>
      <c r="K48" s="171">
        <f t="shared" si="44"/>
        <v>0</v>
      </c>
      <c r="L48" s="190">
        <f t="shared" si="45"/>
        <v>0</v>
      </c>
      <c r="M48" s="173"/>
      <c r="N48" s="174" t="str">
        <f t="array" ref="N48">IFERROR(INDEX('Номенклатура_BAF'!$G$2:$G200, MATCH($B48, 'Номенклатура_BAF'!$B$2:$B200, 0)), "")</f>
        <v/>
      </c>
      <c r="O48" s="127"/>
      <c r="P48" s="161"/>
      <c r="Q48" s="161"/>
      <c r="R48" s="162"/>
      <c r="S48" s="162"/>
      <c r="T48" s="162"/>
    </row>
    <row r="49" ht="15.0" customHeight="1">
      <c r="A49" s="183" t="s">
        <v>143</v>
      </c>
      <c r="B49" s="184"/>
      <c r="C49" s="185"/>
      <c r="D49" s="165" t="str">
        <f t="array" ref="D49">IFERROR(INDEX('Номенклатура_BAF'!$C$2:$C200, MATCH($B49, 'Номенклатура_BAF'!$B$2:$B200, 0)), "")</f>
        <v/>
      </c>
      <c r="E49" s="166" t="str">
        <f t="array" ref="E49">IFERROR(INDEX('Номенклатура_BAF'!$D$2:$D200, MATCH($B49, 'Номенклатура_BAF'!$B$2:$B200, 0)), "")</f>
        <v/>
      </c>
      <c r="F49" s="186"/>
      <c r="G49" s="197">
        <f t="shared" si="42"/>
        <v>0</v>
      </c>
      <c r="H49" s="188"/>
      <c r="I49" s="185"/>
      <c r="J49" s="189">
        <f t="shared" si="43"/>
        <v>0</v>
      </c>
      <c r="K49" s="171">
        <f t="shared" si="44"/>
        <v>0</v>
      </c>
      <c r="L49" s="190">
        <f t="shared" si="45"/>
        <v>0</v>
      </c>
      <c r="M49" s="173"/>
      <c r="N49" s="174" t="str">
        <f t="array" ref="N49">IFERROR(INDEX('Номенклатура_BAF'!$G$2:$G200, MATCH($B49, 'Номенклатура_BAF'!$B$2:$B200, 0)), "")</f>
        <v/>
      </c>
      <c r="O49" s="127"/>
      <c r="P49" s="161"/>
      <c r="Q49" s="161"/>
      <c r="R49" s="162"/>
      <c r="S49" s="162"/>
      <c r="T49" s="162"/>
    </row>
    <row r="50" ht="15.0" customHeight="1">
      <c r="A50" s="183" t="s">
        <v>144</v>
      </c>
      <c r="B50" s="184"/>
      <c r="C50" s="185"/>
      <c r="D50" s="165" t="str">
        <f t="array" ref="D50">IFERROR(INDEX('Номенклатура_BAF'!$C$2:$C200, MATCH($B50, 'Номенклатура_BAF'!$B$2:$B200, 0)), "")</f>
        <v/>
      </c>
      <c r="E50" s="166" t="str">
        <f t="array" ref="E50">IFERROR(INDEX('Номенклатура_BAF'!$D$2:$D200, MATCH($B50, 'Номенклатура_BAF'!$B$2:$B200, 0)), "")</f>
        <v/>
      </c>
      <c r="F50" s="186"/>
      <c r="G50" s="197">
        <f t="shared" si="42"/>
        <v>0</v>
      </c>
      <c r="H50" s="188"/>
      <c r="I50" s="185"/>
      <c r="J50" s="189">
        <f t="shared" si="43"/>
        <v>0</v>
      </c>
      <c r="K50" s="171">
        <f t="shared" si="44"/>
        <v>0</v>
      </c>
      <c r="L50" s="190">
        <f t="shared" si="45"/>
        <v>0</v>
      </c>
      <c r="M50" s="173"/>
      <c r="N50" s="174" t="str">
        <f t="array" ref="N50">IFERROR(INDEX('Номенклатура_BAF'!$G$2:$G200, MATCH($B50, 'Номенклатура_BAF'!$B$2:$B200, 0)), "")</f>
        <v/>
      </c>
      <c r="O50" s="127"/>
      <c r="P50" s="161"/>
      <c r="Q50" s="161"/>
      <c r="R50" s="162"/>
      <c r="S50" s="162"/>
      <c r="T50" s="162"/>
    </row>
    <row r="51" ht="18.75" customHeight="1">
      <c r="A51" s="215" t="s">
        <v>145</v>
      </c>
      <c r="B51" s="216" t="s">
        <v>146</v>
      </c>
      <c r="C51" s="216"/>
      <c r="D51" s="216"/>
      <c r="E51" s="216"/>
      <c r="F51" s="216"/>
      <c r="G51" s="217">
        <f t="array" ref="G51">SUM(OFFSET(INDIRECT(ADDRESS(ROW(), COLUMN())), 1, 0, MATCH("Щит DC", $B:$B, 0) - ROW() - 1))</f>
        <v>0</v>
      </c>
      <c r="H51" s="218"/>
      <c r="I51" s="216"/>
      <c r="J51" s="219">
        <f t="shared" ref="J51:L51" si="46">SUM(OFFSET(INDIRECT(ADDRESS(ROW(), COLUMN())), 1, 0, MATCH("Щит DC", $B:$B, 0) - ROW() - 1))</f>
        <v>0</v>
      </c>
      <c r="K51" s="159">
        <f t="shared" si="46"/>
        <v>25</v>
      </c>
      <c r="L51" s="160">
        <f t="shared" si="46"/>
        <v>0</v>
      </c>
      <c r="M51" s="173"/>
      <c r="N51" s="174" t="str">
        <f t="array" ref="N51">IFERROR(INDEX('Номенклатура_BAF'!$G$2:$G200, MATCH($B51, 'Номенклатура_BAF'!$B$2:$B200, 0)), "")</f>
        <v/>
      </c>
      <c r="O51" s="200"/>
      <c r="P51" s="200"/>
      <c r="Q51" s="200"/>
      <c r="R51" s="200"/>
      <c r="S51" s="200"/>
      <c r="T51" s="162"/>
    </row>
    <row r="52" ht="15.0" customHeight="1">
      <c r="A52" s="163" t="s">
        <v>147</v>
      </c>
      <c r="B52" s="164" t="s">
        <v>148</v>
      </c>
      <c r="C52" s="165">
        <v>4.0</v>
      </c>
      <c r="D52" s="165" t="str">
        <f t="array" ref="D52">IFERROR(INDEX('Номенклатура_BAF'!$C$2:$C200, MATCH($B52, 'Номенклатура_BAF'!$B$2:$B200, 0)), "")</f>
        <v/>
      </c>
      <c r="E52" s="166" t="str">
        <f t="array" ref="E52">IFERROR(INDEX('Номенклатура_BAF'!$D$2:$D200, MATCH($B52, 'Номенклатура_BAF'!$B$2:$B200, 0)), "")</f>
        <v/>
      </c>
      <c r="F52" s="167"/>
      <c r="G52" s="203">
        <f t="shared" ref="G52:G61" si="47">$E52*$C52</f>
        <v>0</v>
      </c>
      <c r="H52" s="169"/>
      <c r="I52" s="165"/>
      <c r="J52" s="170">
        <f t="shared" ref="J52:J61" si="48">E52*(I52+H52)</f>
        <v>0</v>
      </c>
      <c r="K52" s="171">
        <f t="shared" ref="K52:K61" si="49">C52-(H52+I52)</f>
        <v>4</v>
      </c>
      <c r="L52" s="172">
        <f t="shared" ref="L52:L61" si="50">G52-J52</f>
        <v>0</v>
      </c>
      <c r="M52" s="220" t="str">
        <f t="array" ref="M52">IFERROR(IF(ISNUMBER(INDEX('Номенклатура_BAF'!$F$2:$F200, MATCH($B52, 'Номенклатура_BAF'!$B$2:$B200, 0))), 
    INDEX('Номенклатура_BAF'!$F$2:$F200, MATCH($B52, 'Номенклатура_BAF'!$B$2:$B200, 0)) * 'Копія аркуша КОШТОРИС'!C52, 
    ""), 
"")</f>
        <v/>
      </c>
      <c r="N52" s="208" t="str">
        <f t="array" ref="N52">IFERROR(INDEX('Номенклатура_BAF'!$G$2:$G200, MATCH($B52, 'Номенклатура_BAF'!$B$2:$B200, 0)), "")</f>
        <v/>
      </c>
      <c r="O52" s="200"/>
      <c r="P52" s="200"/>
      <c r="Q52" s="200"/>
      <c r="R52" s="200"/>
      <c r="S52" s="200"/>
      <c r="T52" s="162"/>
    </row>
    <row r="53" ht="15.0" customHeight="1">
      <c r="A53" s="175" t="s">
        <v>149</v>
      </c>
      <c r="B53" s="176" t="s">
        <v>150</v>
      </c>
      <c r="C53" s="177">
        <v>4.0</v>
      </c>
      <c r="D53" s="165" t="str">
        <f t="array" ref="D53">IFERROR(INDEX('Номенклатура_BAF'!$C$2:$C200, MATCH($B53, 'Номенклатура_BAF'!$B$2:$B200, 0)), "")</f>
        <v/>
      </c>
      <c r="E53" s="166" t="str">
        <f t="array" ref="E53">IFERROR(INDEX('Номенклатура_BAF'!$D$2:$D200, MATCH($B53, 'Номенклатура_BAF'!$B$2:$B200, 0)), "")</f>
        <v/>
      </c>
      <c r="F53" s="178"/>
      <c r="G53" s="205">
        <f t="shared" si="47"/>
        <v>0</v>
      </c>
      <c r="H53" s="180"/>
      <c r="I53" s="177"/>
      <c r="J53" s="181">
        <f t="shared" si="48"/>
        <v>0</v>
      </c>
      <c r="K53" s="171">
        <f t="shared" si="49"/>
        <v>4</v>
      </c>
      <c r="L53" s="182">
        <f t="shared" si="50"/>
        <v>0</v>
      </c>
      <c r="M53" s="220" t="str">
        <f t="array" ref="M53">IFERROR(IF(ISNUMBER(INDEX('Номенклатура_BAF'!$F$2:$F200, MATCH($B53, 'Номенклатура_BAF'!$B$2:$B200, 0))), 
    INDEX('Номенклатура_BAF'!$F$2:$F200, MATCH($B53, 'Номенклатура_BAF'!$B$2:$B200, 0)) * 'Копія аркуша КОШТОРИС'!C53, 
    ""), 
"")</f>
        <v/>
      </c>
      <c r="N53" s="208" t="str">
        <f t="array" ref="N53">IFERROR(INDEX('Номенклатура_BAF'!$G$2:$G200, MATCH($B53, 'Номенклатура_BAF'!$B$2:$B200, 0)), "")</f>
        <v/>
      </c>
      <c r="O53" s="200"/>
      <c r="P53" s="200"/>
      <c r="Q53" s="200"/>
      <c r="R53" s="200"/>
      <c r="S53" s="200"/>
      <c r="T53" s="162"/>
    </row>
    <row r="54" ht="15.0" customHeight="1">
      <c r="A54" s="175" t="s">
        <v>151</v>
      </c>
      <c r="B54" s="176" t="s">
        <v>152</v>
      </c>
      <c r="C54" s="177">
        <v>9.0</v>
      </c>
      <c r="D54" s="165" t="str">
        <f t="array" ref="D54">IFERROR(INDEX('Номенклатура_BAF'!$C$2:$C200, MATCH($B54, 'Номенклатура_BAF'!$B$2:$B200, 0)), "")</f>
        <v/>
      </c>
      <c r="E54" s="166" t="str">
        <f t="array" ref="E54">IFERROR(INDEX('Номенклатура_BAF'!$D$2:$D200, MATCH($B54, 'Номенклатура_BAF'!$B$2:$B200, 0)), "")</f>
        <v/>
      </c>
      <c r="F54" s="178"/>
      <c r="G54" s="205">
        <f t="shared" si="47"/>
        <v>0</v>
      </c>
      <c r="H54" s="180"/>
      <c r="I54" s="177"/>
      <c r="J54" s="181">
        <f t="shared" si="48"/>
        <v>0</v>
      </c>
      <c r="K54" s="171">
        <f t="shared" si="49"/>
        <v>9</v>
      </c>
      <c r="L54" s="182">
        <f t="shared" si="50"/>
        <v>0</v>
      </c>
      <c r="M54" s="220" t="str">
        <f t="array" ref="M54">IFERROR(IF(ISNUMBER(INDEX('Номенклатура_BAF'!$F$2:$F200, MATCH($B54, 'Номенклатура_BAF'!$B$2:$B200, 0))), 
    INDEX('Номенклатура_BAF'!$F$2:$F200, MATCH($B54, 'Номенклатура_BAF'!$B$2:$B200, 0)) * 'Копія аркуша КОШТОРИС'!C54, 
    ""), 
"")</f>
        <v/>
      </c>
      <c r="N54" s="208" t="str">
        <f t="array" ref="N54">IFERROR(INDEX('Номенклатура_BAF'!$G$2:$G200, MATCH($B54, 'Номенклатура_BAF'!$B$2:$B200, 0)), "")</f>
        <v/>
      </c>
      <c r="O54" s="200"/>
      <c r="P54" s="200"/>
      <c r="Q54" s="200"/>
      <c r="R54" s="200"/>
      <c r="S54" s="200"/>
      <c r="T54" s="162"/>
    </row>
    <row r="55" ht="15.0" customHeight="1">
      <c r="A55" s="175" t="s">
        <v>153</v>
      </c>
      <c r="B55" s="176" t="s">
        <v>154</v>
      </c>
      <c r="C55" s="177">
        <v>8.0</v>
      </c>
      <c r="D55" s="165" t="str">
        <f t="array" ref="D55">IFERROR(INDEX('Номенклатура_BAF'!$C$2:$C200, MATCH($B55, 'Номенклатура_BAF'!$B$2:$B200, 0)), "")</f>
        <v/>
      </c>
      <c r="E55" s="166" t="str">
        <f t="array" ref="E55">IFERROR(INDEX('Номенклатура_BAF'!$D$2:$D200, MATCH($B55, 'Номенклатура_BAF'!$B$2:$B200, 0)), "")</f>
        <v/>
      </c>
      <c r="F55" s="178"/>
      <c r="G55" s="205">
        <f t="shared" si="47"/>
        <v>0</v>
      </c>
      <c r="H55" s="180"/>
      <c r="I55" s="177"/>
      <c r="J55" s="181">
        <f t="shared" si="48"/>
        <v>0</v>
      </c>
      <c r="K55" s="171">
        <f t="shared" si="49"/>
        <v>8</v>
      </c>
      <c r="L55" s="182">
        <f t="shared" si="50"/>
        <v>0</v>
      </c>
      <c r="M55" s="220" t="str">
        <f t="array" ref="M55">IFERROR(IF(ISNUMBER(INDEX('Номенклатура_BAF'!$F$2:$F200, MATCH($B55, 'Номенклатура_BAF'!$B$2:$B200, 0))), 
    INDEX('Номенклатура_BAF'!$F$2:$F200, MATCH($B55, 'Номенклатура_BAF'!$B$2:$B200, 0)) * 'Копія аркуша КОШТОРИС'!C55, 
    ""), 
"")</f>
        <v/>
      </c>
      <c r="N55" s="208" t="str">
        <f t="array" ref="N55">IFERROR(INDEX('Номенклатура_BAF'!$G$2:$G200, MATCH($B55, 'Номенклатура_BAF'!$B$2:$B200, 0)), "")</f>
        <v/>
      </c>
      <c r="O55" s="200"/>
      <c r="P55" s="200"/>
      <c r="Q55" s="200"/>
      <c r="R55" s="200"/>
      <c r="S55" s="200"/>
      <c r="T55" s="162"/>
    </row>
    <row r="56" ht="15.0" customHeight="1">
      <c r="A56" s="175" t="s">
        <v>155</v>
      </c>
      <c r="B56" s="176"/>
      <c r="C56" s="177"/>
      <c r="D56" s="165" t="str">
        <f t="array" ref="D56">IFERROR(INDEX('Номенклатура_BAF'!$C$2:$C200, MATCH($B56, 'Номенклатура_BAF'!$B$2:$B200, 0)), "")</f>
        <v/>
      </c>
      <c r="E56" s="166" t="str">
        <f t="array" ref="E56">IFERROR(INDEX('Номенклатура_BAF'!$D$2:$D200, MATCH($B56, 'Номенклатура_BAF'!$B$2:$B200, 0)), "")</f>
        <v/>
      </c>
      <c r="F56" s="178"/>
      <c r="G56" s="205">
        <f t="shared" si="47"/>
        <v>0</v>
      </c>
      <c r="H56" s="180"/>
      <c r="I56" s="177"/>
      <c r="J56" s="181">
        <f t="shared" si="48"/>
        <v>0</v>
      </c>
      <c r="K56" s="171">
        <f t="shared" si="49"/>
        <v>0</v>
      </c>
      <c r="L56" s="182">
        <f t="shared" si="50"/>
        <v>0</v>
      </c>
      <c r="M56" s="220" t="str">
        <f t="array" ref="M56">IFERROR(IF(ISNUMBER(INDEX('Номенклатура_BAF'!$F$2:$F200, MATCH($B56, 'Номенклатура_BAF'!$B$2:$B200, 0))), 
    INDEX('Номенклатура_BAF'!$F$2:$F200, MATCH($B56, 'Номенклатура_BAF'!$B$2:$B200, 0)) * 'Копія аркуша КОШТОРИС'!C56, 
    ""), 
"")</f>
        <v/>
      </c>
      <c r="N56" s="174" t="str">
        <f t="array" ref="N56">IFERROR(INDEX('Номенклатура_BAF'!$G$2:$G200, MATCH($B56, 'Номенклатура_BAF'!$B$2:$B200, 0)), "")</f>
        <v/>
      </c>
      <c r="O56" s="200"/>
      <c r="P56" s="200"/>
      <c r="Q56" s="200"/>
      <c r="R56" s="200"/>
      <c r="S56" s="200"/>
      <c r="T56" s="162"/>
    </row>
    <row r="57" ht="15.0" customHeight="1">
      <c r="A57" s="175" t="s">
        <v>156</v>
      </c>
      <c r="B57" s="176"/>
      <c r="C57" s="177"/>
      <c r="D57" s="165" t="str">
        <f t="array" ref="D57">IFERROR(INDEX('Номенклатура_BAF'!$C$2:$C200, MATCH($B57, 'Номенклатура_BAF'!$B$2:$B200, 0)), "")</f>
        <v/>
      </c>
      <c r="E57" s="166" t="str">
        <f t="array" ref="E57">IFERROR(INDEX('Номенклатура_BAF'!$D$2:$D200, MATCH($B57, 'Номенклатура_BAF'!$B$2:$B200, 0)), "")</f>
        <v/>
      </c>
      <c r="F57" s="178"/>
      <c r="G57" s="205">
        <f t="shared" si="47"/>
        <v>0</v>
      </c>
      <c r="H57" s="180"/>
      <c r="I57" s="177"/>
      <c r="J57" s="181">
        <f t="shared" si="48"/>
        <v>0</v>
      </c>
      <c r="K57" s="171">
        <f t="shared" si="49"/>
        <v>0</v>
      </c>
      <c r="L57" s="182">
        <f t="shared" si="50"/>
        <v>0</v>
      </c>
      <c r="M57" s="220" t="str">
        <f t="array" ref="M57">IFERROR(IF(ISNUMBER(INDEX('Номенклатура_BAF'!$F$2:$F200, MATCH($B57, 'Номенклатура_BAF'!$B$2:$B200, 0))), 
    INDEX('Номенклатура_BAF'!$F$2:$F200, MATCH($B57, 'Номенклатура_BAF'!$B$2:$B200, 0)) * 'Копія аркуша КОШТОРИС'!C57, 
    ""), 
"")</f>
        <v/>
      </c>
      <c r="N57" s="174" t="str">
        <f t="array" ref="N57">IFERROR(INDEX('Номенклатура_BAF'!$G$2:$G200, MATCH($B57, 'Номенклатура_BAF'!$B$2:$B200, 0)), "")</f>
        <v/>
      </c>
      <c r="O57" s="200"/>
      <c r="P57" s="200"/>
      <c r="Q57" s="200"/>
      <c r="R57" s="200"/>
      <c r="S57" s="200"/>
      <c r="T57" s="162"/>
    </row>
    <row r="58" ht="15.0" customHeight="1">
      <c r="A58" s="175" t="s">
        <v>157</v>
      </c>
      <c r="B58" s="176"/>
      <c r="C58" s="177"/>
      <c r="D58" s="165" t="str">
        <f t="array" ref="D58">IFERROR(INDEX('Номенклатура_BAF'!$C$2:$C200, MATCH($B58, 'Номенклатура_BAF'!$B$2:$B200, 0)), "")</f>
        <v/>
      </c>
      <c r="E58" s="166" t="str">
        <f t="array" ref="E58">IFERROR(INDEX('Номенклатура_BAF'!$D$2:$D200, MATCH($B58, 'Номенклатура_BAF'!$B$2:$B200, 0)), "")</f>
        <v/>
      </c>
      <c r="F58" s="178"/>
      <c r="G58" s="205">
        <f t="shared" si="47"/>
        <v>0</v>
      </c>
      <c r="H58" s="180"/>
      <c r="I58" s="177"/>
      <c r="J58" s="181">
        <f t="shared" si="48"/>
        <v>0</v>
      </c>
      <c r="K58" s="171">
        <f t="shared" si="49"/>
        <v>0</v>
      </c>
      <c r="L58" s="182">
        <f t="shared" si="50"/>
        <v>0</v>
      </c>
      <c r="M58" s="220" t="str">
        <f t="array" ref="M58">IFERROR(IF(ISNUMBER(INDEX('Номенклатура_BAF'!$F$2:$F200, MATCH($B58, 'Номенклатура_BAF'!$B$2:$B200, 0))), 
    INDEX('Номенклатура_BAF'!$F$2:$F200, MATCH($B58, 'Номенклатура_BAF'!$B$2:$B200, 0)) * 'Копія аркуша КОШТОРИС'!C58, 
    ""), 
"")</f>
        <v/>
      </c>
      <c r="N58" s="174" t="str">
        <f t="array" ref="N58">IFERROR(INDEX('Номенклатура_BAF'!$G$2:$G200, MATCH($B58, 'Номенклатура_BAF'!$B$2:$B200, 0)), "")</f>
        <v/>
      </c>
      <c r="O58" s="200"/>
      <c r="P58" s="200"/>
      <c r="Q58" s="200"/>
      <c r="R58" s="200"/>
      <c r="S58" s="200"/>
      <c r="T58" s="162"/>
    </row>
    <row r="59" ht="15.0" customHeight="1">
      <c r="A59" s="175" t="s">
        <v>158</v>
      </c>
      <c r="B59" s="176"/>
      <c r="C59" s="177"/>
      <c r="D59" s="165" t="str">
        <f t="array" ref="D59">IFERROR(INDEX('Номенклатура_BAF'!$C$2:$C200, MATCH($B59, 'Номенклатура_BAF'!$B$2:$B200, 0)), "")</f>
        <v/>
      </c>
      <c r="E59" s="166" t="str">
        <f t="array" ref="E59">IFERROR(INDEX('Номенклатура_BAF'!$D$2:$D200, MATCH($B59, 'Номенклатура_BAF'!$B$2:$B200, 0)), "")</f>
        <v/>
      </c>
      <c r="F59" s="178"/>
      <c r="G59" s="205">
        <f t="shared" si="47"/>
        <v>0</v>
      </c>
      <c r="H59" s="180"/>
      <c r="I59" s="177"/>
      <c r="J59" s="181">
        <f t="shared" si="48"/>
        <v>0</v>
      </c>
      <c r="K59" s="171">
        <f t="shared" si="49"/>
        <v>0</v>
      </c>
      <c r="L59" s="182">
        <f t="shared" si="50"/>
        <v>0</v>
      </c>
      <c r="M59" s="220" t="str">
        <f t="array" ref="M59">IFERROR(IF(ISNUMBER(INDEX('Номенклатура_BAF'!$F$2:$F200, MATCH($B59, 'Номенклатура_BAF'!$B$2:$B200, 0))), 
    INDEX('Номенклатура_BAF'!$F$2:$F200, MATCH($B59, 'Номенклатура_BAF'!$B$2:$B200, 0)) * 'Копія аркуша КОШТОРИС'!C59, 
    ""), 
"")</f>
        <v/>
      </c>
      <c r="N59" s="174" t="str">
        <f t="array" ref="N59">IFERROR(INDEX('Номенклатура_BAF'!$G$2:$G200, MATCH($B59, 'Номенклатура_BAF'!$B$2:$B200, 0)), "")</f>
        <v/>
      </c>
      <c r="O59" s="200"/>
      <c r="P59" s="200"/>
      <c r="Q59" s="200"/>
      <c r="R59" s="200"/>
      <c r="S59" s="200"/>
      <c r="T59" s="162"/>
    </row>
    <row r="60" ht="15.0" customHeight="1">
      <c r="A60" s="175" t="s">
        <v>159</v>
      </c>
      <c r="B60" s="176"/>
      <c r="C60" s="177"/>
      <c r="D60" s="165" t="str">
        <f t="array" ref="D60">IFERROR(INDEX('Номенклатура_BAF'!$C$2:$C200, MATCH($B60, 'Номенклатура_BAF'!$B$2:$B200, 0)), "")</f>
        <v/>
      </c>
      <c r="E60" s="166" t="str">
        <f t="array" ref="E60">IFERROR(INDEX('Номенклатура_BAF'!$D$2:$D200, MATCH($B60, 'Номенклатура_BAF'!$B$2:$B200, 0)), "")</f>
        <v/>
      </c>
      <c r="F60" s="178"/>
      <c r="G60" s="205">
        <f t="shared" si="47"/>
        <v>0</v>
      </c>
      <c r="H60" s="180"/>
      <c r="I60" s="177"/>
      <c r="J60" s="181">
        <f t="shared" si="48"/>
        <v>0</v>
      </c>
      <c r="K60" s="171">
        <f t="shared" si="49"/>
        <v>0</v>
      </c>
      <c r="L60" s="182">
        <f t="shared" si="50"/>
        <v>0</v>
      </c>
      <c r="M60" s="220" t="str">
        <f t="array" ref="M60">IFERROR(IF(ISNUMBER(INDEX('Номенклатура_BAF'!$F$2:$F200, MATCH($B60, 'Номенклатура_BAF'!$B$2:$B200, 0))), 
    INDEX('Номенклатура_BAF'!$F$2:$F200, MATCH($B60, 'Номенклатура_BAF'!$B$2:$B200, 0)) * 'Копія аркуша КОШТОРИС'!C60, 
    ""), 
"")</f>
        <v/>
      </c>
      <c r="N60" s="174" t="str">
        <f t="array" ref="N60">IFERROR(INDEX('Номенклатура_BAF'!$G$2:$G200, MATCH($B60, 'Номенклатура_BAF'!$B$2:$B200, 0)), "")</f>
        <v/>
      </c>
      <c r="O60" s="200"/>
      <c r="P60" s="200"/>
      <c r="Q60" s="200"/>
      <c r="R60" s="200"/>
      <c r="S60" s="200"/>
      <c r="T60" s="162"/>
    </row>
    <row r="61" ht="15.0" customHeight="1">
      <c r="A61" s="183" t="s">
        <v>160</v>
      </c>
      <c r="B61" s="184"/>
      <c r="C61" s="185"/>
      <c r="D61" s="165" t="str">
        <f t="array" ref="D61">IFERROR(INDEX('Номенклатура_BAF'!$C$2:$C200, MATCH($B61, 'Номенклатура_BAF'!$B$2:$B200, 0)), "")</f>
        <v/>
      </c>
      <c r="E61" s="166" t="str">
        <f t="array" ref="E61">IFERROR(INDEX('Номенклатура_BAF'!$D$2:$D200, MATCH($B61, 'Номенклатура_BAF'!$B$2:$B200, 0)), "")</f>
        <v/>
      </c>
      <c r="F61" s="186"/>
      <c r="G61" s="197">
        <f t="shared" si="47"/>
        <v>0</v>
      </c>
      <c r="H61" s="188"/>
      <c r="I61" s="185"/>
      <c r="J61" s="189">
        <f t="shared" si="48"/>
        <v>0</v>
      </c>
      <c r="K61" s="171">
        <f t="shared" si="49"/>
        <v>0</v>
      </c>
      <c r="L61" s="190">
        <f t="shared" si="50"/>
        <v>0</v>
      </c>
      <c r="M61" s="220" t="str">
        <f t="array" ref="M61">IFERROR(IF(ISNUMBER(INDEX('Номенклатура_BAF'!$F$2:$F200, MATCH($B61, 'Номенклатура_BAF'!$B$2:$B200, 0))), 
    INDEX('Номенклатура_BAF'!$F$2:$F200, MATCH($B61, 'Номенклатура_BAF'!$B$2:$B200, 0)) * 'Копія аркуша КОШТОРИС'!C61, 
    ""), 
"")</f>
        <v/>
      </c>
      <c r="N61" s="174" t="str">
        <f t="array" ref="N61">IFERROR(INDEX('Номенклатура_BAF'!$G$2:$G200, MATCH($B61, 'Номенклатура_BAF'!$B$2:$B200, 0)), "")</f>
        <v/>
      </c>
      <c r="O61" s="200"/>
      <c r="P61" s="200"/>
      <c r="Q61" s="200"/>
      <c r="R61" s="200"/>
      <c r="S61" s="200"/>
      <c r="T61" s="162"/>
    </row>
    <row r="62" ht="18.75" customHeight="1">
      <c r="A62" s="215" t="s">
        <v>161</v>
      </c>
      <c r="B62" s="221" t="s">
        <v>162</v>
      </c>
      <c r="C62" s="216"/>
      <c r="D62" s="216"/>
      <c r="E62" s="216"/>
      <c r="F62" s="216"/>
      <c r="G62" s="217">
        <f t="array" ref="G62">SUM(OFFSET(INDIRECT(ADDRESS(ROW(), COLUMN())), 1, 0, MATCH("Захист AC (основне)", $B:$B, 0) - ROW() - 1))</f>
        <v>0</v>
      </c>
      <c r="H62" s="218"/>
      <c r="I62" s="216"/>
      <c r="J62" s="219">
        <f t="shared" ref="J62:L62" si="51">SUM(OFFSET(INDIRECT(ADDRESS(ROW(), COLUMN())), 1, 0, MATCH("Захист AC (основне)", $B:$B, 0) - ROW() - 1))</f>
        <v>0</v>
      </c>
      <c r="K62" s="222">
        <f t="shared" si="51"/>
        <v>1</v>
      </c>
      <c r="L62" s="223">
        <f t="shared" si="51"/>
        <v>0</v>
      </c>
      <c r="M62" s="224">
        <f t="array" ref="M62">SUM(INDIRECT("M" &amp; MATCH("Захист DC (основне)", B:B, 0) + 1):INDIRECT("M" &amp; MATCH("Щит DC", B:B, 0) - 1))</f>
        <v>0</v>
      </c>
      <c r="N62" s="174" t="str">
        <f t="array" ref="N62">IFERROR(INDEX('Номенклатура_BAF'!$G$2:$G200, MATCH($B62, 'Номенклатура_BAF'!$B$2:$B200, 0)), "")</f>
        <v/>
      </c>
      <c r="O62" s="200"/>
      <c r="P62" s="200"/>
      <c r="Q62" s="200"/>
      <c r="R62" s="200"/>
      <c r="S62" s="200"/>
      <c r="T62" s="162"/>
    </row>
    <row r="63" ht="15.0" customHeight="1">
      <c r="A63" s="163" t="s">
        <v>163</v>
      </c>
      <c r="B63" s="164" t="s">
        <v>164</v>
      </c>
      <c r="C63" s="165">
        <v>1.0</v>
      </c>
      <c r="D63" s="165" t="str">
        <f t="array" ref="D63">IFERROR(INDEX('Номенклатура_BAF'!$C$2:$C200, MATCH($B63, 'Номенклатура_BAF'!$B$2:$B200, 0)), "")</f>
        <v/>
      </c>
      <c r="E63" s="166" t="str">
        <f t="array" ref="E63">IFERROR(INDEX('Номенклатура_BAF'!$D$2:$D200, MATCH($B63, 'Номенклатура_BAF'!$B$2:$B200, 0)), "")</f>
        <v/>
      </c>
      <c r="F63" s="167"/>
      <c r="G63" s="203">
        <f t="shared" ref="G63:G67" si="52">$E63*$C63</f>
        <v>0</v>
      </c>
      <c r="H63" s="169"/>
      <c r="I63" s="165"/>
      <c r="J63" s="170">
        <f t="shared" ref="J63:J67" si="53">E63*(I63+H63)</f>
        <v>0</v>
      </c>
      <c r="K63" s="171">
        <f t="shared" ref="K63:K67" si="54">C63-(H63+I63)</f>
        <v>1</v>
      </c>
      <c r="L63" s="172">
        <f t="shared" ref="L63:L67" si="55">G63-J63</f>
        <v>0</v>
      </c>
      <c r="M63" s="173"/>
      <c r="N63" s="174" t="str">
        <f t="array" ref="N63">IFERROR(INDEX('Номенклатура_BAF'!$G$2:$G200, MATCH($B63, 'Номенклатура_BAF'!$B$2:$B200, 0)), "")</f>
        <v/>
      </c>
      <c r="O63" s="200"/>
      <c r="P63" s="200"/>
      <c r="Q63" s="200"/>
      <c r="R63" s="200"/>
      <c r="S63" s="200"/>
      <c r="T63" s="162"/>
    </row>
    <row r="64" ht="15.0" customHeight="1">
      <c r="A64" s="175" t="s">
        <v>165</v>
      </c>
      <c r="B64" s="184"/>
      <c r="C64" s="185"/>
      <c r="D64" s="165" t="str">
        <f t="array" ref="D64">IFERROR(INDEX('Номенклатура_BAF'!$C$2:$C200, MATCH($B64, 'Номенклатура_BAF'!$B$2:$B200, 0)), "")</f>
        <v/>
      </c>
      <c r="E64" s="166" t="str">
        <f t="array" ref="E64">IFERROR(INDEX('Номенклатура_BAF'!$D$2:$D200, MATCH($B64, 'Номенклатура_BAF'!$B$2:$B200, 0)), "")</f>
        <v/>
      </c>
      <c r="F64" s="186"/>
      <c r="G64" s="197">
        <f t="shared" si="52"/>
        <v>0</v>
      </c>
      <c r="H64" s="188"/>
      <c r="I64" s="185"/>
      <c r="J64" s="189">
        <f t="shared" si="53"/>
        <v>0</v>
      </c>
      <c r="K64" s="171">
        <f t="shared" si="54"/>
        <v>0</v>
      </c>
      <c r="L64" s="190">
        <f t="shared" si="55"/>
        <v>0</v>
      </c>
      <c r="M64" s="173"/>
      <c r="N64" s="174" t="str">
        <f t="array" ref="N64">IFERROR(INDEX('Номенклатура_BAF'!$G$2:$G200, MATCH($B64, 'Номенклатура_BAF'!$B$2:$B200, 0)), "")</f>
        <v/>
      </c>
      <c r="O64" s="200"/>
      <c r="P64" s="200"/>
      <c r="Q64" s="200"/>
      <c r="R64" s="200"/>
      <c r="S64" s="200"/>
      <c r="T64" s="162"/>
    </row>
    <row r="65" ht="15.0" customHeight="1">
      <c r="A65" s="175" t="s">
        <v>166</v>
      </c>
      <c r="B65" s="184"/>
      <c r="C65" s="185"/>
      <c r="D65" s="165" t="str">
        <f t="array" ref="D65">IFERROR(INDEX('Номенклатура_BAF'!$C$2:$C200, MATCH($B65, 'Номенклатура_BAF'!$B$2:$B200, 0)), "")</f>
        <v/>
      </c>
      <c r="E65" s="166" t="str">
        <f t="array" ref="E65">IFERROR(INDEX('Номенклатура_BAF'!$D$2:$D200, MATCH($B65, 'Номенклатура_BAF'!$B$2:$B200, 0)), "")</f>
        <v/>
      </c>
      <c r="F65" s="186"/>
      <c r="G65" s="197">
        <f t="shared" si="52"/>
        <v>0</v>
      </c>
      <c r="H65" s="188"/>
      <c r="I65" s="185"/>
      <c r="J65" s="189">
        <f t="shared" si="53"/>
        <v>0</v>
      </c>
      <c r="K65" s="171">
        <f t="shared" si="54"/>
        <v>0</v>
      </c>
      <c r="L65" s="190">
        <f t="shared" si="55"/>
        <v>0</v>
      </c>
      <c r="M65" s="173"/>
      <c r="N65" s="174" t="str">
        <f t="array" ref="N65">IFERROR(INDEX('Номенклатура_BAF'!$G$2:$G200, MATCH($B65, 'Номенклатура_BAF'!$B$2:$B200, 0)), "")</f>
        <v/>
      </c>
      <c r="O65" s="200"/>
      <c r="P65" s="200"/>
      <c r="Q65" s="200"/>
      <c r="R65" s="200"/>
      <c r="S65" s="200"/>
      <c r="T65" s="162"/>
    </row>
    <row r="66" ht="15.0" customHeight="1">
      <c r="A66" s="175" t="s">
        <v>167</v>
      </c>
      <c r="B66" s="184"/>
      <c r="C66" s="185"/>
      <c r="D66" s="165" t="str">
        <f t="array" ref="D66">IFERROR(INDEX('Номенклатура_BAF'!$C$2:$C200, MATCH($B66, 'Номенклатура_BAF'!$B$2:$B200, 0)), "")</f>
        <v/>
      </c>
      <c r="E66" s="166" t="str">
        <f t="array" ref="E66">IFERROR(INDEX('Номенклатура_BAF'!$D$2:$D200, MATCH($B66, 'Номенклатура_BAF'!$B$2:$B200, 0)), "")</f>
        <v/>
      </c>
      <c r="F66" s="186"/>
      <c r="G66" s="197">
        <f t="shared" si="52"/>
        <v>0</v>
      </c>
      <c r="H66" s="188"/>
      <c r="I66" s="185"/>
      <c r="J66" s="189">
        <f t="shared" si="53"/>
        <v>0</v>
      </c>
      <c r="K66" s="171">
        <f t="shared" si="54"/>
        <v>0</v>
      </c>
      <c r="L66" s="190">
        <f t="shared" si="55"/>
        <v>0</v>
      </c>
      <c r="M66" s="173"/>
      <c r="N66" s="174" t="str">
        <f t="array" ref="N66">IFERROR(INDEX('Номенклатура_BAF'!$G$2:$G200, MATCH($B66, 'Номенклатура_BAF'!$B$2:$B200, 0)), "")</f>
        <v/>
      </c>
      <c r="O66" s="200"/>
      <c r="P66" s="200"/>
      <c r="Q66" s="200"/>
      <c r="R66" s="200"/>
      <c r="S66" s="200"/>
      <c r="T66" s="162"/>
    </row>
    <row r="67" ht="15.0" customHeight="1">
      <c r="A67" s="175" t="s">
        <v>168</v>
      </c>
      <c r="B67" s="184"/>
      <c r="C67" s="185"/>
      <c r="D67" s="165" t="str">
        <f t="array" ref="D67">IFERROR(INDEX('Номенклатура_BAF'!$C$2:$C200, MATCH($B67, 'Номенклатура_BAF'!$B$2:$B200, 0)), "")</f>
        <v/>
      </c>
      <c r="E67" s="166" t="str">
        <f t="array" ref="E67">IFERROR(INDEX('Номенклатура_BAF'!$D$2:$D200, MATCH($B67, 'Номенклатура_BAF'!$B$2:$B200, 0)), "")</f>
        <v/>
      </c>
      <c r="F67" s="186"/>
      <c r="G67" s="197">
        <f t="shared" si="52"/>
        <v>0</v>
      </c>
      <c r="H67" s="188"/>
      <c r="I67" s="185"/>
      <c r="J67" s="189">
        <f t="shared" si="53"/>
        <v>0</v>
      </c>
      <c r="K67" s="171">
        <f t="shared" si="54"/>
        <v>0</v>
      </c>
      <c r="L67" s="190">
        <f t="shared" si="55"/>
        <v>0</v>
      </c>
      <c r="M67" s="173"/>
      <c r="N67" s="174" t="str">
        <f t="array" ref="N67">IFERROR(INDEX('Номенклатура_BAF'!$G$2:$G200, MATCH($B67, 'Номенклатура_BAF'!$B$2:$B200, 0)), "")</f>
        <v/>
      </c>
      <c r="O67" s="200"/>
      <c r="P67" s="200"/>
      <c r="Q67" s="200"/>
      <c r="R67" s="200"/>
      <c r="S67" s="200"/>
      <c r="T67" s="162"/>
    </row>
    <row r="68" ht="18.75" customHeight="1">
      <c r="A68" s="225" t="s">
        <v>169</v>
      </c>
      <c r="B68" s="226" t="s">
        <v>170</v>
      </c>
      <c r="C68" s="226"/>
      <c r="D68" s="226"/>
      <c r="E68" s="226"/>
      <c r="F68" s="226"/>
      <c r="G68" s="227">
        <f t="array" ref="G68">SUM(OFFSET(INDIRECT(ADDRESS(ROW(), COLUMN())), 1, 0, MATCH("Щит AC", $B:$B, 0) - ROW() - 1))</f>
        <v>0</v>
      </c>
      <c r="H68" s="228"/>
      <c r="I68" s="226"/>
      <c r="J68" s="229">
        <f t="shared" ref="J68:L68" si="56">SUM(OFFSET(INDIRECT(ADDRESS(ROW(), COLUMN())), 1, 0, MATCH("Щит AC", $B:$B, 0) - ROW() - 1))</f>
        <v>0</v>
      </c>
      <c r="K68" s="159">
        <f t="shared" si="56"/>
        <v>5</v>
      </c>
      <c r="L68" s="160">
        <f t="shared" si="56"/>
        <v>0</v>
      </c>
      <c r="M68" s="149"/>
      <c r="N68" s="174" t="str">
        <f t="array" ref="N68">IFERROR(INDEX('Номенклатура_BAF'!$G$2:$G200, MATCH($B68, 'Номенклатура_BAF'!$B$2:$B200, 0)), "")</f>
        <v/>
      </c>
      <c r="O68" s="200"/>
      <c r="P68" s="200"/>
      <c r="Q68" s="200"/>
      <c r="R68" s="200"/>
      <c r="S68" s="200"/>
      <c r="T68" s="162"/>
    </row>
    <row r="69" ht="15.0" customHeight="1">
      <c r="A69" s="163" t="s">
        <v>171</v>
      </c>
      <c r="B69" s="164" t="s">
        <v>172</v>
      </c>
      <c r="C69" s="165">
        <v>2.0</v>
      </c>
      <c r="D69" s="165" t="str">
        <f t="array" ref="D69">IFERROR(INDEX('Номенклатура_BAF'!$C$2:$C200, MATCH($B69, 'Номенклатура_BAF'!$B$2:$B200, 0)), "")</f>
        <v/>
      </c>
      <c r="E69" s="166" t="str">
        <f t="array" ref="E69">IFERROR(INDEX('Номенклатура_BAF'!$D$2:$D200, MATCH($B69, 'Номенклатура_BAF'!$B$2:$B200, 0)), "")</f>
        <v/>
      </c>
      <c r="F69" s="167"/>
      <c r="G69" s="203">
        <f t="shared" ref="G69:G78" si="57">$E69*$C69</f>
        <v>0</v>
      </c>
      <c r="H69" s="169"/>
      <c r="I69" s="165"/>
      <c r="J69" s="170">
        <f t="shared" ref="J69:J78" si="58">E69*(I69+H69)</f>
        <v>0</v>
      </c>
      <c r="K69" s="171">
        <f t="shared" ref="K69:K78" si="59">C69-(H69+I69)</f>
        <v>2</v>
      </c>
      <c r="L69" s="172">
        <f t="shared" ref="L69:L78" si="60">G69-J69</f>
        <v>0</v>
      </c>
      <c r="M69" s="220" t="str">
        <f t="array" ref="M69">IFERROR(IF(ISNUMBER(INDEX('Номенклатура_BAF'!$F$2:$F200, MATCH($B69, 'Номенклатура_BAF'!$B$2:$B200, 0))), 
    INDEX('Номенклатура_BAF'!$F$2:$F200, MATCH($B69, 'Номенклатура_BAF'!$B$2:$B200, 0)) * 'Копія аркуша КОШТОРИС'!C69, 
    ""), 
"")</f>
        <v/>
      </c>
      <c r="N69" s="208" t="str">
        <f t="array" ref="N69">IFERROR(INDEX('Номенклатура_BAF'!$G$2:$G200, MATCH($B69, 'Номенклатура_BAF'!$B$2:$B200, 0)), "")</f>
        <v/>
      </c>
      <c r="O69" s="200"/>
      <c r="P69" s="200"/>
      <c r="Q69" s="200"/>
      <c r="R69" s="200"/>
      <c r="S69" s="200"/>
      <c r="T69" s="162"/>
    </row>
    <row r="70" ht="15.0" customHeight="1">
      <c r="A70" s="175" t="s">
        <v>173</v>
      </c>
      <c r="B70" s="176" t="s">
        <v>174</v>
      </c>
      <c r="C70" s="177">
        <v>1.0</v>
      </c>
      <c r="D70" s="165" t="str">
        <f t="array" ref="D70">IFERROR(INDEX('Номенклатура_BAF'!$C$2:$C200, MATCH($B70, 'Номенклатура_BAF'!$B$2:$B200, 0)), "")</f>
        <v/>
      </c>
      <c r="E70" s="166" t="str">
        <f t="array" ref="E70">IFERROR(INDEX('Номенклатура_BAF'!$D$2:$D200, MATCH($B70, 'Номенклатура_BAF'!$B$2:$B200, 0)), "")</f>
        <v/>
      </c>
      <c r="F70" s="178"/>
      <c r="G70" s="205">
        <f t="shared" si="57"/>
        <v>0</v>
      </c>
      <c r="H70" s="180"/>
      <c r="I70" s="177"/>
      <c r="J70" s="181">
        <f t="shared" si="58"/>
        <v>0</v>
      </c>
      <c r="K70" s="171">
        <f t="shared" si="59"/>
        <v>1</v>
      </c>
      <c r="L70" s="182">
        <f t="shared" si="60"/>
        <v>0</v>
      </c>
      <c r="M70" s="220" t="str">
        <f t="array" ref="M70">IFERROR(IF(ISNUMBER(INDEX('Номенклатура_BAF'!$F$2:$F200, MATCH($B70, 'Номенклатура_BAF'!$B$2:$B200, 0))), 
    INDEX('Номенклатура_BAF'!$F$2:$F200, MATCH($B70, 'Номенклатура_BAF'!$B$2:$B200, 0)) * 'Копія аркуша КОШТОРИС'!C70, 
    ""), 
"")</f>
        <v/>
      </c>
      <c r="N70" s="208" t="str">
        <f t="array" ref="N70">IFERROR(INDEX('Номенклатура_BAF'!$G$2:$G200, MATCH($B70, 'Номенклатура_BAF'!$B$2:$B200, 0)), "")</f>
        <v/>
      </c>
      <c r="O70" s="200"/>
      <c r="P70" s="200"/>
      <c r="Q70" s="200"/>
      <c r="R70" s="200"/>
      <c r="S70" s="200"/>
      <c r="T70" s="162"/>
    </row>
    <row r="71" ht="15.0" customHeight="1">
      <c r="A71" s="175" t="s">
        <v>175</v>
      </c>
      <c r="B71" s="176" t="s">
        <v>176</v>
      </c>
      <c r="C71" s="177">
        <v>1.0</v>
      </c>
      <c r="D71" s="165" t="str">
        <f t="array" ref="D71">IFERROR(INDEX('Номенклатура_BAF'!$C$2:$C200, MATCH($B71, 'Номенклатура_BAF'!$B$2:$B200, 0)), "")</f>
        <v/>
      </c>
      <c r="E71" s="166" t="str">
        <f t="array" ref="E71">IFERROR(INDEX('Номенклатура_BAF'!$D$2:$D200, MATCH($B71, 'Номенклатура_BAF'!$B$2:$B200, 0)), "")</f>
        <v/>
      </c>
      <c r="F71" s="178"/>
      <c r="G71" s="205">
        <f t="shared" si="57"/>
        <v>0</v>
      </c>
      <c r="H71" s="180"/>
      <c r="I71" s="177"/>
      <c r="J71" s="181">
        <f t="shared" si="58"/>
        <v>0</v>
      </c>
      <c r="K71" s="171">
        <f t="shared" si="59"/>
        <v>1</v>
      </c>
      <c r="L71" s="182">
        <f t="shared" si="60"/>
        <v>0</v>
      </c>
      <c r="M71" s="220" t="str">
        <f t="array" ref="M71">IFERROR(IF(ISNUMBER(INDEX('Номенклатура_BAF'!$F$2:$F200, MATCH($B71, 'Номенклатура_BAF'!$B$2:$B200, 0))), 
    INDEX('Номенклатура_BAF'!$F$2:$F200, MATCH($B71, 'Номенклатура_BAF'!$B$2:$B200, 0)) * 'Копія аркуша КОШТОРИС'!C71, 
    ""), 
"")</f>
        <v/>
      </c>
      <c r="N71" s="208" t="str">
        <f t="array" ref="N71">IFERROR(INDEX('Номенклатура_BAF'!$G$2:$G200, MATCH($B71, 'Номенклатура_BAF'!$B$2:$B200, 0)), "")</f>
        <v/>
      </c>
      <c r="O71" s="200"/>
      <c r="P71" s="200"/>
      <c r="Q71" s="200"/>
      <c r="R71" s="200"/>
      <c r="S71" s="200"/>
      <c r="T71" s="162"/>
    </row>
    <row r="72" ht="15.0" customHeight="1">
      <c r="A72" s="175" t="s">
        <v>177</v>
      </c>
      <c r="B72" s="176"/>
      <c r="C72" s="177"/>
      <c r="D72" s="165" t="str">
        <f t="array" ref="D72">IFERROR(INDEX('Номенклатура_BAF'!$C$2:$C200, MATCH($B72, 'Номенклатура_BAF'!$B$2:$B200, 0)), "")</f>
        <v/>
      </c>
      <c r="E72" s="166" t="str">
        <f t="array" ref="E72">IFERROR(INDEX('Номенклатура_BAF'!$D$2:$D200, MATCH($B72, 'Номенклатура_BAF'!$B$2:$B200, 0)), "")</f>
        <v/>
      </c>
      <c r="F72" s="178"/>
      <c r="G72" s="205">
        <f t="shared" si="57"/>
        <v>0</v>
      </c>
      <c r="H72" s="180"/>
      <c r="I72" s="177"/>
      <c r="J72" s="181">
        <f t="shared" si="58"/>
        <v>0</v>
      </c>
      <c r="K72" s="171">
        <f t="shared" si="59"/>
        <v>0</v>
      </c>
      <c r="L72" s="182">
        <f t="shared" si="60"/>
        <v>0</v>
      </c>
      <c r="M72" s="220" t="str">
        <f t="array" ref="M72">IFERROR(IF(ISNUMBER(INDEX('Номенклатура_BAF'!$F$2:$F200, MATCH($B72, 'Номенклатура_BAF'!$B$2:$B200, 0))), 
    INDEX('Номенклатура_BAF'!$F$2:$F200, MATCH($B72, 'Номенклатура_BAF'!$B$2:$B200, 0)) * 'Копія аркуша КОШТОРИС'!C72, 
    ""), 
"")</f>
        <v/>
      </c>
      <c r="N72" s="174" t="str">
        <f t="array" ref="N72">IFERROR(INDEX('Номенклатура_BAF'!$G$2:$G200, MATCH($B72, 'Номенклатура_BAF'!$B$2:$B200, 0)), "")</f>
        <v/>
      </c>
      <c r="O72" s="200"/>
      <c r="P72" s="200"/>
      <c r="Q72" s="200"/>
      <c r="R72" s="200"/>
      <c r="S72" s="200"/>
      <c r="T72" s="162"/>
    </row>
    <row r="73" ht="15.0" customHeight="1">
      <c r="A73" s="175" t="s">
        <v>178</v>
      </c>
      <c r="B73" s="176"/>
      <c r="C73" s="177"/>
      <c r="D73" s="165" t="str">
        <f t="array" ref="D73">IFERROR(INDEX('Номенклатура_BAF'!$C$2:$C200, MATCH($B73, 'Номенклатура_BAF'!$B$2:$B200, 0)), "")</f>
        <v/>
      </c>
      <c r="E73" s="166" t="str">
        <f t="array" ref="E73">IFERROR(INDEX('Номенклатура_BAF'!$D$2:$D200, MATCH($B73, 'Номенклатура_BAF'!$B$2:$B200, 0)), "")</f>
        <v/>
      </c>
      <c r="F73" s="178"/>
      <c r="G73" s="205">
        <f t="shared" si="57"/>
        <v>0</v>
      </c>
      <c r="H73" s="180"/>
      <c r="I73" s="177"/>
      <c r="J73" s="181">
        <f t="shared" si="58"/>
        <v>0</v>
      </c>
      <c r="K73" s="171">
        <f t="shared" si="59"/>
        <v>0</v>
      </c>
      <c r="L73" s="182">
        <f t="shared" si="60"/>
        <v>0</v>
      </c>
      <c r="M73" s="220" t="str">
        <f t="array" ref="M73">IFERROR(IF(ISNUMBER(INDEX('Номенклатура_BAF'!$F$2:$F200, MATCH($B73, 'Номенклатура_BAF'!$B$2:$B200, 0))), 
    INDEX('Номенклатура_BAF'!$F$2:$F200, MATCH($B73, 'Номенклатура_BAF'!$B$2:$B200, 0)) * 'Копія аркуша КОШТОРИС'!C73, 
    ""), 
"")</f>
        <v/>
      </c>
      <c r="N73" s="174" t="str">
        <f t="array" ref="N73">IFERROR(INDEX('Номенклатура_BAF'!$G$2:$G200, MATCH($B73, 'Номенклатура_BAF'!$B$2:$B200, 0)), "")</f>
        <v/>
      </c>
      <c r="O73" s="200"/>
      <c r="P73" s="200"/>
      <c r="Q73" s="200"/>
      <c r="R73" s="200"/>
      <c r="S73" s="200"/>
      <c r="T73" s="162"/>
    </row>
    <row r="74" ht="15.0" customHeight="1">
      <c r="A74" s="175" t="s">
        <v>179</v>
      </c>
      <c r="B74" s="176"/>
      <c r="C74" s="177"/>
      <c r="D74" s="165" t="str">
        <f t="array" ref="D74">IFERROR(INDEX('Номенклатура_BAF'!$C$2:$C200, MATCH($B74, 'Номенклатура_BAF'!$B$2:$B200, 0)), "")</f>
        <v/>
      </c>
      <c r="E74" s="166" t="str">
        <f t="array" ref="E74">IFERROR(INDEX('Номенклатура_BAF'!$D$2:$D200, MATCH($B74, 'Номенклатура_BAF'!$B$2:$B200, 0)), "")</f>
        <v/>
      </c>
      <c r="F74" s="178"/>
      <c r="G74" s="205">
        <f t="shared" si="57"/>
        <v>0</v>
      </c>
      <c r="H74" s="180"/>
      <c r="I74" s="177"/>
      <c r="J74" s="181">
        <f t="shared" si="58"/>
        <v>0</v>
      </c>
      <c r="K74" s="171">
        <f t="shared" si="59"/>
        <v>0</v>
      </c>
      <c r="L74" s="182">
        <f t="shared" si="60"/>
        <v>0</v>
      </c>
      <c r="M74" s="220" t="str">
        <f t="array" ref="M74">IFERROR(IF(ISNUMBER(INDEX('Номенклатура_BAF'!$F$2:$F200, MATCH($B74, 'Номенклатура_BAF'!$B$2:$B200, 0))), 
    INDEX('Номенклатура_BAF'!$F$2:$F200, MATCH($B74, 'Номенклатура_BAF'!$B$2:$B200, 0)) * 'Копія аркуша КОШТОРИС'!C74, 
    ""), 
"")</f>
        <v/>
      </c>
      <c r="N74" s="174" t="str">
        <f t="array" ref="N74">IFERROR(INDEX('Номенклатура_BAF'!$G$2:$G200, MATCH($B74, 'Номенклатура_BAF'!$B$2:$B200, 0)), "")</f>
        <v/>
      </c>
      <c r="O74" s="200"/>
      <c r="P74" s="200"/>
      <c r="Q74" s="200"/>
      <c r="R74" s="200"/>
      <c r="S74" s="200"/>
      <c r="T74" s="162"/>
    </row>
    <row r="75" ht="15.0" customHeight="1">
      <c r="A75" s="175" t="s">
        <v>180</v>
      </c>
      <c r="B75" s="176"/>
      <c r="C75" s="177"/>
      <c r="D75" s="165" t="str">
        <f t="array" ref="D75">IFERROR(INDEX('Номенклатура_BAF'!$C$2:$C200, MATCH($B75, 'Номенклатура_BAF'!$B$2:$B200, 0)), "")</f>
        <v/>
      </c>
      <c r="E75" s="166" t="str">
        <f t="array" ref="E75">IFERROR(INDEX('Номенклатура_BAF'!$D$2:$D200, MATCH($B75, 'Номенклатура_BAF'!$B$2:$B200, 0)), "")</f>
        <v/>
      </c>
      <c r="F75" s="178"/>
      <c r="G75" s="205">
        <f t="shared" si="57"/>
        <v>0</v>
      </c>
      <c r="H75" s="180"/>
      <c r="I75" s="177"/>
      <c r="J75" s="181">
        <f t="shared" si="58"/>
        <v>0</v>
      </c>
      <c r="K75" s="171">
        <f t="shared" si="59"/>
        <v>0</v>
      </c>
      <c r="L75" s="182">
        <f t="shared" si="60"/>
        <v>0</v>
      </c>
      <c r="M75" s="220" t="str">
        <f t="array" ref="M75">IFERROR(IF(ISNUMBER(INDEX('Номенклатура_BAF'!$F$2:$F200, MATCH($B75, 'Номенклатура_BAF'!$B$2:$B200, 0))), 
    INDEX('Номенклатура_BAF'!$F$2:$F200, MATCH($B75, 'Номенклатура_BAF'!$B$2:$B200, 0)) * 'Копія аркуша КОШТОРИС'!C75, 
    ""), 
"")</f>
        <v/>
      </c>
      <c r="N75" s="174" t="str">
        <f t="array" ref="N75">IFERROR(INDEX('Номенклатура_BAF'!$G$2:$G200, MATCH($B75, 'Номенклатура_BAF'!$B$2:$B200, 0)), "")</f>
        <v/>
      </c>
      <c r="O75" s="200"/>
      <c r="P75" s="200"/>
      <c r="Q75" s="200"/>
      <c r="R75" s="200"/>
      <c r="S75" s="200"/>
      <c r="T75" s="162"/>
    </row>
    <row r="76" ht="15.0" customHeight="1">
      <c r="A76" s="175" t="s">
        <v>181</v>
      </c>
      <c r="B76" s="176"/>
      <c r="C76" s="177"/>
      <c r="D76" s="165" t="str">
        <f t="array" ref="D76">IFERROR(INDEX('Номенклатура_BAF'!$C$2:$C200, MATCH($B76, 'Номенклатура_BAF'!$B$2:$B200, 0)), "")</f>
        <v/>
      </c>
      <c r="E76" s="166" t="str">
        <f t="array" ref="E76">IFERROR(INDEX('Номенклатура_BAF'!$D$2:$D200, MATCH($B76, 'Номенклатура_BAF'!$B$2:$B200, 0)), "")</f>
        <v/>
      </c>
      <c r="F76" s="178"/>
      <c r="G76" s="205">
        <f t="shared" si="57"/>
        <v>0</v>
      </c>
      <c r="H76" s="180"/>
      <c r="I76" s="177"/>
      <c r="J76" s="181">
        <f t="shared" si="58"/>
        <v>0</v>
      </c>
      <c r="K76" s="171">
        <f t="shared" si="59"/>
        <v>0</v>
      </c>
      <c r="L76" s="182">
        <f t="shared" si="60"/>
        <v>0</v>
      </c>
      <c r="M76" s="220" t="str">
        <f t="array" ref="M76">IFERROR(IF(ISNUMBER(INDEX('Номенклатура_BAF'!$F$2:$F200, MATCH($B76, 'Номенклатура_BAF'!$B$2:$B200, 0))), 
    INDEX('Номенклатура_BAF'!$F$2:$F200, MATCH($B76, 'Номенклатура_BAF'!$B$2:$B200, 0)) * 'Копія аркуша КОШТОРИС'!C76, 
    ""), 
"")</f>
        <v/>
      </c>
      <c r="N76" s="174" t="str">
        <f t="array" ref="N76">IFERROR(INDEX('Номенклатура_BAF'!$G$2:$G200, MATCH($B76, 'Номенклатура_BAF'!$B$2:$B200, 0)), "")</f>
        <v/>
      </c>
      <c r="O76" s="200"/>
      <c r="P76" s="200"/>
      <c r="Q76" s="200"/>
      <c r="R76" s="200"/>
      <c r="S76" s="200"/>
      <c r="T76" s="162"/>
    </row>
    <row r="77" ht="15.0" customHeight="1">
      <c r="A77" s="175" t="s">
        <v>182</v>
      </c>
      <c r="B77" s="176"/>
      <c r="C77" s="177"/>
      <c r="D77" s="165" t="str">
        <f t="array" ref="D77">IFERROR(INDEX('Номенклатура_BAF'!$C$2:$C200, MATCH($B77, 'Номенклатура_BAF'!$B$2:$B200, 0)), "")</f>
        <v/>
      </c>
      <c r="E77" s="166" t="str">
        <f t="array" ref="E77">IFERROR(INDEX('Номенклатура_BAF'!$D$2:$D200, MATCH($B77, 'Номенклатура_BAF'!$B$2:$B200, 0)), "")</f>
        <v/>
      </c>
      <c r="F77" s="178"/>
      <c r="G77" s="205">
        <f t="shared" si="57"/>
        <v>0</v>
      </c>
      <c r="H77" s="180"/>
      <c r="I77" s="177"/>
      <c r="J77" s="181">
        <f t="shared" si="58"/>
        <v>0</v>
      </c>
      <c r="K77" s="171">
        <f t="shared" si="59"/>
        <v>0</v>
      </c>
      <c r="L77" s="182">
        <f t="shared" si="60"/>
        <v>0</v>
      </c>
      <c r="M77" s="220" t="str">
        <f t="array" ref="M77">IFERROR(IF(ISNUMBER(INDEX('Номенклатура_BAF'!$F$2:$F200, MATCH($B77, 'Номенклатура_BAF'!$B$2:$B200, 0))), 
    INDEX('Номенклатура_BAF'!$F$2:$F200, MATCH($B77, 'Номенклатура_BAF'!$B$2:$B200, 0)) * 'Копія аркуша КОШТОРИС'!C77, 
    ""), 
"")</f>
        <v/>
      </c>
      <c r="N77" s="174" t="str">
        <f t="array" ref="N77">IFERROR(INDEX('Номенклатура_BAF'!$G$2:$G200, MATCH($B77, 'Номенклатура_BAF'!$B$2:$B200, 0)), "")</f>
        <v/>
      </c>
      <c r="O77" s="200"/>
      <c r="P77" s="200"/>
      <c r="Q77" s="200"/>
      <c r="R77" s="200"/>
      <c r="S77" s="200"/>
      <c r="T77" s="162"/>
    </row>
    <row r="78" ht="15.0" customHeight="1">
      <c r="A78" s="183" t="s">
        <v>183</v>
      </c>
      <c r="B78" s="184" t="s">
        <v>184</v>
      </c>
      <c r="C78" s="185">
        <v>1.0</v>
      </c>
      <c r="D78" s="165" t="str">
        <f t="array" ref="D78">IFERROR(INDEX('Номенклатура_BAF'!$C$2:$C200, MATCH($B78, 'Номенклатура_BAF'!$B$2:$B200, 0)), "")</f>
        <v/>
      </c>
      <c r="E78" s="166" t="str">
        <f t="array" ref="E78">IFERROR(INDEX('Номенклатура_BAF'!$D$2:$D200, MATCH($B78, 'Номенклатура_BAF'!$B$2:$B200, 0)), "")</f>
        <v/>
      </c>
      <c r="F78" s="186"/>
      <c r="G78" s="197">
        <f t="shared" si="57"/>
        <v>0</v>
      </c>
      <c r="H78" s="188"/>
      <c r="I78" s="185"/>
      <c r="J78" s="189">
        <f t="shared" si="58"/>
        <v>0</v>
      </c>
      <c r="K78" s="171">
        <f t="shared" si="59"/>
        <v>1</v>
      </c>
      <c r="L78" s="190">
        <f t="shared" si="60"/>
        <v>0</v>
      </c>
      <c r="M78" s="220" t="str">
        <f t="array" ref="M78">IFERROR(IF(ISNUMBER(INDEX('Номенклатура_BAF'!$F$2:$F200, MATCH($B78, 'Номенклатура_BAF'!$B$2:$B200, 0))), 
    INDEX('Номенклатура_BAF'!$F$2:$F200, MATCH($B78, 'Номенклатура_BAF'!$B$2:$B200, 0)) * 'Копія аркуша КОШТОРИС'!C78, 
    ""), 
"")</f>
        <v/>
      </c>
      <c r="N78" s="208" t="str">
        <f t="array" ref="N78">IFERROR(INDEX('Номенклатура_BAF'!$G$2:$G200, MATCH($B78, 'Номенклатура_BAF'!$B$2:$B200, 0)), "")</f>
        <v/>
      </c>
      <c r="O78" s="200"/>
      <c r="P78" s="200"/>
      <c r="Q78" s="200"/>
      <c r="R78" s="200"/>
      <c r="S78" s="200"/>
      <c r="T78" s="162"/>
    </row>
    <row r="79" ht="18.75" customHeight="1">
      <c r="A79" s="225" t="s">
        <v>185</v>
      </c>
      <c r="B79" s="226" t="s">
        <v>186</v>
      </c>
      <c r="C79" s="226"/>
      <c r="D79" s="226"/>
      <c r="E79" s="226"/>
      <c r="F79" s="226"/>
      <c r="G79" s="227">
        <f t="array" ref="G79">SUM(OFFSET(INDIRECT(ADDRESS(ROW(), COLUMN())), 1, 0, MATCH("АВР (автоматичне ввімкнення резерву)", $B:$B, 0) - ROW() - 1))</f>
        <v>0</v>
      </c>
      <c r="H79" s="228"/>
      <c r="I79" s="226"/>
      <c r="J79" s="229">
        <f t="shared" ref="J79:L79" si="61">SUM(OFFSET(INDIRECT(ADDRESS(ROW(), COLUMN())), 1, 0, MATCH("АВР (автоматичне ввімкнення резерву)", $B:$B, 0) - ROW() - 1))</f>
        <v>0</v>
      </c>
      <c r="K79" s="222">
        <f t="shared" si="61"/>
        <v>1</v>
      </c>
      <c r="L79" s="223">
        <f t="shared" si="61"/>
        <v>0</v>
      </c>
      <c r="M79" s="224">
        <f t="array" ref="M79">SUM(
INDIRECT("M" &amp; MATCH("Захист AC (основне)", B:B, 0) + 1):INDIRECT("M" &amp; MATCH("Щит AC", B:B, 0) - 1),
INDIRECT("M" &amp; MATCH("АВР (автоматичне ввімкнення резерву)", B:B, 0) + 1):INDIRECT("M" &amp; MATCH("Стійка для АКБ", B:B, 0) - 1)
)</f>
        <v>0</v>
      </c>
      <c r="N79" s="174" t="str">
        <f t="array" ref="N79">IFERROR(INDEX('Номенклатура_BAF'!$G$2:$G200, MATCH($B79, 'Номенклатура_BAF'!$B$2:$B200, 0)), "")</f>
        <v/>
      </c>
      <c r="O79" s="200"/>
      <c r="P79" s="200"/>
      <c r="Q79" s="200"/>
      <c r="R79" s="200"/>
      <c r="S79" s="200"/>
      <c r="T79" s="162"/>
    </row>
    <row r="80" ht="15.0" customHeight="1">
      <c r="A80" s="163" t="s">
        <v>187</v>
      </c>
      <c r="B80" s="164" t="s">
        <v>188</v>
      </c>
      <c r="C80" s="165">
        <v>1.0</v>
      </c>
      <c r="D80" s="165" t="str">
        <f t="array" ref="D80">IFERROR(INDEX('Номенклатура_BAF'!$C$2:$C200, MATCH($B80, 'Номенклатура_BAF'!$B$2:$B200, 0)), "")</f>
        <v/>
      </c>
      <c r="E80" s="166" t="str">
        <f t="array" ref="E80">IFERROR(INDEX('Номенклатура_BAF'!$D$2:$D200, MATCH($B80, 'Номенклатура_BAF'!$B$2:$B200, 0)), "")</f>
        <v/>
      </c>
      <c r="F80" s="167"/>
      <c r="G80" s="203">
        <f t="shared" ref="G80:G84" si="62">$E80*$C80</f>
        <v>0</v>
      </c>
      <c r="H80" s="169"/>
      <c r="I80" s="165"/>
      <c r="J80" s="170">
        <f t="shared" ref="J80:J84" si="63">E80*(I80+H80)</f>
        <v>0</v>
      </c>
      <c r="K80" s="171">
        <f t="shared" ref="K80:K84" si="64">C80-(H80+I80)</f>
        <v>1</v>
      </c>
      <c r="L80" s="172">
        <f t="shared" ref="L80:L84" si="65">G80-J80</f>
        <v>0</v>
      </c>
      <c r="M80" s="173"/>
      <c r="N80" s="174" t="str">
        <f t="array" ref="N80">IFERROR(INDEX('Номенклатура_BAF'!$G$2:$G200, MATCH($B80, 'Номенклатура_BAF'!$B$2:$B200, 0)), "")</f>
        <v/>
      </c>
      <c r="O80" s="200"/>
      <c r="P80" s="200"/>
      <c r="Q80" s="200"/>
      <c r="R80" s="200"/>
      <c r="S80" s="200"/>
      <c r="T80" s="162"/>
    </row>
    <row r="81" ht="15.0" customHeight="1">
      <c r="A81" s="183" t="s">
        <v>189</v>
      </c>
      <c r="B81" s="184"/>
      <c r="C81" s="185"/>
      <c r="D81" s="165" t="str">
        <f t="array" ref="D81">IFERROR(INDEX('Номенклатура_BAF'!$C$2:$C200, MATCH($B81, 'Номенклатура_BAF'!$B$2:$B200, 0)), "")</f>
        <v/>
      </c>
      <c r="E81" s="166" t="str">
        <f t="array" ref="E81">IFERROR(INDEX('Номенклатура_BAF'!$D$2:$D200, MATCH($B81, 'Номенклатура_BAF'!$B$2:$B200, 0)), "")</f>
        <v/>
      </c>
      <c r="F81" s="186"/>
      <c r="G81" s="197">
        <f t="shared" si="62"/>
        <v>0</v>
      </c>
      <c r="H81" s="188"/>
      <c r="I81" s="185"/>
      <c r="J81" s="189">
        <f t="shared" si="63"/>
        <v>0</v>
      </c>
      <c r="K81" s="171">
        <f t="shared" si="64"/>
        <v>0</v>
      </c>
      <c r="L81" s="190">
        <f t="shared" si="65"/>
        <v>0</v>
      </c>
      <c r="M81" s="173"/>
      <c r="N81" s="174" t="str">
        <f t="array" ref="N81">IFERROR(INDEX('Номенклатура_BAF'!$G$2:$G200, MATCH($B81, 'Номенклатура_BAF'!$B$2:$B200, 0)), "")</f>
        <v/>
      </c>
      <c r="O81" s="200"/>
      <c r="P81" s="200"/>
      <c r="Q81" s="200"/>
      <c r="R81" s="200"/>
      <c r="S81" s="200"/>
      <c r="T81" s="162"/>
    </row>
    <row r="82" ht="15.0" customHeight="1">
      <c r="A82" s="183" t="s">
        <v>190</v>
      </c>
      <c r="B82" s="184"/>
      <c r="C82" s="185"/>
      <c r="D82" s="165" t="str">
        <f t="array" ref="D82">IFERROR(INDEX('Номенклатура_BAF'!$C$2:$C200, MATCH($B82, 'Номенклатура_BAF'!$B$2:$B200, 0)), "")</f>
        <v/>
      </c>
      <c r="E82" s="166" t="str">
        <f t="array" ref="E82">IFERROR(INDEX('Номенклатура_BAF'!$D$2:$D200, MATCH($B82, 'Номенклатура_BAF'!$B$2:$B200, 0)), "")</f>
        <v/>
      </c>
      <c r="F82" s="186"/>
      <c r="G82" s="197">
        <f t="shared" si="62"/>
        <v>0</v>
      </c>
      <c r="H82" s="188"/>
      <c r="I82" s="185"/>
      <c r="J82" s="189">
        <f t="shared" si="63"/>
        <v>0</v>
      </c>
      <c r="K82" s="171">
        <f t="shared" si="64"/>
        <v>0</v>
      </c>
      <c r="L82" s="190">
        <f t="shared" si="65"/>
        <v>0</v>
      </c>
      <c r="M82" s="173"/>
      <c r="N82" s="174" t="str">
        <f t="array" ref="N82">IFERROR(INDEX('Номенклатура_BAF'!$G$2:$G200, MATCH($B82, 'Номенклатура_BAF'!$B$2:$B200, 0)), "")</f>
        <v/>
      </c>
      <c r="O82" s="200"/>
      <c r="P82" s="200"/>
      <c r="Q82" s="200"/>
      <c r="R82" s="200"/>
      <c r="S82" s="200"/>
      <c r="T82" s="162"/>
    </row>
    <row r="83" ht="15.0" customHeight="1">
      <c r="A83" s="183" t="s">
        <v>191</v>
      </c>
      <c r="B83" s="184"/>
      <c r="C83" s="185"/>
      <c r="D83" s="165" t="str">
        <f t="array" ref="D83">IFERROR(INDEX('Номенклатура_BAF'!$C$2:$C200, MATCH($B83, 'Номенклатура_BAF'!$B$2:$B200, 0)), "")</f>
        <v/>
      </c>
      <c r="E83" s="166" t="str">
        <f t="array" ref="E83">IFERROR(INDEX('Номенклатура_BAF'!$D$2:$D200, MATCH($B83, 'Номенклатура_BAF'!$B$2:$B200, 0)), "")</f>
        <v/>
      </c>
      <c r="F83" s="186"/>
      <c r="G83" s="197">
        <f t="shared" si="62"/>
        <v>0</v>
      </c>
      <c r="H83" s="188"/>
      <c r="I83" s="185"/>
      <c r="J83" s="189">
        <f t="shared" si="63"/>
        <v>0</v>
      </c>
      <c r="K83" s="171">
        <f t="shared" si="64"/>
        <v>0</v>
      </c>
      <c r="L83" s="190">
        <f t="shared" si="65"/>
        <v>0</v>
      </c>
      <c r="M83" s="173"/>
      <c r="N83" s="174" t="str">
        <f t="array" ref="N83">IFERROR(INDEX('Номенклатура_BAF'!$G$2:$G200, MATCH($B83, 'Номенклатура_BAF'!$B$2:$B200, 0)), "")</f>
        <v/>
      </c>
      <c r="O83" s="200"/>
      <c r="P83" s="200"/>
      <c r="Q83" s="200"/>
      <c r="R83" s="200"/>
      <c r="S83" s="200"/>
      <c r="T83" s="162"/>
    </row>
    <row r="84" ht="15.0" customHeight="1">
      <c r="A84" s="183" t="s">
        <v>192</v>
      </c>
      <c r="B84" s="184"/>
      <c r="C84" s="185"/>
      <c r="D84" s="165" t="str">
        <f t="array" ref="D84">IFERROR(INDEX('Номенклатура_BAF'!$C$2:$C200, MATCH($B84, 'Номенклатура_BAF'!$B$2:$B200, 0)), "")</f>
        <v/>
      </c>
      <c r="E84" s="166" t="str">
        <f t="array" ref="E84">IFERROR(INDEX('Номенклатура_BAF'!$D$2:$D200, MATCH($B84, 'Номенклатура_BAF'!$B$2:$B200, 0)), "")</f>
        <v/>
      </c>
      <c r="F84" s="186"/>
      <c r="G84" s="197">
        <f t="shared" si="62"/>
        <v>0</v>
      </c>
      <c r="H84" s="188"/>
      <c r="I84" s="185"/>
      <c r="J84" s="189">
        <f t="shared" si="63"/>
        <v>0</v>
      </c>
      <c r="K84" s="171">
        <f t="shared" si="64"/>
        <v>0</v>
      </c>
      <c r="L84" s="190">
        <f t="shared" si="65"/>
        <v>0</v>
      </c>
      <c r="M84" s="173"/>
      <c r="N84" s="174" t="str">
        <f t="array" ref="N84">IFERROR(INDEX('Номенклатура_BAF'!$G$2:$G200, MATCH($B84, 'Номенклатура_BAF'!$B$2:$B200, 0)), "")</f>
        <v/>
      </c>
      <c r="O84" s="200"/>
      <c r="P84" s="200"/>
      <c r="Q84" s="200"/>
      <c r="R84" s="200"/>
      <c r="S84" s="200"/>
      <c r="T84" s="162"/>
    </row>
    <row r="85" ht="18.75" customHeight="1">
      <c r="A85" s="230" t="s">
        <v>193</v>
      </c>
      <c r="B85" s="231" t="s">
        <v>14</v>
      </c>
      <c r="C85" s="231"/>
      <c r="D85" s="231"/>
      <c r="E85" s="231"/>
      <c r="F85" s="231"/>
      <c r="G85" s="232">
        <f t="array" ref="G85">SUM(OFFSET(INDIRECT(ADDRESS(ROW(), COLUMN())), 1, 0, MATCH("Стійка для АКБ", $B:$B, 0) - ROW() - 1))</f>
        <v>0</v>
      </c>
      <c r="H85" s="233"/>
      <c r="I85" s="231"/>
      <c r="J85" s="234">
        <f t="shared" ref="J85:L85" si="66">SUM(OFFSET(INDIRECT(ADDRESS(ROW(), COLUMN())), 1, 0, MATCH("Стійка для АКБ", $B:$B, 0) - ROW() - 1))</f>
        <v>0</v>
      </c>
      <c r="K85" s="159">
        <f t="shared" si="66"/>
        <v>3</v>
      </c>
      <c r="L85" s="160">
        <f t="shared" si="66"/>
        <v>0</v>
      </c>
      <c r="M85" s="235">
        <f t="array" ref="M85">SUM(INDIRECT("M" &amp; MATCH("АВР (автоматичне ввімкнення резерву)", B:B, 0) + 1):INDIRECT("M" &amp; MATCH("Стійка для АКБ", B:B, 0) - 1))</f>
        <v>0</v>
      </c>
      <c r="N85" s="174" t="str">
        <f t="array" ref="N85">IFERROR(INDEX('Номенклатура_BAF'!$G$2:$G200, MATCH($B85, 'Номенклатура_BAF'!$B$2:$B200, 0)), "")</f>
        <v/>
      </c>
      <c r="O85" s="200"/>
      <c r="P85" s="200"/>
      <c r="Q85" s="200"/>
      <c r="R85" s="200"/>
      <c r="S85" s="200"/>
      <c r="T85" s="162"/>
    </row>
    <row r="86" ht="15.0" customHeight="1">
      <c r="A86" s="163" t="s">
        <v>194</v>
      </c>
      <c r="B86" s="164" t="s">
        <v>195</v>
      </c>
      <c r="C86" s="165">
        <v>2.0</v>
      </c>
      <c r="D86" s="165" t="str">
        <f t="array" ref="D86">IFERROR(INDEX('Номенклатура_BAF'!$C$2:$C200, MATCH($B86, 'Номенклатура_BAF'!$B$2:$B200, 0)), "")</f>
        <v/>
      </c>
      <c r="E86" s="166" t="str">
        <f t="array" ref="E86">IFERROR(INDEX('Номенклатура_BAF'!$D$2:$D200, MATCH($B86, 'Номенклатура_BAF'!$B$2:$B200, 0)), "")</f>
        <v/>
      </c>
      <c r="F86" s="167"/>
      <c r="G86" s="197">
        <f t="shared" ref="G86:G95" si="67">$E86*$C86</f>
        <v>0</v>
      </c>
      <c r="H86" s="169"/>
      <c r="I86" s="165"/>
      <c r="J86" s="170">
        <f t="shared" ref="J86:J95" si="68">E86*(I86+H86)</f>
        <v>0</v>
      </c>
      <c r="K86" s="171">
        <f t="shared" ref="K86:K95" si="69">C86-(H86+I86)</f>
        <v>2</v>
      </c>
      <c r="L86" s="172">
        <f t="shared" ref="L86:L95" si="70">G86-J86</f>
        <v>0</v>
      </c>
      <c r="M86" s="236" t="str">
        <f t="array" ref="M86">IFERROR(IF(ISNUMBER(INDEX('Номенклатура_BAF'!$F$2:$F200, MATCH($B86, 'Номенклатура_BAF'!$B$2:$B200, 0))), 
    INDEX('Номенклатура_BAF'!$F$2:$F200, MATCH($B86, 'Номенклатура_BAF'!$B$2:$B200, 0)) * 'Копія аркуша КОШТОРИС'!C86, 
    ""), 
"")</f>
        <v/>
      </c>
      <c r="N86" s="208" t="str">
        <f t="array" ref="N86">IFERROR(INDEX('Номенклатура_BAF'!$G$2:$G200, MATCH($B86, 'Номенклатура_BAF'!$B$2:$B200, 0)), "")</f>
        <v/>
      </c>
      <c r="O86" s="200"/>
      <c r="P86" s="200"/>
      <c r="Q86" s="200"/>
      <c r="R86" s="200"/>
      <c r="S86" s="200"/>
      <c r="T86" s="162"/>
    </row>
    <row r="87" ht="15.0" customHeight="1">
      <c r="A87" s="175" t="s">
        <v>196</v>
      </c>
      <c r="B87" s="176"/>
      <c r="C87" s="177"/>
      <c r="D87" s="165" t="str">
        <f t="array" ref="D87">IFERROR(INDEX('Номенклатура_BAF'!$C$2:$C200, MATCH($B87, 'Номенклатура_BAF'!$B$2:$B200, 0)), "")</f>
        <v/>
      </c>
      <c r="E87" s="166" t="str">
        <f t="array" ref="E87">IFERROR(INDEX('Номенклатура_BAF'!$D$2:$D200, MATCH($B87, 'Номенклатура_BAF'!$B$2:$B200, 0)), "")</f>
        <v/>
      </c>
      <c r="F87" s="178"/>
      <c r="G87" s="197">
        <f t="shared" si="67"/>
        <v>0</v>
      </c>
      <c r="H87" s="180"/>
      <c r="I87" s="177"/>
      <c r="J87" s="181">
        <f t="shared" si="68"/>
        <v>0</v>
      </c>
      <c r="K87" s="171">
        <f t="shared" si="69"/>
        <v>0</v>
      </c>
      <c r="L87" s="182">
        <f t="shared" si="70"/>
        <v>0</v>
      </c>
      <c r="M87" s="236" t="str">
        <f t="array" ref="M87">IFERROR(IF(ISNUMBER(INDEX('Номенклатура_BAF'!$F$2:$F200, MATCH($B87, 'Номенклатура_BAF'!$B$2:$B200, 0))), 
    INDEX('Номенклатура_BAF'!$F$2:$F200, MATCH($B87, 'Номенклатура_BAF'!$B$2:$B200, 0)) * 'Копія аркуша КОШТОРИС'!C87, 
    ""), 
"")</f>
        <v/>
      </c>
      <c r="N87" s="174" t="str">
        <f t="array" ref="N87">IFERROR(INDEX('Номенклатура_BAF'!$G$2:$G200, MATCH($B87, 'Номенклатура_BAF'!$B$2:$B200, 0)), "")</f>
        <v/>
      </c>
      <c r="O87" s="200"/>
      <c r="P87" s="200"/>
      <c r="Q87" s="200"/>
      <c r="R87" s="200"/>
      <c r="S87" s="200"/>
      <c r="T87" s="162"/>
    </row>
    <row r="88" ht="15.0" customHeight="1">
      <c r="A88" s="175" t="s">
        <v>197</v>
      </c>
      <c r="B88" s="176"/>
      <c r="C88" s="177"/>
      <c r="D88" s="165" t="str">
        <f t="array" ref="D88">IFERROR(INDEX('Номенклатура_BAF'!$C$2:$C200, MATCH($B88, 'Номенклатура_BAF'!$B$2:$B200, 0)), "")</f>
        <v/>
      </c>
      <c r="E88" s="166" t="str">
        <f t="array" ref="E88">IFERROR(INDEX('Номенклатура_BAF'!$D$2:$D200, MATCH($B88, 'Номенклатура_BAF'!$B$2:$B200, 0)), "")</f>
        <v/>
      </c>
      <c r="F88" s="178"/>
      <c r="G88" s="197">
        <f t="shared" si="67"/>
        <v>0</v>
      </c>
      <c r="H88" s="180"/>
      <c r="I88" s="177"/>
      <c r="J88" s="181">
        <f t="shared" si="68"/>
        <v>0</v>
      </c>
      <c r="K88" s="171">
        <f t="shared" si="69"/>
        <v>0</v>
      </c>
      <c r="L88" s="182">
        <f t="shared" si="70"/>
        <v>0</v>
      </c>
      <c r="M88" s="236" t="str">
        <f t="array" ref="M88">IFERROR(IF(ISNUMBER(INDEX('Номенклатура_BAF'!$F$2:$F200, MATCH($B88, 'Номенклатура_BAF'!$B$2:$B200, 0))), 
    INDEX('Номенклатура_BAF'!$F$2:$F200, MATCH($B88, 'Номенклатура_BAF'!$B$2:$B200, 0)) * 'Копія аркуша КОШТОРИС'!C88, 
    ""), 
"")</f>
        <v/>
      </c>
      <c r="N88" s="174" t="str">
        <f t="array" ref="N88">IFERROR(INDEX('Номенклатура_BAF'!$G$2:$G200, MATCH($B88, 'Номенклатура_BAF'!$B$2:$B200, 0)), "")</f>
        <v/>
      </c>
      <c r="O88" s="200"/>
      <c r="P88" s="200"/>
      <c r="Q88" s="200"/>
      <c r="R88" s="200"/>
      <c r="S88" s="200"/>
      <c r="T88" s="162"/>
    </row>
    <row r="89" ht="15.0" customHeight="1">
      <c r="A89" s="175" t="s">
        <v>198</v>
      </c>
      <c r="B89" s="176"/>
      <c r="C89" s="177"/>
      <c r="D89" s="165" t="str">
        <f t="array" ref="D89">IFERROR(INDEX('Номенклатура_BAF'!$C$2:$C200, MATCH($B89, 'Номенклатура_BAF'!$B$2:$B200, 0)), "")</f>
        <v/>
      </c>
      <c r="E89" s="166" t="str">
        <f t="array" ref="E89">IFERROR(INDEX('Номенклатура_BAF'!$D$2:$D200, MATCH($B89, 'Номенклатура_BAF'!$B$2:$B200, 0)), "")</f>
        <v/>
      </c>
      <c r="F89" s="178"/>
      <c r="G89" s="197">
        <f t="shared" si="67"/>
        <v>0</v>
      </c>
      <c r="H89" s="180"/>
      <c r="I89" s="177"/>
      <c r="J89" s="181">
        <f t="shared" si="68"/>
        <v>0</v>
      </c>
      <c r="K89" s="171">
        <f t="shared" si="69"/>
        <v>0</v>
      </c>
      <c r="L89" s="182">
        <f t="shared" si="70"/>
        <v>0</v>
      </c>
      <c r="M89" s="236" t="str">
        <f t="array" ref="M89">IFERROR(IF(ISNUMBER(INDEX('Номенклатура_BAF'!$F$2:$F200, MATCH($B89, 'Номенклатура_BAF'!$B$2:$B200, 0))), 
    INDEX('Номенклатура_BAF'!$F$2:$F200, MATCH($B89, 'Номенклатура_BAF'!$B$2:$B200, 0)) * 'Копія аркуша КОШТОРИС'!C89, 
    ""), 
"")</f>
        <v/>
      </c>
      <c r="N89" s="174" t="str">
        <f t="array" ref="N89">IFERROR(INDEX('Номенклатура_BAF'!$G$2:$G200, MATCH($B89, 'Номенклатура_BAF'!$B$2:$B200, 0)), "")</f>
        <v/>
      </c>
      <c r="O89" s="200"/>
      <c r="P89" s="200"/>
      <c r="Q89" s="200"/>
      <c r="R89" s="200"/>
      <c r="S89" s="200"/>
      <c r="T89" s="162"/>
    </row>
    <row r="90" ht="15.0" customHeight="1">
      <c r="A90" s="175" t="s">
        <v>199</v>
      </c>
      <c r="B90" s="176"/>
      <c r="C90" s="177"/>
      <c r="D90" s="165" t="str">
        <f t="array" ref="D90">IFERROR(INDEX('Номенклатура_BAF'!$C$2:$C200, MATCH($B90, 'Номенклатура_BAF'!$B$2:$B200, 0)), "")</f>
        <v/>
      </c>
      <c r="E90" s="166" t="str">
        <f t="array" ref="E90">IFERROR(INDEX('Номенклатура_BAF'!$D$2:$D200, MATCH($B90, 'Номенклатура_BAF'!$B$2:$B200, 0)), "")</f>
        <v/>
      </c>
      <c r="F90" s="178"/>
      <c r="G90" s="197">
        <f t="shared" si="67"/>
        <v>0</v>
      </c>
      <c r="H90" s="180"/>
      <c r="I90" s="177"/>
      <c r="J90" s="181">
        <f t="shared" si="68"/>
        <v>0</v>
      </c>
      <c r="K90" s="171">
        <f t="shared" si="69"/>
        <v>0</v>
      </c>
      <c r="L90" s="182">
        <f t="shared" si="70"/>
        <v>0</v>
      </c>
      <c r="M90" s="236" t="str">
        <f t="array" ref="M90">IFERROR(IF(ISNUMBER(INDEX('Номенклатура_BAF'!$F$2:$F200, MATCH($B90, 'Номенклатура_BAF'!$B$2:$B200, 0))), 
    INDEX('Номенклатура_BAF'!$F$2:$F200, MATCH($B90, 'Номенклатура_BAF'!$B$2:$B200, 0)) * 'Копія аркуша КОШТОРИС'!C90, 
    ""), 
"")</f>
        <v/>
      </c>
      <c r="N90" s="174" t="str">
        <f t="array" ref="N90">IFERROR(INDEX('Номенклатура_BAF'!$G$2:$G200, MATCH($B90, 'Номенклатура_BAF'!$B$2:$B200, 0)), "")</f>
        <v/>
      </c>
      <c r="O90" s="200"/>
      <c r="P90" s="200"/>
      <c r="Q90" s="200"/>
      <c r="R90" s="200"/>
      <c r="S90" s="200"/>
      <c r="T90" s="162"/>
    </row>
    <row r="91" ht="15.0" customHeight="1">
      <c r="A91" s="183" t="s">
        <v>200</v>
      </c>
      <c r="B91" s="184"/>
      <c r="C91" s="185"/>
      <c r="D91" s="165" t="str">
        <f t="array" ref="D91">IFERROR(INDEX('Номенклатура_BAF'!$C$2:$C200, MATCH($B91, 'Номенклатура_BAF'!$B$2:$B200, 0)), "")</f>
        <v/>
      </c>
      <c r="E91" s="166" t="str">
        <f t="array" ref="E91">IFERROR(INDEX('Номенклатура_BAF'!$D$2:$D200, MATCH($B91, 'Номенклатура_BAF'!$B$2:$B200, 0)), "")</f>
        <v/>
      </c>
      <c r="F91" s="186"/>
      <c r="G91" s="197">
        <f t="shared" si="67"/>
        <v>0</v>
      </c>
      <c r="H91" s="188"/>
      <c r="I91" s="185"/>
      <c r="J91" s="189">
        <f t="shared" si="68"/>
        <v>0</v>
      </c>
      <c r="K91" s="171">
        <f t="shared" si="69"/>
        <v>0</v>
      </c>
      <c r="L91" s="190">
        <f t="shared" si="70"/>
        <v>0</v>
      </c>
      <c r="M91" s="236" t="str">
        <f t="array" ref="M91">IFERROR(IF(ISNUMBER(INDEX('Номенклатура_BAF'!$F$2:$F200, MATCH($B91, 'Номенклатура_BAF'!$B$2:$B200, 0))), 
    INDEX('Номенклатура_BAF'!$F$2:$F200, MATCH($B91, 'Номенклатура_BAF'!$B$2:$B200, 0)) * 'Копія аркуша КОШТОРИС'!C91, 
    ""), 
"")</f>
        <v/>
      </c>
      <c r="N91" s="174" t="str">
        <f t="array" ref="N91">IFERROR(INDEX('Номенклатура_BAF'!$G$2:$G200, MATCH($B91, 'Номенклатура_BAF'!$B$2:$B200, 0)), "")</f>
        <v/>
      </c>
      <c r="O91" s="200"/>
      <c r="P91" s="200"/>
      <c r="Q91" s="200"/>
      <c r="R91" s="200"/>
      <c r="S91" s="200"/>
      <c r="T91" s="162"/>
    </row>
    <row r="92" ht="15.0" customHeight="1">
      <c r="A92" s="183" t="s">
        <v>201</v>
      </c>
      <c r="B92" s="184"/>
      <c r="C92" s="185"/>
      <c r="D92" s="165" t="str">
        <f t="array" ref="D92">IFERROR(INDEX('Номенклатура_BAF'!$C$2:$C200, MATCH($B92, 'Номенклатура_BAF'!$B$2:$B200, 0)), "")</f>
        <v/>
      </c>
      <c r="E92" s="166" t="str">
        <f t="array" ref="E92">IFERROR(INDEX('Номенклатура_BAF'!$D$2:$D200, MATCH($B92, 'Номенклатура_BAF'!$B$2:$B200, 0)), "")</f>
        <v/>
      </c>
      <c r="F92" s="186"/>
      <c r="G92" s="197">
        <f t="shared" si="67"/>
        <v>0</v>
      </c>
      <c r="H92" s="188"/>
      <c r="I92" s="185"/>
      <c r="J92" s="189">
        <f t="shared" si="68"/>
        <v>0</v>
      </c>
      <c r="K92" s="171">
        <f t="shared" si="69"/>
        <v>0</v>
      </c>
      <c r="L92" s="190">
        <f t="shared" si="70"/>
        <v>0</v>
      </c>
      <c r="M92" s="236" t="str">
        <f t="array" ref="M92">IFERROR(IF(ISNUMBER(INDEX('Номенклатура_BAF'!$F$2:$F200, MATCH($B92, 'Номенклатура_BAF'!$B$2:$B200, 0))), 
    INDEX('Номенклатура_BAF'!$F$2:$F200, MATCH($B92, 'Номенклатура_BAF'!$B$2:$B200, 0)) * 'Копія аркуша КОШТОРИС'!C92, 
    ""), 
"")</f>
        <v/>
      </c>
      <c r="N92" s="174" t="str">
        <f t="array" ref="N92">IFERROR(INDEX('Номенклатура_BAF'!$G$2:$G200, MATCH($B92, 'Номенклатура_BAF'!$B$2:$B200, 0)), "")</f>
        <v/>
      </c>
      <c r="O92" s="200"/>
      <c r="P92" s="200"/>
      <c r="Q92" s="200"/>
      <c r="R92" s="200"/>
      <c r="S92" s="200"/>
      <c r="T92" s="162"/>
    </row>
    <row r="93" ht="15.0" customHeight="1">
      <c r="A93" s="183" t="s">
        <v>202</v>
      </c>
      <c r="B93" s="184"/>
      <c r="C93" s="185"/>
      <c r="D93" s="165" t="str">
        <f t="array" ref="D93">IFERROR(INDEX('Номенклатура_BAF'!$C$2:$C200, MATCH($B93, 'Номенклатура_BAF'!$B$2:$B200, 0)), "")</f>
        <v/>
      </c>
      <c r="E93" s="166" t="str">
        <f t="array" ref="E93">IFERROR(INDEX('Номенклатура_BAF'!$D$2:$D200, MATCH($B93, 'Номенклатура_BAF'!$B$2:$B200, 0)), "")</f>
        <v/>
      </c>
      <c r="F93" s="186"/>
      <c r="G93" s="197">
        <f t="shared" si="67"/>
        <v>0</v>
      </c>
      <c r="H93" s="188"/>
      <c r="I93" s="185"/>
      <c r="J93" s="189">
        <f t="shared" si="68"/>
        <v>0</v>
      </c>
      <c r="K93" s="171">
        <f t="shared" si="69"/>
        <v>0</v>
      </c>
      <c r="L93" s="190">
        <f t="shared" si="70"/>
        <v>0</v>
      </c>
      <c r="M93" s="236" t="str">
        <f t="array" ref="M93">IFERROR(IF(ISNUMBER(INDEX('Номенклатура_BAF'!$F$2:$F200, MATCH($B93, 'Номенклатура_BAF'!$B$2:$B200, 0))), 
    INDEX('Номенклатура_BAF'!$F$2:$F200, MATCH($B93, 'Номенклатура_BAF'!$B$2:$B200, 0)) * 'Копія аркуша КОШТОРИС'!C93, 
    ""), 
"")</f>
        <v/>
      </c>
      <c r="N93" s="174" t="str">
        <f t="array" ref="N93">IFERROR(INDEX('Номенклатура_BAF'!$G$2:$G200, MATCH($B93, 'Номенклатура_BAF'!$B$2:$B200, 0)), "")</f>
        <v/>
      </c>
      <c r="O93" s="200"/>
      <c r="P93" s="200"/>
      <c r="Q93" s="200"/>
      <c r="R93" s="200"/>
      <c r="S93" s="200"/>
      <c r="T93" s="162"/>
    </row>
    <row r="94" ht="15.0" customHeight="1">
      <c r="A94" s="183" t="s">
        <v>203</v>
      </c>
      <c r="B94" s="184"/>
      <c r="C94" s="185"/>
      <c r="D94" s="165" t="str">
        <f t="array" ref="D94">IFERROR(INDEX('Номенклатура_BAF'!$C$2:$C200, MATCH($B94, 'Номенклатура_BAF'!$B$2:$B200, 0)), "")</f>
        <v/>
      </c>
      <c r="E94" s="166" t="str">
        <f t="array" ref="E94">IFERROR(INDEX('Номенклатура_BAF'!$D$2:$D200, MATCH($B94, 'Номенклатура_BAF'!$B$2:$B200, 0)), "")</f>
        <v/>
      </c>
      <c r="F94" s="186"/>
      <c r="G94" s="197">
        <f t="shared" si="67"/>
        <v>0</v>
      </c>
      <c r="H94" s="188"/>
      <c r="I94" s="185"/>
      <c r="J94" s="189">
        <f t="shared" si="68"/>
        <v>0</v>
      </c>
      <c r="K94" s="171">
        <f t="shared" si="69"/>
        <v>0</v>
      </c>
      <c r="L94" s="190">
        <f t="shared" si="70"/>
        <v>0</v>
      </c>
      <c r="M94" s="236" t="str">
        <f t="array" ref="M94">IFERROR(IF(ISNUMBER(INDEX('Номенклатура_BAF'!$F$2:$F200, MATCH($B94, 'Номенклатура_BAF'!$B$2:$B200, 0))), 
    INDEX('Номенклатура_BAF'!$F$2:$F200, MATCH($B94, 'Номенклатура_BAF'!$B$2:$B200, 0)) * 'Копія аркуша КОШТОРИС'!C94, 
    ""), 
"")</f>
        <v/>
      </c>
      <c r="N94" s="174" t="str">
        <f t="array" ref="N94">IFERROR(INDEX('Номенклатура_BAF'!$G$2:$G200, MATCH($B94, 'Номенклатура_BAF'!$B$2:$B200, 0)), "")</f>
        <v/>
      </c>
      <c r="O94" s="200"/>
      <c r="P94" s="200"/>
      <c r="Q94" s="200"/>
      <c r="R94" s="200"/>
      <c r="S94" s="200"/>
      <c r="T94" s="162"/>
    </row>
    <row r="95" ht="15.0" customHeight="1">
      <c r="A95" s="183" t="s">
        <v>204</v>
      </c>
      <c r="B95" s="184" t="s">
        <v>205</v>
      </c>
      <c r="C95" s="185">
        <v>1.0</v>
      </c>
      <c r="D95" s="165" t="str">
        <f t="array" ref="D95">IFERROR(INDEX('Номенклатура_BAF'!$C$2:$C200, MATCH($B95, 'Номенклатура_BAF'!$B$2:$B200, 0)), "")</f>
        <v/>
      </c>
      <c r="E95" s="166" t="str">
        <f t="array" ref="E95">IFERROR(INDEX('Номенклатура_BAF'!$D$2:$D200, MATCH($B95, 'Номенклатура_BAF'!$B$2:$B200, 0)), "")</f>
        <v/>
      </c>
      <c r="F95" s="186"/>
      <c r="G95" s="197">
        <f t="shared" si="67"/>
        <v>0</v>
      </c>
      <c r="H95" s="188"/>
      <c r="I95" s="185"/>
      <c r="J95" s="189">
        <f t="shared" si="68"/>
        <v>0</v>
      </c>
      <c r="K95" s="171">
        <f t="shared" si="69"/>
        <v>1</v>
      </c>
      <c r="L95" s="190">
        <f t="shared" si="70"/>
        <v>0</v>
      </c>
      <c r="M95" s="236" t="str">
        <f t="array" ref="M95">IFERROR(IF(ISNUMBER(INDEX('Номенклатура_BAF'!$F$2:$F200, MATCH($B95, 'Номенклатура_BAF'!$B$2:$B200, 0))), 
    INDEX('Номенклатура_BAF'!$F$2:$F200, MATCH($B95, 'Номенклатура_BAF'!$B$2:$B200, 0)) * 'Копія аркуша КОШТОРИС'!C95, 
    ""), 
"")</f>
        <v/>
      </c>
      <c r="N95" s="208" t="str">
        <f t="array" ref="N95">IFERROR(INDEX('Номенклатура_BAF'!$G$2:$G200, MATCH($B95, 'Номенклатура_BAF'!$B$2:$B200, 0)), "")</f>
        <v/>
      </c>
      <c r="O95" s="200"/>
      <c r="P95" s="200"/>
      <c r="Q95" s="200"/>
      <c r="R95" s="200"/>
      <c r="S95" s="200"/>
      <c r="T95" s="162"/>
    </row>
    <row r="96" ht="18.75" customHeight="1">
      <c r="A96" s="154" t="s">
        <v>206</v>
      </c>
      <c r="B96" s="155" t="s">
        <v>15</v>
      </c>
      <c r="C96" s="155"/>
      <c r="D96" s="155"/>
      <c r="E96" s="155"/>
      <c r="F96" s="155"/>
      <c r="G96" s="191">
        <f t="array" ref="G96">SUM(OFFSET(INDIRECT(ADDRESS(ROW(), COLUMN())), 1, 0, MATCH("Захист АКБ", $B:$B, 0) - ROW() - 1))</f>
        <v>0</v>
      </c>
      <c r="H96" s="157"/>
      <c r="I96" s="155"/>
      <c r="J96" s="202">
        <f t="shared" ref="J96:L96" si="71">SUM(OFFSET(INDIRECT(ADDRESS(ROW(), COLUMN())), 1, 0, MATCH("Захист АКБ", $B:$B, 0) - ROW() - 1))</f>
        <v>0</v>
      </c>
      <c r="K96" s="159">
        <f t="shared" si="71"/>
        <v>0</v>
      </c>
      <c r="L96" s="160">
        <f t="shared" si="71"/>
        <v>0</v>
      </c>
      <c r="M96" s="173"/>
      <c r="N96" s="174" t="str">
        <f t="array" ref="N96">IFERROR(INDEX('Номенклатура_BAF'!$G$2:$G200, MATCH($B96, 'Номенклатура_BAF'!$B$2:$B200, 0)), "")</f>
        <v/>
      </c>
      <c r="O96" s="200"/>
      <c r="P96" s="200"/>
      <c r="Q96" s="200"/>
      <c r="R96" s="200"/>
      <c r="S96" s="200"/>
      <c r="T96" s="162"/>
    </row>
    <row r="97" ht="15.0" customHeight="1">
      <c r="A97" s="163" t="s">
        <v>207</v>
      </c>
      <c r="B97" s="164" t="s">
        <v>208</v>
      </c>
      <c r="C97" s="165"/>
      <c r="D97" s="165" t="str">
        <f t="array" ref="D97">IFERROR(INDEX('Номенклатура_BAF'!$C$2:$C200, MATCH($B97, 'Номенклатура_BAF'!$B$2:$B200, 0)), "")</f>
        <v/>
      </c>
      <c r="E97" s="166" t="str">
        <f t="array" ref="E97">IFERROR(INDEX('Номенклатура_BAF'!$D$2:$D200, MATCH($B97, 'Номенклатура_BAF'!$B$2:$B200, 0)), "")</f>
        <v/>
      </c>
      <c r="F97" s="167"/>
      <c r="G97" s="203">
        <f t="shared" ref="G97:G100" si="72">$E97*$C97</f>
        <v>0</v>
      </c>
      <c r="H97" s="169"/>
      <c r="I97" s="165"/>
      <c r="J97" s="170">
        <f t="shared" ref="J97:J100" si="73">E97*(I97+H97)</f>
        <v>0</v>
      </c>
      <c r="K97" s="171">
        <f t="shared" ref="K97:K100" si="74">C97-(H97+I97)</f>
        <v>0</v>
      </c>
      <c r="L97" s="172">
        <f t="shared" ref="L97:L100" si="75">G97-J97</f>
        <v>0</v>
      </c>
      <c r="M97" s="173"/>
      <c r="N97" s="174" t="str">
        <f t="array" ref="N97">IFERROR(INDEX('Номенклатура_BAF'!$G$2:$G200, MATCH($B97, 'Номенклатура_BAF'!$B$2:$B200, 0)), "")</f>
        <v/>
      </c>
      <c r="O97" s="200"/>
      <c r="P97" s="200"/>
      <c r="Q97" s="200"/>
      <c r="R97" s="200"/>
      <c r="S97" s="200"/>
      <c r="T97" s="162"/>
    </row>
    <row r="98" ht="15.0" customHeight="1">
      <c r="A98" s="175" t="s">
        <v>209</v>
      </c>
      <c r="B98" s="176" t="s">
        <v>210</v>
      </c>
      <c r="C98" s="177"/>
      <c r="D98" s="165" t="str">
        <f t="array" ref="D98">IFERROR(INDEX('Номенклатура_BAF'!$C$2:$C200, MATCH($B98, 'Номенклатура_BAF'!$B$2:$B200, 0)), "")</f>
        <v/>
      </c>
      <c r="E98" s="166" t="str">
        <f t="array" ref="E98">IFERROR(INDEX('Номенклатура_BAF'!$D$2:$D200, MATCH($B98, 'Номенклатура_BAF'!$B$2:$B200, 0)), "")</f>
        <v/>
      </c>
      <c r="F98" s="178"/>
      <c r="G98" s="205">
        <f t="shared" si="72"/>
        <v>0</v>
      </c>
      <c r="H98" s="180"/>
      <c r="I98" s="177"/>
      <c r="J98" s="181">
        <f t="shared" si="73"/>
        <v>0</v>
      </c>
      <c r="K98" s="171">
        <f t="shared" si="74"/>
        <v>0</v>
      </c>
      <c r="L98" s="182">
        <f t="shared" si="75"/>
        <v>0</v>
      </c>
      <c r="M98" s="173"/>
      <c r="N98" s="174" t="str">
        <f t="array" ref="N98">IFERROR(INDEX('Номенклатура_BAF'!$G$2:$G200, MATCH($B98, 'Номенклатура_BAF'!$B$2:$B200, 0)), "")</f>
        <v/>
      </c>
      <c r="O98" s="200"/>
      <c r="P98" s="200"/>
      <c r="Q98" s="200"/>
      <c r="R98" s="200"/>
      <c r="S98" s="200"/>
      <c r="T98" s="162"/>
    </row>
    <row r="99" ht="15.0" customHeight="1">
      <c r="A99" s="175" t="s">
        <v>211</v>
      </c>
      <c r="B99" s="176" t="s">
        <v>212</v>
      </c>
      <c r="C99" s="177"/>
      <c r="D99" s="165" t="str">
        <f t="array" ref="D99">IFERROR(INDEX('Номенклатура_BAF'!$C$2:$C200, MATCH($B99, 'Номенклатура_BAF'!$B$2:$B200, 0)), "")</f>
        <v/>
      </c>
      <c r="E99" s="166" t="str">
        <f t="array" ref="E99">IFERROR(INDEX('Номенклатура_BAF'!$D$2:$D200, MATCH($B99, 'Номенклатура_BAF'!$B$2:$B200, 0)), "")</f>
        <v/>
      </c>
      <c r="F99" s="178"/>
      <c r="G99" s="205">
        <f t="shared" si="72"/>
        <v>0</v>
      </c>
      <c r="H99" s="180"/>
      <c r="I99" s="177"/>
      <c r="J99" s="181">
        <f t="shared" si="73"/>
        <v>0</v>
      </c>
      <c r="K99" s="171">
        <f t="shared" si="74"/>
        <v>0</v>
      </c>
      <c r="L99" s="182">
        <f t="shared" si="75"/>
        <v>0</v>
      </c>
      <c r="M99" s="173"/>
      <c r="N99" s="174" t="str">
        <f t="array" ref="N99">IFERROR(INDEX('Номенклатура_BAF'!$G$2:$G200, MATCH($B99, 'Номенклатура_BAF'!$B$2:$B200, 0)), "")</f>
        <v/>
      </c>
      <c r="O99" s="200"/>
      <c r="P99" s="200"/>
      <c r="Q99" s="200"/>
      <c r="R99" s="200"/>
      <c r="S99" s="200"/>
      <c r="T99" s="162"/>
    </row>
    <row r="100" ht="15.0" customHeight="1">
      <c r="A100" s="183" t="s">
        <v>213</v>
      </c>
      <c r="B100" s="184" t="s">
        <v>214</v>
      </c>
      <c r="C100" s="185"/>
      <c r="D100" s="165" t="str">
        <f t="array" ref="D100">IFERROR(INDEX('Номенклатура_BAF'!$C$2:$C200, MATCH($B100, 'Номенклатура_BAF'!$B$2:$B200, 0)), "")</f>
        <v/>
      </c>
      <c r="E100" s="166" t="str">
        <f t="array" ref="E100">IFERROR(INDEX('Номенклатура_BAF'!$D$2:$D200, MATCH($B100, 'Номенклатура_BAF'!$B$2:$B200, 0)), "")</f>
        <v/>
      </c>
      <c r="F100" s="186"/>
      <c r="G100" s="197">
        <f t="shared" si="72"/>
        <v>0</v>
      </c>
      <c r="H100" s="188"/>
      <c r="I100" s="185"/>
      <c r="J100" s="189">
        <f t="shared" si="73"/>
        <v>0</v>
      </c>
      <c r="K100" s="171">
        <f t="shared" si="74"/>
        <v>0</v>
      </c>
      <c r="L100" s="190">
        <f t="shared" si="75"/>
        <v>0</v>
      </c>
      <c r="M100" s="173"/>
      <c r="N100" s="174" t="str">
        <f t="array" ref="N100">IFERROR(INDEX('Номенклатура_BAF'!$G$2:$G200, MATCH($B100, 'Номенклатура_BAF'!$B$2:$B200, 0)), "")</f>
        <v/>
      </c>
      <c r="O100" s="200"/>
      <c r="P100" s="200"/>
      <c r="Q100" s="200"/>
      <c r="R100" s="200"/>
      <c r="S100" s="200"/>
      <c r="T100" s="162"/>
    </row>
    <row r="101" ht="18.75" customHeight="1">
      <c r="A101" s="154" t="s">
        <v>215</v>
      </c>
      <c r="B101" s="155" t="s">
        <v>16</v>
      </c>
      <c r="C101" s="155"/>
      <c r="D101" s="155"/>
      <c r="E101" s="155"/>
      <c r="F101" s="155"/>
      <c r="G101" s="191">
        <f t="array" ref="G101">SUM(OFFSET(INDIRECT(ADDRESS(ROW(), COLUMN())), 1, 0, MATCH("Заземлення", $B:$B, 0) - ROW() - 1))</f>
        <v>0</v>
      </c>
      <c r="H101" s="157"/>
      <c r="I101" s="155"/>
      <c r="J101" s="202">
        <f t="shared" ref="J101:L101" si="76">SUM(OFFSET(INDIRECT(ADDRESS(ROW(), COLUMN())), 1, 0, MATCH("Заземлення", $B:$B, 0) - ROW() - 1))</f>
        <v>0</v>
      </c>
      <c r="K101" s="159">
        <f t="shared" si="76"/>
        <v>0</v>
      </c>
      <c r="L101" s="160">
        <f t="shared" si="76"/>
        <v>0</v>
      </c>
      <c r="M101" s="173"/>
      <c r="N101" s="174" t="str">
        <f t="array" ref="N101">IFERROR(INDEX('Номенклатура_BAF'!$G$2:$G200, MATCH($B101, 'Номенклатура_BAF'!$B$2:$B200, 0)), "")</f>
        <v/>
      </c>
      <c r="O101" s="200"/>
      <c r="P101" s="200"/>
      <c r="Q101" s="200"/>
      <c r="R101" s="200"/>
      <c r="S101" s="200"/>
      <c r="T101" s="162"/>
    </row>
    <row r="102" ht="15.0" customHeight="1">
      <c r="A102" s="163" t="s">
        <v>216</v>
      </c>
      <c r="B102" s="164"/>
      <c r="C102" s="165"/>
      <c r="D102" s="165" t="str">
        <f t="array" ref="D102">IFERROR(INDEX('Номенклатура_BAF'!$C$2:$C200, MATCH($B102, 'Номенклатура_BAF'!$B$2:$B200, 0)), "")</f>
        <v/>
      </c>
      <c r="E102" s="166" t="str">
        <f t="array" ref="E102">IFERROR(INDEX('Номенклатура_BAF'!$D$2:$D200, MATCH($B102, 'Номенклатура_BAF'!$B$2:$B200, 0)), "")</f>
        <v/>
      </c>
      <c r="F102" s="167"/>
      <c r="G102" s="203">
        <f t="shared" ref="G102:G106" si="77">$E102*$C102</f>
        <v>0</v>
      </c>
      <c r="H102" s="169"/>
      <c r="I102" s="165"/>
      <c r="J102" s="170">
        <f t="shared" ref="J102:J106" si="78">E102*(I102+H102)</f>
        <v>0</v>
      </c>
      <c r="K102" s="171">
        <f t="shared" ref="K102:K106" si="79">C102-(H102+I102)</f>
        <v>0</v>
      </c>
      <c r="L102" s="172">
        <f t="shared" ref="L102:L106" si="80">G102-J102</f>
        <v>0</v>
      </c>
      <c r="M102" s="173"/>
      <c r="N102" s="174" t="str">
        <f t="array" ref="N102">IFERROR(INDEX('Номенклатура_BAF'!$G$2:$G200, MATCH($B102, 'Номенклатура_BAF'!$B$2:$B200, 0)), "")</f>
        <v/>
      </c>
      <c r="O102" s="200"/>
      <c r="P102" s="200"/>
      <c r="Q102" s="200"/>
      <c r="R102" s="200"/>
      <c r="S102" s="200"/>
      <c r="T102" s="162"/>
    </row>
    <row r="103" ht="15.0" customHeight="1">
      <c r="A103" s="175" t="s">
        <v>217</v>
      </c>
      <c r="B103" s="176"/>
      <c r="C103" s="177"/>
      <c r="D103" s="165" t="str">
        <f t="array" ref="D103">IFERROR(INDEX('Номенклатура_BAF'!$C$2:$C200, MATCH($B103, 'Номенклатура_BAF'!$B$2:$B200, 0)), "")</f>
        <v/>
      </c>
      <c r="E103" s="166" t="str">
        <f t="array" ref="E103">IFERROR(INDEX('Номенклатура_BAF'!$D$2:$D200, MATCH($B103, 'Номенклатура_BAF'!$B$2:$B200, 0)), "")</f>
        <v/>
      </c>
      <c r="F103" s="178"/>
      <c r="G103" s="205">
        <f t="shared" si="77"/>
        <v>0</v>
      </c>
      <c r="H103" s="180"/>
      <c r="I103" s="177"/>
      <c r="J103" s="181">
        <f t="shared" si="78"/>
        <v>0</v>
      </c>
      <c r="K103" s="171">
        <f t="shared" si="79"/>
        <v>0</v>
      </c>
      <c r="L103" s="182">
        <f t="shared" si="80"/>
        <v>0</v>
      </c>
      <c r="M103" s="173"/>
      <c r="N103" s="174" t="str">
        <f t="array" ref="N103">IFERROR(INDEX('Номенклатура_BAF'!$G$2:$G200, MATCH($B103, 'Номенклатура_BAF'!$B$2:$B200, 0)), "")</f>
        <v/>
      </c>
      <c r="O103" s="200"/>
      <c r="P103" s="200"/>
      <c r="Q103" s="200"/>
      <c r="R103" s="200"/>
      <c r="S103" s="200"/>
      <c r="T103" s="162"/>
    </row>
    <row r="104" ht="15.0" customHeight="1">
      <c r="A104" s="175" t="s">
        <v>218</v>
      </c>
      <c r="B104" s="176"/>
      <c r="C104" s="177"/>
      <c r="D104" s="165" t="str">
        <f t="array" ref="D104">IFERROR(INDEX('Номенклатура_BAF'!$C$2:$C200, MATCH($B104, 'Номенклатура_BAF'!$B$2:$B200, 0)), "")</f>
        <v/>
      </c>
      <c r="E104" s="166" t="str">
        <f t="array" ref="E104">IFERROR(INDEX('Номенклатура_BAF'!$D$2:$D200, MATCH($B104, 'Номенклатура_BAF'!$B$2:$B200, 0)), "")</f>
        <v/>
      </c>
      <c r="F104" s="237"/>
      <c r="G104" s="205">
        <f t="shared" si="77"/>
        <v>0</v>
      </c>
      <c r="H104" s="180"/>
      <c r="I104" s="177"/>
      <c r="J104" s="181">
        <f t="shared" si="78"/>
        <v>0</v>
      </c>
      <c r="K104" s="171">
        <f t="shared" si="79"/>
        <v>0</v>
      </c>
      <c r="L104" s="182">
        <f t="shared" si="80"/>
        <v>0</v>
      </c>
      <c r="M104" s="173"/>
      <c r="N104" s="174" t="str">
        <f t="array" ref="N104">IFERROR(INDEX('Номенклатура_BAF'!$G$2:$G200, MATCH($B104, 'Номенклатура_BAF'!$B$2:$B200, 0)), "")</f>
        <v/>
      </c>
      <c r="O104" s="200"/>
      <c r="P104" s="200"/>
      <c r="Q104" s="200"/>
      <c r="R104" s="200"/>
      <c r="S104" s="200"/>
      <c r="T104" s="162"/>
    </row>
    <row r="105" ht="15.0" customHeight="1">
      <c r="A105" s="175" t="s">
        <v>219</v>
      </c>
      <c r="B105" s="176"/>
      <c r="C105" s="177"/>
      <c r="D105" s="165" t="str">
        <f t="array" ref="D105">IFERROR(INDEX('Номенклатура_BAF'!$C$2:$C200, MATCH($B105, 'Номенклатура_BAF'!$B$2:$B200, 0)), "")</f>
        <v/>
      </c>
      <c r="E105" s="166" t="str">
        <f t="array" ref="E105">IFERROR(INDEX('Номенклатура_BAF'!$D$2:$D200, MATCH($B105, 'Номенклатура_BAF'!$B$2:$B200, 0)), "")</f>
        <v/>
      </c>
      <c r="F105" s="238"/>
      <c r="G105" s="205">
        <f t="shared" si="77"/>
        <v>0</v>
      </c>
      <c r="H105" s="180"/>
      <c r="I105" s="177"/>
      <c r="J105" s="181">
        <f t="shared" si="78"/>
        <v>0</v>
      </c>
      <c r="K105" s="171">
        <f t="shared" si="79"/>
        <v>0</v>
      </c>
      <c r="L105" s="182">
        <f t="shared" si="80"/>
        <v>0</v>
      </c>
      <c r="M105" s="173"/>
      <c r="N105" s="174" t="str">
        <f t="array" ref="N105">IFERROR(INDEX('Номенклатура_BAF'!$G$2:$G200, MATCH($B105, 'Номенклатура_BAF'!$B$2:$B200, 0)), "")</f>
        <v/>
      </c>
      <c r="O105" s="200"/>
      <c r="P105" s="200"/>
      <c r="Q105" s="200"/>
      <c r="R105" s="200"/>
      <c r="S105" s="200"/>
      <c r="T105" s="162"/>
    </row>
    <row r="106" ht="15.0" customHeight="1">
      <c r="A106" s="183" t="s">
        <v>220</v>
      </c>
      <c r="B106" s="184"/>
      <c r="C106" s="185"/>
      <c r="D106" s="165" t="str">
        <f t="array" ref="D106">IFERROR(INDEX('Номенклатура_BAF'!$C$2:$C200, MATCH($B106, 'Номенклатура_BAF'!$B$2:$B200, 0)), "")</f>
        <v/>
      </c>
      <c r="E106" s="166" t="str">
        <f t="array" ref="E106">IFERROR(INDEX('Номенклатура_BAF'!$D$2:$D200, MATCH($B106, 'Номенклатура_BAF'!$B$2:$B200, 0)), "")</f>
        <v/>
      </c>
      <c r="F106" s="239"/>
      <c r="G106" s="197">
        <f t="shared" si="77"/>
        <v>0</v>
      </c>
      <c r="H106" s="188"/>
      <c r="I106" s="185"/>
      <c r="J106" s="189">
        <f t="shared" si="78"/>
        <v>0</v>
      </c>
      <c r="K106" s="171">
        <f t="shared" si="79"/>
        <v>0</v>
      </c>
      <c r="L106" s="190">
        <f t="shared" si="80"/>
        <v>0</v>
      </c>
      <c r="M106" s="173"/>
      <c r="N106" s="174" t="str">
        <f t="array" ref="N106">IFERROR(INDEX('Номенклатура_BAF'!$G$2:$G200, MATCH($B106, 'Номенклатура_BAF'!$B$2:$B200, 0)), "")</f>
        <v/>
      </c>
      <c r="O106" s="200"/>
      <c r="P106" s="200"/>
      <c r="Q106" s="200"/>
      <c r="R106" s="200"/>
      <c r="S106" s="200"/>
      <c r="T106" s="162"/>
    </row>
    <row r="107" ht="18.75" customHeight="1">
      <c r="A107" s="240" t="s">
        <v>221</v>
      </c>
      <c r="B107" s="241" t="s">
        <v>17</v>
      </c>
      <c r="C107" s="241"/>
      <c r="D107" s="241"/>
      <c r="E107" s="241"/>
      <c r="F107" s="241"/>
      <c r="G107" s="242">
        <f t="array" ref="G107">SUM(OFFSET(INDIRECT(ADDRESS(ROW(), COLUMN())), 1, 0, MATCH("Кабельна продукція", $B:$B, 0) - ROW() - 1))</f>
        <v>0</v>
      </c>
      <c r="H107" s="243"/>
      <c r="I107" s="241"/>
      <c r="J107" s="244">
        <f t="shared" ref="J107:L107" si="81">SUM(OFFSET(INDIRECT(ADDRESS(ROW(), COLUMN())), 1, 0, MATCH("Кабельна продукція", $B:$B, 0) - ROW() - 1))</f>
        <v>0</v>
      </c>
      <c r="K107" s="159">
        <f t="shared" si="81"/>
        <v>6</v>
      </c>
      <c r="L107" s="160">
        <f t="shared" si="81"/>
        <v>0</v>
      </c>
      <c r="M107" s="173"/>
      <c r="N107" s="174" t="str">
        <f t="array" ref="N107">IFERROR(INDEX('Номенклатура_BAF'!$G$2:$G200, MATCH($B107, 'Номенклатура_BAF'!$B$2:$B200, 0)), "")</f>
        <v/>
      </c>
      <c r="O107" s="200"/>
      <c r="P107" s="200"/>
      <c r="Q107" s="200"/>
      <c r="R107" s="200"/>
      <c r="S107" s="200"/>
      <c r="T107" s="162"/>
    </row>
    <row r="108" ht="15.0" customHeight="1">
      <c r="A108" s="163" t="s">
        <v>222</v>
      </c>
      <c r="B108" s="164" t="s">
        <v>223</v>
      </c>
      <c r="C108" s="165">
        <v>1.0</v>
      </c>
      <c r="D108" s="165" t="str">
        <f t="array" ref="D108">IFERROR(INDEX('Номенклатура_BAF'!$C$2:$C200, MATCH($B108, 'Номенклатура_BAF'!$B$2:$B200, 0)), "")</f>
        <v/>
      </c>
      <c r="E108" s="166" t="str">
        <f t="array" ref="E108">IFERROR(INDEX('Номенклатура_BAF'!$D$2:$D200, MATCH($B108, 'Номенклатура_BAF'!$B$2:$B200, 0)), "")</f>
        <v/>
      </c>
      <c r="F108" s="167"/>
      <c r="G108" s="203">
        <f t="shared" ref="G108:G111" si="82">$E108*$C108</f>
        <v>0</v>
      </c>
      <c r="H108" s="169"/>
      <c r="I108" s="165"/>
      <c r="J108" s="170">
        <f t="shared" ref="J108:J111" si="83">E108*(I108+H108)</f>
        <v>0</v>
      </c>
      <c r="K108" s="171">
        <f t="shared" ref="K108:K111" si="84">C108-(H108+I108)</f>
        <v>1</v>
      </c>
      <c r="L108" s="172">
        <f t="shared" ref="L108:L111" si="85">G108-J108</f>
        <v>0</v>
      </c>
      <c r="M108" s="173"/>
      <c r="N108" s="174" t="str">
        <f t="array" ref="N108">IFERROR(INDEX('Номенклатура_BAF'!$G$2:$G200, MATCH($B108, 'Номенклатура_BAF'!$B$2:$B200, 0)), "")</f>
        <v/>
      </c>
      <c r="O108" s="200"/>
      <c r="P108" s="200"/>
      <c r="Q108" s="200"/>
      <c r="R108" s="200"/>
      <c r="S108" s="200"/>
      <c r="T108" s="162"/>
    </row>
    <row r="109" ht="15.0" customHeight="1">
      <c r="A109" s="175" t="s">
        <v>224</v>
      </c>
      <c r="B109" s="176" t="s">
        <v>225</v>
      </c>
      <c r="C109" s="177">
        <v>1.0</v>
      </c>
      <c r="D109" s="165" t="str">
        <f t="array" ref="D109">IFERROR(INDEX('Номенклатура_BAF'!$C$2:$C200, MATCH($B109, 'Номенклатура_BAF'!$B$2:$B200, 0)), "")</f>
        <v/>
      </c>
      <c r="E109" s="166" t="str">
        <f t="array" ref="E109">IFERROR(INDEX('Номенклатура_BAF'!$D$2:$D200, MATCH($B109, 'Номенклатура_BAF'!$B$2:$B200, 0)), "")</f>
        <v/>
      </c>
      <c r="F109" s="178"/>
      <c r="G109" s="205">
        <f t="shared" si="82"/>
        <v>0</v>
      </c>
      <c r="H109" s="180"/>
      <c r="I109" s="177"/>
      <c r="J109" s="181">
        <f t="shared" si="83"/>
        <v>0</v>
      </c>
      <c r="K109" s="171">
        <f t="shared" si="84"/>
        <v>1</v>
      </c>
      <c r="L109" s="182">
        <f t="shared" si="85"/>
        <v>0</v>
      </c>
      <c r="M109" s="173"/>
      <c r="N109" s="174" t="str">
        <f t="array" ref="N109">IFERROR(INDEX('Номенклатура_BAF'!$G$2:$G200, MATCH($B109, 'Номенклатура_BAF'!$B$2:$B200, 0)), "")</f>
        <v/>
      </c>
      <c r="O109" s="200"/>
      <c r="P109" s="200"/>
      <c r="Q109" s="200"/>
      <c r="R109" s="200"/>
      <c r="S109" s="200"/>
      <c r="T109" s="162"/>
    </row>
    <row r="110" ht="15.0" customHeight="1">
      <c r="A110" s="175" t="s">
        <v>226</v>
      </c>
      <c r="B110" s="184" t="s">
        <v>227</v>
      </c>
      <c r="C110" s="185">
        <v>4.0</v>
      </c>
      <c r="D110" s="165" t="str">
        <f t="array" ref="D110">IFERROR(INDEX('Номенклатура_BAF'!$C$2:$C200, MATCH($B110, 'Номенклатура_BAF'!$B$2:$B200, 0)), "")</f>
        <v/>
      </c>
      <c r="E110" s="166" t="str">
        <f t="array" ref="E110">IFERROR(INDEX('Номенклатура_BAF'!$D$2:$D200, MATCH($B110, 'Номенклатура_BAF'!$B$2:$B200, 0)), "")</f>
        <v/>
      </c>
      <c r="F110" s="186"/>
      <c r="G110" s="197">
        <f t="shared" si="82"/>
        <v>0</v>
      </c>
      <c r="H110" s="188"/>
      <c r="I110" s="185"/>
      <c r="J110" s="189">
        <f t="shared" si="83"/>
        <v>0</v>
      </c>
      <c r="K110" s="171">
        <f t="shared" si="84"/>
        <v>4</v>
      </c>
      <c r="L110" s="190">
        <f t="shared" si="85"/>
        <v>0</v>
      </c>
      <c r="M110" s="173"/>
      <c r="N110" s="174" t="str">
        <f t="array" ref="N110">IFERROR(INDEX('Номенклатура_BAF'!$G$2:$G200, MATCH($B110, 'Номенклатура_BAF'!$B$2:$B200, 0)), "")</f>
        <v/>
      </c>
      <c r="O110" s="200"/>
      <c r="P110" s="200"/>
      <c r="Q110" s="200"/>
      <c r="R110" s="200"/>
      <c r="S110" s="200"/>
      <c r="T110" s="162"/>
    </row>
    <row r="111" ht="15.0" customHeight="1">
      <c r="A111" s="206" t="s">
        <v>228</v>
      </c>
      <c r="B111" s="184" t="s">
        <v>229</v>
      </c>
      <c r="C111" s="185"/>
      <c r="D111" s="165" t="str">
        <f t="array" ref="D111">IFERROR(INDEX('Номенклатура_BAF'!$C$2:$C200, MATCH($B111, 'Номенклатура_BAF'!$B$2:$B200, 0)), "")</f>
        <v/>
      </c>
      <c r="E111" s="166" t="str">
        <f t="array" ref="E111">IFERROR(INDEX('Номенклатура_BAF'!$D$2:$D200, MATCH($B111, 'Номенклатура_BAF'!$B$2:$B200, 0)), "")</f>
        <v/>
      </c>
      <c r="F111" s="186"/>
      <c r="G111" s="197">
        <f t="shared" si="82"/>
        <v>0</v>
      </c>
      <c r="H111" s="188"/>
      <c r="I111" s="185"/>
      <c r="J111" s="189">
        <f t="shared" si="83"/>
        <v>0</v>
      </c>
      <c r="K111" s="171">
        <f t="shared" si="84"/>
        <v>0</v>
      </c>
      <c r="L111" s="190">
        <f t="shared" si="85"/>
        <v>0</v>
      </c>
      <c r="M111" s="173"/>
      <c r="N111" s="174" t="str">
        <f t="array" ref="N111">IFERROR(INDEX('Номенклатура_BAF'!$G$2:$G200, MATCH($B111, 'Номенклатура_BAF'!$B$2:$B200, 0)), "")</f>
        <v/>
      </c>
      <c r="O111" s="200"/>
      <c r="P111" s="200"/>
      <c r="Q111" s="200"/>
      <c r="R111" s="200"/>
      <c r="S111" s="200"/>
      <c r="T111" s="162"/>
    </row>
    <row r="112" ht="18.75" customHeight="1">
      <c r="A112" s="245" t="s">
        <v>230</v>
      </c>
      <c r="B112" s="246" t="s">
        <v>231</v>
      </c>
      <c r="C112" s="246"/>
      <c r="D112" s="246"/>
      <c r="E112" s="246"/>
      <c r="F112" s="246"/>
      <c r="G112" s="247">
        <f t="array" ref="G112">SUM(OFFSET(INDIRECT(ADDRESS(ROW(), COLUMN())), 1, 0, MATCH("Монтажні вироби та інше", $B:$B, 0) - ROW() - 1))</f>
        <v>0</v>
      </c>
      <c r="H112" s="248"/>
      <c r="I112" s="246"/>
      <c r="J112" s="249">
        <f t="shared" ref="J112:L112" si="86">SUM(OFFSET(INDIRECT(ADDRESS(ROW(), COLUMN())), 1, 0, MATCH("Монтажні вироби та інше", $B:$B, 0) - ROW() - 1))</f>
        <v>0</v>
      </c>
      <c r="K112" s="159">
        <f t="shared" si="86"/>
        <v>300</v>
      </c>
      <c r="L112" s="160">
        <f t="shared" si="86"/>
        <v>0</v>
      </c>
      <c r="M112" s="173"/>
      <c r="N112" s="174" t="str">
        <f t="array" ref="N112">IFERROR(INDEX('Номенклатура_BAF'!$G$2:$G200, MATCH($B112, 'Номенклатура_BAF'!$B$2:$B200, 0)), "")</f>
        <v/>
      </c>
      <c r="O112" s="200"/>
      <c r="P112" s="200"/>
      <c r="Q112" s="200"/>
      <c r="R112" s="200"/>
      <c r="S112" s="200"/>
      <c r="T112" s="162"/>
    </row>
    <row r="113" ht="15.0" customHeight="1">
      <c r="A113" s="163" t="s">
        <v>232</v>
      </c>
      <c r="B113" s="164" t="s">
        <v>233</v>
      </c>
      <c r="C113" s="165">
        <v>160.0</v>
      </c>
      <c r="D113" s="165" t="str">
        <f t="array" ref="D113">IFERROR(INDEX('Номенклатура_BAF'!$C$2:$C200, MATCH($B113, 'Номенклатура_BAF'!$B$2:$B200, 0)), "")</f>
        <v/>
      </c>
      <c r="E113" s="166" t="str">
        <f t="array" ref="E113">IFERROR(INDEX('Номенклатура_BAF'!$D$2:$D200, MATCH($B113, 'Номенклатура_BAF'!$B$2:$B200, 0)), "")</f>
        <v/>
      </c>
      <c r="F113" s="167"/>
      <c r="G113" s="203">
        <f t="shared" ref="G113:G127" si="87">$E113*$C113</f>
        <v>0</v>
      </c>
      <c r="H113" s="169"/>
      <c r="I113" s="165"/>
      <c r="J113" s="170">
        <f t="shared" ref="J113:J127" si="88">E113*(I113+H113)</f>
        <v>0</v>
      </c>
      <c r="K113" s="171">
        <f t="shared" ref="K113:K127" si="89">C113-(H113+I113)</f>
        <v>160</v>
      </c>
      <c r="L113" s="172">
        <f t="shared" ref="L113:L127" si="90">G113-J113</f>
        <v>0</v>
      </c>
      <c r="M113" s="173"/>
      <c r="N113" s="174" t="str">
        <f t="array" ref="N113">IFERROR(INDEX('Номенклатура_BAF'!$G$2:$G200, MATCH($B113, 'Номенклатура_BAF'!$B$2:$B200, 0)), "")</f>
        <v/>
      </c>
      <c r="O113" s="200"/>
      <c r="P113" s="200"/>
      <c r="Q113" s="200"/>
      <c r="R113" s="200"/>
      <c r="S113" s="200"/>
      <c r="T113" s="162"/>
    </row>
    <row r="114" ht="15.0" customHeight="1">
      <c r="A114" s="175" t="s">
        <v>234</v>
      </c>
      <c r="B114" s="176" t="s">
        <v>235</v>
      </c>
      <c r="C114" s="177">
        <v>80.0</v>
      </c>
      <c r="D114" s="165" t="str">
        <f t="array" ref="D114">IFERROR(INDEX('Номенклатура_BAF'!$C$2:$C200, MATCH($B114, 'Номенклатура_BAF'!$B$2:$B200, 0)), "")</f>
        <v/>
      </c>
      <c r="E114" s="166" t="str">
        <f t="array" ref="E114">IFERROR(INDEX('Номенклатура_BAF'!$D$2:$D200, MATCH($B114, 'Номенклатура_BAF'!$B$2:$B200, 0)), "")</f>
        <v/>
      </c>
      <c r="F114" s="178"/>
      <c r="G114" s="205">
        <f t="shared" si="87"/>
        <v>0</v>
      </c>
      <c r="H114" s="180"/>
      <c r="I114" s="177"/>
      <c r="J114" s="181">
        <f t="shared" si="88"/>
        <v>0</v>
      </c>
      <c r="K114" s="171">
        <f t="shared" si="89"/>
        <v>80</v>
      </c>
      <c r="L114" s="182">
        <f t="shared" si="90"/>
        <v>0</v>
      </c>
      <c r="M114" s="173"/>
      <c r="N114" s="174" t="str">
        <f t="array" ref="N114">IFERROR(INDEX('Номенклатура_BAF'!$G$2:$G200, MATCH($B114, 'Номенклатура_BAF'!$B$2:$B200, 0)), "")</f>
        <v/>
      </c>
      <c r="O114" s="200"/>
      <c r="P114" s="200"/>
      <c r="Q114" s="200"/>
      <c r="R114" s="200"/>
      <c r="S114" s="200"/>
      <c r="T114" s="162"/>
    </row>
    <row r="115" ht="15.0" customHeight="1">
      <c r="A115" s="175" t="s">
        <v>236</v>
      </c>
      <c r="B115" s="176" t="s">
        <v>237</v>
      </c>
      <c r="C115" s="177">
        <v>20.0</v>
      </c>
      <c r="D115" s="165" t="str">
        <f t="array" ref="D115">IFERROR(INDEX('Номенклатура_BAF'!$C$2:$C200, MATCH($B115, 'Номенклатура_BAF'!$B$2:$B200, 0)), "")</f>
        <v/>
      </c>
      <c r="E115" s="166" t="str">
        <f t="array" ref="E115">IFERROR(INDEX('Номенклатура_BAF'!$D$2:$D200, MATCH($B115, 'Номенклатура_BAF'!$B$2:$B200, 0)), "")</f>
        <v/>
      </c>
      <c r="F115" s="178"/>
      <c r="G115" s="205">
        <f t="shared" si="87"/>
        <v>0</v>
      </c>
      <c r="H115" s="180"/>
      <c r="I115" s="177"/>
      <c r="J115" s="181">
        <f t="shared" si="88"/>
        <v>0</v>
      </c>
      <c r="K115" s="171">
        <f t="shared" si="89"/>
        <v>20</v>
      </c>
      <c r="L115" s="182">
        <f t="shared" si="90"/>
        <v>0</v>
      </c>
      <c r="M115" s="173"/>
      <c r="N115" s="174" t="str">
        <f t="array" ref="N115">IFERROR(INDEX('Номенклатура_BAF'!$G$2:$G200, MATCH($B115, 'Номенклатура_BAF'!$B$2:$B200, 0)), "")</f>
        <v/>
      </c>
      <c r="O115" s="200"/>
      <c r="P115" s="200"/>
      <c r="Q115" s="200"/>
      <c r="R115" s="200"/>
      <c r="S115" s="200"/>
      <c r="T115" s="162"/>
    </row>
    <row r="116" ht="15.0" customHeight="1">
      <c r="A116" s="175" t="s">
        <v>238</v>
      </c>
      <c r="B116" s="176" t="s">
        <v>239</v>
      </c>
      <c r="C116" s="177">
        <v>20.0</v>
      </c>
      <c r="D116" s="165" t="str">
        <f t="array" ref="D116">IFERROR(INDEX('Номенклатура_BAF'!$C$2:$C200, MATCH($B116, 'Номенклатура_BAF'!$B$2:$B200, 0)), "")</f>
        <v/>
      </c>
      <c r="E116" s="166" t="str">
        <f t="array" ref="E116">IFERROR(INDEX('Номенклатура_BAF'!$D$2:$D200, MATCH($B116, 'Номенклатура_BAF'!$B$2:$B200, 0)), "")</f>
        <v/>
      </c>
      <c r="F116" s="178"/>
      <c r="G116" s="205">
        <f t="shared" si="87"/>
        <v>0</v>
      </c>
      <c r="H116" s="180"/>
      <c r="I116" s="177"/>
      <c r="J116" s="181">
        <f t="shared" si="88"/>
        <v>0</v>
      </c>
      <c r="K116" s="171">
        <f t="shared" si="89"/>
        <v>20</v>
      </c>
      <c r="L116" s="182">
        <f t="shared" si="90"/>
        <v>0</v>
      </c>
      <c r="M116" s="173"/>
      <c r="N116" s="174" t="str">
        <f t="array" ref="N116">IFERROR(INDEX('Номенклатура_BAF'!$G$2:$G200, MATCH($B116, 'Номенклатура_BAF'!$B$2:$B200, 0)), "")</f>
        <v/>
      </c>
      <c r="O116" s="200"/>
      <c r="P116" s="200"/>
      <c r="Q116" s="200"/>
      <c r="R116" s="200"/>
      <c r="S116" s="200"/>
      <c r="T116" s="162"/>
    </row>
    <row r="117" ht="15.0" customHeight="1">
      <c r="A117" s="175" t="s">
        <v>240</v>
      </c>
      <c r="B117" s="176" t="s">
        <v>241</v>
      </c>
      <c r="C117" s="177">
        <v>20.0</v>
      </c>
      <c r="D117" s="165" t="str">
        <f t="array" ref="D117">IFERROR(INDEX('Номенклатура_BAF'!$C$2:$C200, MATCH($B117, 'Номенклатура_BAF'!$B$2:$B200, 0)), "")</f>
        <v/>
      </c>
      <c r="E117" s="166" t="str">
        <f t="array" ref="E117">IFERROR(INDEX('Номенклатура_BAF'!$D$2:$D200, MATCH($B117, 'Номенклатура_BAF'!$B$2:$B200, 0)), "")</f>
        <v/>
      </c>
      <c r="F117" s="178"/>
      <c r="G117" s="205">
        <f t="shared" si="87"/>
        <v>0</v>
      </c>
      <c r="H117" s="180"/>
      <c r="I117" s="177"/>
      <c r="J117" s="181">
        <f t="shared" si="88"/>
        <v>0</v>
      </c>
      <c r="K117" s="171">
        <f t="shared" si="89"/>
        <v>20</v>
      </c>
      <c r="L117" s="182">
        <f t="shared" si="90"/>
        <v>0</v>
      </c>
      <c r="M117" s="173"/>
      <c r="N117" s="174" t="str">
        <f t="array" ref="N117">IFERROR(INDEX('Номенклатура_BAF'!$G$2:$G200, MATCH($B117, 'Номенклатура_BAF'!$B$2:$B200, 0)), "")</f>
        <v/>
      </c>
      <c r="O117" s="200"/>
      <c r="P117" s="200"/>
      <c r="Q117" s="200"/>
      <c r="R117" s="200"/>
      <c r="S117" s="200"/>
      <c r="T117" s="162"/>
    </row>
    <row r="118" ht="15.0" customHeight="1">
      <c r="A118" s="175" t="s">
        <v>242</v>
      </c>
      <c r="B118" s="176"/>
      <c r="C118" s="177"/>
      <c r="D118" s="165" t="str">
        <f t="array" ref="D118">IFERROR(INDEX('Номенклатура_BAF'!$C$2:$C200, MATCH($B118, 'Номенклатура_BAF'!$B$2:$B200, 0)), "")</f>
        <v/>
      </c>
      <c r="E118" s="166" t="str">
        <f t="array" ref="E118">IFERROR(INDEX('Номенклатура_BAF'!$D$2:$D200, MATCH($B118, 'Номенклатура_BAF'!$B$2:$B200, 0)), "")</f>
        <v/>
      </c>
      <c r="F118" s="178"/>
      <c r="G118" s="205">
        <f t="shared" si="87"/>
        <v>0</v>
      </c>
      <c r="H118" s="180"/>
      <c r="I118" s="177"/>
      <c r="J118" s="181">
        <f t="shared" si="88"/>
        <v>0</v>
      </c>
      <c r="K118" s="171">
        <f t="shared" si="89"/>
        <v>0</v>
      </c>
      <c r="L118" s="182">
        <f t="shared" si="90"/>
        <v>0</v>
      </c>
      <c r="M118" s="173"/>
      <c r="N118" s="174" t="str">
        <f t="array" ref="N118">IFERROR(INDEX('Номенклатура_BAF'!$G$2:$G200, MATCH($B118, 'Номенклатура_BAF'!$B$2:$B200, 0)), "")</f>
        <v/>
      </c>
      <c r="O118" s="200"/>
      <c r="P118" s="200"/>
      <c r="Q118" s="200"/>
      <c r="R118" s="200"/>
      <c r="S118" s="200"/>
      <c r="T118" s="162"/>
    </row>
    <row r="119" ht="15.0" customHeight="1">
      <c r="A119" s="175" t="s">
        <v>243</v>
      </c>
      <c r="B119" s="176"/>
      <c r="C119" s="177"/>
      <c r="D119" s="165" t="str">
        <f t="array" ref="D119">IFERROR(INDEX('Номенклатура_BAF'!$C$2:$C200, MATCH($B119, 'Номенклатура_BAF'!$B$2:$B200, 0)), "")</f>
        <v/>
      </c>
      <c r="E119" s="166" t="str">
        <f t="array" ref="E119">IFERROR(INDEX('Номенклатура_BAF'!$D$2:$D200, MATCH($B119, 'Номенклатура_BAF'!$B$2:$B200, 0)), "")</f>
        <v/>
      </c>
      <c r="F119" s="238"/>
      <c r="G119" s="205">
        <f t="shared" si="87"/>
        <v>0</v>
      </c>
      <c r="H119" s="180"/>
      <c r="I119" s="177"/>
      <c r="J119" s="181">
        <f t="shared" si="88"/>
        <v>0</v>
      </c>
      <c r="K119" s="171">
        <f t="shared" si="89"/>
        <v>0</v>
      </c>
      <c r="L119" s="182">
        <f t="shared" si="90"/>
        <v>0</v>
      </c>
      <c r="M119" s="173"/>
      <c r="N119" s="174" t="str">
        <f t="array" ref="N119">IFERROR(INDEX('Номенклатура_BAF'!$G$2:$G200, MATCH($B119, 'Номенклатура_BAF'!$B$2:$B200, 0)), "")</f>
        <v/>
      </c>
      <c r="O119" s="200"/>
      <c r="P119" s="200"/>
      <c r="Q119" s="200"/>
      <c r="R119" s="200"/>
      <c r="S119" s="200"/>
      <c r="T119" s="162"/>
    </row>
    <row r="120" ht="15.0" customHeight="1">
      <c r="A120" s="175" t="s">
        <v>244</v>
      </c>
      <c r="B120" s="176"/>
      <c r="C120" s="177"/>
      <c r="D120" s="165" t="str">
        <f t="array" ref="D120">IFERROR(INDEX('Номенклатура_BAF'!$C$2:$C200, MATCH($B120, 'Номенклатура_BAF'!$B$2:$B200, 0)), "")</f>
        <v/>
      </c>
      <c r="E120" s="166" t="str">
        <f t="array" ref="E120">IFERROR(INDEX('Номенклатура_BAF'!$D$2:$D200, MATCH($B120, 'Номенклатура_BAF'!$B$2:$B200, 0)), "")</f>
        <v/>
      </c>
      <c r="F120" s="178"/>
      <c r="G120" s="205">
        <f t="shared" si="87"/>
        <v>0</v>
      </c>
      <c r="H120" s="180"/>
      <c r="I120" s="177"/>
      <c r="J120" s="181">
        <f t="shared" si="88"/>
        <v>0</v>
      </c>
      <c r="K120" s="171">
        <f t="shared" si="89"/>
        <v>0</v>
      </c>
      <c r="L120" s="182">
        <f t="shared" si="90"/>
        <v>0</v>
      </c>
      <c r="M120" s="173"/>
      <c r="N120" s="174" t="str">
        <f t="array" ref="N120">IFERROR(INDEX('Номенклатура_BAF'!$G$2:$G200, MATCH($B120, 'Номенклатура_BAF'!$B$2:$B200, 0)), "")</f>
        <v/>
      </c>
      <c r="O120" s="200"/>
      <c r="P120" s="200"/>
      <c r="Q120" s="200"/>
      <c r="R120" s="200"/>
      <c r="S120" s="200"/>
      <c r="T120" s="162"/>
    </row>
    <row r="121" ht="15.0" customHeight="1">
      <c r="A121" s="175" t="s">
        <v>245</v>
      </c>
      <c r="B121" s="176"/>
      <c r="C121" s="177"/>
      <c r="D121" s="165" t="str">
        <f t="array" ref="D121">IFERROR(INDEX('Номенклатура_BAF'!$C$2:$C200, MATCH($B121, 'Номенклатура_BAF'!$B$2:$B200, 0)), "")</f>
        <v/>
      </c>
      <c r="E121" s="166" t="str">
        <f t="array" ref="E121">IFERROR(INDEX('Номенклатура_BAF'!$D$2:$D200, MATCH($B121, 'Номенклатура_BAF'!$B$2:$B200, 0)), "")</f>
        <v/>
      </c>
      <c r="F121" s="178"/>
      <c r="G121" s="205">
        <f t="shared" si="87"/>
        <v>0</v>
      </c>
      <c r="H121" s="180"/>
      <c r="I121" s="177"/>
      <c r="J121" s="181">
        <f t="shared" si="88"/>
        <v>0</v>
      </c>
      <c r="K121" s="171">
        <f t="shared" si="89"/>
        <v>0</v>
      </c>
      <c r="L121" s="182">
        <f t="shared" si="90"/>
        <v>0</v>
      </c>
      <c r="M121" s="173"/>
      <c r="N121" s="174" t="str">
        <f t="array" ref="N121">IFERROR(INDEX('Номенклатура_BAF'!$G$2:$G200, MATCH($B121, 'Номенклатура_BAF'!$B$2:$B200, 0)), "")</f>
        <v/>
      </c>
      <c r="O121" s="200"/>
      <c r="P121" s="200"/>
      <c r="Q121" s="200"/>
      <c r="R121" s="200"/>
      <c r="S121" s="200"/>
      <c r="T121" s="162"/>
    </row>
    <row r="122" ht="15.0" customHeight="1">
      <c r="A122" s="183" t="s">
        <v>246</v>
      </c>
      <c r="B122" s="184"/>
      <c r="C122" s="185"/>
      <c r="D122" s="165" t="str">
        <f t="array" ref="D122">IFERROR(INDEX('Номенклатура_BAF'!$C$2:$C200, MATCH($B122, 'Номенклатура_BAF'!$B$2:$B200, 0)), "")</f>
        <v/>
      </c>
      <c r="E122" s="166" t="str">
        <f t="array" ref="E122">IFERROR(INDEX('Номенклатура_BAF'!$D$2:$D200, MATCH($B122, 'Номенклатура_BAF'!$B$2:$B200, 0)), "")</f>
        <v/>
      </c>
      <c r="F122" s="186"/>
      <c r="G122" s="197">
        <f t="shared" si="87"/>
        <v>0</v>
      </c>
      <c r="H122" s="188"/>
      <c r="I122" s="185"/>
      <c r="J122" s="189">
        <f t="shared" si="88"/>
        <v>0</v>
      </c>
      <c r="K122" s="171">
        <f t="shared" si="89"/>
        <v>0</v>
      </c>
      <c r="L122" s="190">
        <f t="shared" si="90"/>
        <v>0</v>
      </c>
      <c r="M122" s="173"/>
      <c r="N122" s="174" t="str">
        <f t="array" ref="N122">IFERROR(INDEX('Номенклатура_BAF'!$G$2:$G200, MATCH($B122, 'Номенклатура_BAF'!$B$2:$B200, 0)), "")</f>
        <v/>
      </c>
      <c r="O122" s="200"/>
      <c r="P122" s="200"/>
      <c r="Q122" s="200"/>
      <c r="R122" s="200"/>
      <c r="S122" s="200"/>
      <c r="T122" s="162"/>
    </row>
    <row r="123" ht="15.0" customHeight="1">
      <c r="A123" s="183" t="s">
        <v>247</v>
      </c>
      <c r="B123" s="184"/>
      <c r="C123" s="185"/>
      <c r="D123" s="165" t="str">
        <f t="array" ref="D123">IFERROR(INDEX('Номенклатура_BAF'!$C$2:$C200, MATCH($B123, 'Номенклатура_BAF'!$B$2:$B200, 0)), "")</f>
        <v/>
      </c>
      <c r="E123" s="166" t="str">
        <f t="array" ref="E123">IFERROR(INDEX('Номенклатура_BAF'!$D$2:$D200, MATCH($B123, 'Номенклатура_BAF'!$B$2:$B200, 0)), "")</f>
        <v/>
      </c>
      <c r="F123" s="186"/>
      <c r="G123" s="197">
        <f t="shared" si="87"/>
        <v>0</v>
      </c>
      <c r="H123" s="188"/>
      <c r="I123" s="185"/>
      <c r="J123" s="189">
        <f t="shared" si="88"/>
        <v>0</v>
      </c>
      <c r="K123" s="171">
        <f t="shared" si="89"/>
        <v>0</v>
      </c>
      <c r="L123" s="190">
        <f t="shared" si="90"/>
        <v>0</v>
      </c>
      <c r="M123" s="173"/>
      <c r="N123" s="174" t="str">
        <f t="array" ref="N123">IFERROR(INDEX('Номенклатура_BAF'!$G$2:$G200, MATCH($B123, 'Номенклатура_BAF'!$B$2:$B200, 0)), "")</f>
        <v/>
      </c>
      <c r="O123" s="200"/>
      <c r="P123" s="200"/>
      <c r="Q123" s="200"/>
      <c r="R123" s="200"/>
      <c r="S123" s="200"/>
      <c r="T123" s="162"/>
    </row>
    <row r="124" ht="15.0" customHeight="1">
      <c r="A124" s="183" t="s">
        <v>248</v>
      </c>
      <c r="B124" s="184"/>
      <c r="C124" s="185"/>
      <c r="D124" s="165" t="str">
        <f t="array" ref="D124">IFERROR(INDEX('Номенклатура_BAF'!$C$2:$C200, MATCH($B124, 'Номенклатура_BAF'!$B$2:$B200, 0)), "")</f>
        <v/>
      </c>
      <c r="E124" s="166" t="str">
        <f t="array" ref="E124">IFERROR(INDEX('Номенклатура_BAF'!$D$2:$D200, MATCH($B124, 'Номенклатура_BAF'!$B$2:$B200, 0)), "")</f>
        <v/>
      </c>
      <c r="F124" s="186"/>
      <c r="G124" s="197">
        <f t="shared" si="87"/>
        <v>0</v>
      </c>
      <c r="H124" s="188"/>
      <c r="I124" s="185"/>
      <c r="J124" s="189">
        <f t="shared" si="88"/>
        <v>0</v>
      </c>
      <c r="K124" s="171">
        <f t="shared" si="89"/>
        <v>0</v>
      </c>
      <c r="L124" s="190">
        <f t="shared" si="90"/>
        <v>0</v>
      </c>
      <c r="M124" s="173"/>
      <c r="N124" s="174" t="str">
        <f t="array" ref="N124">IFERROR(INDEX('Номенклатура_BAF'!$G$2:$G200, MATCH($B124, 'Номенклатура_BAF'!$B$2:$B200, 0)), "")</f>
        <v/>
      </c>
      <c r="O124" s="200"/>
      <c r="P124" s="200"/>
      <c r="Q124" s="200"/>
      <c r="R124" s="200"/>
      <c r="S124" s="200"/>
      <c r="T124" s="162"/>
    </row>
    <row r="125" ht="15.0" customHeight="1">
      <c r="A125" s="183" t="s">
        <v>249</v>
      </c>
      <c r="B125" s="184"/>
      <c r="C125" s="185"/>
      <c r="D125" s="165" t="str">
        <f t="array" ref="D125">IFERROR(INDEX('Номенклатура_BAF'!$C$2:$C200, MATCH($B125, 'Номенклатура_BAF'!$B$2:$B200, 0)), "")</f>
        <v/>
      </c>
      <c r="E125" s="166" t="str">
        <f t="array" ref="E125">IFERROR(INDEX('Номенклатура_BAF'!$D$2:$D200, MATCH($B125, 'Номенклатура_BAF'!$B$2:$B200, 0)), "")</f>
        <v/>
      </c>
      <c r="F125" s="186"/>
      <c r="G125" s="197">
        <f t="shared" si="87"/>
        <v>0</v>
      </c>
      <c r="H125" s="188"/>
      <c r="I125" s="185"/>
      <c r="J125" s="189">
        <f t="shared" si="88"/>
        <v>0</v>
      </c>
      <c r="K125" s="171">
        <f t="shared" si="89"/>
        <v>0</v>
      </c>
      <c r="L125" s="190">
        <f t="shared" si="90"/>
        <v>0</v>
      </c>
      <c r="M125" s="173"/>
      <c r="N125" s="174" t="str">
        <f t="array" ref="N125">IFERROR(INDEX('Номенклатура_BAF'!$G$2:$G200, MATCH($B125, 'Номенклатура_BAF'!$B$2:$B200, 0)), "")</f>
        <v/>
      </c>
      <c r="O125" s="200"/>
      <c r="P125" s="200"/>
      <c r="Q125" s="200"/>
      <c r="R125" s="200"/>
      <c r="S125" s="200"/>
      <c r="T125" s="162"/>
    </row>
    <row r="126" ht="15.0" customHeight="1">
      <c r="A126" s="183" t="s">
        <v>250</v>
      </c>
      <c r="B126" s="184"/>
      <c r="C126" s="185"/>
      <c r="D126" s="165" t="str">
        <f t="array" ref="D126">IFERROR(INDEX('Номенклатура_BAF'!$C$2:$C200, MATCH($B126, 'Номенклатура_BAF'!$B$2:$B200, 0)), "")</f>
        <v/>
      </c>
      <c r="E126" s="166" t="str">
        <f t="array" ref="E126">IFERROR(INDEX('Номенклатура_BAF'!$D$2:$D200, MATCH($B126, 'Номенклатура_BAF'!$B$2:$B200, 0)), "")</f>
        <v/>
      </c>
      <c r="F126" s="186"/>
      <c r="G126" s="197">
        <f t="shared" si="87"/>
        <v>0</v>
      </c>
      <c r="H126" s="188"/>
      <c r="I126" s="185"/>
      <c r="J126" s="189">
        <f t="shared" si="88"/>
        <v>0</v>
      </c>
      <c r="K126" s="171">
        <f t="shared" si="89"/>
        <v>0</v>
      </c>
      <c r="L126" s="190">
        <f t="shared" si="90"/>
        <v>0</v>
      </c>
      <c r="M126" s="173"/>
      <c r="N126" s="174" t="str">
        <f t="array" ref="N126">IFERROR(INDEX('Номенклатура_BAF'!$G$2:$G200, MATCH($B126, 'Номенклатура_BAF'!$B$2:$B200, 0)), "")</f>
        <v/>
      </c>
      <c r="O126" s="200"/>
      <c r="P126" s="200"/>
      <c r="Q126" s="200"/>
      <c r="R126" s="200"/>
      <c r="S126" s="200"/>
      <c r="T126" s="162"/>
    </row>
    <row r="127" ht="15.0" customHeight="1">
      <c r="A127" s="183" t="s">
        <v>251</v>
      </c>
      <c r="B127" s="184"/>
      <c r="C127" s="185"/>
      <c r="D127" s="165" t="str">
        <f t="array" ref="D127">IFERROR(INDEX('Номенклатура_BAF'!$C$2:$C200, MATCH($B127, 'Номенклатура_BAF'!$B$2:$B200, 0)), "")</f>
        <v/>
      </c>
      <c r="E127" s="166" t="str">
        <f t="array" ref="E127">IFERROR(INDEX('Номенклатура_BAF'!$D$2:$D200, MATCH($B127, 'Номенклатура_BAF'!$B$2:$B200, 0)), "")</f>
        <v/>
      </c>
      <c r="F127" s="186"/>
      <c r="G127" s="197">
        <f t="shared" si="87"/>
        <v>0</v>
      </c>
      <c r="H127" s="188"/>
      <c r="I127" s="185"/>
      <c r="J127" s="189">
        <f t="shared" si="88"/>
        <v>0</v>
      </c>
      <c r="K127" s="171">
        <f t="shared" si="89"/>
        <v>0</v>
      </c>
      <c r="L127" s="190">
        <f t="shared" si="90"/>
        <v>0</v>
      </c>
      <c r="M127" s="173"/>
      <c r="N127" s="174" t="str">
        <f t="array" ref="N127">IFERROR(INDEX('Номенклатура_BAF'!$G$2:$G200, MATCH($B127, 'Номенклатура_BAF'!$B$2:$B200, 0)), "")</f>
        <v/>
      </c>
      <c r="O127" s="200"/>
      <c r="P127" s="200"/>
      <c r="Q127" s="200"/>
      <c r="R127" s="200"/>
      <c r="S127" s="200"/>
      <c r="T127" s="162"/>
    </row>
    <row r="128" ht="18.75" customHeight="1">
      <c r="A128" s="250" t="s">
        <v>252</v>
      </c>
      <c r="B128" s="251" t="s">
        <v>18</v>
      </c>
      <c r="C128" s="251"/>
      <c r="D128" s="251"/>
      <c r="E128" s="251"/>
      <c r="F128" s="251"/>
      <c r="G128" s="252">
        <f t="array" ref="G128">SUM(OFFSET(INDIRECT(ADDRESS(ROW(), COLUMN())), 1, 0, MATCH("Послуги", $B:$B, 0) - ROW() - 1))</f>
        <v>0</v>
      </c>
      <c r="H128" s="253"/>
      <c r="I128" s="251"/>
      <c r="J128" s="254">
        <f t="shared" ref="J128:L128" si="91">SUM(OFFSET(INDIRECT(ADDRESS(ROW(), COLUMN())), 1, 0, MATCH("Послуги", $B:$B, 0) - ROW() - 1))</f>
        <v>0</v>
      </c>
      <c r="K128" s="159">
        <f t="shared" si="91"/>
        <v>164</v>
      </c>
      <c r="L128" s="160">
        <f t="shared" si="91"/>
        <v>0</v>
      </c>
      <c r="M128" s="255">
        <f t="array" ref="M128">SUM(INDIRECT("N" &amp; MATCH("Монтажні вироби та інше", B:B, 0) + 1):INDIRECT("N" &amp; MATCH("Послуги", B:B, 0) - 1))</f>
        <v>0</v>
      </c>
      <c r="N128" s="174" t="str">
        <f t="array" ref="N128">IFERROR(INDEX('Номенклатура_BAF'!$G$2:$G200, MATCH($B128, 'Номенклатура_BAF'!$B$2:$B200, 0)), "")</f>
        <v/>
      </c>
      <c r="O128" s="200"/>
      <c r="P128" s="200"/>
      <c r="Q128" s="200"/>
      <c r="R128" s="200"/>
      <c r="S128" s="200"/>
      <c r="T128" s="162"/>
    </row>
    <row r="129" ht="15.0" customHeight="1">
      <c r="A129" s="163" t="s">
        <v>253</v>
      </c>
      <c r="B129" s="164" t="s">
        <v>254</v>
      </c>
      <c r="C129" s="165">
        <v>1.0</v>
      </c>
      <c r="D129" s="165" t="str">
        <f t="array" ref="D129">IFERROR(INDEX('Номенклатура_BAF'!$C$2:$C200, MATCH($B129, 'Номенклатура_BAF'!$B$2:$B200, 0)), "")</f>
        <v/>
      </c>
      <c r="E129" s="166" t="str">
        <f t="array" ref="E129">IFERROR(INDEX('Номенклатура_BAF'!$D$2:$D200, MATCH($B129, 'Номенклатура_BAF'!$B$2:$B200, 0)), "")</f>
        <v/>
      </c>
      <c r="F129" s="167"/>
      <c r="G129" s="203">
        <f t="shared" ref="G129:G143" si="92">$E129*$C129</f>
        <v>0</v>
      </c>
      <c r="H129" s="169"/>
      <c r="I129" s="165"/>
      <c r="J129" s="170">
        <f t="shared" ref="J129:J143" si="93">E129*(I129+H129)</f>
        <v>0</v>
      </c>
      <c r="K129" s="171">
        <f t="shared" ref="K129:K143" si="94">C129-(H129+I129)</f>
        <v>1</v>
      </c>
      <c r="L129" s="172">
        <f t="shared" ref="L129:L143" si="95">G129-J129</f>
        <v>0</v>
      </c>
      <c r="M129" s="256" t="str">
        <f t="array" ref="M129">IFERROR(IF(ISNUMBER(INDEX('Номенклатура_BAF_OLD'!$H$2:$H200, MATCH($B129, 'Номенклатура_BAF_OLD'!$B$2:$B200, 0))), 
    INDEX('Номенклатура_BAF_OLD'!$H$2:$H200, MATCH($B129, 'Номенклатура_BAF_OLD'!$B$2:$B200, 0)) * 'Копія аркуша КОШТОРИС'!C129, 
    ""), 
"")</f>
        <v/>
      </c>
      <c r="N129" s="174" t="str">
        <f t="array" ref="N129">IFERROR(INDEX('Номенклатура_BAF'!$G$2:$G200, MATCH($B129, 'Номенклатура_BAF'!$B$2:$B200, 0)), "")</f>
        <v/>
      </c>
      <c r="O129" s="200"/>
      <c r="P129" s="200"/>
      <c r="Q129" s="200"/>
      <c r="R129" s="200"/>
      <c r="S129" s="200"/>
      <c r="T129" s="162"/>
    </row>
    <row r="130" ht="15.0" customHeight="1">
      <c r="A130" s="175" t="s">
        <v>255</v>
      </c>
      <c r="B130" s="176" t="s">
        <v>256</v>
      </c>
      <c r="C130" s="177">
        <v>30.0</v>
      </c>
      <c r="D130" s="165" t="str">
        <f t="array" ref="D130">IFERROR(INDEX('Номенклатура_BAF'!$C$2:$C200, MATCH($B130, 'Номенклатура_BAF'!$B$2:$B200, 0)), "")</f>
        <v/>
      </c>
      <c r="E130" s="166" t="str">
        <f t="array" ref="E130">IFERROR(INDEX('Номенклатура_BAF'!$D$2:$D200, MATCH($B130, 'Номенклатура_BAF'!$B$2:$B200, 0)), "")</f>
        <v/>
      </c>
      <c r="F130" s="178"/>
      <c r="G130" s="205">
        <f t="shared" si="92"/>
        <v>0</v>
      </c>
      <c r="H130" s="180"/>
      <c r="I130" s="177"/>
      <c r="J130" s="181">
        <f t="shared" si="93"/>
        <v>0</v>
      </c>
      <c r="K130" s="171">
        <f t="shared" si="94"/>
        <v>30</v>
      </c>
      <c r="L130" s="182">
        <f t="shared" si="95"/>
        <v>0</v>
      </c>
      <c r="M130" s="256" t="str">
        <f t="array" ref="M130">IFERROR(IF(ISNUMBER(INDEX('Номенклатура_BAF_OLD'!$H$2:$H200, MATCH($B130, 'Номенклатура_BAF_OLD'!$B$2:$B200, 0))), 
    INDEX('Номенклатура_BAF_OLD'!$H$2:$H200, MATCH($B130, 'Номенклатура_BAF_OLD'!$B$2:$B200, 0)) * 'Копія аркуша КОШТОРИС'!C130, 
    ""), 
"")</f>
        <v/>
      </c>
      <c r="N130" s="174" t="str">
        <f t="array" ref="N130">IFERROR(INDEX('Номенклатура_BAF'!$G$2:$G200, MATCH($B130, 'Номенклатура_BAF'!$B$2:$B200, 0)), "")</f>
        <v/>
      </c>
      <c r="O130" s="200"/>
      <c r="P130" s="200"/>
      <c r="Q130" s="200"/>
      <c r="R130" s="200"/>
      <c r="S130" s="200"/>
      <c r="T130" s="162"/>
    </row>
    <row r="131" ht="15.0" customHeight="1">
      <c r="A131" s="175" t="s">
        <v>257</v>
      </c>
      <c r="B131" s="176" t="s">
        <v>258</v>
      </c>
      <c r="C131" s="177">
        <v>100.0</v>
      </c>
      <c r="D131" s="165" t="str">
        <f t="array" ref="D131">IFERROR(INDEX('Номенклатура_BAF'!$C$2:$C200, MATCH($B131, 'Номенклатура_BAF'!$B$2:$B200, 0)), "")</f>
        <v/>
      </c>
      <c r="E131" s="166" t="str">
        <f t="array" ref="E131">IFERROR(INDEX('Номенклатура_BAF'!$D$2:$D200, MATCH($B131, 'Номенклатура_BAF'!$B$2:$B200, 0)), "")</f>
        <v/>
      </c>
      <c r="F131" s="178"/>
      <c r="G131" s="205">
        <f t="shared" si="92"/>
        <v>0</v>
      </c>
      <c r="H131" s="180"/>
      <c r="I131" s="177"/>
      <c r="J131" s="181">
        <f t="shared" si="93"/>
        <v>0</v>
      </c>
      <c r="K131" s="171">
        <f t="shared" si="94"/>
        <v>100</v>
      </c>
      <c r="L131" s="182">
        <f t="shared" si="95"/>
        <v>0</v>
      </c>
      <c r="M131" s="256" t="str">
        <f t="array" ref="M131">IFERROR(IF(ISNUMBER(INDEX('Номенклатура_BAF_OLD'!$H$2:$H200, MATCH($B131, 'Номенклатура_BAF_OLD'!$B$2:$B200, 0))), 
    INDEX('Номенклатура_BAF_OLD'!$H$2:$H200, MATCH($B131, 'Номенклатура_BAF_OLD'!$B$2:$B200, 0)) * 'Копія аркуша КОШТОРИС'!C131, 
    ""), 
"")</f>
        <v/>
      </c>
      <c r="N131" s="174" t="str">
        <f t="array" ref="N131">IFERROR(INDEX('Номенклатура_BAF'!$G$2:$G200, MATCH($B131, 'Номенклатура_BAF'!$B$2:$B200, 0)), "")</f>
        <v/>
      </c>
      <c r="O131" s="200"/>
      <c r="P131" s="200"/>
      <c r="Q131" s="200"/>
      <c r="R131" s="200"/>
      <c r="S131" s="200"/>
      <c r="T131" s="162"/>
    </row>
    <row r="132" ht="15.0" customHeight="1">
      <c r="A132" s="175" t="s">
        <v>259</v>
      </c>
      <c r="B132" s="176" t="s">
        <v>260</v>
      </c>
      <c r="C132" s="177">
        <v>6.0</v>
      </c>
      <c r="D132" s="165" t="str">
        <f t="array" ref="D132">IFERROR(INDEX('Номенклатура_BAF'!$C$2:$C200, MATCH($B132, 'Номенклатура_BAF'!$B$2:$B200, 0)), "")</f>
        <v/>
      </c>
      <c r="E132" s="166" t="str">
        <f t="array" ref="E132">IFERROR(INDEX('Номенклатура_BAF'!$D$2:$D200, MATCH($B132, 'Номенклатура_BAF'!$B$2:$B200, 0)), "")</f>
        <v/>
      </c>
      <c r="F132" s="178"/>
      <c r="G132" s="205">
        <f t="shared" si="92"/>
        <v>0</v>
      </c>
      <c r="H132" s="180"/>
      <c r="I132" s="177"/>
      <c r="J132" s="181">
        <f t="shared" si="93"/>
        <v>0</v>
      </c>
      <c r="K132" s="171">
        <f t="shared" si="94"/>
        <v>6</v>
      </c>
      <c r="L132" s="182">
        <f t="shared" si="95"/>
        <v>0</v>
      </c>
      <c r="M132" s="256" t="str">
        <f t="array" ref="M132">IFERROR(IF(ISNUMBER(INDEX('Номенклатура_BAF_OLD'!$H$2:$H200, MATCH($B132, 'Номенклатура_BAF_OLD'!$B$2:$B200, 0))), 
    INDEX('Номенклатура_BAF_OLD'!$H$2:$H200, MATCH($B132, 'Номенклатура_BAF_OLD'!$B$2:$B200, 0)) * 'Копія аркуша КОШТОРИС'!C132, 
    ""), 
"")</f>
        <v/>
      </c>
      <c r="N132" s="208" t="str">
        <f t="array" ref="N132">IFERROR(INDEX('Номенклатура_BAF'!$G$2:$G200, MATCH($B132, 'Номенклатура_BAF'!$B$2:$B200, 0)), "")</f>
        <v/>
      </c>
      <c r="O132" s="200"/>
      <c r="P132" s="200"/>
      <c r="Q132" s="200"/>
      <c r="R132" s="200"/>
      <c r="S132" s="200"/>
      <c r="T132" s="162"/>
    </row>
    <row r="133" ht="15.0" customHeight="1">
      <c r="A133" s="175" t="s">
        <v>261</v>
      </c>
      <c r="B133" s="176" t="s">
        <v>262</v>
      </c>
      <c r="C133" s="177">
        <v>3.0</v>
      </c>
      <c r="D133" s="165" t="str">
        <f t="array" ref="D133">IFERROR(INDEX('Номенклатура_BAF'!$C$2:$C200, MATCH($B133, 'Номенклатура_BAF'!$B$2:$B200, 0)), "")</f>
        <v/>
      </c>
      <c r="E133" s="166" t="str">
        <f t="array" ref="E133">IFERROR(INDEX('Номенклатура_BAF'!$D$2:$D200, MATCH($B133, 'Номенклатура_BAF'!$B$2:$B200, 0)), "")</f>
        <v/>
      </c>
      <c r="F133" s="178"/>
      <c r="G133" s="205">
        <f t="shared" si="92"/>
        <v>0</v>
      </c>
      <c r="H133" s="180"/>
      <c r="I133" s="177"/>
      <c r="J133" s="181">
        <f t="shared" si="93"/>
        <v>0</v>
      </c>
      <c r="K133" s="171">
        <f t="shared" si="94"/>
        <v>3</v>
      </c>
      <c r="L133" s="182">
        <f t="shared" si="95"/>
        <v>0</v>
      </c>
      <c r="M133" s="256" t="str">
        <f t="array" ref="M133">IFERROR(IF(ISNUMBER(INDEX('Номенклатура_BAF_OLD'!$H$2:$H200, MATCH($B133, 'Номенклатура_BAF_OLD'!$B$2:$B200, 0))), 
    INDEX('Номенклатура_BAF_OLD'!$H$2:$H200, MATCH($B133, 'Номенклатура_BAF_OLD'!$B$2:$B200, 0)) * 'Копія аркуша КОШТОРИС'!C133, 
    ""), 
"")</f>
        <v/>
      </c>
      <c r="N133" s="208" t="str">
        <f t="array" ref="N133">IFERROR(INDEX('Номенклатура_BAF'!$G$2:$G200, MATCH($B133, 'Номенклатура_BAF'!$B$2:$B200, 0)), "")</f>
        <v/>
      </c>
      <c r="O133" s="200"/>
      <c r="P133" s="200"/>
      <c r="Q133" s="200"/>
      <c r="R133" s="200"/>
      <c r="S133" s="200"/>
      <c r="T133" s="162"/>
    </row>
    <row r="134" ht="15.0" customHeight="1">
      <c r="A134" s="175" t="s">
        <v>263</v>
      </c>
      <c r="B134" s="176" t="s">
        <v>264</v>
      </c>
      <c r="C134" s="177">
        <v>6.0</v>
      </c>
      <c r="D134" s="165" t="str">
        <f t="array" ref="D134">IFERROR(INDEX('Номенклатура_BAF'!$C$2:$C200, MATCH($B134, 'Номенклатура_BAF'!$B$2:$B200, 0)), "")</f>
        <v/>
      </c>
      <c r="E134" s="166" t="str">
        <f t="array" ref="E134">IFERROR(INDEX('Номенклатура_BAF'!$D$2:$D200, MATCH($B134, 'Номенклатура_BAF'!$B$2:$B200, 0)), "")</f>
        <v/>
      </c>
      <c r="F134" s="178"/>
      <c r="G134" s="205">
        <f t="shared" si="92"/>
        <v>0</v>
      </c>
      <c r="H134" s="180"/>
      <c r="I134" s="177"/>
      <c r="J134" s="181">
        <f t="shared" si="93"/>
        <v>0</v>
      </c>
      <c r="K134" s="171">
        <f t="shared" si="94"/>
        <v>6</v>
      </c>
      <c r="L134" s="182">
        <f t="shared" si="95"/>
        <v>0</v>
      </c>
      <c r="M134" s="256" t="str">
        <f t="array" ref="M134">IFERROR(IF(ISNUMBER(INDEX('Номенклатура_BAF_OLD'!$H$2:$H200, MATCH($B134, 'Номенклатура_BAF_OLD'!$B$2:$B200, 0))), 
    INDEX('Номенклатура_BAF_OLD'!$H$2:$H200, MATCH($B134, 'Номенклатура_BAF_OLD'!$B$2:$B200, 0)) * 'Копія аркуша КОШТОРИС'!C134, 
    ""), 
"")</f>
        <v/>
      </c>
      <c r="N134" s="174" t="str">
        <f t="array" ref="N134">IFERROR(INDEX('Номенклатура_BAF'!$G$2:$G200, MATCH($B134, 'Номенклатура_BAF'!$B$2:$B200, 0)), "")</f>
        <v/>
      </c>
      <c r="O134" s="200"/>
      <c r="P134" s="200"/>
      <c r="Q134" s="200"/>
      <c r="R134" s="200"/>
      <c r="S134" s="200"/>
      <c r="T134" s="162"/>
    </row>
    <row r="135" ht="15.0" customHeight="1">
      <c r="A135" s="175" t="s">
        <v>265</v>
      </c>
      <c r="B135" s="176" t="s">
        <v>266</v>
      </c>
      <c r="C135" s="177">
        <v>15.0</v>
      </c>
      <c r="D135" s="165" t="str">
        <f t="array" ref="D135">IFERROR(INDEX('Номенклатура_BAF'!$C$2:$C200, MATCH($B135, 'Номенклатура_BAF'!$B$2:$B200, 0)), "")</f>
        <v/>
      </c>
      <c r="E135" s="166" t="str">
        <f t="array" ref="E135">IFERROR(INDEX('Номенклатура_BAF'!$D$2:$D200, MATCH($B135, 'Номенклатура_BAF'!$B$2:$B200, 0)), "")</f>
        <v/>
      </c>
      <c r="F135" s="178"/>
      <c r="G135" s="205">
        <f t="shared" si="92"/>
        <v>0</v>
      </c>
      <c r="H135" s="180"/>
      <c r="I135" s="177"/>
      <c r="J135" s="181">
        <f t="shared" si="93"/>
        <v>0</v>
      </c>
      <c r="K135" s="171">
        <f t="shared" si="94"/>
        <v>15</v>
      </c>
      <c r="L135" s="182">
        <f t="shared" si="95"/>
        <v>0</v>
      </c>
      <c r="M135" s="256" t="str">
        <f t="array" ref="M135">IFERROR(IF(ISNUMBER(INDEX('Номенклатура_BAF_OLD'!$H$2:$H200, MATCH($B135, 'Номенклатура_BAF_OLD'!$B$2:$B200, 0))), 
    INDEX('Номенклатура_BAF_OLD'!$H$2:$H200, MATCH($B135, 'Номенклатура_BAF_OLD'!$B$2:$B200, 0)) * 'Копія аркуша КОШТОРИС'!C135, 
    ""), 
"")</f>
        <v/>
      </c>
      <c r="N135" s="174" t="str">
        <f t="array" ref="N135">IFERROR(INDEX('Номенклатура_BAF'!$G$2:$G200, MATCH($B135, 'Номенклатура_BAF'!$B$2:$B200, 0)), "")</f>
        <v/>
      </c>
      <c r="O135" s="200"/>
      <c r="P135" s="200"/>
      <c r="Q135" s="200"/>
      <c r="R135" s="200"/>
      <c r="S135" s="200"/>
      <c r="T135" s="162"/>
    </row>
    <row r="136" ht="15.0" customHeight="1">
      <c r="A136" s="175" t="s">
        <v>267</v>
      </c>
      <c r="B136" s="176" t="s">
        <v>268</v>
      </c>
      <c r="C136" s="177">
        <v>3.0</v>
      </c>
      <c r="D136" s="165" t="str">
        <f t="array" ref="D136">IFERROR(INDEX('Номенклатура_BAF'!$C$2:$C200, MATCH($B136, 'Номенклатура_BAF'!$B$2:$B200, 0)), "")</f>
        <v/>
      </c>
      <c r="E136" s="166" t="str">
        <f t="array" ref="E136">IFERROR(INDEX('Номенклатура_BAF'!$D$2:$D200, MATCH($B136, 'Номенклатура_BAF'!$B$2:$B200, 0)), "")</f>
        <v/>
      </c>
      <c r="F136" s="178"/>
      <c r="G136" s="205">
        <f t="shared" si="92"/>
        <v>0</v>
      </c>
      <c r="H136" s="180"/>
      <c r="I136" s="177"/>
      <c r="J136" s="181">
        <f t="shared" si="93"/>
        <v>0</v>
      </c>
      <c r="K136" s="171">
        <f t="shared" si="94"/>
        <v>3</v>
      </c>
      <c r="L136" s="182">
        <f t="shared" si="95"/>
        <v>0</v>
      </c>
      <c r="M136" s="256" t="str">
        <f t="array" ref="M136">IFERROR(IF(ISNUMBER(INDEX('Номенклатура_BAF_OLD'!$H$2:$H200, MATCH($B136, 'Номенклатура_BAF_OLD'!$B$2:$B200, 0))), 
    INDEX('Номенклатура_BAF_OLD'!$H$2:$H200, MATCH($B136, 'Номенклатура_BAF_OLD'!$B$2:$B200, 0)) * 'Копія аркуша КОШТОРИС'!C136, 
    ""), 
"")</f>
        <v/>
      </c>
      <c r="N136" s="174" t="str">
        <f t="array" ref="N136">IFERROR(INDEX('Номенклатура_BAF'!$G$2:$G200, MATCH($B136, 'Номенклатура_BAF'!$B$2:$B200, 0)), "")</f>
        <v/>
      </c>
      <c r="O136" s="200"/>
      <c r="P136" s="200"/>
      <c r="Q136" s="200"/>
      <c r="R136" s="200"/>
      <c r="S136" s="200"/>
      <c r="T136" s="162"/>
    </row>
    <row r="137" ht="15.0" customHeight="1">
      <c r="A137" s="175" t="s">
        <v>269</v>
      </c>
      <c r="B137" s="176"/>
      <c r="C137" s="177"/>
      <c r="D137" s="165" t="str">
        <f t="array" ref="D137">IFERROR(INDEX('Номенклатура_BAF'!$C$2:$C200, MATCH($B137, 'Номенклатура_BAF'!$B$2:$B200, 0)), "")</f>
        <v/>
      </c>
      <c r="E137" s="166" t="str">
        <f t="array" ref="E137">IFERROR(INDEX('Номенклатура_BAF'!$D$2:$D200, MATCH($B137, 'Номенклатура_BAF'!$B$2:$B200, 0)), "")</f>
        <v/>
      </c>
      <c r="F137" s="178"/>
      <c r="G137" s="205">
        <f t="shared" si="92"/>
        <v>0</v>
      </c>
      <c r="H137" s="180"/>
      <c r="I137" s="177"/>
      <c r="J137" s="181">
        <f t="shared" si="93"/>
        <v>0</v>
      </c>
      <c r="K137" s="171">
        <f t="shared" si="94"/>
        <v>0</v>
      </c>
      <c r="L137" s="182">
        <f t="shared" si="95"/>
        <v>0</v>
      </c>
      <c r="M137" s="256" t="str">
        <f t="array" ref="M137">IFERROR(IF(ISNUMBER(INDEX('Номенклатура_BAF_OLD'!$H$2:$H200, MATCH($B137, 'Номенклатура_BAF_OLD'!$B$2:$B200, 0))), 
    INDEX('Номенклатура_BAF_OLD'!$H$2:$H200, MATCH($B137, 'Номенклатура_BAF_OLD'!$B$2:$B200, 0)) * 'Копія аркуша КОШТОРИС'!C137, 
    ""), 
"")</f>
        <v/>
      </c>
      <c r="N137" s="174" t="str">
        <f t="array" ref="N137">IFERROR(INDEX('Номенклатура_BAF'!$G$2:$G200, MATCH($B137, 'Номенклатура_BAF'!$B$2:$B200, 0)), "")</f>
        <v/>
      </c>
      <c r="O137" s="200"/>
      <c r="P137" s="200"/>
      <c r="Q137" s="200"/>
      <c r="R137" s="200"/>
      <c r="S137" s="200"/>
      <c r="T137" s="162"/>
    </row>
    <row r="138" ht="15.0" customHeight="1">
      <c r="A138" s="175" t="s">
        <v>270</v>
      </c>
      <c r="B138" s="176"/>
      <c r="C138" s="177"/>
      <c r="D138" s="165" t="str">
        <f t="array" ref="D138">IFERROR(INDEX('Номенклатура_BAF'!$C$2:$C200, MATCH($B138, 'Номенклатура_BAF'!$B$2:$B200, 0)), "")</f>
        <v/>
      </c>
      <c r="E138" s="166" t="str">
        <f t="array" ref="E138">IFERROR(INDEX('Номенклатура_BAF'!$D$2:$D200, MATCH($B138, 'Номенклатура_BAF'!$B$2:$B200, 0)), "")</f>
        <v/>
      </c>
      <c r="F138" s="178"/>
      <c r="G138" s="205">
        <f t="shared" si="92"/>
        <v>0</v>
      </c>
      <c r="H138" s="180"/>
      <c r="I138" s="177"/>
      <c r="J138" s="181">
        <f t="shared" si="93"/>
        <v>0</v>
      </c>
      <c r="K138" s="171">
        <f t="shared" si="94"/>
        <v>0</v>
      </c>
      <c r="L138" s="182">
        <f t="shared" si="95"/>
        <v>0</v>
      </c>
      <c r="M138" s="256" t="str">
        <f t="array" ref="M138">IFERROR(IF(ISNUMBER(INDEX('Номенклатура_BAF_OLD'!$H$2:$H200, MATCH($B138, 'Номенклатура_BAF_OLD'!$B$2:$B200, 0))), 
    INDEX('Номенклатура_BAF_OLD'!$H$2:$H200, MATCH($B138, 'Номенклатура_BAF_OLD'!$B$2:$B200, 0)) * 'Копія аркуша КОШТОРИС'!C138, 
    ""), 
"")</f>
        <v/>
      </c>
      <c r="N138" s="174" t="str">
        <f t="array" ref="N138">IFERROR(INDEX('Номенклатура_BAF'!$G$2:$G200, MATCH($B138, 'Номенклатура_BAF'!$B$2:$B200, 0)), "")</f>
        <v/>
      </c>
      <c r="O138" s="200"/>
      <c r="P138" s="200"/>
      <c r="Q138" s="200"/>
      <c r="R138" s="200"/>
      <c r="S138" s="200"/>
      <c r="T138" s="162"/>
    </row>
    <row r="139" ht="15.0" customHeight="1">
      <c r="A139" s="175" t="s">
        <v>271</v>
      </c>
      <c r="B139" s="176"/>
      <c r="C139" s="177"/>
      <c r="D139" s="165" t="str">
        <f t="array" ref="D139">IFERROR(INDEX('Номенклатура_BAF'!$C$2:$C200, MATCH($B139, 'Номенклатура_BAF'!$B$2:$B200, 0)), "")</f>
        <v/>
      </c>
      <c r="E139" s="166" t="str">
        <f t="array" ref="E139">IFERROR(INDEX('Номенклатура_BAF'!$D$2:$D200, MATCH($B139, 'Номенклатура_BAF'!$B$2:$B200, 0)), "")</f>
        <v/>
      </c>
      <c r="F139" s="238"/>
      <c r="G139" s="205">
        <f t="shared" si="92"/>
        <v>0</v>
      </c>
      <c r="H139" s="180"/>
      <c r="I139" s="177"/>
      <c r="J139" s="181">
        <f t="shared" si="93"/>
        <v>0</v>
      </c>
      <c r="K139" s="171">
        <f t="shared" si="94"/>
        <v>0</v>
      </c>
      <c r="L139" s="182">
        <f t="shared" si="95"/>
        <v>0</v>
      </c>
      <c r="M139" s="256" t="str">
        <f t="array" ref="M139">IFERROR(IF(ISNUMBER(INDEX('Номенклатура_BAF_OLD'!$H$2:$H200, MATCH($B139, 'Номенклатура_BAF_OLD'!$B$2:$B200, 0))), 
    INDEX('Номенклатура_BAF_OLD'!$H$2:$H200, MATCH($B139, 'Номенклатура_BAF_OLD'!$B$2:$B200, 0)) * 'Копія аркуша КОШТОРИС'!C139, 
    ""), 
"")</f>
        <v/>
      </c>
      <c r="N139" s="174" t="str">
        <f t="array" ref="N139">IFERROR(INDEX('Номенклатура_BAF'!$G$2:$G200, MATCH($B139, 'Номенклатура_BAF'!$B$2:$B200, 0)), "")</f>
        <v/>
      </c>
      <c r="O139" s="200"/>
      <c r="P139" s="200"/>
      <c r="Q139" s="200"/>
      <c r="R139" s="200"/>
      <c r="S139" s="200"/>
      <c r="T139" s="162"/>
    </row>
    <row r="140" ht="15.0" customHeight="1">
      <c r="A140" s="175" t="s">
        <v>272</v>
      </c>
      <c r="B140" s="176"/>
      <c r="C140" s="177"/>
      <c r="D140" s="165" t="str">
        <f t="array" ref="D140">IFERROR(INDEX('Номенклатура_BAF'!$C$2:$C200, MATCH($B140, 'Номенклатура_BAF'!$B$2:$B200, 0)), "")</f>
        <v/>
      </c>
      <c r="E140" s="166" t="str">
        <f t="array" ref="E140">IFERROR(INDEX('Номенклатура_BAF'!$D$2:$D200, MATCH($B140, 'Номенклатура_BAF'!$B$2:$B200, 0)), "")</f>
        <v/>
      </c>
      <c r="F140" s="178"/>
      <c r="G140" s="205">
        <f t="shared" si="92"/>
        <v>0</v>
      </c>
      <c r="H140" s="180"/>
      <c r="I140" s="177"/>
      <c r="J140" s="181">
        <f t="shared" si="93"/>
        <v>0</v>
      </c>
      <c r="K140" s="171">
        <f t="shared" si="94"/>
        <v>0</v>
      </c>
      <c r="L140" s="182">
        <f t="shared" si="95"/>
        <v>0</v>
      </c>
      <c r="M140" s="256" t="str">
        <f t="array" ref="M140">IFERROR(IF(ISNUMBER(INDEX('Номенклатура_BAF_OLD'!$H$2:$H200, MATCH($B140, 'Номенклатура_BAF_OLD'!$B$2:$B200, 0))), 
    INDEX('Номенклатура_BAF_OLD'!$H$2:$H200, MATCH($B140, 'Номенклатура_BAF_OLD'!$B$2:$B200, 0)) * 'Копія аркуша КОШТОРИС'!C140, 
    ""), 
"")</f>
        <v/>
      </c>
      <c r="N140" s="174" t="str">
        <f t="array" ref="N140">IFERROR(INDEX('Номенклатура_BAF'!$G$2:$G200, MATCH($B140, 'Номенклатура_BAF'!$B$2:$B200, 0)), "")</f>
        <v/>
      </c>
      <c r="O140" s="200"/>
      <c r="P140" s="200"/>
      <c r="Q140" s="200"/>
      <c r="R140" s="200"/>
      <c r="S140" s="200"/>
      <c r="T140" s="162"/>
    </row>
    <row r="141" ht="15.0" customHeight="1">
      <c r="A141" s="175" t="s">
        <v>273</v>
      </c>
      <c r="B141" s="176"/>
      <c r="C141" s="177"/>
      <c r="D141" s="165" t="str">
        <f t="array" ref="D141">IFERROR(INDEX('Номенклатура_BAF'!$C$2:$C200, MATCH($B141, 'Номенклатура_BAF'!$B$2:$B200, 0)), "")</f>
        <v/>
      </c>
      <c r="E141" s="166" t="str">
        <f t="array" ref="E141">IFERROR(INDEX('Номенклатура_BAF'!$D$2:$D200, MATCH($B141, 'Номенклатура_BAF'!$B$2:$B200, 0)), "")</f>
        <v/>
      </c>
      <c r="F141" s="178"/>
      <c r="G141" s="205">
        <f t="shared" si="92"/>
        <v>0</v>
      </c>
      <c r="H141" s="180"/>
      <c r="I141" s="177"/>
      <c r="J141" s="181">
        <f t="shared" si="93"/>
        <v>0</v>
      </c>
      <c r="K141" s="171">
        <f t="shared" si="94"/>
        <v>0</v>
      </c>
      <c r="L141" s="182">
        <f t="shared" si="95"/>
        <v>0</v>
      </c>
      <c r="M141" s="256" t="str">
        <f t="array" ref="M141">IFERROR(IF(ISNUMBER(INDEX('Номенклатура_BAF_OLD'!$H$2:$H200, MATCH($B141, 'Номенклатура_BAF_OLD'!$B$2:$B200, 0))), 
    INDEX('Номенклатура_BAF_OLD'!$H$2:$H200, MATCH($B141, 'Номенклатура_BAF_OLD'!$B$2:$B200, 0)) * 'Копія аркуша КОШТОРИС'!C141, 
    ""), 
"")</f>
        <v/>
      </c>
      <c r="N141" s="174" t="str">
        <f t="array" ref="N141">IFERROR(INDEX('Номенклатура_BAF'!$G$2:$G200, MATCH($B141, 'Номенклатура_BAF'!$B$2:$B200, 0)), "")</f>
        <v/>
      </c>
      <c r="O141" s="200"/>
      <c r="P141" s="200"/>
      <c r="Q141" s="200"/>
      <c r="R141" s="200"/>
      <c r="S141" s="200"/>
      <c r="T141" s="162"/>
    </row>
    <row r="142" ht="15.0" customHeight="1">
      <c r="A142" s="183" t="s">
        <v>274</v>
      </c>
      <c r="B142" s="184"/>
      <c r="C142" s="185"/>
      <c r="D142" s="165" t="str">
        <f t="array" ref="D142">IFERROR(INDEX('Номенклатура_BAF'!$C$2:$C200, MATCH($B142, 'Номенклатура_BAF'!$B$2:$B200, 0)), "")</f>
        <v/>
      </c>
      <c r="E142" s="166" t="str">
        <f t="array" ref="E142">IFERROR(INDEX('Номенклатура_BAF'!$D$2:$D200, MATCH($B142, 'Номенклатура_BAF'!$B$2:$B200, 0)), "")</f>
        <v/>
      </c>
      <c r="F142" s="186"/>
      <c r="G142" s="197">
        <f t="shared" si="92"/>
        <v>0</v>
      </c>
      <c r="H142" s="188"/>
      <c r="I142" s="185"/>
      <c r="J142" s="189">
        <f t="shared" si="93"/>
        <v>0</v>
      </c>
      <c r="K142" s="171">
        <f t="shared" si="94"/>
        <v>0</v>
      </c>
      <c r="L142" s="190">
        <f t="shared" si="95"/>
        <v>0</v>
      </c>
      <c r="M142" s="256" t="str">
        <f t="array" ref="M142">IFERROR(IF(ISNUMBER(INDEX('Номенклатура_BAF_OLD'!$H$2:$H200, MATCH($B142, 'Номенклатура_BAF_OLD'!$B$2:$B200, 0))), 
    INDEX('Номенклатура_BAF_OLD'!$H$2:$H200, MATCH($B142, 'Номенклатура_BAF_OLD'!$B$2:$B200, 0)) * 'Копія аркуша КОШТОРИС'!C142, 
    ""), 
"")</f>
        <v/>
      </c>
      <c r="N142" s="174" t="str">
        <f t="array" ref="N142">IFERROR(INDEX('Номенклатура_BAF'!$G$2:$G200, MATCH($B142, 'Номенклатура_BAF'!$B$2:$B200, 0)), "")</f>
        <v/>
      </c>
      <c r="O142" s="200"/>
      <c r="P142" s="200"/>
      <c r="Q142" s="200"/>
      <c r="R142" s="200"/>
      <c r="S142" s="200"/>
      <c r="T142" s="162"/>
    </row>
    <row r="143" ht="15.0" customHeight="1">
      <c r="A143" s="183" t="s">
        <v>275</v>
      </c>
      <c r="B143" s="184"/>
      <c r="C143" s="185"/>
      <c r="D143" s="165" t="str">
        <f t="array" ref="D143">IFERROR(INDEX('Номенклатура_BAF'!$C$2:$C200, MATCH($B143, 'Номенклатура_BAF'!$B$2:$B200, 0)), "")</f>
        <v/>
      </c>
      <c r="E143" s="166" t="str">
        <f t="array" ref="E143">IFERROR(INDEX('Номенклатура_BAF'!$D$2:$D200, MATCH($B143, 'Номенклатура_BAF'!$B$2:$B200, 0)), "")</f>
        <v/>
      </c>
      <c r="F143" s="186"/>
      <c r="G143" s="197">
        <f t="shared" si="92"/>
        <v>0</v>
      </c>
      <c r="H143" s="188"/>
      <c r="I143" s="185"/>
      <c r="J143" s="189">
        <f t="shared" si="93"/>
        <v>0</v>
      </c>
      <c r="K143" s="171">
        <f t="shared" si="94"/>
        <v>0</v>
      </c>
      <c r="L143" s="190">
        <f t="shared" si="95"/>
        <v>0</v>
      </c>
      <c r="M143" s="256" t="str">
        <f t="array" ref="M143">IFERROR(IF(ISNUMBER(INDEX('Номенклатура_BAF_OLD'!$H$2:$H200, MATCH($B143, 'Номенклатура_BAF_OLD'!$B$2:$B200, 0))), 
    INDEX('Номенклатура_BAF_OLD'!$H$2:$H200, MATCH($B143, 'Номенклатура_BAF_OLD'!$B$2:$B200, 0)) * 'Копія аркуша КОШТОРИС'!C143, 
    ""), 
"")</f>
        <v/>
      </c>
      <c r="N143" s="174" t="str">
        <f t="array" ref="N143">IFERROR(INDEX('Номенклатура_BAF'!$G$2:$G200, MATCH($B143, 'Номенклатура_BAF'!$B$2:$B200, 0)), "")</f>
        <v/>
      </c>
      <c r="O143" s="200"/>
      <c r="P143" s="200"/>
      <c r="Q143" s="200"/>
      <c r="R143" s="200"/>
      <c r="S143" s="200"/>
      <c r="T143" s="162"/>
    </row>
    <row r="144" ht="18.75" customHeight="1">
      <c r="A144" s="240" t="s">
        <v>276</v>
      </c>
      <c r="B144" s="241" t="s">
        <v>277</v>
      </c>
      <c r="C144" s="241"/>
      <c r="D144" s="241"/>
      <c r="E144" s="241"/>
      <c r="F144" s="241"/>
      <c r="G144" s="242" t="str">
        <f t="array" ref="G144">SUM(OFFSET(INDIRECT(ADDRESS(ROW(), COLUMN())), 1, 0, MATCH("Номенклатура BAF та додаткові матеріали", $B:$B, 0) - ROW() - 1))</f>
        <v>#REF!</v>
      </c>
      <c r="H144" s="243"/>
      <c r="I144" s="241"/>
      <c r="J144" s="244">
        <f t="shared" ref="J144:L144" si="96">SUM(OFFSET(INDIRECT(ADDRESS(ROW(), COLUMN())), 1, 0, MATCH("Номенклатура BAF та додаткові матеріали", $B:$B, 0) - ROW() - 1))</f>
        <v>0</v>
      </c>
      <c r="K144" s="159">
        <f t="shared" si="96"/>
        <v>3</v>
      </c>
      <c r="L144" s="160" t="str">
        <f t="shared" si="96"/>
        <v>#REF!</v>
      </c>
      <c r="M144" s="173"/>
      <c r="N144" s="174" t="str">
        <f t="array" ref="N144">IFERROR(INDEX('Номенклатура_BAF'!$G$2:$G200, MATCH($B144, 'Номенклатура_BAF'!$B$2:$B200, 0)), "")</f>
        <v/>
      </c>
      <c r="O144" s="200"/>
      <c r="P144" s="200"/>
      <c r="Q144" s="200"/>
      <c r="R144" s="200"/>
      <c r="S144" s="200"/>
      <c r="T144" s="162"/>
    </row>
    <row r="145" ht="15.0" customHeight="1">
      <c r="A145" s="257" t="s">
        <v>278</v>
      </c>
      <c r="B145" s="258" t="s">
        <v>279</v>
      </c>
      <c r="C145" s="259">
        <v>1.0</v>
      </c>
      <c r="D145" s="260"/>
      <c r="E145" s="261"/>
      <c r="F145" s="262"/>
      <c r="G145" s="203" t="str">
        <f>'Вартість монтажу_Приватні СЕС'!F49</f>
        <v>#REF!</v>
      </c>
      <c r="H145" s="263"/>
      <c r="I145" s="260"/>
      <c r="J145" s="170">
        <f t="shared" ref="J145:J149" si="97">E145*(I145+H145)</f>
        <v>0</v>
      </c>
      <c r="K145" s="171">
        <f t="shared" ref="K145:K149" si="98">C145-(H145+I145)</f>
        <v>1</v>
      </c>
      <c r="L145" s="172" t="str">
        <f t="shared" ref="L145:L149" si="99">G145-J145</f>
        <v>#REF!</v>
      </c>
      <c r="M145" s="173"/>
      <c r="N145" s="174" t="str">
        <f t="array" ref="N145">IFERROR(INDEX('Номенклатура_BAF'!$G$2:$G200, MATCH($B145, 'Номенклатура_BAF'!$B$2:$B200, 0)), "")</f>
        <v/>
      </c>
      <c r="O145" s="200"/>
      <c r="P145" s="200"/>
      <c r="Q145" s="200"/>
      <c r="R145" s="200"/>
      <c r="S145" s="200"/>
      <c r="T145" s="162"/>
    </row>
    <row r="146" ht="15.0" customHeight="1">
      <c r="A146" s="264" t="s">
        <v>280</v>
      </c>
      <c r="B146" s="265" t="s">
        <v>281</v>
      </c>
      <c r="C146" s="266"/>
      <c r="D146" s="260"/>
      <c r="E146" s="267"/>
      <c r="F146" s="268"/>
      <c r="G146" s="205">
        <f>E146*C146</f>
        <v>0</v>
      </c>
      <c r="H146" s="269"/>
      <c r="I146" s="196"/>
      <c r="J146" s="181">
        <f t="shared" si="97"/>
        <v>0</v>
      </c>
      <c r="K146" s="171">
        <f t="shared" si="98"/>
        <v>0</v>
      </c>
      <c r="L146" s="182">
        <f t="shared" si="99"/>
        <v>0</v>
      </c>
      <c r="M146" s="173"/>
      <c r="N146" s="174" t="str">
        <f t="array" ref="N146">IFERROR(INDEX('Номенклатура_BAF'!$G$2:$G200, MATCH($B146, 'Номенклатура_BAF'!$B$2:$B200, 0)), "")</f>
        <v/>
      </c>
      <c r="O146" s="200"/>
      <c r="P146" s="200"/>
      <c r="Q146" s="200"/>
      <c r="R146" s="200"/>
      <c r="S146" s="200"/>
      <c r="T146" s="162"/>
    </row>
    <row r="147" ht="15.0" customHeight="1">
      <c r="A147" s="264" t="s">
        <v>282</v>
      </c>
      <c r="B147" s="265" t="s">
        <v>283</v>
      </c>
      <c r="C147" s="266">
        <v>1.0</v>
      </c>
      <c r="D147" s="260"/>
      <c r="E147" s="267"/>
      <c r="F147" s="268"/>
      <c r="G147" s="205">
        <v>250.0</v>
      </c>
      <c r="H147" s="269"/>
      <c r="I147" s="196"/>
      <c r="J147" s="181">
        <f t="shared" si="97"/>
        <v>0</v>
      </c>
      <c r="K147" s="171">
        <f t="shared" si="98"/>
        <v>1</v>
      </c>
      <c r="L147" s="182">
        <f t="shared" si="99"/>
        <v>250</v>
      </c>
      <c r="M147" s="173"/>
      <c r="N147" s="174" t="str">
        <f t="array" ref="N147">IFERROR(INDEX('Номенклатура_BAF'!$G$2:$G200, MATCH($B147, 'Номенклатура_BAF'!$B$2:$B200, 0)), "")</f>
        <v/>
      </c>
      <c r="O147" s="200"/>
      <c r="P147" s="200"/>
      <c r="Q147" s="200"/>
      <c r="R147" s="200"/>
      <c r="S147" s="200"/>
      <c r="T147" s="162"/>
    </row>
    <row r="148" ht="15.0" customHeight="1">
      <c r="A148" s="264" t="s">
        <v>284</v>
      </c>
      <c r="B148" s="265" t="s">
        <v>285</v>
      </c>
      <c r="C148" s="266">
        <v>1.0</v>
      </c>
      <c r="D148" s="260"/>
      <c r="E148" s="267"/>
      <c r="F148" s="268"/>
      <c r="G148" s="205">
        <v>100.0</v>
      </c>
      <c r="H148" s="269"/>
      <c r="I148" s="196"/>
      <c r="J148" s="181">
        <f t="shared" si="97"/>
        <v>0</v>
      </c>
      <c r="K148" s="171">
        <f t="shared" si="98"/>
        <v>1</v>
      </c>
      <c r="L148" s="182">
        <f t="shared" si="99"/>
        <v>100</v>
      </c>
      <c r="M148" s="173"/>
      <c r="N148" s="174" t="str">
        <f t="array" ref="N148">IFERROR(INDEX('Номенклатура_BAF'!$G$2:$G200, MATCH($B148, 'Номенклатура_BAF'!$B$2:$B200, 0)), "")</f>
        <v/>
      </c>
      <c r="O148" s="200"/>
      <c r="P148" s="200"/>
      <c r="Q148" s="200"/>
      <c r="R148" s="200"/>
      <c r="S148" s="200"/>
      <c r="T148" s="162"/>
    </row>
    <row r="149" ht="15.0" customHeight="1">
      <c r="A149" s="270" t="s">
        <v>286</v>
      </c>
      <c r="B149" s="271" t="s">
        <v>287</v>
      </c>
      <c r="C149" s="272"/>
      <c r="D149" s="260"/>
      <c r="E149" s="273"/>
      <c r="F149" s="274"/>
      <c r="G149" s="275">
        <f>E149*C149</f>
        <v>0</v>
      </c>
      <c r="H149" s="276"/>
      <c r="I149" s="277"/>
      <c r="J149" s="189">
        <f t="shared" si="97"/>
        <v>0</v>
      </c>
      <c r="K149" s="171">
        <f t="shared" si="98"/>
        <v>0</v>
      </c>
      <c r="L149" s="190">
        <f t="shared" si="99"/>
        <v>0</v>
      </c>
      <c r="M149" s="173"/>
      <c r="N149" s="174" t="str">
        <f t="array" ref="N149">IFERROR(INDEX('Номенклатура_BAF'!$G$2:$G200, MATCH($B149, 'Номенклатура_BAF'!$B$2:$B200, 0)), "")</f>
        <v/>
      </c>
      <c r="O149" s="200"/>
      <c r="P149" s="200"/>
      <c r="Q149" s="200"/>
      <c r="R149" s="200"/>
      <c r="S149" s="200"/>
      <c r="T149" s="162"/>
    </row>
    <row r="150" ht="18.75" customHeight="1">
      <c r="A150" s="278" t="s">
        <v>288</v>
      </c>
      <c r="B150" s="279" t="s">
        <v>289</v>
      </c>
      <c r="C150" s="279"/>
      <c r="D150" s="279"/>
      <c r="E150" s="279"/>
      <c r="F150" s="279"/>
      <c r="G150" s="280">
        <f t="array" ref="G150">SUM(OFFSET(INDIRECT(ADDRESS(ROW(), COLUMN())), 1, 0, MATCH("Облікова ціна БГ з ПДВ:", $F:$F, 0) - ROW() - 1))</f>
        <v>0</v>
      </c>
      <c r="H150" s="281"/>
      <c r="I150" s="279"/>
      <c r="J150" s="282">
        <f t="shared" ref="J150:L150" si="100">SUM(OFFSET(INDIRECT(ADDRESS(ROW(), COLUMN())), 1, 0, MATCH("Облікова ціна БГ з ПДВ:", $F:$F, 0) - ROW() - 1))</f>
        <v>0</v>
      </c>
      <c r="K150" s="159">
        <f t="shared" si="100"/>
        <v>0</v>
      </c>
      <c r="L150" s="160">
        <f t="shared" si="100"/>
        <v>0</v>
      </c>
      <c r="M150" s="173"/>
      <c r="N150" s="174" t="str">
        <f t="array" ref="N150">IFERROR(INDEX('Номенклатура_BAF'!$G$2:$G200, MATCH($B150, 'Номенклатура_BAF'!$B$2:$B200, 0)), "")</f>
        <v/>
      </c>
      <c r="O150" s="200"/>
      <c r="P150" s="200"/>
      <c r="Q150" s="200"/>
      <c r="R150" s="200"/>
      <c r="S150" s="200"/>
      <c r="T150" s="162"/>
    </row>
    <row r="151" ht="15.0" customHeight="1">
      <c r="A151" s="264" t="s">
        <v>290</v>
      </c>
      <c r="B151" s="283"/>
      <c r="C151" s="284"/>
      <c r="D151" s="165" t="str">
        <f t="array" ref="D151">IFERROR(INDEX('Номенклатура_BAF'!$C$2:$C200, MATCH($B151, 'Номенклатура_BAF'!$B$2:$B200, 0)), "")</f>
        <v/>
      </c>
      <c r="E151" s="166" t="str">
        <f t="array" ref="E151">IFERROR(INDEX('Номенклатура_BAF'!$D$2:$D200, MATCH($B151, 'Номенклатура_BAF'!$B$2:$B200, 0)), "")</f>
        <v/>
      </c>
      <c r="F151" s="285"/>
      <c r="G151" s="203">
        <f t="shared" ref="G151:G165" si="101">$E151*$C151</f>
        <v>0</v>
      </c>
      <c r="H151" s="286"/>
      <c r="I151" s="287"/>
      <c r="J151" s="288">
        <f t="shared" ref="J151:J165" si="102">E151*(I151+H151)</f>
        <v>0</v>
      </c>
      <c r="K151" s="171">
        <f t="shared" ref="K151:K165" si="103">C151-(H151+I151)</f>
        <v>0</v>
      </c>
      <c r="L151" s="172">
        <f t="shared" ref="L151:L165" si="104">G151-J151</f>
        <v>0</v>
      </c>
      <c r="M151" s="173"/>
      <c r="N151" s="174" t="str">
        <f t="array" ref="N151">IFERROR(INDEX('Номенклатура_BAF'!$G$2:$G200, MATCH($B151, 'Номенклатура_BAF'!$B$2:$B200, 0)), "")</f>
        <v/>
      </c>
      <c r="O151" s="200"/>
      <c r="P151" s="200"/>
      <c r="Q151" s="200"/>
      <c r="R151" s="200"/>
      <c r="S151" s="200"/>
      <c r="T151" s="162"/>
    </row>
    <row r="152" ht="15.0" customHeight="1">
      <c r="A152" s="264" t="s">
        <v>291</v>
      </c>
      <c r="B152" s="184"/>
      <c r="C152" s="185"/>
      <c r="D152" s="165" t="str">
        <f t="array" ref="D152">IFERROR(INDEX('Номенклатура_BAF'!$C$2:$C200, MATCH($B152, 'Номенклатура_BAF'!$B$2:$B200, 0)), "")</f>
        <v/>
      </c>
      <c r="E152" s="166" t="str">
        <f t="array" ref="E152">IFERROR(INDEX('Номенклатура_BAF'!$D$2:$D200, MATCH($B152, 'Номенклатура_BAF'!$B$2:$B200, 0)), "")</f>
        <v/>
      </c>
      <c r="F152" s="186"/>
      <c r="G152" s="205">
        <f t="shared" si="101"/>
        <v>0</v>
      </c>
      <c r="H152" s="188"/>
      <c r="I152" s="185"/>
      <c r="J152" s="181">
        <f t="shared" si="102"/>
        <v>0</v>
      </c>
      <c r="K152" s="171">
        <f t="shared" si="103"/>
        <v>0</v>
      </c>
      <c r="L152" s="182">
        <f t="shared" si="104"/>
        <v>0</v>
      </c>
      <c r="M152" s="173"/>
      <c r="N152" s="174" t="str">
        <f t="array" ref="N152">IFERROR(INDEX('Номенклатура_BAF'!$G$2:$G200, MATCH($B152, 'Номенклатура_BAF'!$B$2:$B200, 0)), "")</f>
        <v/>
      </c>
      <c r="O152" s="200"/>
      <c r="P152" s="200"/>
      <c r="Q152" s="200"/>
      <c r="R152" s="200"/>
      <c r="S152" s="200"/>
      <c r="T152" s="162"/>
    </row>
    <row r="153" ht="15.0" customHeight="1">
      <c r="A153" s="264" t="s">
        <v>292</v>
      </c>
      <c r="B153" s="184"/>
      <c r="C153" s="185"/>
      <c r="D153" s="165" t="str">
        <f t="array" ref="D153">IFERROR(INDEX('Номенклатура_BAF'!$C$2:$C200, MATCH($B153, 'Номенклатура_BAF'!$B$2:$B200, 0)), "")</f>
        <v/>
      </c>
      <c r="E153" s="166" t="str">
        <f t="array" ref="E153">IFERROR(INDEX('Номенклатура_BAF'!$D$2:$D200, MATCH($B153, 'Номенклатура_BAF'!$B$2:$B200, 0)), "")</f>
        <v/>
      </c>
      <c r="F153" s="186"/>
      <c r="G153" s="205">
        <f t="shared" si="101"/>
        <v>0</v>
      </c>
      <c r="H153" s="188"/>
      <c r="I153" s="185"/>
      <c r="J153" s="181">
        <f t="shared" si="102"/>
        <v>0</v>
      </c>
      <c r="K153" s="171">
        <f t="shared" si="103"/>
        <v>0</v>
      </c>
      <c r="L153" s="182">
        <f t="shared" si="104"/>
        <v>0</v>
      </c>
      <c r="M153" s="173"/>
      <c r="N153" s="174" t="str">
        <f t="array" ref="N153">IFERROR(INDEX('Номенклатура_BAF'!$G$2:$G200, MATCH($B153, 'Номенклатура_BAF'!$B$2:$B200, 0)), "")</f>
        <v/>
      </c>
      <c r="O153" s="200"/>
      <c r="P153" s="200"/>
      <c r="Q153" s="200"/>
      <c r="R153" s="200"/>
      <c r="S153" s="200"/>
      <c r="T153" s="162"/>
    </row>
    <row r="154" ht="15.0" customHeight="1">
      <c r="A154" s="264" t="s">
        <v>293</v>
      </c>
      <c r="B154" s="184"/>
      <c r="C154" s="185"/>
      <c r="D154" s="165" t="str">
        <f t="array" ref="D154">IFERROR(INDEX('Номенклатура_BAF'!$C$2:$C200, MATCH($B154, 'Номенклатура_BAF'!$B$2:$B200, 0)), "")</f>
        <v/>
      </c>
      <c r="E154" s="166" t="str">
        <f t="array" ref="E154">IFERROR(INDEX('Номенклатура_BAF'!$D$2:$D200, MATCH($B154, 'Номенклатура_BAF'!$B$2:$B200, 0)), "")</f>
        <v/>
      </c>
      <c r="F154" s="186"/>
      <c r="G154" s="205">
        <f t="shared" si="101"/>
        <v>0</v>
      </c>
      <c r="H154" s="188"/>
      <c r="I154" s="185"/>
      <c r="J154" s="181">
        <f t="shared" si="102"/>
        <v>0</v>
      </c>
      <c r="K154" s="171">
        <f t="shared" si="103"/>
        <v>0</v>
      </c>
      <c r="L154" s="182">
        <f t="shared" si="104"/>
        <v>0</v>
      </c>
      <c r="M154" s="173"/>
      <c r="N154" s="174" t="str">
        <f t="array" ref="N154">IFERROR(INDEX('Номенклатура_BAF'!$G$2:$G200, MATCH($B154, 'Номенклатура_BAF'!$B$2:$B200, 0)), "")</f>
        <v/>
      </c>
      <c r="O154" s="200"/>
      <c r="P154" s="200"/>
      <c r="Q154" s="200"/>
      <c r="R154" s="200"/>
      <c r="S154" s="200"/>
      <c r="T154" s="162"/>
    </row>
    <row r="155" ht="15.0" customHeight="1">
      <c r="A155" s="264" t="s">
        <v>294</v>
      </c>
      <c r="B155" s="184"/>
      <c r="C155" s="185"/>
      <c r="D155" s="165" t="str">
        <f t="array" ref="D155">IFERROR(INDEX('Номенклатура_BAF'!$C$2:$C200, MATCH($B155, 'Номенклатура_BAF'!$B$2:$B200, 0)), "")</f>
        <v/>
      </c>
      <c r="E155" s="166" t="str">
        <f t="array" ref="E155">IFERROR(INDEX('Номенклатура_BAF'!$D$2:$D200, MATCH($B155, 'Номенклатура_BAF'!$B$2:$B200, 0)), "")</f>
        <v/>
      </c>
      <c r="F155" s="186"/>
      <c r="G155" s="205">
        <f t="shared" si="101"/>
        <v>0</v>
      </c>
      <c r="H155" s="188"/>
      <c r="I155" s="185"/>
      <c r="J155" s="181">
        <f t="shared" si="102"/>
        <v>0</v>
      </c>
      <c r="K155" s="171">
        <f t="shared" si="103"/>
        <v>0</v>
      </c>
      <c r="L155" s="182">
        <f t="shared" si="104"/>
        <v>0</v>
      </c>
      <c r="M155" s="173"/>
      <c r="N155" s="174" t="str">
        <f t="array" ref="N155">IFERROR(INDEX('Номенклатура_BAF'!$G$2:$G200, MATCH($B155, 'Номенклатура_BAF'!$B$2:$B200, 0)), "")</f>
        <v/>
      </c>
      <c r="O155" s="200"/>
      <c r="P155" s="200"/>
      <c r="Q155" s="200"/>
      <c r="R155" s="200"/>
      <c r="S155" s="200"/>
      <c r="T155" s="162"/>
    </row>
    <row r="156" ht="15.0" customHeight="1">
      <c r="A156" s="264" t="s">
        <v>295</v>
      </c>
      <c r="B156" s="184"/>
      <c r="C156" s="185"/>
      <c r="D156" s="165" t="str">
        <f t="array" ref="D156">IFERROR(INDEX('Номенклатура_BAF'!$C$2:$C200, MATCH($B156, 'Номенклатура_BAF'!$B$2:$B200, 0)), "")</f>
        <v/>
      </c>
      <c r="E156" s="166" t="str">
        <f t="array" ref="E156">IFERROR(INDEX('Номенклатура_BAF'!$D$2:$D200, MATCH($B156, 'Номенклатура_BAF'!$B$2:$B200, 0)), "")</f>
        <v/>
      </c>
      <c r="F156" s="186"/>
      <c r="G156" s="205">
        <f t="shared" si="101"/>
        <v>0</v>
      </c>
      <c r="H156" s="188"/>
      <c r="I156" s="185"/>
      <c r="J156" s="181">
        <f t="shared" si="102"/>
        <v>0</v>
      </c>
      <c r="K156" s="171">
        <f t="shared" si="103"/>
        <v>0</v>
      </c>
      <c r="L156" s="182">
        <f t="shared" si="104"/>
        <v>0</v>
      </c>
      <c r="M156" s="173"/>
      <c r="N156" s="174" t="str">
        <f t="array" ref="N156">IFERROR(INDEX('Номенклатура_BAF'!$G$2:$G200, MATCH($B156, 'Номенклатура_BAF'!$B$2:$B200, 0)), "")</f>
        <v/>
      </c>
      <c r="O156" s="200"/>
      <c r="P156" s="200"/>
      <c r="Q156" s="200"/>
      <c r="R156" s="200"/>
      <c r="S156" s="200"/>
      <c r="T156" s="162"/>
    </row>
    <row r="157" ht="15.0" customHeight="1">
      <c r="A157" s="264" t="s">
        <v>296</v>
      </c>
      <c r="B157" s="184"/>
      <c r="C157" s="185"/>
      <c r="D157" s="165" t="str">
        <f t="array" ref="D157">IFERROR(INDEX('Номенклатура_BAF'!$C$2:$C200, MATCH($B157, 'Номенклатура_BAF'!$B$2:$B200, 0)), "")</f>
        <v/>
      </c>
      <c r="E157" s="166" t="str">
        <f t="array" ref="E157">IFERROR(INDEX('Номенклатура_BAF'!$D$2:$D200, MATCH($B157, 'Номенклатура_BAF'!$B$2:$B200, 0)), "")</f>
        <v/>
      </c>
      <c r="F157" s="186"/>
      <c r="G157" s="205">
        <f t="shared" si="101"/>
        <v>0</v>
      </c>
      <c r="H157" s="188"/>
      <c r="I157" s="185"/>
      <c r="J157" s="181">
        <f t="shared" si="102"/>
        <v>0</v>
      </c>
      <c r="K157" s="171">
        <f t="shared" si="103"/>
        <v>0</v>
      </c>
      <c r="L157" s="182">
        <f t="shared" si="104"/>
        <v>0</v>
      </c>
      <c r="M157" s="173"/>
      <c r="N157" s="174" t="str">
        <f t="array" ref="N157">IFERROR(INDEX('Номенклатура_BAF'!$G$2:$G200, MATCH($B157, 'Номенклатура_BAF'!$B$2:$B200, 0)), "")</f>
        <v/>
      </c>
      <c r="O157" s="200"/>
      <c r="P157" s="200"/>
      <c r="Q157" s="200"/>
      <c r="R157" s="200"/>
      <c r="S157" s="200"/>
      <c r="T157" s="162"/>
    </row>
    <row r="158" ht="15.0" customHeight="1">
      <c r="A158" s="264" t="s">
        <v>297</v>
      </c>
      <c r="B158" s="184"/>
      <c r="C158" s="185"/>
      <c r="D158" s="165" t="str">
        <f t="array" ref="D158">IFERROR(INDEX('Номенклатура_BAF'!$C$2:$C200, MATCH($B158, 'Номенклатура_BAF'!$B$2:$B200, 0)), "")</f>
        <v/>
      </c>
      <c r="E158" s="166" t="str">
        <f t="array" ref="E158">IFERROR(INDEX('Номенклатура_BAF'!$D$2:$D200, MATCH($B158, 'Номенклатура_BAF'!$B$2:$B200, 0)), "")</f>
        <v/>
      </c>
      <c r="F158" s="186"/>
      <c r="G158" s="205">
        <f t="shared" si="101"/>
        <v>0</v>
      </c>
      <c r="H158" s="188"/>
      <c r="I158" s="185"/>
      <c r="J158" s="181">
        <f t="shared" si="102"/>
        <v>0</v>
      </c>
      <c r="K158" s="171">
        <f t="shared" si="103"/>
        <v>0</v>
      </c>
      <c r="L158" s="182">
        <f t="shared" si="104"/>
        <v>0</v>
      </c>
      <c r="M158" s="173"/>
      <c r="N158" s="174" t="str">
        <f t="array" ref="N158">IFERROR(INDEX('Номенклатура_BAF'!$G$2:$G200, MATCH($B158, 'Номенклатура_BAF'!$B$2:$B200, 0)), "")</f>
        <v/>
      </c>
      <c r="O158" s="200"/>
      <c r="P158" s="200"/>
      <c r="Q158" s="200"/>
      <c r="R158" s="200"/>
      <c r="S158" s="200"/>
      <c r="T158" s="162"/>
    </row>
    <row r="159" ht="15.0" customHeight="1">
      <c r="A159" s="264" t="s">
        <v>298</v>
      </c>
      <c r="B159" s="184"/>
      <c r="C159" s="185"/>
      <c r="D159" s="165" t="str">
        <f t="array" ref="D159">IFERROR(INDEX('Номенклатура_BAF'!$C$2:$C200, MATCH($B159, 'Номенклатура_BAF'!$B$2:$B200, 0)), "")</f>
        <v/>
      </c>
      <c r="E159" s="166" t="str">
        <f t="array" ref="E159">IFERROR(INDEX('Номенклатура_BAF'!$D$2:$D200, MATCH($B159, 'Номенклатура_BAF'!$B$2:$B200, 0)), "")</f>
        <v/>
      </c>
      <c r="F159" s="186"/>
      <c r="G159" s="205">
        <f t="shared" si="101"/>
        <v>0</v>
      </c>
      <c r="H159" s="188"/>
      <c r="I159" s="185"/>
      <c r="J159" s="181">
        <f t="shared" si="102"/>
        <v>0</v>
      </c>
      <c r="K159" s="171">
        <f t="shared" si="103"/>
        <v>0</v>
      </c>
      <c r="L159" s="182">
        <f t="shared" si="104"/>
        <v>0</v>
      </c>
      <c r="M159" s="173"/>
      <c r="N159" s="174" t="str">
        <f t="array" ref="N159">IFERROR(INDEX('Номенклатура_BAF'!$G$2:$G200, MATCH($B159, 'Номенклатура_BAF'!$B$2:$B200, 0)), "")</f>
        <v/>
      </c>
      <c r="O159" s="200"/>
      <c r="P159" s="200"/>
      <c r="Q159" s="200"/>
      <c r="R159" s="200"/>
      <c r="S159" s="200"/>
      <c r="T159" s="162"/>
    </row>
    <row r="160" ht="15.0" customHeight="1">
      <c r="A160" s="264" t="s">
        <v>299</v>
      </c>
      <c r="B160" s="184"/>
      <c r="C160" s="185"/>
      <c r="D160" s="165" t="str">
        <f t="array" ref="D160">IFERROR(INDEX('Номенклатура_BAF'!$C$2:$C200, MATCH($B160, 'Номенклатура_BAF'!$B$2:$B200, 0)), "")</f>
        <v/>
      </c>
      <c r="E160" s="166" t="str">
        <f t="array" ref="E160">IFERROR(INDEX('Номенклатура_BAF'!$D$2:$D200, MATCH($B160, 'Номенклатура_BAF'!$B$2:$B200, 0)), "")</f>
        <v/>
      </c>
      <c r="F160" s="186"/>
      <c r="G160" s="205">
        <f t="shared" si="101"/>
        <v>0</v>
      </c>
      <c r="H160" s="188"/>
      <c r="I160" s="185"/>
      <c r="J160" s="181">
        <f t="shared" si="102"/>
        <v>0</v>
      </c>
      <c r="K160" s="171">
        <f t="shared" si="103"/>
        <v>0</v>
      </c>
      <c r="L160" s="182">
        <f t="shared" si="104"/>
        <v>0</v>
      </c>
      <c r="M160" s="173"/>
      <c r="N160" s="174" t="str">
        <f t="array" ref="N160">IFERROR(INDEX('Номенклатура_BAF'!$G$2:$G200, MATCH($B160, 'Номенклатура_BAF'!$B$2:$B200, 0)), "")</f>
        <v/>
      </c>
      <c r="O160" s="200"/>
      <c r="P160" s="200"/>
      <c r="Q160" s="200"/>
      <c r="R160" s="200"/>
      <c r="S160" s="200"/>
      <c r="T160" s="162"/>
    </row>
    <row r="161" ht="15.0" customHeight="1">
      <c r="A161" s="264" t="s">
        <v>300</v>
      </c>
      <c r="B161" s="184"/>
      <c r="C161" s="185"/>
      <c r="D161" s="165" t="str">
        <f t="array" ref="D161">IFERROR(INDEX('Номенклатура_BAF'!$C$2:$C200, MATCH($B161, 'Номенклатура_BAF'!$B$2:$B200, 0)), "")</f>
        <v/>
      </c>
      <c r="E161" s="166" t="str">
        <f t="array" ref="E161">IFERROR(INDEX('Номенклатура_BAF'!$D$2:$D200, MATCH($B161, 'Номенклатура_BAF'!$B$2:$B200, 0)), "")</f>
        <v/>
      </c>
      <c r="F161" s="186"/>
      <c r="G161" s="205">
        <f t="shared" si="101"/>
        <v>0</v>
      </c>
      <c r="H161" s="188"/>
      <c r="I161" s="185"/>
      <c r="J161" s="181">
        <f t="shared" si="102"/>
        <v>0</v>
      </c>
      <c r="K161" s="171">
        <f t="shared" si="103"/>
        <v>0</v>
      </c>
      <c r="L161" s="182">
        <f t="shared" si="104"/>
        <v>0</v>
      </c>
      <c r="M161" s="173"/>
      <c r="N161" s="174" t="str">
        <f t="array" ref="N161">IFERROR(INDEX('Номенклатура_BAF'!$G$2:$G200, MATCH($B161, 'Номенклатура_BAF'!$B$2:$B200, 0)), "")</f>
        <v/>
      </c>
      <c r="O161" s="200"/>
      <c r="P161" s="200"/>
      <c r="Q161" s="200"/>
      <c r="R161" s="200"/>
      <c r="S161" s="200"/>
      <c r="T161" s="162"/>
    </row>
    <row r="162" ht="15.0" customHeight="1">
      <c r="A162" s="264" t="s">
        <v>301</v>
      </c>
      <c r="B162" s="184"/>
      <c r="C162" s="185"/>
      <c r="D162" s="165" t="str">
        <f t="array" ref="D162">IFERROR(INDEX('Номенклатура_BAF'!$C$2:$C200, MATCH($B162, 'Номенклатура_BAF'!$B$2:$B200, 0)), "")</f>
        <v/>
      </c>
      <c r="E162" s="166" t="str">
        <f t="array" ref="E162">IFERROR(INDEX('Номенклатура_BAF'!$D$2:$D200, MATCH($B162, 'Номенклатура_BAF'!$B$2:$B200, 0)), "")</f>
        <v/>
      </c>
      <c r="F162" s="186"/>
      <c r="G162" s="205">
        <f t="shared" si="101"/>
        <v>0</v>
      </c>
      <c r="H162" s="188"/>
      <c r="I162" s="185"/>
      <c r="J162" s="181">
        <f t="shared" si="102"/>
        <v>0</v>
      </c>
      <c r="K162" s="171">
        <f t="shared" si="103"/>
        <v>0</v>
      </c>
      <c r="L162" s="182">
        <f t="shared" si="104"/>
        <v>0</v>
      </c>
      <c r="M162" s="173"/>
      <c r="N162" s="174" t="str">
        <f t="array" ref="N162">IFERROR(INDEX('Номенклатура_BAF'!$G$2:$G200, MATCH($B162, 'Номенклатура_BAF'!$B$2:$B200, 0)), "")</f>
        <v/>
      </c>
      <c r="O162" s="200"/>
      <c r="P162" s="200"/>
      <c r="Q162" s="200"/>
      <c r="R162" s="200"/>
      <c r="S162" s="200"/>
      <c r="T162" s="162"/>
    </row>
    <row r="163" ht="15.0" customHeight="1">
      <c r="A163" s="264" t="s">
        <v>302</v>
      </c>
      <c r="B163" s="184"/>
      <c r="C163" s="185"/>
      <c r="D163" s="165" t="str">
        <f t="array" ref="D163">IFERROR(INDEX('Номенклатура_BAF'!$C$2:$C200, MATCH($B163, 'Номенклатура_BAF'!$B$2:$B200, 0)), "")</f>
        <v/>
      </c>
      <c r="E163" s="166" t="str">
        <f t="array" ref="E163">IFERROR(INDEX('Номенклатура_BAF'!$D$2:$D200, MATCH($B163, 'Номенклатура_BAF'!$B$2:$B200, 0)), "")</f>
        <v/>
      </c>
      <c r="F163" s="186"/>
      <c r="G163" s="205">
        <f t="shared" si="101"/>
        <v>0</v>
      </c>
      <c r="H163" s="188"/>
      <c r="I163" s="185"/>
      <c r="J163" s="181">
        <f t="shared" si="102"/>
        <v>0</v>
      </c>
      <c r="K163" s="171">
        <f t="shared" si="103"/>
        <v>0</v>
      </c>
      <c r="L163" s="182">
        <f t="shared" si="104"/>
        <v>0</v>
      </c>
      <c r="M163" s="173"/>
      <c r="N163" s="174" t="str">
        <f t="array" ref="N163">IFERROR(INDEX('Номенклатура_BAF'!$G$2:$G200, MATCH($B163, 'Номенклатура_BAF'!$B$2:$B200, 0)), "")</f>
        <v/>
      </c>
      <c r="O163" s="200"/>
      <c r="P163" s="200"/>
      <c r="Q163" s="200"/>
      <c r="R163" s="200"/>
      <c r="S163" s="200"/>
      <c r="T163" s="162"/>
    </row>
    <row r="164" ht="15.0" customHeight="1">
      <c r="A164" s="264" t="s">
        <v>303</v>
      </c>
      <c r="B164" s="184"/>
      <c r="C164" s="185"/>
      <c r="D164" s="165" t="str">
        <f t="array" ref="D164">IFERROR(INDEX('Номенклатура_BAF'!$C$2:$C200, MATCH($B164, 'Номенклатура_BAF'!$B$2:$B200, 0)), "")</f>
        <v/>
      </c>
      <c r="E164" s="166" t="str">
        <f t="array" ref="E164">IFERROR(INDEX('Номенклатура_BAF'!$D$2:$D200, MATCH($B164, 'Номенклатура_BAF'!$B$2:$B200, 0)), "")</f>
        <v/>
      </c>
      <c r="F164" s="186"/>
      <c r="G164" s="205">
        <f t="shared" si="101"/>
        <v>0</v>
      </c>
      <c r="H164" s="188"/>
      <c r="I164" s="185"/>
      <c r="J164" s="181">
        <f t="shared" si="102"/>
        <v>0</v>
      </c>
      <c r="K164" s="171">
        <f t="shared" si="103"/>
        <v>0</v>
      </c>
      <c r="L164" s="182">
        <f t="shared" si="104"/>
        <v>0</v>
      </c>
      <c r="M164" s="173"/>
      <c r="N164" s="174" t="str">
        <f t="array" ref="N164">IFERROR(INDEX('Номенклатура_BAF'!$G$2:$G200, MATCH($B164, 'Номенклатура_BAF'!$B$2:$B200, 0)), "")</f>
        <v/>
      </c>
      <c r="O164" s="200"/>
      <c r="P164" s="200"/>
      <c r="Q164" s="200"/>
      <c r="R164" s="200"/>
      <c r="S164" s="200"/>
      <c r="T164" s="162"/>
    </row>
    <row r="165" ht="15.0" customHeight="1">
      <c r="A165" s="264" t="s">
        <v>304</v>
      </c>
      <c r="B165" s="289"/>
      <c r="C165" s="207"/>
      <c r="D165" s="165" t="str">
        <f t="array" ref="D165">IFERROR(INDEX('Номенклатура_BAF'!$C$2:$C200, MATCH($B165, 'Номенклатура_BAF'!$B$2:$B200, 0)), "")</f>
        <v/>
      </c>
      <c r="E165" s="166" t="str">
        <f t="array" ref="E165">IFERROR(INDEX('Номенклатура_BAF'!$D$2:$D200, MATCH($B165, 'Номенклатура_BAF'!$B$2:$B200, 0)), "")</f>
        <v/>
      </c>
      <c r="F165" s="290"/>
      <c r="G165" s="275">
        <f t="shared" si="101"/>
        <v>0</v>
      </c>
      <c r="H165" s="291"/>
      <c r="I165" s="207"/>
      <c r="J165" s="292">
        <f t="shared" si="102"/>
        <v>0</v>
      </c>
      <c r="K165" s="171">
        <f t="shared" si="103"/>
        <v>0</v>
      </c>
      <c r="L165" s="190">
        <f t="shared" si="104"/>
        <v>0</v>
      </c>
      <c r="M165" s="173"/>
      <c r="N165" s="174" t="str">
        <f t="array" ref="N165">IFERROR(INDEX('Номенклатура_BAF'!$G$2:$G200, MATCH($B165, 'Номенклатура_BAF'!$B$2:$B200, 0)), "")</f>
        <v/>
      </c>
      <c r="O165" s="200"/>
      <c r="P165" s="200"/>
      <c r="Q165" s="200"/>
      <c r="R165" s="200"/>
      <c r="S165" s="200"/>
      <c r="T165" s="162"/>
    </row>
    <row r="166" ht="22.5" customHeight="1">
      <c r="A166" s="293"/>
      <c r="B166" s="294">
        <f>NOW()</f>
        <v>45883.52316</v>
      </c>
      <c r="C166" s="295"/>
      <c r="D166" s="296"/>
      <c r="E166" s="296"/>
      <c r="F166" s="297" t="s">
        <v>305</v>
      </c>
      <c r="G166" s="298" t="str">
        <f>SUM(G5,G9,G14,G18,G22,G26,G29,G32,G35,G51,G62,G68,G79,G85,G96,G101,G107,G112,G128,G144,G150)</f>
        <v>#REF!</v>
      </c>
      <c r="H166" s="299"/>
      <c r="I166" s="300"/>
      <c r="J166" s="301">
        <f>SUM(J5,J9,J14,J18,J22,J26,J29,J32,J35,J51,J62,J68,J79,J85,J96,J101,J107,J112,J128,J144,J150)</f>
        <v>0</v>
      </c>
      <c r="K166" s="302"/>
      <c r="L166" s="303" t="str">
        <f>SUM(L5,L9,L14,L18,L22,L26,L29,L32,L35,L51,L62,L68,L79,L85,L96,L101,L107,L112,L128,L144,L150)</f>
        <v>#REF!</v>
      </c>
      <c r="M166" s="162"/>
      <c r="N166" s="124"/>
      <c r="O166" s="148"/>
      <c r="P166" s="162"/>
      <c r="Q166" s="162"/>
      <c r="R166" s="162"/>
      <c r="S166" s="162"/>
      <c r="T166" s="162"/>
    </row>
    <row r="167" ht="15.0" customHeight="1">
      <c r="A167" s="304"/>
      <c r="B167" s="162"/>
      <c r="C167" s="162"/>
      <c r="D167" s="162"/>
      <c r="E167" s="162"/>
      <c r="F167" s="305"/>
      <c r="G167" s="305" t="str">
        <f>G166*1.45</f>
        <v>#REF!</v>
      </c>
      <c r="H167" s="162"/>
      <c r="I167" s="162"/>
      <c r="J167" s="306"/>
      <c r="K167" s="307"/>
      <c r="L167" s="307"/>
      <c r="M167" s="162"/>
      <c r="N167" s="124"/>
      <c r="O167" s="308"/>
      <c r="P167" s="151"/>
      <c r="Q167" s="151"/>
      <c r="R167" s="162"/>
      <c r="S167" s="162"/>
      <c r="T167" s="162"/>
    </row>
    <row r="168" ht="15.0" customHeight="1">
      <c r="A168" s="304"/>
      <c r="B168" s="162"/>
      <c r="C168" s="162"/>
      <c r="D168" s="162"/>
      <c r="E168" s="162"/>
      <c r="F168" s="305"/>
      <c r="G168" s="305"/>
      <c r="H168" s="162"/>
      <c r="I168" s="162"/>
      <c r="J168" s="306"/>
      <c r="K168" s="307"/>
      <c r="L168" s="307"/>
      <c r="M168" s="162"/>
      <c r="N168" s="124"/>
      <c r="O168" s="308"/>
      <c r="P168" s="151"/>
      <c r="Q168" s="151"/>
      <c r="R168" s="162"/>
      <c r="S168" s="162"/>
      <c r="T168" s="162"/>
    </row>
    <row r="169" ht="15.0" customHeight="1">
      <c r="A169" s="304"/>
      <c r="B169" s="162"/>
      <c r="C169" s="309"/>
      <c r="D169" s="162"/>
      <c r="E169" s="162"/>
      <c r="F169" s="305"/>
      <c r="G169" s="310"/>
      <c r="H169" s="162"/>
      <c r="I169" s="162"/>
      <c r="J169" s="306"/>
      <c r="K169" s="307"/>
      <c r="L169" s="307"/>
      <c r="M169" s="162"/>
      <c r="N169" s="124"/>
      <c r="O169" s="308"/>
      <c r="P169" s="151"/>
      <c r="Q169" s="151"/>
      <c r="R169" s="162"/>
      <c r="S169" s="162"/>
      <c r="T169" s="162"/>
    </row>
    <row r="170" ht="15.0" customHeight="1">
      <c r="A170" s="304"/>
      <c r="B170" s="162"/>
      <c r="C170" s="309"/>
      <c r="D170" s="162"/>
      <c r="E170" s="162"/>
      <c r="F170" s="305"/>
      <c r="G170" s="305"/>
      <c r="H170" s="162"/>
      <c r="I170" s="162"/>
      <c r="J170" s="306"/>
      <c r="K170" s="307"/>
      <c r="L170" s="307"/>
      <c r="M170" s="162"/>
      <c r="N170" s="124"/>
      <c r="O170" s="308"/>
      <c r="P170" s="151"/>
      <c r="Q170" s="151"/>
      <c r="R170" s="162"/>
      <c r="S170" s="162"/>
      <c r="T170" s="162"/>
    </row>
    <row r="171" ht="15.0" customHeight="1">
      <c r="A171" s="304"/>
      <c r="B171" s="162"/>
      <c r="C171" s="162"/>
      <c r="D171" s="162"/>
      <c r="E171" s="162"/>
      <c r="F171" s="305"/>
      <c r="G171" s="305"/>
      <c r="H171" s="162"/>
      <c r="I171" s="162"/>
      <c r="J171" s="306"/>
      <c r="K171" s="307"/>
      <c r="L171" s="307"/>
      <c r="M171" s="162"/>
      <c r="N171" s="124"/>
      <c r="O171" s="308"/>
      <c r="P171" s="151"/>
      <c r="Q171" s="151"/>
      <c r="R171" s="162"/>
      <c r="S171" s="162"/>
      <c r="T171" s="162"/>
    </row>
    <row r="172" ht="15.0" customHeight="1">
      <c r="A172" s="304"/>
      <c r="B172" s="162"/>
      <c r="C172" s="162"/>
      <c r="D172" s="162"/>
      <c r="E172" s="162"/>
      <c r="F172" s="305"/>
      <c r="G172" s="305"/>
      <c r="H172" s="162"/>
      <c r="I172" s="162"/>
      <c r="J172" s="306"/>
      <c r="K172" s="307"/>
      <c r="L172" s="307"/>
      <c r="M172" s="162"/>
      <c r="N172" s="124"/>
      <c r="O172" s="308"/>
      <c r="P172" s="151"/>
      <c r="Q172" s="151"/>
      <c r="R172" s="162"/>
      <c r="S172" s="162"/>
      <c r="T172" s="162"/>
    </row>
    <row r="173" ht="15.0" customHeight="1">
      <c r="A173" s="304"/>
      <c r="B173" s="162"/>
      <c r="C173" s="162"/>
      <c r="D173" s="162"/>
      <c r="E173" s="162"/>
      <c r="F173" s="305"/>
      <c r="G173" s="305"/>
      <c r="H173" s="162"/>
      <c r="I173" s="162"/>
      <c r="J173" s="148"/>
      <c r="K173" s="307"/>
      <c r="L173" s="307"/>
      <c r="M173" s="162"/>
      <c r="N173" s="124"/>
      <c r="O173" s="148"/>
      <c r="P173" s="162"/>
      <c r="Q173" s="162"/>
      <c r="R173" s="162"/>
      <c r="S173" s="162"/>
      <c r="T173" s="162"/>
    </row>
    <row r="174" ht="15.0" customHeight="1">
      <c r="A174" s="304"/>
      <c r="B174" s="162"/>
      <c r="C174" s="162"/>
      <c r="D174" s="162"/>
      <c r="E174" s="162"/>
      <c r="F174" s="305"/>
      <c r="G174" s="305"/>
      <c r="H174" s="162"/>
      <c r="I174" s="162"/>
      <c r="J174" s="148"/>
      <c r="K174" s="307"/>
      <c r="L174" s="307"/>
      <c r="M174" s="162"/>
      <c r="N174" s="124"/>
      <c r="O174" s="148"/>
      <c r="P174" s="162"/>
      <c r="Q174" s="162"/>
      <c r="R174" s="162"/>
      <c r="S174" s="162"/>
      <c r="T174" s="162"/>
    </row>
    <row r="175" ht="15.0" customHeight="1">
      <c r="A175" s="311"/>
      <c r="B175" s="148"/>
      <c r="C175" s="148"/>
      <c r="D175" s="148"/>
      <c r="E175" s="148"/>
      <c r="F175" s="312"/>
      <c r="G175" s="312"/>
      <c r="H175" s="148"/>
      <c r="I175" s="148"/>
      <c r="J175" s="148"/>
      <c r="K175" s="313"/>
      <c r="L175" s="313"/>
      <c r="M175" s="148"/>
      <c r="N175" s="124"/>
      <c r="O175" s="148"/>
      <c r="P175" s="148"/>
      <c r="Q175" s="148"/>
      <c r="R175" s="148"/>
      <c r="S175" s="148"/>
      <c r="T175" s="148"/>
    </row>
    <row r="176" ht="15.0" customHeight="1">
      <c r="A176" s="304"/>
      <c r="B176" s="162"/>
      <c r="C176" s="162"/>
      <c r="D176" s="162"/>
      <c r="E176" s="162"/>
      <c r="F176" s="305"/>
      <c r="G176" s="305"/>
      <c r="H176" s="162"/>
      <c r="I176" s="162"/>
      <c r="J176" s="148"/>
      <c r="K176" s="307"/>
      <c r="L176" s="307"/>
      <c r="M176" s="162"/>
      <c r="N176" s="124"/>
      <c r="O176" s="148"/>
      <c r="P176" s="162"/>
      <c r="Q176" s="162"/>
      <c r="R176" s="162"/>
      <c r="S176" s="162"/>
      <c r="T176" s="162"/>
    </row>
    <row r="177" ht="15.0" customHeight="1">
      <c r="A177" s="304"/>
      <c r="B177" s="162"/>
      <c r="C177" s="162"/>
      <c r="D177" s="162"/>
      <c r="E177" s="162"/>
      <c r="F177" s="305"/>
      <c r="G177" s="305"/>
      <c r="H177" s="162"/>
      <c r="I177" s="162"/>
      <c r="J177" s="148"/>
      <c r="K177" s="307"/>
      <c r="L177" s="307"/>
      <c r="M177" s="162"/>
      <c r="N177" s="124"/>
      <c r="O177" s="148"/>
      <c r="P177" s="162"/>
      <c r="Q177" s="162"/>
      <c r="R177" s="162"/>
      <c r="S177" s="162"/>
      <c r="T177" s="162"/>
    </row>
    <row r="178" ht="15.0" customHeight="1">
      <c r="A178" s="304"/>
      <c r="B178" s="162"/>
      <c r="C178" s="162"/>
      <c r="D178" s="162"/>
      <c r="E178" s="162"/>
      <c r="F178" s="305"/>
      <c r="G178" s="305"/>
      <c r="H178" s="162"/>
      <c r="I178" s="162"/>
      <c r="J178" s="148"/>
      <c r="K178" s="307"/>
      <c r="L178" s="307"/>
      <c r="M178" s="162"/>
      <c r="N178" s="124"/>
      <c r="O178" s="148"/>
      <c r="P178" s="162"/>
      <c r="Q178" s="162"/>
      <c r="R178" s="162"/>
      <c r="S178" s="162"/>
      <c r="T178" s="162"/>
    </row>
    <row r="179" ht="15.0" customHeight="1">
      <c r="A179" s="311"/>
      <c r="B179" s="148"/>
      <c r="C179" s="148"/>
      <c r="D179" s="148"/>
      <c r="E179" s="148"/>
      <c r="F179" s="312"/>
      <c r="G179" s="312"/>
      <c r="H179" s="148"/>
      <c r="I179" s="148"/>
      <c r="J179" s="148"/>
      <c r="K179" s="313"/>
      <c r="L179" s="313"/>
      <c r="M179" s="148"/>
      <c r="N179" s="124"/>
      <c r="O179" s="148"/>
      <c r="P179" s="148"/>
      <c r="Q179" s="148"/>
      <c r="R179" s="148"/>
      <c r="S179" s="148"/>
      <c r="T179" s="148"/>
    </row>
    <row r="180" ht="15.0" customHeight="1">
      <c r="A180" s="304"/>
      <c r="B180" s="162"/>
      <c r="C180" s="162"/>
      <c r="D180" s="162"/>
      <c r="E180" s="162"/>
      <c r="F180" s="305"/>
      <c r="G180" s="305"/>
      <c r="H180" s="162"/>
      <c r="I180" s="162"/>
      <c r="J180" s="148"/>
      <c r="K180" s="307"/>
      <c r="L180" s="307"/>
      <c r="M180" s="162"/>
      <c r="N180" s="124"/>
      <c r="O180" s="148"/>
      <c r="P180" s="162"/>
      <c r="Q180" s="162"/>
      <c r="R180" s="162"/>
      <c r="S180" s="162"/>
      <c r="T180" s="162"/>
    </row>
    <row r="181" ht="15.0" customHeight="1">
      <c r="A181" s="304"/>
      <c r="B181" s="162"/>
      <c r="C181" s="162"/>
      <c r="D181" s="162"/>
      <c r="E181" s="162"/>
      <c r="F181" s="314"/>
      <c r="G181" s="314"/>
      <c r="H181" s="162"/>
      <c r="I181" s="162"/>
      <c r="J181" s="148"/>
      <c r="K181" s="307"/>
      <c r="L181" s="307"/>
      <c r="M181" s="162"/>
      <c r="N181" s="124"/>
      <c r="O181" s="148"/>
      <c r="P181" s="162"/>
      <c r="Q181" s="162"/>
      <c r="R181" s="162"/>
      <c r="S181" s="162"/>
      <c r="T181" s="162"/>
    </row>
    <row r="182" ht="15.0" customHeight="1">
      <c r="A182" s="304"/>
      <c r="B182" s="162"/>
      <c r="C182" s="162"/>
      <c r="D182" s="162"/>
      <c r="E182" s="162"/>
      <c r="F182" s="305"/>
      <c r="G182" s="305"/>
      <c r="H182" s="162"/>
      <c r="I182" s="162"/>
      <c r="J182" s="148"/>
      <c r="K182" s="307"/>
      <c r="L182" s="307"/>
      <c r="M182" s="162"/>
      <c r="N182" s="124"/>
      <c r="O182" s="148"/>
      <c r="P182" s="162"/>
      <c r="Q182" s="162"/>
      <c r="R182" s="162"/>
      <c r="S182" s="162"/>
      <c r="T182" s="162"/>
    </row>
    <row r="183" ht="15.0" customHeight="1">
      <c r="A183" s="311"/>
      <c r="B183" s="148"/>
      <c r="C183" s="148"/>
      <c r="D183" s="148"/>
      <c r="E183" s="148"/>
      <c r="F183" s="312"/>
      <c r="G183" s="312"/>
      <c r="H183" s="148"/>
      <c r="I183" s="148"/>
      <c r="J183" s="148"/>
      <c r="K183" s="313"/>
      <c r="L183" s="313"/>
      <c r="M183" s="148"/>
      <c r="N183" s="124"/>
      <c r="O183" s="148"/>
      <c r="P183" s="148"/>
      <c r="Q183" s="148"/>
      <c r="R183" s="148"/>
      <c r="S183" s="148"/>
      <c r="T183" s="148"/>
    </row>
    <row r="184" ht="15.0" customHeight="1">
      <c r="A184" s="304"/>
      <c r="B184" s="162"/>
      <c r="C184" s="162"/>
      <c r="D184" s="162"/>
      <c r="E184" s="162"/>
      <c r="F184" s="305"/>
      <c r="G184" s="305"/>
      <c r="H184" s="162"/>
      <c r="I184" s="162"/>
      <c r="J184" s="148"/>
      <c r="K184" s="307"/>
      <c r="L184" s="307"/>
      <c r="M184" s="162"/>
      <c r="N184" s="124"/>
      <c r="O184" s="148"/>
      <c r="P184" s="162"/>
      <c r="Q184" s="162"/>
      <c r="R184" s="162"/>
      <c r="S184" s="162"/>
      <c r="T184" s="162"/>
    </row>
    <row r="185" ht="15.0" customHeight="1">
      <c r="A185" s="304"/>
      <c r="B185" s="162"/>
      <c r="C185" s="162"/>
      <c r="D185" s="162"/>
      <c r="E185" s="162"/>
      <c r="F185" s="305"/>
      <c r="G185" s="305"/>
      <c r="H185" s="162"/>
      <c r="I185" s="162"/>
      <c r="J185" s="148"/>
      <c r="K185" s="307"/>
      <c r="L185" s="307"/>
      <c r="M185" s="162"/>
      <c r="N185" s="124"/>
      <c r="O185" s="148"/>
      <c r="P185" s="162"/>
      <c r="Q185" s="162"/>
      <c r="R185" s="162"/>
      <c r="S185" s="162"/>
      <c r="T185" s="162"/>
    </row>
    <row r="186" ht="15.0" customHeight="1">
      <c r="A186" s="304"/>
      <c r="B186" s="162"/>
      <c r="C186" s="162"/>
      <c r="D186" s="162"/>
      <c r="E186" s="162"/>
      <c r="F186" s="305"/>
      <c r="G186" s="305"/>
      <c r="H186" s="162"/>
      <c r="I186" s="162"/>
      <c r="J186" s="148"/>
      <c r="K186" s="307"/>
      <c r="L186" s="307"/>
      <c r="M186" s="162"/>
      <c r="N186" s="124"/>
      <c r="O186" s="148"/>
      <c r="P186" s="162"/>
      <c r="Q186" s="162"/>
      <c r="R186" s="162"/>
      <c r="S186" s="162"/>
      <c r="T186" s="162"/>
    </row>
    <row r="187" ht="15.0" customHeight="1">
      <c r="A187" s="304"/>
      <c r="B187" s="162"/>
      <c r="C187" s="162"/>
      <c r="D187" s="162"/>
      <c r="E187" s="162"/>
      <c r="F187" s="305"/>
      <c r="G187" s="305"/>
      <c r="H187" s="162"/>
      <c r="I187" s="162"/>
      <c r="J187" s="148"/>
      <c r="K187" s="307"/>
      <c r="L187" s="307"/>
      <c r="M187" s="162"/>
      <c r="N187" s="124"/>
      <c r="O187" s="148"/>
      <c r="P187" s="162"/>
      <c r="Q187" s="162"/>
      <c r="R187" s="162"/>
      <c r="S187" s="162"/>
      <c r="T187" s="162"/>
    </row>
    <row r="188" ht="15.0" customHeight="1">
      <c r="A188" s="304"/>
      <c r="B188" s="162"/>
      <c r="C188" s="162"/>
      <c r="D188" s="162"/>
      <c r="E188" s="162"/>
      <c r="F188" s="305"/>
      <c r="G188" s="305"/>
      <c r="H188" s="162"/>
      <c r="I188" s="162"/>
      <c r="J188" s="148"/>
      <c r="K188" s="307"/>
      <c r="L188" s="307"/>
      <c r="M188" s="162"/>
      <c r="N188" s="124"/>
      <c r="O188" s="148"/>
      <c r="P188" s="162"/>
      <c r="Q188" s="162"/>
      <c r="R188" s="162"/>
      <c r="S188" s="162"/>
      <c r="T188" s="162"/>
    </row>
    <row r="189" ht="15.0" customHeight="1">
      <c r="A189" s="304"/>
      <c r="B189" s="162"/>
      <c r="C189" s="162"/>
      <c r="D189" s="162"/>
      <c r="E189" s="162"/>
      <c r="F189" s="305"/>
      <c r="G189" s="305"/>
      <c r="H189" s="162"/>
      <c r="I189" s="162"/>
      <c r="J189" s="148"/>
      <c r="K189" s="307"/>
      <c r="L189" s="307"/>
      <c r="M189" s="162"/>
      <c r="N189" s="124"/>
      <c r="O189" s="148"/>
      <c r="P189" s="162"/>
      <c r="Q189" s="162"/>
      <c r="R189" s="162"/>
      <c r="S189" s="162"/>
      <c r="T189" s="162"/>
    </row>
    <row r="190" ht="15.0" customHeight="1">
      <c r="A190" s="304"/>
      <c r="B190" s="162"/>
      <c r="C190" s="162"/>
      <c r="D190" s="162"/>
      <c r="E190" s="162"/>
      <c r="F190" s="305"/>
      <c r="G190" s="305"/>
      <c r="H190" s="162"/>
      <c r="I190" s="162"/>
      <c r="J190" s="148"/>
      <c r="K190" s="307"/>
      <c r="L190" s="307"/>
      <c r="M190" s="162"/>
      <c r="N190" s="124"/>
      <c r="O190" s="148"/>
      <c r="P190" s="162"/>
      <c r="Q190" s="162"/>
      <c r="R190" s="162"/>
      <c r="S190" s="162"/>
      <c r="T190" s="162"/>
    </row>
    <row r="191" ht="15.0" customHeight="1">
      <c r="A191" s="304"/>
      <c r="B191" s="162"/>
      <c r="C191" s="162"/>
      <c r="D191" s="162"/>
      <c r="E191" s="162"/>
      <c r="F191" s="305"/>
      <c r="G191" s="305"/>
      <c r="H191" s="162"/>
      <c r="I191" s="162"/>
      <c r="J191" s="148"/>
      <c r="K191" s="307"/>
      <c r="L191" s="307"/>
      <c r="M191" s="162"/>
      <c r="N191" s="124"/>
      <c r="O191" s="148"/>
      <c r="P191" s="162"/>
      <c r="Q191" s="162"/>
      <c r="R191" s="162"/>
      <c r="S191" s="162"/>
      <c r="T191" s="162"/>
    </row>
    <row r="192" ht="15.0" customHeight="1">
      <c r="A192" s="304"/>
      <c r="B192" s="162"/>
      <c r="C192" s="162"/>
      <c r="D192" s="162"/>
      <c r="E192" s="162"/>
      <c r="F192" s="305"/>
      <c r="G192" s="305"/>
      <c r="H192" s="162"/>
      <c r="I192" s="162"/>
      <c r="J192" s="148"/>
      <c r="K192" s="307"/>
      <c r="L192" s="307"/>
      <c r="M192" s="162"/>
      <c r="N192" s="124"/>
      <c r="O192" s="148"/>
      <c r="P192" s="162"/>
      <c r="Q192" s="162"/>
      <c r="R192" s="162"/>
      <c r="S192" s="162"/>
      <c r="T192" s="162"/>
    </row>
    <row r="193" ht="15.0" customHeight="1">
      <c r="A193" s="304"/>
      <c r="B193" s="162"/>
      <c r="C193" s="162"/>
      <c r="D193" s="162"/>
      <c r="E193" s="162"/>
      <c r="F193" s="305"/>
      <c r="G193" s="305"/>
      <c r="H193" s="162"/>
      <c r="I193" s="162"/>
      <c r="J193" s="148"/>
      <c r="K193" s="307"/>
      <c r="L193" s="307"/>
      <c r="M193" s="162"/>
      <c r="N193" s="124"/>
      <c r="O193" s="148"/>
      <c r="P193" s="162"/>
      <c r="Q193" s="162"/>
      <c r="R193" s="162"/>
      <c r="S193" s="162"/>
      <c r="T193" s="162"/>
    </row>
    <row r="194" ht="15.0" customHeight="1">
      <c r="A194" s="304"/>
      <c r="B194" s="162"/>
      <c r="C194" s="162"/>
      <c r="D194" s="162"/>
      <c r="E194" s="162"/>
      <c r="F194" s="305"/>
      <c r="G194" s="305"/>
      <c r="H194" s="162"/>
      <c r="I194" s="162"/>
      <c r="J194" s="148"/>
      <c r="K194" s="307"/>
      <c r="L194" s="307"/>
      <c r="M194" s="162"/>
      <c r="N194" s="124"/>
      <c r="O194" s="148"/>
      <c r="P194" s="162"/>
      <c r="Q194" s="162"/>
      <c r="R194" s="162"/>
      <c r="S194" s="162"/>
      <c r="T194" s="162"/>
    </row>
    <row r="195" ht="15.0" customHeight="1">
      <c r="A195" s="304"/>
      <c r="B195" s="162"/>
      <c r="C195" s="162"/>
      <c r="D195" s="162"/>
      <c r="E195" s="162"/>
      <c r="F195" s="305"/>
      <c r="G195" s="305"/>
      <c r="H195" s="162"/>
      <c r="I195" s="162"/>
      <c r="J195" s="148"/>
      <c r="K195" s="307"/>
      <c r="L195" s="307"/>
      <c r="M195" s="162"/>
      <c r="N195" s="124"/>
      <c r="O195" s="148"/>
      <c r="P195" s="162"/>
      <c r="Q195" s="162"/>
      <c r="R195" s="162"/>
      <c r="S195" s="162"/>
      <c r="T195" s="162"/>
    </row>
    <row r="196" ht="15.0" customHeight="1">
      <c r="A196" s="304"/>
      <c r="B196" s="162"/>
      <c r="C196" s="162"/>
      <c r="D196" s="162"/>
      <c r="E196" s="162"/>
      <c r="F196" s="305"/>
      <c r="G196" s="305"/>
      <c r="H196" s="162"/>
      <c r="I196" s="162"/>
      <c r="J196" s="148"/>
      <c r="K196" s="307"/>
      <c r="L196" s="307"/>
      <c r="M196" s="162"/>
      <c r="N196" s="124"/>
      <c r="O196" s="148"/>
      <c r="P196" s="162"/>
      <c r="Q196" s="162"/>
      <c r="R196" s="162"/>
      <c r="S196" s="162"/>
      <c r="T196" s="162"/>
    </row>
    <row r="197" ht="15.0" customHeight="1">
      <c r="A197" s="304"/>
      <c r="B197" s="162"/>
      <c r="C197" s="162"/>
      <c r="D197" s="162"/>
      <c r="E197" s="162"/>
      <c r="F197" s="305"/>
      <c r="G197" s="305"/>
      <c r="H197" s="162"/>
      <c r="I197" s="162"/>
      <c r="J197" s="148"/>
      <c r="K197" s="307"/>
      <c r="L197" s="307"/>
      <c r="M197" s="162"/>
      <c r="N197" s="124"/>
      <c r="O197" s="148"/>
      <c r="P197" s="162"/>
      <c r="Q197" s="162"/>
      <c r="R197" s="162"/>
      <c r="S197" s="162"/>
      <c r="T197" s="162"/>
    </row>
    <row r="198" ht="15.0" customHeight="1">
      <c r="A198" s="304"/>
      <c r="B198" s="162"/>
      <c r="C198" s="162"/>
      <c r="D198" s="162"/>
      <c r="E198" s="162"/>
      <c r="F198" s="305"/>
      <c r="G198" s="305"/>
      <c r="H198" s="162"/>
      <c r="I198" s="162"/>
      <c r="J198" s="148"/>
      <c r="K198" s="307"/>
      <c r="L198" s="307"/>
      <c r="M198" s="162"/>
      <c r="N198" s="124"/>
      <c r="O198" s="148"/>
      <c r="P198" s="162"/>
      <c r="Q198" s="162"/>
      <c r="R198" s="162"/>
      <c r="S198" s="162"/>
      <c r="T198" s="162"/>
    </row>
    <row r="199" ht="15.0" customHeight="1">
      <c r="A199" s="304"/>
      <c r="B199" s="162"/>
      <c r="C199" s="162"/>
      <c r="D199" s="162"/>
      <c r="E199" s="162"/>
      <c r="F199" s="305"/>
      <c r="G199" s="305"/>
      <c r="H199" s="162"/>
      <c r="I199" s="162"/>
      <c r="J199" s="148"/>
      <c r="K199" s="307"/>
      <c r="L199" s="307"/>
      <c r="M199" s="162"/>
      <c r="N199" s="124"/>
      <c r="O199" s="148"/>
      <c r="P199" s="162"/>
      <c r="Q199" s="162"/>
      <c r="R199" s="162"/>
      <c r="S199" s="162"/>
      <c r="T199" s="162"/>
    </row>
    <row r="200" ht="15.0" customHeight="1">
      <c r="A200" s="304"/>
      <c r="B200" s="162"/>
      <c r="C200" s="162"/>
      <c r="D200" s="162"/>
      <c r="E200" s="162"/>
      <c r="F200" s="305"/>
      <c r="G200" s="305"/>
      <c r="H200" s="162"/>
      <c r="I200" s="162"/>
      <c r="J200" s="148"/>
      <c r="K200" s="307"/>
      <c r="L200" s="307"/>
      <c r="M200" s="162"/>
      <c r="N200" s="124"/>
      <c r="O200" s="148"/>
      <c r="P200" s="162"/>
      <c r="Q200" s="162"/>
      <c r="R200" s="162"/>
      <c r="S200" s="162"/>
      <c r="T200" s="162"/>
    </row>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1:L1"/>
    <mergeCell ref="C2:H2"/>
  </mergeCells>
  <conditionalFormatting sqref="B22">
    <cfRule type="colorScale" priority="1">
      <colorScale>
        <cfvo type="min"/>
        <cfvo type="max"/>
        <color rgb="FF57BB8A"/>
        <color rgb="FFFFFFFF"/>
      </colorScale>
    </cfRule>
  </conditionalFormatting>
  <conditionalFormatting sqref="K6:L8 K10:L13 K15:L17 K19:L21 K23:L25 K27:L28 K30:L31 K33:L34 K36:L50 K52:L61 K63:L67 K69:L78 K80:L84 K86:L95 K97:L100 K102:L106 K108:L111 K113:L127 K129:L143 K145:L149 K151:L165">
    <cfRule type="cellIs" dxfId="0" priority="2" operator="greaterThan">
      <formula>0</formula>
    </cfRule>
  </conditionalFormatting>
  <conditionalFormatting sqref="K5:L5 K9:L9 K14:L14 K18:L18 K22:L22 K26:L26 K29:L29 K32:L32 K35:L35 K51:L51 K62:L62 K68:L68 K79:L79 K85:L85 K96:L96 K101:L101 K107:L107 K112:L112 K128:L128 K144:L144 K150:L150">
    <cfRule type="cellIs" dxfId="1" priority="3" operator="greaterThan">
      <formula>0</formula>
    </cfRule>
  </conditionalFormatting>
  <conditionalFormatting sqref="K5:L5 K9:L9 K14:L14 K18:L18 K22:L22 K26:L26 K29:L29 K32:L32 K35:L35 K51:L51 K62:L62 K68:L68 K79:L79 K85:L85 K96:L96 K101:L101 K107:L107 K112:L112 K128:L128 K144:L144 K150:L150">
    <cfRule type="cellIs" dxfId="2" priority="4" operator="lessThan">
      <formula>0</formula>
    </cfRule>
  </conditionalFormatting>
  <conditionalFormatting sqref="K6:L8 K10:L13 K15:L17 K19:L21 K23:L25 K27:L28 K30:L31 K33:L34 K36:L50 K52:L61 K63:L67 K69:L78 K80:L84 K86:L95 K97:L100 K102:L106 K108:L111 K113:L127 K129:L143 K145:L149 K151:L165">
    <cfRule type="cellIs" dxfId="3" priority="5" operator="lessThan">
      <formula>0</formula>
    </cfRule>
  </conditionalFormatting>
  <conditionalFormatting sqref="K166:L166">
    <cfRule type="cellIs" dxfId="4" priority="6" operator="greaterThan">
      <formula>0</formula>
    </cfRule>
  </conditionalFormatting>
  <conditionalFormatting sqref="K166:L166">
    <cfRule type="cellIs" dxfId="5" priority="7" operator="lessThan">
      <formula>0</formula>
    </cfRule>
  </conditionalFormatting>
  <dataValidations>
    <dataValidation type="list" allowBlank="1" showErrorMessage="1" sqref="B27:B28">
      <formula1>'ТЕХ_ЛИСТ_1'!$G$12:$G200</formula1>
    </dataValidation>
    <dataValidation type="list" allowBlank="1" showErrorMessage="1" sqref="B36 B38:B50">
      <formula1>'ТЕХ_ЛИСТ_1'!$J$12:$J200</formula1>
    </dataValidation>
    <dataValidation type="list" allowBlank="1" showErrorMessage="1" sqref="B19:B21 B23:B25">
      <formula1>'ТЕХ_ЛИСТ_1'!$E$12:$E200</formula1>
    </dataValidation>
    <dataValidation type="list" allowBlank="1" sqref="B52:B61">
      <formula1>'ТЕХ_ЛИСТ_1'!$K$12:$K200</formula1>
    </dataValidation>
    <dataValidation type="list" allowBlank="1" showErrorMessage="1" sqref="B30:B31">
      <formula1>'ТЕХ_ЛИСТ_1'!$H$12:$H200</formula1>
    </dataValidation>
    <dataValidation type="list" allowBlank="1" showErrorMessage="1" sqref="B97:B100">
      <formula1>'ТЕХ_ЛИСТ_1'!$N$12:$N200</formula1>
    </dataValidation>
    <dataValidation type="list" allowBlank="1" sqref="B102:B106">
      <formula1>'ТЕХ_ЛИСТ_1'!$Q$12:$Q200</formula1>
    </dataValidation>
    <dataValidation type="list" allowBlank="1" showErrorMessage="1" sqref="B33:B34">
      <formula1>'ТЕХ_ЛИСТ_1'!$I$12:$I200</formula1>
    </dataValidation>
    <dataValidation type="list" allowBlank="1" showInputMessage="1" showErrorMessage="1" prompt="Все добре? Раджу вводити реальні назви!" sqref="B6:B8">
      <formula1>'ТЕХ_ЛИСТ_1'!$B$12:$B200</formula1>
    </dataValidation>
    <dataValidation type="list" allowBlank="1" sqref="B69:B78">
      <formula1>'ТЕХ_ЛИСТ_1'!$L$12:$L200</formula1>
    </dataValidation>
    <dataValidation type="list" allowBlank="1" showErrorMessage="1" sqref="B15:B17">
      <formula1>'ТЕХ_ЛИСТ_1'!$D$12:$D200</formula1>
    </dataValidation>
    <dataValidation type="list" allowBlank="1" sqref="B151:B165">
      <formula1>'Номенклатура_BAF'!$B$2:$B200</formula1>
    </dataValidation>
    <dataValidation type="list" allowBlank="1" showErrorMessage="1" sqref="B129:B134 B136:B143">
      <formula1>'ТЕХ_ЛИСТ_1'!$S$12:$S200</formula1>
    </dataValidation>
    <dataValidation type="list" allowBlank="1" showErrorMessage="1" sqref="B86:B95">
      <formula1>'ТЕХ_ЛИСТ_1'!$P$12:$P200</formula1>
    </dataValidation>
    <dataValidation type="list" allowBlank="1" showErrorMessage="1" sqref="B10:B13">
      <formula1>'ТЕХ_ЛИСТ_1'!$C$12:$C200</formula1>
    </dataValidation>
    <dataValidation type="list" allowBlank="1" sqref="B113:B127">
      <formula1>'ТЕХ_ЛИСТ_1'!$R$12:$R200</formula1>
    </dataValidation>
    <dataValidation type="list" allowBlank="1" showErrorMessage="1" sqref="B63:B67 B80:B84">
      <formula1>'ТЕХ_ЛИСТ_1'!$M$12:$M200</formula1>
    </dataValidation>
    <dataValidation type="list" allowBlank="1" showErrorMessage="1" sqref="B108:B111">
      <formula1>'ТЕХ_ЛИСТ_1'!$O$12:$O200</formula1>
    </dataValidation>
  </dataValidations>
  <printOptions gridLines="1"/>
  <pageMargins bottom="0.7874015748031495" footer="0.0" header="0.0" left="0.23622047244094488" right="0.23622047244094488" top="0.23622047244094488"/>
  <pageSetup paperSize="9" cellComments="atEnd" orientation="landscape"/>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1" max="1" width="27.43"/>
    <col customWidth="1" min="2" max="2" width="24.0"/>
    <col customWidth="1" min="3" max="3" width="27.14"/>
    <col customWidth="1" min="4" max="4" width="29.86"/>
    <col customWidth="1" min="5" max="5" width="30.71"/>
    <col customWidth="1" min="6" max="18" width="24.0"/>
    <col customWidth="1" min="19" max="19" width="37.14"/>
    <col customWidth="1" min="20" max="22" width="24.0"/>
  </cols>
  <sheetData>
    <row r="1" ht="15.0" customHeight="1">
      <c r="A1" s="315"/>
      <c r="B1" s="315"/>
      <c r="C1" s="315"/>
      <c r="D1" s="316" t="s">
        <v>306</v>
      </c>
      <c r="E1" s="315"/>
      <c r="F1" s="315"/>
      <c r="G1" s="315"/>
      <c r="H1" s="315"/>
      <c r="I1" s="315"/>
      <c r="J1" s="315"/>
      <c r="K1" s="315"/>
      <c r="L1" s="315"/>
      <c r="M1" s="315"/>
      <c r="N1" s="315"/>
      <c r="O1" s="315"/>
      <c r="P1" s="315"/>
      <c r="Q1" s="315"/>
      <c r="R1" s="316"/>
      <c r="S1" s="316"/>
      <c r="T1" s="315"/>
      <c r="U1" s="315"/>
      <c r="V1" s="317"/>
    </row>
    <row r="2">
      <c r="A2" s="318"/>
      <c r="B2" s="318"/>
      <c r="C2" s="318"/>
      <c r="D2" s="318"/>
      <c r="E2" s="318"/>
      <c r="F2" s="318"/>
      <c r="G2" s="318"/>
      <c r="H2" s="318"/>
      <c r="I2" s="318"/>
      <c r="J2" s="318"/>
      <c r="K2" s="318"/>
      <c r="L2" s="318"/>
      <c r="M2" s="318"/>
      <c r="N2" s="318"/>
      <c r="O2" s="318"/>
      <c r="P2" s="318"/>
      <c r="Q2" s="318"/>
      <c r="R2" s="318"/>
      <c r="S2" s="318"/>
      <c r="T2" s="318"/>
      <c r="U2" s="318"/>
      <c r="V2" s="319"/>
    </row>
    <row r="3">
      <c r="A3" s="318"/>
      <c r="B3" s="318"/>
      <c r="C3" s="318"/>
      <c r="D3" s="318"/>
      <c r="E3" s="318"/>
      <c r="F3" s="318"/>
      <c r="G3" s="318"/>
      <c r="H3" s="318"/>
      <c r="I3" s="318"/>
      <c r="J3" s="318"/>
      <c r="K3" s="318"/>
      <c r="L3" s="318"/>
      <c r="M3" s="318"/>
      <c r="N3" s="318"/>
      <c r="O3" s="318"/>
      <c r="P3" s="318"/>
      <c r="Q3" s="318"/>
      <c r="R3" s="318"/>
      <c r="S3" s="318"/>
      <c r="T3" s="318"/>
      <c r="U3" s="318"/>
      <c r="V3" s="319"/>
    </row>
    <row r="4">
      <c r="A4" s="318" t="s">
        <v>307</v>
      </c>
      <c r="B4" s="318"/>
      <c r="C4" s="318"/>
      <c r="D4" s="318"/>
      <c r="E4" s="318"/>
      <c r="F4" s="318"/>
      <c r="G4" s="318"/>
      <c r="H4" s="318"/>
      <c r="I4" s="318"/>
      <c r="J4" s="318" t="s">
        <v>308</v>
      </c>
      <c r="K4" s="318"/>
      <c r="L4" s="318"/>
      <c r="M4" s="318"/>
      <c r="N4" s="318"/>
      <c r="O4" s="318"/>
      <c r="P4" s="318"/>
      <c r="Q4" s="318"/>
      <c r="R4" s="318"/>
      <c r="S4" s="318"/>
      <c r="T4" s="318"/>
      <c r="U4" s="318"/>
      <c r="V4" s="319"/>
    </row>
    <row r="5">
      <c r="A5" s="318" t="s">
        <v>307</v>
      </c>
      <c r="B5" s="318"/>
      <c r="C5" s="318"/>
      <c r="D5" s="318"/>
      <c r="E5" s="318"/>
      <c r="F5" s="318"/>
      <c r="G5" s="318"/>
      <c r="H5" s="318"/>
      <c r="I5" s="318"/>
      <c r="J5" s="318" t="s">
        <v>309</v>
      </c>
      <c r="K5" s="318"/>
      <c r="L5" s="318"/>
      <c r="M5" s="318"/>
      <c r="N5" s="318"/>
      <c r="O5" s="318"/>
      <c r="P5" s="318"/>
      <c r="Q5" s="318"/>
      <c r="R5" s="318"/>
      <c r="S5" s="318"/>
      <c r="T5" s="318"/>
      <c r="U5" s="318"/>
      <c r="V5" s="319"/>
    </row>
    <row r="6">
      <c r="A6" s="318" t="s">
        <v>307</v>
      </c>
      <c r="B6" s="318"/>
      <c r="C6" s="318"/>
      <c r="D6" s="318"/>
      <c r="E6" s="318"/>
      <c r="F6" s="318"/>
      <c r="G6" s="318"/>
      <c r="H6" s="318"/>
      <c r="I6" s="318"/>
      <c r="J6" s="318" t="s">
        <v>310</v>
      </c>
      <c r="K6" s="318"/>
      <c r="L6" s="318"/>
      <c r="M6" s="318"/>
      <c r="N6" s="318"/>
      <c r="O6" s="318"/>
      <c r="P6" s="318"/>
      <c r="Q6" s="318"/>
      <c r="R6" s="318"/>
      <c r="S6" s="318"/>
      <c r="T6" s="318"/>
      <c r="U6" s="318"/>
      <c r="V6" s="319"/>
    </row>
    <row r="7">
      <c r="A7" s="318" t="s">
        <v>307</v>
      </c>
      <c r="B7" s="318"/>
      <c r="C7" s="318"/>
      <c r="D7" s="318"/>
      <c r="E7" s="318"/>
      <c r="F7" s="318"/>
      <c r="G7" s="318"/>
      <c r="H7" s="318"/>
      <c r="I7" s="318"/>
      <c r="J7" s="318" t="s">
        <v>311</v>
      </c>
      <c r="K7" s="318"/>
      <c r="L7" s="318"/>
      <c r="M7" s="318"/>
      <c r="N7" s="318"/>
      <c r="O7" s="318"/>
      <c r="P7" s="318"/>
      <c r="Q7" s="318" t="s">
        <v>312</v>
      </c>
      <c r="R7" s="318"/>
      <c r="S7" s="318"/>
      <c r="T7" s="318"/>
      <c r="U7" s="318"/>
      <c r="V7" s="319"/>
    </row>
    <row r="8">
      <c r="A8" s="318" t="s">
        <v>307</v>
      </c>
      <c r="B8" s="318"/>
      <c r="C8" s="318" t="s">
        <v>313</v>
      </c>
      <c r="D8" s="318"/>
      <c r="E8" s="318"/>
      <c r="F8" s="318"/>
      <c r="G8" s="318"/>
      <c r="H8" s="318"/>
      <c r="I8" s="318"/>
      <c r="J8" s="320" t="s">
        <v>314</v>
      </c>
      <c r="K8" s="320" t="s">
        <v>315</v>
      </c>
      <c r="L8" s="318"/>
      <c r="M8" s="318"/>
      <c r="N8" s="318"/>
      <c r="O8" s="318"/>
      <c r="P8" s="318"/>
      <c r="Q8" s="320" t="s">
        <v>316</v>
      </c>
      <c r="R8" s="318" t="s">
        <v>317</v>
      </c>
      <c r="S8" s="318"/>
      <c r="T8" s="318"/>
      <c r="U8" s="318"/>
      <c r="V8" s="319"/>
    </row>
    <row r="9">
      <c r="A9" s="318" t="s">
        <v>307</v>
      </c>
      <c r="B9" s="318" t="s">
        <v>318</v>
      </c>
      <c r="C9" s="318" t="s">
        <v>319</v>
      </c>
      <c r="D9" s="318" t="s">
        <v>320</v>
      </c>
      <c r="E9" s="318" t="s">
        <v>321</v>
      </c>
      <c r="F9" s="318"/>
      <c r="G9" s="318" t="s">
        <v>322</v>
      </c>
      <c r="H9" s="318" t="s">
        <v>323</v>
      </c>
      <c r="I9" s="318" t="s">
        <v>324</v>
      </c>
      <c r="J9" s="318" t="s">
        <v>325</v>
      </c>
      <c r="K9" s="318" t="s">
        <v>146</v>
      </c>
      <c r="L9" s="318" t="s">
        <v>326</v>
      </c>
      <c r="M9" s="318" t="s">
        <v>327</v>
      </c>
      <c r="N9" s="318" t="s">
        <v>328</v>
      </c>
      <c r="O9" s="318" t="s">
        <v>17</v>
      </c>
      <c r="P9" s="318" t="s">
        <v>14</v>
      </c>
      <c r="Q9" s="318" t="s">
        <v>16</v>
      </c>
      <c r="R9" s="318" t="s">
        <v>329</v>
      </c>
      <c r="S9" s="321" t="s">
        <v>330</v>
      </c>
      <c r="T9" s="318"/>
      <c r="U9" s="318"/>
      <c r="V9" s="319"/>
    </row>
    <row r="10">
      <c r="A10" s="322" t="s">
        <v>331</v>
      </c>
      <c r="B10" s="322" t="s">
        <v>87</v>
      </c>
      <c r="C10" s="322" t="s">
        <v>93</v>
      </c>
      <c r="D10" s="322" t="s">
        <v>332</v>
      </c>
      <c r="E10" s="322" t="s">
        <v>105</v>
      </c>
      <c r="F10" s="322" t="s">
        <v>110</v>
      </c>
      <c r="G10" s="322" t="s">
        <v>333</v>
      </c>
      <c r="H10" s="322" t="s">
        <v>323</v>
      </c>
      <c r="I10" s="322" t="s">
        <v>124</v>
      </c>
      <c r="J10" s="322" t="s">
        <v>13</v>
      </c>
      <c r="K10" s="322" t="s">
        <v>334</v>
      </c>
      <c r="L10" s="322" t="s">
        <v>326</v>
      </c>
      <c r="M10" s="322" t="s">
        <v>335</v>
      </c>
      <c r="N10" s="322" t="s">
        <v>15</v>
      </c>
      <c r="O10" s="322" t="s">
        <v>17</v>
      </c>
      <c r="P10" s="322" t="s">
        <v>14</v>
      </c>
      <c r="Q10" s="322" t="s">
        <v>16</v>
      </c>
      <c r="R10" s="322" t="s">
        <v>231</v>
      </c>
      <c r="S10" s="322" t="s">
        <v>18</v>
      </c>
      <c r="T10" s="322"/>
      <c r="U10" s="322"/>
      <c r="V10" s="322"/>
    </row>
    <row r="11" ht="27.75" customHeight="1">
      <c r="A11" s="323" t="s">
        <v>336</v>
      </c>
      <c r="B11" s="323" t="s">
        <v>337</v>
      </c>
      <c r="C11" s="323"/>
      <c r="D11" s="323"/>
      <c r="E11" s="323"/>
      <c r="F11" s="323"/>
      <c r="G11" s="323"/>
      <c r="H11" s="323"/>
      <c r="I11" s="323"/>
      <c r="J11" s="323"/>
      <c r="K11" s="323" t="s">
        <v>337</v>
      </c>
      <c r="L11" s="323"/>
      <c r="M11" s="324"/>
      <c r="N11" s="323"/>
      <c r="O11" s="324"/>
      <c r="P11" s="323"/>
      <c r="Q11" s="324"/>
      <c r="R11" s="324"/>
      <c r="S11" s="323"/>
      <c r="T11" s="323"/>
      <c r="U11" s="323"/>
      <c r="V11" s="324"/>
    </row>
    <row r="12">
      <c r="A12" s="325" t="s">
        <v>338</v>
      </c>
      <c r="B12" s="326" t="s">
        <v>339</v>
      </c>
      <c r="C12" s="327" t="str">
        <f>IFERROR(__xludf.DUMMYFUNCTION("ARRAYFORMULA(IF(
  FILTER('Номенклатура_BAF'!$B$2:$B1632,
    ('Номенклатура_BAF'!$A$2:$A1632 = 'ТЕХ_ЛИСТ_1'!C9) +
    ('Номенклатура_BAF'!$A$2:$A1632 = 'ТЕХ_ЛИСТ_1'!C8)
  ) = """",
  """",
  FILTER('Номенклатура_BAF'!$B$2:$B1632,
    ('Номенклатура_BAF'!"&amp;"$A$2:$A1632 = 'ТЕХ_ЛИСТ_1'!C9) +
    ('Номенклатура_BAF'!$A$2:$A1632 = 'ТЕХ_ЛИСТ_1'!C8)
  ) &amp;
  IF(
    FILTER('Номенклатура_BAF'!$H$2:$H1632,
      ('Номенклатура_BAF'!$A$2:$A1632 = 'ТЕХ_ЛИСТ_1'!C9) +
      ('Номенклатура_BAF'!$A$2:$A1632 = 'ТЕХ_ЛИСТ_1'!"&amp;"C8)
    ) = """",
    """",
    "" --- "" &amp;
    FILTER('Номенклатура_BAF'!$H$2:$H1632,
      ('Номенклатура_BAF'!$A$2:$A1632 = 'ТЕХ_ЛИСТ_1'!C9) +
      ('Номенклатура_BAF'!$A$2:$A1632 = 'ТЕХ_ЛИСТ_1'!C8)
    ) &amp;
    FILTER('Номенклатура_BAF'!$C$2:$C1632,
 "&amp;"     ('Номенклатура_BAF'!$A$2:$A1632 = 'ТЕХ_ЛИСТ_1'!C9) +
      ('Номенклатура_BAF'!$A$2:$A1632 = 'ТЕХ_ЛИСТ_1'!C8)
    )
  )
))
"),"Джерело безперебійного живлення Solis RAI-3K-48ES-5G")</f>
        <v>Джерело безперебійного живлення Solis RAI-3K-48ES-5G</v>
      </c>
      <c r="D12" s="328" t="str">
        <f>IFERROR(__xludf.DUMMYFUNCTION("ARRAYFORMULA(IF(
  FILTER('Номенклатура_BAF'!$B$2:$B1632, 'ТЕХ_ЛИСТ_1'!D9 = 'Номенклатура_BAF'!$A$2:$A1632) = """",
  """",
  FILTER('Номенклатура_BAF'!$B$2:$B1632, 'ТЕХ_ЛИСТ_1'!D9 = 'Номенклатура_BAF'!$A$2:$A1632) &amp;
  IF(
    FILTER('Номенклатура_BAF'!$H"&amp;"$2:$H1632, 'ТЕХ_ЛИСТ_1'!D9 = 'Номенклатура_BAF'!$A$2:$A1632) = """",
    """",
    "" --- "" &amp; FILTER('Номенклатура_BAF'!$H$2:$H1632, 'ТЕХ_ЛИСТ_1'!D9 = 'Номенклатура_BAF'!$A$2:$A1632) &amp;
    FILTER('Номенклатура_BAF'!$C$2:$C1632, 'ТЕХ_ЛИСТ_1'!D9 = 'Номенкл"&amp;"атура_BAF'!$A$2:$A1632)
  )
))
"),"Аккумулятор Deye RW-M6.1 (6.14kW) 48V LiFePO4")</f>
        <v>Аккумулятор Deye RW-M6.1 (6.14kW) 48V LiFePO4</v>
      </c>
      <c r="E12" s="328" t="str">
        <f>IFERROR(__xludf.DUMMYFUNCTION("ARRAYFORMULA(IF(
  FILTER('Номенклатура_BAF'!$B$2:$B1632, 'ТЕХ_ЛИСТ_1'!E9 = 'Номенклатура_BAF'!$A$2:$A1632) = """",
  """",
  FILTER('Номенклатура_BAF'!$B$2:$B1632, 'ТЕХ_ЛИСТ_1'!E9 = 'Номенклатура_BAF'!$A$2:$A1632) &amp;
  IF(
    FILTER('Номенклатура_BAF'!$H"&amp;"$2:$H1632, 'ТЕХ_ЛИСТ_1'!E9 = 'Номенклатура_BAF'!$A$2:$A1632) = """",
    """",
    "" --- "" &amp; FILTER('Номенклатура_BAF'!$H$2:$H1632, 'ТЕХ_ЛИСТ_1'!E9 = 'Номенклатура_BAF'!$A$2:$A1632) &amp;
    FILTER('Номенклатура_BAF'!$C$2:$C1632, 'ТЕХ_ЛИСТ_1'!E9 = 'Номенкл"&amp;"атура_BAF'!$A$2:$A1632)
  )
))
"),"Комплект комутаційних кабелів Dyness Power cable for HV51100")</f>
        <v>Комплект комутаційних кабелів Dyness Power cable for HV51100</v>
      </c>
      <c r="F12" s="328"/>
      <c r="G12" s="328" t="str">
        <f>IFERROR(__xludf.DUMMYFUNCTION("ARRAYFORMULA(IF(
  FILTER('Номенклатура_BAF'!$B$2:$B1632, 'ТЕХ_ЛИСТ_1'!G9 = 'Номенклатура_BAF'!$A$2:$A1632) = """",
  """",
  FILTER('Номенклатура_BAF'!$B$2:$B1632, 'ТЕХ_ЛИСТ_1'!G9 = 'Номенклатура_BAF'!$A$2:$A1632) &amp;
  IF(
    FILTER('Номенклатура_BAF'!$H"&amp;"$2:$H1632, 'ТЕХ_ЛИСТ_1'!G9 = 'Номенклатура_BAF'!$A$2:$A1632) = """",
    """",
    "" --- "" &amp; FILTER('Номенклатура_BAF'!$H$2:$H1632, 'ТЕХ_ЛИСТ_1'!G9 = 'Номенклатура_BAF'!$A$2:$A1632) &amp;
    FILTER('Номенклатура_BAF'!$C$2:$C1632, 'ТЕХ_ЛИСТ_1'!G9 = 'Номенкл"&amp;"атура_BAF'!$A$2:$A1632)
  )
))
"),"Acrel DTSD1352-C 3P EPM для Solis (до 150А / 100 КВТ)")</f>
        <v>Acrel DTSD1352-C 3P EPM для Solis (до 150А / 100 КВТ)</v>
      </c>
      <c r="H12" s="328" t="str">
        <f>IFERROR(__xludf.DUMMYFUNCTION("ARRAYFORMULA(IF(
  FILTER('Номенклатура_BAF'!$B$2:$B1632, 'ТЕХ_ЛИСТ_1'!H9 = 'Номенклатура_BAF'!$A$2:$A1632) = """",
  """",
  FILTER('Номенклатура_BAF'!$B$2:$B1632, 'ТЕХ_ЛИСТ_1'!H9 = 'Номенклатура_BAF'!$A$2:$A1632) &amp;
  IF(
    FILTER('Номенклатура_BAF'!$H"&amp;"$2:$H1632, 'ТЕХ_ЛИСТ_1'!H9 = 'Номенклатура_BAF'!$A$2:$A1632) = """",
    """",
    "" --- "" &amp; FILTER('Номенклатура_BAF'!$H$2:$H1632, 'ТЕХ_ЛИСТ_1'!H9 = 'Номенклатура_BAF'!$A$2:$A1632) &amp;
    FILTER('Номенклатура_BAF'!$C$2:$C1632, 'ТЕХ_ЛИСТ_1'!H9 = 'Номенкл"&amp;"атура_BAF'!$A$2:$A1632)
  )
))
"),"Модем HUAWEI 4G Dongle without Sim card")</f>
        <v>Модем HUAWEI 4G Dongle without Sim card</v>
      </c>
      <c r="I12" s="328" t="str">
        <f>IFERROR(__xludf.DUMMYFUNCTION("ARRAYFORMULA(IF(
  FILTER('Номенклатура_BAF'!$B$2:$B1632, 'ТЕХ_ЛИСТ_1'!I9 = 'Номенклатура_BAF'!$A$2:$A1632) = """",
  """",
  FILTER('Номенклатура_BAF'!$B$2:$B1632, 'ТЕХ_ЛИСТ_1'!I9 = 'Номенклатура_BAF'!$A$2:$A1632) &amp;
  IF(
    FILTER('Номенклатура_BAF'!$H"&amp;"$2:$H1632, 'ТЕХ_ЛИСТ_1'!I9 = 'Номенклатура_BAF'!$A$2:$A1632) = """",
    """",
    "" --- "" &amp; FILTER('Номенклатура_BAF'!$H$2:$H1632, 'ТЕХ_ЛИСТ_1'!I9 = 'Номенклатура_BAF'!$A$2:$A1632) &amp;
    FILTER('Номенклатура_BAF'!$C$2:$C1632, 'ТЕХ_ЛИСТ_1'!I9 = 'Номенкл"&amp;"атура_BAF'!$A$2:$A1632)
  )
))
"),"Трансформатор струму кліпса SCT-T24 100/5 --- 3шт")</f>
        <v>Трансформатор струму кліпса SCT-T24 100/5 --- 3шт</v>
      </c>
      <c r="J12" s="329" t="s">
        <v>340</v>
      </c>
      <c r="K12" s="327" t="str">
        <f>IFERROR(__xludf.DUMMYFUNCTION("ARRAYFORMULA(IF(
  FILTER('Номенклатура_BAF'!$B$2:$B1632,
    ('Номенклатура_BAF'!$A$2:$A1632 = 'ТЕХ_ЛИСТ_1'!K9) +
    ('Номенклатура_BAF'!$A$2:$A1632 = 'ТЕХ_ЛИСТ_1'!K8)
  ) = """",
  """",
  FILTER('Номенклатура_BAF'!$B$2:$B1632,
    ('Номенклатура_BAF'!"&amp;"$A$2:$A1632 = 'ТЕХ_ЛИСТ_1'!K9) +
    ('Номенклатура_BAF'!$A$2:$A1632 = 'ТЕХ_ЛИСТ_1'!K8)
  ) &amp;
  IF(
    FILTER('Номенклатура_BAF'!$H$2:$H1632,
      ('Номенклатура_BAF'!$A$2:$A1632 = 'ТЕХ_ЛИСТ_1'!K9) +
      ('Номенклатура_BAF'!$A$2:$A1632 = 'ТЕХ_ЛИСТ_1'!"&amp;"K8)
    ) = """",
    """",
    "" --- "" &amp;
    FILTER('Номенклатура_BAF'!$H$2:$H1632,
      ('Номенклатура_BAF'!$A$2:$A1632 = 'ТЕХ_ЛИСТ_1'!K9) +
      ('Номенклатура_BAF'!$A$2:$A1632 = 'ТЕХ_ЛИСТ_1'!K8)
    ) &amp;
    FILTER('Номенклатура_BAF'!$C$2:$C1632,
 "&amp;"     ('Номенклатура_BAF'!$A$2:$A1632 = 'ТЕХ_ЛИСТ_1'!K9) +
      ('Номенклатура_BAF'!$A$2:$A1632 = 'ТЕХ_ЛИСТ_1'!K8)
    )
  )
))
"),"BB1H-63-20A-2B (2р, 600VDC, автоматичний вимикач, постійний струм, BENY)")</f>
        <v>BB1H-63-20A-2B (2р, 600VDC, автоматичний вимикач, постійний струм, BENY)</v>
      </c>
      <c r="L12" s="325" t="str">
        <f>IFERROR(__xludf.DUMMYFUNCTION("ARRAYFORMULA(IF(
  FILTER('Номенклатура_BAF'!$B$2:$B1632, 'ТЕХ_ЛИСТ_1'!L9 = 'Номенклатура_BAF'!$A$2:$A1632) = """",
  """",
  FILTER('Номенклатура_BAF'!$B$2:$B1632, 'ТЕХ_ЛИСТ_1'!L9 = 'Номенклатура_BAF'!$A$2:$A1632) &amp;
  IF(
    FILTER('Номенклатура_BAF'!$H"&amp;"$2:$H1632, 'ТЕХ_ЛИСТ_1'!L9 = 'Номенклатура_BAF'!$A$2:$A1632) = """",
    """",
    "" --- "" &amp; FILTER('Номенклатура_BAF'!$H$2:$H1632, 'ТЕХ_ЛИСТ_1'!L9 = 'Номенклатура_BAF'!$A$2:$A1632) &amp;
    FILTER('Номенклатура_BAF'!$C$2:$C1632, 'ТЕХ_ЛИСТ_1'!L9 = 'Номенкл"&amp;"атура_BAF'!$A$2:$A1632)
  )
))
"),"EB2 250/3L 200А 3р (25кА), (автоматичний вимикач, ETI)")</f>
        <v>EB2 250/3L 200А 3р (25кА), (автоматичний вимикач, ETI)</v>
      </c>
      <c r="M12" s="325" t="str">
        <f>IFERROR(__xludf.DUMMYFUNCTION("ARRAYFORMULA(IF(
  FILTER('Номенклатура_BAF'!$B$2:$B1632, 'ТЕХ_ЛИСТ_1'!M9 = 'Номенклатура_BAF'!$A$2:$A1632) = """",
  """",
  FILTER('Номенклатура_BAF'!$B$2:$B1632, 'ТЕХ_ЛИСТ_1'!M9 = 'Номенклатура_BAF'!$A$2:$A1632) &amp;
  IF(
    FILTER('Номенклатура_BAF'!$H"&amp;"$2:$H1632, 'ТЕХ_ЛИСТ_1'!M9 = 'Номенклатура_BAF'!$A$2:$A1632) = """",
    """",
    "" --- "" &amp; FILTER('Номенклатура_BAF'!$H$2:$H1632, 'ТЕХ_ЛИСТ_1'!M9 = 'Номенклатура_BAF'!$A$2:$A1632) &amp;
    FILTER('Номенклатура_BAF'!$C$2:$C1632, 'ТЕХ_ЛИСТ_1'!M9 = 'Номенкл"&amp;"атура_BAF'!$A$2:$A1632)
  )
))
"),"ECH-12PT (щит, розподільчий, 12 модулів, 319х256х144, навісний, IP65, ETI) --- 10шт")</f>
        <v>ECH-12PT (щит, розподільчий, 12 модулів, 319х256х144, навісний, IP65, ETI) --- 10шт</v>
      </c>
      <c r="N12" s="325" t="str">
        <f>IFERROR(__xludf.DUMMYFUNCTION("ARRAYFORMULA(IF(
  FILTER('Номенклатура_BAF'!$B$2:$B1632, 'ТЕХ_ЛИСТ_1'!N9 = 'Номенклатура_BAF'!$A$2:$A1632) = """",
  """",
  FILTER('Номенклатура_BAF'!$B$2:$B1632, 'ТЕХ_ЛИСТ_1'!N9 = 'Номенклатура_BAF'!$A$2:$A1632) &amp;
  IF(
    FILTER('Номенклатура_BAF'!$H"&amp;"$2:$H1632, 'ТЕХ_ЛИСТ_1'!N9 = 'Номенклатура_BAF'!$A$2:$A1632) = """",
    """",
    "" --- "" &amp; FILTER('Номенклатура_BAF'!$H$2:$H1632, 'ТЕХ_ЛИСТ_1'!N9 = 'Номенклатура_BAF'!$A$2:$A1632) &amp;
    FILTER('Номенклатура_BAF'!$C$2:$C1632, 'ТЕХ_ЛИСТ_1'!N9 = 'Номенкл"&amp;"атура_BAF'!$A$2:$A1632)
  )
))
"),"Стійка CSV-16U 400 Lite --- 11шт")</f>
        <v>Стійка CSV-16U 400 Lite --- 11шт</v>
      </c>
      <c r="O12" s="325" t="str">
        <f>IFERROR(__xludf.DUMMYFUNCTION("ARRAYFORMULA(IF(
  FILTER('Номенклатура_BAF'!$B$2:$B1632, 'ТЕХ_ЛИСТ_1'!O9 = 'Номенклатура_BAF'!$A$2:$A1632) = """",
  """",
  FILTER('Номенклатура_BAF'!$B$2:$B1632, 'ТЕХ_ЛИСТ_1'!O9 = 'Номенклатура_BAF'!$A$2:$A1632) &amp;
  IF(
    FILTER('Номенклатура_BAF'!$H"&amp;"$2:$H1632, 'ТЕХ_ЛИСТ_1'!O9 = 'Номенклатура_BAF'!$A$2:$A1632) = """",
    """",
    "" --- "" &amp; FILTER('Номенклатура_BAF'!$H$2:$H1632, 'ТЕХ_ЛИСТ_1'!O9 = 'Номенклатура_BAF'!$A$2:$A1632) &amp;
    FILTER('Номенклатура_BAF'!$C$2:$C1632, 'ТЕХ_ЛИСТ_1'!O9 = 'Номенкл"&amp;"атура_BAF'!$A$2:$A1632)
  )
))
"),"З'єднувач (діагональний, цинк., ДКС) --- 16шт")</f>
        <v>З'єднувач (діагональний, цинк., ДКС) --- 16шт</v>
      </c>
      <c r="P12" s="325" t="str">
        <f>IFERROR(__xludf.DUMMYFUNCTION("ARRAYFORMULA(IF(
  FILTER('Номенклатура_BAF'!$B$2:$B1632, 'ТЕХ_ЛИСТ_1'!P9 = 'Номенклатура_BAF'!$A$2:$A1632) = """",
  """",
  FILTER('Номенклатура_BAF'!$B$2:$B1632, 'ТЕХ_ЛИСТ_1'!P9 = 'Номенклатура_BAF'!$A$2:$A1632) &amp;
  IF(
    FILTER('Номенклатура_BAF'!$H"&amp;"$2:$H1632, 'ТЕХ_ЛИСТ_1'!P9 = 'Номенклатура_BAF'!$A$2:$A1632) = """",
    """",
    "" --- "" &amp; FILTER('Номенклатура_BAF'!$H$2:$H1632, 'ТЕХ_ЛИСТ_1'!P9 = 'Номенклатура_BAF'!$A$2:$A1632) &amp;
    FILTER('Номенклатура_BAF'!$C$2:$C1632, 'ТЕХ_ЛИСТ_1'!P9 = 'Номенкл"&amp;"атура_BAF'!$A$2:$A1632)
  )
))
"),"CEM 105.11 (контактор, 105А, 55 кВт, 230V/AC, AC3, ETI)")</f>
        <v>CEM 105.11 (контактор, 105А, 55 кВт, 230V/AC, AC3, ETI)</v>
      </c>
      <c r="Q12" s="325" t="str">
        <f>IFERROR(__xludf.DUMMYFUNCTION("ARRAYFORMULA(IF(
  FILTER('Номенклатура_BAF'!$B$2:$B1632, 'ТЕХ_ЛИСТ_1'!Q9 = 'Номенклатура_BAF'!$A$2:$A1632) = """",
  """",
  FILTER('Номенклатура_BAF'!$B$2:$B1632, 'ТЕХ_ЛИСТ_1'!Q9 = 'Номенклатура_BAF'!$A$2:$A1632) &amp;
  IF(
    FILTER('Номенклатура_BAF'!$H"&amp;"$2:$H1632, 'ТЕХ_ЛИСТ_1'!Q9 = 'Номенклатура_BAF'!$A$2:$A1632) = """",
    """",
    "" --- "" &amp; FILTER('Номенклатура_BAF'!$H$2:$H1632, 'ТЕХ_ЛИСТ_1'!Q9 = 'Номенклатура_BAF'!$A$2:$A1632) &amp;
    FILTER('Номенклатура_BAF'!$C$2:$C1632, 'ТЕХ_ЛИСТ_1'!Q9 = 'Номенкл"&amp;"атура_BAF'!$A$2:$A1632)
  )
))
"),"NH-1/gG KOMBI (250A, 500VAC, 120 kA, запобіжник, ETI) --- 15шт")</f>
        <v>NH-1/gG KOMBI (250A, 500VAC, 120 kA, запобіжник, ETI) --- 15шт</v>
      </c>
      <c r="R12" s="327" t="str">
        <f>IFERROR(__xludf.DUMMYFUNCTION("ARRAYFORMULA(IF(
  FILTER('Номенклатура_BAF'!$B$2:$B1632,
    ('Номенклатура_BAF'!$A$2:$A1632 = 'ТЕХ_ЛИСТ_1'!R9) +
    ('Номенклатура_BAF'!$A$2:$A1632 = 'ТЕХ_ЛИСТ_1'!R8)
  ) = """",
  """",
  FILTER('Номенклатура_BAF'!$B$2:$B1632,
    ('Номенклатура_BAF'!"&amp;"$A$2:$A1632 = 'ТЕХ_ЛИСТ_1'!R9) +
    ('Номенклатура_BAF'!$A$2:$A1632 = 'ТЕХ_ЛИСТ_1'!R8)
  ) &amp;
  IF(
    FILTER('Номенклатура_BAF'!$H$2:$H1632,
      ('Номенклатура_BAF'!$A$2:$A1632 = 'ТЕХ_ЛИСТ_1'!R9) +
      ('Номенклатура_BAF'!$A$2:$A1632 = 'ТЕХ_ЛИСТ_1'!"&amp;"R8)
    ) = """",
    """",
    "" --- "" &amp;
    FILTER('Номенклатура_BAF'!$H$2:$H1632,
      ('Номенклатура_BAF'!$A$2:$A1632 = 'ТЕХ_ЛИСТ_1'!R9) +
      ('Номенклатура_BAF'!$A$2:$A1632 = 'ТЕХ_ЛИСТ_1'!R8)
    ) &amp;
    FILTER('Номенклатура_BAF'!$C$2:$C1632,
 "&amp;"     ('Номенклатура_BAF'!$A$2:$A1632 = 'ТЕХ_ЛИСТ_1'!R9) +
      ('Номенклатура_BAF'!$A$2:$A1632 = 'ТЕХ_ЛИСТ_1'!R8)
    )
  )
))
"),"Комплект комутаційних кабелів для LV5120 W1/R1")</f>
        <v>Комплект комутаційних кабелів для LV5120 W1/R1</v>
      </c>
      <c r="S12" s="330" t="str">
        <f>IFERROR(__xludf.DUMMYFUNCTION("ARRAYFORMULA(IF(
  FILTER('Номенклатура_BAF'!$B$2:$B1240,
    ('Номенклатура_BAF'!$A$2:$A1240 = ""Елементи керування, сигналізації, індикації"") +
    ('Номенклатура_BAF'!$A$2:$A1240 = ""Елементи монтажу (Стяжки, ізолятори і т.д.)"") +
    ('Номенклатура_"&amp;"BAF'!$A$2:$A1240 = ""Арматура СІП"") +
    ('Номенклатура_BAF'!$A$2:$A1240 = ""Клеми_Розподільчі блоки"") +
    ('Номенклатура_BAF'!$A$2:$A1240 = ""MC4_Конектори"") +
    ('Номенклатура_BAF'!$A$2:$A1240 = ""Накінечники_Гільзи"") +
    ('Номенклатура_BAF'!"&amp;"$A$2:$A1240 = ""Кабельні короба_Труби_Фурнітура"") +
    ('Номенклатура_BAF'!$A$2:$A1240 = ""Гофра_Фурнітура"") +
    ('Номенклатура_BAF'!$A$2:$A1240 = ""Шини_Гребінки"") +
    ('Номенклатура_BAF'!$A$2:$A1240 = ""Розетки"")
  ) = """",
  """",
  FILTER('Н"&amp;"оменклатура_BAF'!$B$2:$B1240,
    ('Номенклатура_BAF'!$A$2:$A1240 = ""Елементи керування, сигналізації, індикації"") +
    ('Номенклатура_BAF'!$A$2:$A1240 = ""Елементи монтажу (Стяжки, ізолятори і т.д.)"") +
    ('Номенклатура_BAF'!$A$2:$A1240 = ""Арматур"&amp;"а СІП"") +
    ('Номенклатура_BAF'!$A$2:$A1240 = ""Клеми_Розподільчі блоки"") +
    ('Номенклатура_BAF'!$A$2:$A1240 = ""MC4_Конектори"") +
    ('Номенклатура_BAF'!$A$2:$A1240 = ""Накінечники_Гільзи"") +
    ('Номенклатура_BAF'!$A$2:$A1240 = ""Кабельні кор"&amp;"оба_Труби_Фурнітура"") +
    ('Номенклатура_BAF'!$A$2:$A1240 = ""Гофра_Фурнітура"") +
    ('Номенклатура_BAF'!$A$2:$A1240 = ""Шини_Гребінки"") +
    ('Номенклатура_BAF'!$A$2:$A1240 = ""Розетки"")
  ) &amp;
  IF(
    FILTER('Номенклатура_BAF'!$H$2:$H1240,
    "&amp;"  ('Номенклатура_BAF'!$A$2:$A1240 = ""Елементи керування, сигналізації, індикації"") +
      ('Номенклатура_BAF'!$A$2:$A1240 = ""Елементи монтажу (Стяжки, ізолятори і т.д.)"") +
      ('Номенклатура_BAF'!$A$2:$A1240 = ""Арматура СІП"") +
      ('Номенклат"&amp;"ура_BAF'!$A$2:$A1240 = ""Клеми_Розподільчі блоки"") +
      ('Номенклатура_BAF'!$A$2:$A1240 = ""MC4_Конектори"") +
      ('Номенклатура_BAF'!$A$2:$A1240 = ""Накінечники_Гільзи"") +
      ('Номенклатура_BAF'!$A$2:$A1240 = ""Кабельні короба_Труби_Фурнітура"&amp;""") +
      ('Номенклатура_BAF'!$A$2:$A1240 = ""Гофра_Фурнітура"") +
      ('Номенклатура_BAF'!$A$2:$A1240 = ""Шини_Гребінки"") +
      ('Номенклатура_BAF'!$A$2:$A1240 = ""Розетки"")
    ) = """",
    """",
    "" --- "" &amp;
    FILTER('Номенклатура_BAF'!$H"&amp;"$2:$H1240,
      ('Номенклатура_BAF'!$A$2:$A1240 = ""Елементи керування, сигналізації, індикації"") +
      ('Номенклатура_BAF'!$A$2:$A1240 = ""Елементи монтажу (Стяжки, ізолятори і т.д.)"") +
      ('Номенклатура_BAF'!$A$2:$A1240 = ""Арматура СІП"") +
  "&amp;"    ('Номенклатура_BAF'!$A$2:$A1240 = ""Клеми_Розподільчі блоки"") +
      ('Номенклатура_BAF'!$A$2:$A1240 = ""MC4_Конектори"") +
      ('Номенклатура_BAF'!$A$2:$A1240 = ""Накінечники_Гільзи"") +
      ('Номенклатура_BAF'!$A$2:$A1240 = ""Кабельні короба_Т"&amp;"руби_Фурнітура"") +
      ('Номенклатура_BAF'!$A$2:$A1240 = ""Гофра_Фурнітура"") +
      ('Номенклатура_BAF'!$A$2:$A1240 = ""Шини_Гребінки"") +
      ('Номенклатура_BAF'!$A$2:$A1240 = ""Розетки"")
    ) &amp;
    FILTER('Номенклатура_BAF'!$C$2:$C1240,
      ("&amp;"'Номенклатура_BAF'!$A$2:$A1240 = ""Елементи керування, сигналізації, індикації"") +
      ('Номенклатура_BAF'!$A$2:$A1240 = ""Елементи монтажу (Стяжки, ізолятори і т.д.)"") +
      ('Номенклатура_BAF'!$A$2:$A1240 = ""Арматура СІП"") +
      ('Номенклатура"&amp;"_BAF'!$A$2:$A1240 = ""Клеми_Розподільчі блоки"") +
      ('Номенклатура_BAF'!$A$2:$A1240 = ""MC4_Конектори"") +
      ('Номенклатура_BAF'!$A$2:$A1240 = ""Накінечники_Гільзи"") +
      ('Номенклатура_BAF'!$A$2:$A1240 = ""Кабельні короба_Труби_Фурнітура"") "&amp;"+
      ('Номенклатура_BAF'!$A$2:$A1240 = ""Гофра_Фурнітура"") +
      ('Номенклатура_BAF'!$A$2:$A1240 = ""Шини_Гребінки"") +
      ('Номенклатура_BAF'!$A$2:$A1240 = ""Розетки"")
    )
  )
))
"),"Блок-контакт 1НЗ (додатковий контакт, 1NC, до кнопок ХB2, АСКО) --- 2шт")</f>
        <v>Блок-контакт 1НЗ (додатковий контакт, 1NC, до кнопок ХB2, АСКО) --- 2шт</v>
      </c>
      <c r="T12" s="325"/>
      <c r="U12" s="331" t="str">
        <f t="array" ref="U12:U1153">IF(
    'Номенклатура_BAF'!B2:B1632 = "",
    "",
    'Номенклатура_BAF'!B2:B1632 &amp;
    IF(
      'Номенклатура_BAF'!H2:H1632 = "",
      "",
      " --- " &amp; 'Номенклатура_BAF'!H2:H1632 &amp; 'Номенклатура_BAF'!C2:C1632
    )
  )
</f>
        <v>BB1H-63-20A-2B (2р, 600VDC, автоматичний вимикач, постійний струм, BENY)</v>
      </c>
      <c r="V12" s="332"/>
    </row>
    <row r="13">
      <c r="A13" s="333"/>
      <c r="B13" s="328" t="str">
        <f>IFERROR(__xludf.DUMMYFUNCTION("ARRAYFORMULA(IF(
  FILTER('Номенклатура_BAF'!$B$2:$B1632, 'ТЕХ_ЛИСТ_1'!B9 = 'Номенклатура_BAF'!$A$2:$A1632) = """",
  """",
  FILTER('Номенклатура_BAF'!$B$2:$B1632, 'ТЕХ_ЛИСТ_1'!B9 = 'Номенклатура_BAF'!$A$2:$A1632) &amp;
  IF(
    FILTER('Номенклатура_BAF'!$H"&amp;"$2:$H1632, 'ТЕХ_ЛИСТ_1'!B9 = 'Номенклатура_BAF'!$A$2:$A1632) = """",
    """",
    "" --- "" &amp; FILTER('Номенклатура_BAF'!$H$2:$H1632, 'ТЕХ_ЛИСТ_1'!B9 = 'Номенклатура_BAF'!$A$2:$A1632) &amp;
    FILTER('Номенклатура_BAF'!$C$2:$C1632, 'ТЕХ_ЛИСТ_1'!B9 = 'Номенкл"&amp;"атура_BAF'!$A$2:$A1632)
  )
))
"),"Cонячна батарея AE METEOR AE430CMD-108BDE Full Black, Double glass --- 205шт")</f>
        <v>Cонячна батарея AE METEOR AE430CMD-108BDE Full Black, Double glass --- 205шт</v>
      </c>
      <c r="C13" s="315" t="str">
        <f>IFERROR(__xludf.DUMMYFUNCTION("""COMPUTED_VALUE"""),"Інвертор автономний Victron MultiPlus 48/5000/70-50")</f>
        <v>Інвертор автономний Victron MultiPlus 48/5000/70-50</v>
      </c>
      <c r="D13" s="315" t="str">
        <f>IFERROR(__xludf.DUMMYFUNCTION("""COMPUTED_VALUE"""),"Акумулятор Power Sonic PS12280NB 12V28.0AH NB1")</f>
        <v>Акумулятор Power Sonic PS12280NB 12V28.0AH NB1</v>
      </c>
      <c r="E13" s="315" t="str">
        <f>IFERROR(__xludf.DUMMYFUNCTION("""COMPUTED_VALUE"""),"Комплект комутаційних кабелів для Pylontech Powercube та Sofarsolar --- 4шт")</f>
        <v>Комплект комутаційних кабелів для Pylontech Powercube та Sofarsolar --- 4шт</v>
      </c>
      <c r="F13" s="315"/>
      <c r="G13" s="315" t="str">
        <f>IFERROR(__xludf.DUMMYFUNCTION("""COMPUTED_VALUE"""),"Лічильник DTSD-1352-СТ ACREL ДЛЯ 3Ф Інвертора  SOLIS з трансформаторами")</f>
        <v>Лічильник DTSD-1352-СТ ACREL ДЛЯ 3Ф Інвертора  SOLIS з трансформаторами</v>
      </c>
      <c r="H13" s="315" t="str">
        <f>IFERROR(__xludf.DUMMYFUNCTION("""COMPUTED_VALUE"""),"Модем HUAWEI Wi-Fi Dongle with fast ethernet --- 1шт")</f>
        <v>Модем HUAWEI Wi-Fi Dongle with fast ethernet --- 1шт</v>
      </c>
      <c r="I13" s="315" t="str">
        <f>IFERROR(__xludf.DUMMYFUNCTION("""COMPUTED_VALUE"""),"Трансформатор струму кліпса SCT-T36 400/5")</f>
        <v>Трансформатор струму кліпса SCT-T36 400/5</v>
      </c>
      <c r="J13" s="334" t="s">
        <v>341</v>
      </c>
      <c r="K13" s="315" t="str">
        <f>IFERROR(__xludf.DUMMYFUNCTION("""COMPUTED_VALUE"""),"BB1H-63-25A-4A (4р, 1200VDC, автоматичний вимикач, постійний струм, BENY) --- 89шт")</f>
        <v>BB1H-63-25A-4A (4р, 1200VDC, автоматичний вимикач, постійний струм, BENY) --- 89шт</v>
      </c>
      <c r="L13" s="315" t="str">
        <f>IFERROR(__xludf.DUMMYFUNCTION("""COMPUTED_VALUE"""),"EB2 250/3L 250А 3р (25кА), (автоматичний вимикач, ETI)")</f>
        <v>EB2 250/3L 250А 3р (25кА), (автоматичний вимикач, ETI)</v>
      </c>
      <c r="M13" s="315" t="str">
        <f>IFERROR(__xludf.DUMMYFUNCTION("""COMPUTED_VALUE"""),"ECH-24PT (щит, розподільчий, 24 модулів, 319х384х144, навісний, IP65, ETI) --- 14шт")</f>
        <v>ECH-24PT (щит, розподільчий, 24 модулів, 319х384х144, навісний, IP65, ETI) --- 14шт</v>
      </c>
      <c r="N13" s="315" t="str">
        <f>IFERROR(__xludf.DUMMYFUNCTION("""COMPUTED_VALUE"""),"Стійка CSV-24U 400 Lite --- 6шт")</f>
        <v>Стійка CSV-24U 400 Lite --- 6шт</v>
      </c>
      <c r="O13" s="315" t="str">
        <f>IFERROR(__xludf.DUMMYFUNCTION("""COMPUTED_VALUE"""),"Стрижень (безмуфтовий, загострений, d16 мм, 1.5 м, цинк., ДКС) --- 45шт")</f>
        <v>Стрижень (безмуфтовий, загострений, d16 мм, 1.5 м, цинк., ДКС) --- 45шт</v>
      </c>
      <c r="P13" s="315" t="str">
        <f>IFERROR(__xludf.DUMMYFUNCTION("""COMPUTED_VALUE"""),"ERM4-012DCL (Реле електромеханічне ERM4-012DCL 4p, ETI) --- 2шт")</f>
        <v>ERM4-012DCL (Реле електромеханічне ERM4-012DCL 4p, ETI) --- 2шт</v>
      </c>
      <c r="Q13" s="315" t="str">
        <f>IFERROR(__xludf.DUMMYFUNCTION("""COMPUTED_VALUE"""),"NH-2/gG KOMBI (Запобіжник NH-2/gG 315A 500V KOMBI, ETI) --- 1шт")</f>
        <v>NH-2/gG KOMBI (Запобіжник NH-2/gG 315A 500V KOMBI, ETI) --- 1шт</v>
      </c>
      <c r="R13" s="315" t="str">
        <f>IFERROR(__xludf.DUMMYFUNCTION("""COMPUTED_VALUE"""),"Комплект комутаційних кабелів для Pylontech US2000\US3000\US5000 --- 65шт")</f>
        <v>Комплект комутаційних кабелів для Pylontech US2000\US3000\US5000 --- 65шт</v>
      </c>
      <c r="S13" s="315" t="str">
        <f>IFERROR(__xludf.DUMMYFUNCTION("""COMPUTED_VALUE"""),"Блок-контакт 1НО (додатковий контакт, 1NO, до кнопок ХB2, АСКО) --- 6шт")</f>
        <v>Блок-контакт 1НО (додатковий контакт, 1NO, до кнопок ХB2, АСКО) --- 6шт</v>
      </c>
      <c r="T13" s="315"/>
      <c r="U13" s="315" t="s">
        <v>342</v>
      </c>
      <c r="V13" s="317"/>
    </row>
    <row r="14">
      <c r="A14" s="333"/>
      <c r="B14" s="315" t="str">
        <f>IFERROR(__xludf.DUMMYFUNCTION("""COMPUTED_VALUE"""),"Cонячна батарея AE METEOR AE435CMD-108BDE --- 405шт")</f>
        <v>Cонячна батарея AE METEOR AE435CMD-108BDE --- 405шт</v>
      </c>
      <c r="C14" s="315" t="str">
        <f>IFERROR(__xludf.DUMMYFUNCTION("""COMPUTED_VALUE"""),"Інвертор автономний Victron Quattro 48/10000/140-100/100")</f>
        <v>Інвертор автономний Victron Quattro 48/10000/140-100/100</v>
      </c>
      <c r="D14" s="315" t="str">
        <f>IFERROR(__xludf.DUMMYFUNCTION("""COMPUTED_VALUE"""),"Акумуляторний блок DEYE RW-M5.3")</f>
        <v>Акумуляторний блок DEYE RW-M5.3</v>
      </c>
      <c r="E14" s="315" t="str">
        <f>IFERROR(__xludf.DUMMYFUNCTION("""COMPUTED_VALUE"""),"Акумуляторний блок Deye LiFePO4 (BOS-GM5.1) --- 3шт")</f>
        <v>Акумуляторний блок Deye LiFePO4 (BOS-GM5.1) --- 3шт</v>
      </c>
      <c r="F14" s="315"/>
      <c r="G14" s="315" t="str">
        <f>IFERROR(__xludf.DUMMYFUNCTION("""COMPUTED_VALUE"""),"Лічильник EASTRON SDM630-Modbus трифазний з RS485 100A")</f>
        <v>Лічильник EASTRON SDM630-Modbus трифазний з RS485 100A</v>
      </c>
      <c r="H14" s="315" t="str">
        <f>IFERROR(__xludf.DUMMYFUNCTION("""COMPUTED_VALUE"""),"Пристрій GPRS для  моніторингу інверторів Solis DLS-G Data Logging Stick")</f>
        <v>Пристрій GPRS для  моніторингу інверторів Solis DLS-G Data Logging Stick</v>
      </c>
      <c r="I14" s="315" t="str">
        <f>IFERROR(__xludf.DUMMYFUNCTION("""COMPUTED_VALUE"""),"ТРАНСФОРМАТОР СТРУМУ (Ктр визначити при продажу станції)")</f>
        <v>ТРАНСФОРМАТОР СТРУМУ (Ктр визначити при продажу станції)</v>
      </c>
      <c r="J14" s="334" t="s">
        <v>343</v>
      </c>
      <c r="K14" s="315" t="str">
        <f>IFERROR(__xludf.DUMMYFUNCTION("""COMPUTED_VALUE"""),"BYT.2a-32 (4P, 32A, 1000V, вимикач навантаження, DIN-рейка, BENY)")</f>
        <v>BYT.2a-32 (4P, 32A, 1000V, вимикач навантаження, DIN-рейка, BENY)</v>
      </c>
      <c r="L14" s="315" t="str">
        <f>IFERROR(__xludf.DUMMYFUNCTION("""COMPUTED_VALUE"""),"EB2S 160/3LA (3р, 80А, регульована уставка, автоматичний вимикач, ETI)")</f>
        <v>EB2S 160/3LA (3р, 80А, регульована уставка, автоматичний вимикач, ETI)</v>
      </c>
      <c r="M14" s="315" t="str">
        <f>IFERROR(__xludf.DUMMYFUNCTION("""COMPUTED_VALUE"""),"ECH-36PT (щит, розподільчий, 36 модулів, 319х508х144, навісний, IP65, ETI) --- 17шт")</f>
        <v>ECH-36PT (щит, розподільчий, 36 модулів, 319х508х144, навісний, IP65, ETI) --- 17шт</v>
      </c>
      <c r="N14" s="315" t="str">
        <f>IFERROR(__xludf.DUMMYFUNCTION("""COMPUTED_VALUE"""),"Комплект кріплення EServer (чорний гвинт 20мм+гайка+шайба) --- 576шт")</f>
        <v>Комплект кріплення EServer (чорний гвинт 20мм+гайка+шайба) --- 576шт</v>
      </c>
      <c r="O14" s="315" t="str">
        <f>IFERROR(__xludf.DUMMYFUNCTION("""COMPUTED_VALUE"""),"Стрижень (безмуфтовий, зі шпількою, d16 мм, 1.5 м, цинк., ДКС) --- 61шт")</f>
        <v>Стрижень (безмуфтовий, зі шпількою, d16 мм, 1.5 м, цинк., ДКС) --- 61шт</v>
      </c>
      <c r="P14" s="315" t="str">
        <f>IFERROR(__xludf.DUMMYFUNCTION("""COMPUTED_VALUE"""),"ERM4-230ACL (реле проміжне, 4р, 230VAC, ETI) --- 72шт")</f>
        <v>ERM4-230ACL (реле проміжне, 4р, 230VAC, ETI) --- 72шт</v>
      </c>
      <c r="Q14" s="315" t="str">
        <f>IFERROR(__xludf.DUMMYFUNCTION("""COMPUTED_VALUE"""),"NH-2/gG KOMBI(Запобіжник NH-2/gG 300A 500V KOMBI, ETI)")</f>
        <v>NH-2/gG KOMBI(Запобіжник NH-2/gG 300A 500V KOMBI, ETI)</v>
      </c>
      <c r="R14" s="315" t="str">
        <f>IFERROR(__xludf.DUMMYFUNCTION("""COMPUTED_VALUE"""),"ITK Комутаційний шнур (патч-корд), кат.6 UTP, LSZH, 3м,сірий --- 4шт")</f>
        <v>ITK Комутаційний шнур (патч-корд), кат.6 UTP, LSZH, 3м,сірий --- 4шт</v>
      </c>
      <c r="S14" s="315" t="str">
        <f>IFERROR(__xludf.DUMMYFUNCTION("""COMPUTED_VALUE"""),"Вимикач 1НВ (кнопковий, з зеленим індикатором, 230В, 16А, 1NO, HAGER)")</f>
        <v>Вимикач 1НВ (кнопковий, з зеленим індикатором, 230В, 16А, 1NO, HAGER)</v>
      </c>
      <c r="T14" s="315"/>
      <c r="U14" s="315" t="s">
        <v>344</v>
      </c>
      <c r="V14" s="317"/>
    </row>
    <row r="15">
      <c r="A15" s="333"/>
      <c r="B15" s="315" t="str">
        <f>IFERROR(__xludf.DUMMYFUNCTION("""COMPUTED_VALUE"""),"Cонячна батарея AE METEOR AE615CMER-132BDS --- 243шт")</f>
        <v>Cонячна батарея AE METEOR AE615CMER-132BDS --- 243шт</v>
      </c>
      <c r="C15" s="315" t="str">
        <f>IFERROR(__xludf.DUMMYFUNCTION("""COMPUTED_VALUE"""),"Інвертор гібридний Deye SUN-10K-SG02LP1-EU-AM3 (1 фаза)")</f>
        <v>Інвертор гібридний Deye SUN-10K-SG02LP1-EU-AM3 (1 фаза)</v>
      </c>
      <c r="D15" s="315" t="str">
        <f>IFERROR(__xludf.DUMMYFUNCTION("""COMPUTED_VALUE"""),"Акумуляторний блок DEYE SE-G5.1 Pro-B --- 6шт")</f>
        <v>Акумуляторний блок DEYE SE-G5.1 Pro-B --- 6шт</v>
      </c>
      <c r="E15" s="315" t="str">
        <f>IFERROR(__xludf.DUMMYFUNCTION("""COMPUTED_VALUE"""),"Акумуляторный блок Pylontech PowerCube H48074 3.55 кВт --- 22шт")</f>
        <v>Акумуляторный блок Pylontech PowerCube H48074 3.55 кВт --- 22шт</v>
      </c>
      <c r="F15" s="315"/>
      <c r="G15" s="315" t="str">
        <f>IFERROR(__xludf.DUMMYFUNCTION("""COMPUTED_VALUE"""),"Лічильник EASTRON SDM630MCT  1-9999A  (до 11 МВт)")</f>
        <v>Лічильник EASTRON SDM630MCT  1-9999A  (до 11 МВт)</v>
      </c>
      <c r="H15" s="315" t="str">
        <f>IFERROR(__xludf.DUMMYFUNCTION("""COMPUTED_VALUE"""),"Пристрій WIFI/LAN для моніторингу інверторів Solis DLS-G Data Logging Stick")</f>
        <v>Пристрій WIFI/LAN для моніторингу інверторів Solis DLS-G Data Logging Stick</v>
      </c>
      <c r="I15" s="315" t="str">
        <f>IFERROR(__xludf.DUMMYFUNCTION("""COMPUTED_VALUE"""),"ТРАНСФОРМАТОР СТРУМУ 100/5 (Новатек-електро)")</f>
        <v>ТРАНСФОРМАТОР СТРУМУ 100/5 (Новатек-електро)</v>
      </c>
      <c r="J15" s="327" t="str">
        <f>IFERROR(__xludf.DUMMYFUNCTION("ARRAYFORMULA(IF(
  FILTER('Номенклатура_BAF'!$B$2:$B1632,
    ('Номенклатура_BAF'!$A$2:$A1632 = J4) +
    ('Номенклатура_BAF'!$A$2:$A1632 = J5) +
    ('Номенклатура_BAF'!$A$2:$A1632 = J6) +
    ('Номенклатура_BAF'!$A$2:$A1632 = J7) +
    ('Номенклатура_BA"&amp;"F'!$A$2:$A1632 = J8) +
    ('Номенклатура_BAF'!$A$2:$A1632 = J9)
  ) = """",
  """",
  FILTER('Номенклатура_BAF'!$B$2:$B1632,
    ('Номенклатура_BAF'!$A$2:$A1632 = J4) +
    ('Номенклатура_BAF'!$A$2:$A1632 = J5) +
    ('Номенклатура_BAF'!$A$2:$A1632 = J6)"&amp;" +
    ('Номенклатура_BAF'!$A$2:$A1632 = J7) +
    ('Номенклатура_BAF'!$A$2:$A1632 = J8) +
    ('Номенклатура_BAF'!$A$2:$A1632 = J9)
  ) &amp;
  IF(
    FILTER('Номенклатура_BAF'!$H$2:$H1632,
      ('Номенклатура_BAF'!$A$2:$A1632 = J4) +
      ('Номенклатура_"&amp;"BAF'!$A$2:$A1632 = J5) +
      ('Номенклатура_BAF'!$A$2:$A1632 = J6) +
      ('Номенклатура_BAF'!$A$2:$A1632 = J7) +
      ('Номенклатура_BAF'!$A$2:$A1632 = J8) +
      ('Номенклатура_BAF'!$A$2:$A1632 = J9)
    ) = """",
    """",
    "" --- "" &amp;
    FILT"&amp;"ER('Номенклатура_BAF'!$H$2:$H1632,
      ('Номенклатура_BAF'!$A$2:$A1632 = J4) +
      ('Номенклатура_BAF'!$A$2:$A1632 = J5) +
      ('Номенклатура_BAF'!$A$2:$A1632 = J6) +
      ('Номенклатура_BAF'!$A$2:$A1632 = J7) +
      ('Номенклатура_BAF'!$A$2:$A163"&amp;"2 = J8) +
      ('Номенклатура_BAF'!$A$2:$A1632 = J9)
    ) &amp;
    FILTER('Номенклатура_BAF'!$C$2:$C1632,
      ('Номенклатура_BAF'!$A$2:$A1632 = J4) +
      ('Номенклатура_BAF'!$A$2:$A1632 = J5) +
      ('Номенклатура_BAF'!$A$2:$A1632 = J6) +
      ('Номе"&amp;"нклатура_BAF'!$A$2:$A1632 = J7) +
      ('Номенклатура_BAF'!$A$2:$A1632 = J8) +
      ('Номенклатура_BAF'!$A$2:$A1632 = J9)
    )
  )
))
"),"Хімічний анкер SUPERFIX 300 мл Metalvis")</f>
        <v>Хімічний анкер SUPERFIX 300 мл Metalvis</v>
      </c>
      <c r="K15" s="315" t="str">
        <f>IFERROR(__xludf.DUMMYFUNCTION("""COMPUTED_VALUE"""),"CLBS 100 (вимикач навантаження, 3р, 100А, ETI)")</f>
        <v>CLBS 100 (вимикач навантаження, 3р, 100А, ETI)</v>
      </c>
      <c r="L15" s="315" t="str">
        <f>IFERROR(__xludf.DUMMYFUNCTION("""COMPUTED_VALUE"""),"EB2S 160/3SA 125A 3P (25kA (0.63-1)In/фіксована, автоматичний вимикач, ETI)")</f>
        <v>EB2S 160/3SA 125A 3P (25kA (0.63-1)In/фіксована, автоматичний вимикач, ETI)</v>
      </c>
      <c r="M15" s="315" t="str">
        <f>IFERROR(__xludf.DUMMYFUNCTION("""COMPUTED_VALUE"""),"ECH-48PT (щит, розподільчий, 48 модулів, 319х664х144, навісний, IP65, ETI) --- 16шт")</f>
        <v>ECH-48PT (щит, розподільчий, 48 модулів, 319х664х144, навісний, IP65, ETI) --- 16шт</v>
      </c>
      <c r="N15" s="315" t="str">
        <f>IFERROR(__xludf.DUMMYFUNCTION("""COMPUTED_VALUE"""),"Кріплення для серверних полиць")</f>
        <v>Кріплення для серверних полиць</v>
      </c>
      <c r="O15" s="315" t="str">
        <f>IFERROR(__xludf.DUMMYFUNCTION("""COMPUTED_VALUE"""),"Стрічка струмопровідна NC2254.1 25х4мм (сталь, бухта 32 м, DKC) --- 22м")</f>
        <v>Стрічка струмопровідна NC2254.1 25х4мм (сталь, бухта 32 м, DKC) --- 22м</v>
      </c>
      <c r="P15" s="315" t="str">
        <f>IFERROR(__xludf.DUMMYFUNCTION("""COMPUTED_VALUE"""),"RA63-40 (контактор модульный, 63A, 230VAC, 4NO, ETI) --- 24шт")</f>
        <v>RA63-40 (контактор модульный, 63A, 230VAC, 4NO, ETI) --- 24шт</v>
      </c>
      <c r="Q15" s="315" t="str">
        <f>IFERROR(__xludf.DUMMYFUNCTION("""COMPUTED_VALUE"""),"NH-2C/gG 200A (Запобіжник NH-2C/gG 200A 500V KOMBI, ETI)")</f>
        <v>NH-2C/gG 200A (Запобіжник NH-2C/gG 200A 500V KOMBI, ETI)</v>
      </c>
      <c r="R15" s="315" t="str">
        <f>IFERROR(__xludf.DUMMYFUNCTION("""COMPUTED_VALUE"""),"ПВ1 2.5 (провід мідний, монолітний)")</f>
        <v>ПВ1 2.5 (провід мідний, монолітний)</v>
      </c>
      <c r="S15" s="315" t="str">
        <f>IFERROR(__xludf.DUMMYFUNCTION("""COMPUTED_VALUE"""),"AD22-22 BM/r (світлосигнальна арматура, зумер, блимаючий, червоний, 220VАC, АСКО) --- 5шт")</f>
        <v>AD22-22 BM/r (світлосигнальна арматура, зумер, блимаючий, червоний, 220VАC, АСКО) --- 5шт</v>
      </c>
      <c r="T15" s="315"/>
      <c r="U15" s="315" t="s">
        <v>345</v>
      </c>
      <c r="V15" s="317"/>
    </row>
    <row r="16">
      <c r="A16" s="333"/>
      <c r="B16" s="315" t="str">
        <f>IFERROR(__xludf.DUMMYFUNCTION("""COMPUTED_VALUE"""),"Cонячна батарея AE SOLAR METEOR AE580CMD-144BDS 30mm 580W Silver Frame --- 15шт")</f>
        <v>Cонячна батарея AE SOLAR METEOR AE580CMD-144BDS 30mm 580W Silver Frame --- 15шт</v>
      </c>
      <c r="C16" s="315" t="str">
        <f>IFERROR(__xludf.DUMMYFUNCTION("""COMPUTED_VALUE"""),"Інвертор гібридний Deye SUN-10K-SG04LP3-ЕU (3 фази) --- 6шт")</f>
        <v>Інвертор гібридний Deye SUN-10K-SG04LP3-ЕU (3 фази) --- 6шт</v>
      </c>
      <c r="D16" s="315" t="str">
        <f>IFERROR(__xludf.DUMMYFUNCTION("""COMPUTED_VALUE"""),"Акумуляторний блок FEB LV5120-R1")</f>
        <v>Акумуляторний блок FEB LV5120-R1</v>
      </c>
      <c r="E16" s="315" t="str">
        <f>IFERROR(__xludf.DUMMYFUNCTION("""COMPUTED_VALUE"""),"Блок керування АКБ Deye BOS-G... (HVB750V/100A-EU)")</f>
        <v>Блок керування АКБ Deye BOS-G... (HVB750V/100A-EU)</v>
      </c>
      <c r="F16" s="315"/>
      <c r="G16" s="315" t="str">
        <f>IFERROR(__xludf.DUMMYFUNCTION("""COMPUTED_VALUE"""),"Лічильник Huawei CHiNT DTSU666-H Smart meter, 3ф, із ТС 250A/50mA (до 170 кВт)")</f>
        <v>Лічильник Huawei CHiNT DTSU666-H Smart meter, 3ф, із ТС 250A/50mA (до 170 кВт)</v>
      </c>
      <c r="H16" s="315" t="str">
        <f>IFERROR(__xludf.DUMMYFUNCTION("""COMPUTED_VALUE"""),"Пристрій WIFI/LAN моніторингу Altek Smart Dongle WLAN-FE  --- 1шт")</f>
        <v>Пристрій WIFI/LAN моніторингу Altek Smart Dongle WLAN-FE  --- 1шт</v>
      </c>
      <c r="I16" s="315" t="str">
        <f>IFERROR(__xludf.DUMMYFUNCTION("""COMPUTED_VALUE"""),"Трансформатор струму 100/5 TA32750C100, IME")</f>
        <v>Трансформатор струму 100/5 TA32750C100, IME</v>
      </c>
      <c r="J16" s="315" t="str">
        <f>IFERROR(__xludf.DUMMYFUNCTION("""COMPUTED_VALUE"""),"Герметик п/урет. SOUDAFLEX 40 чорний 600мл --- 14шт")</f>
        <v>Герметик п/урет. SOUDAFLEX 40 чорний 600мл --- 14шт</v>
      </c>
      <c r="K16" s="315" t="str">
        <f>IFERROR(__xludf.DUMMYFUNCTION("""COMPUTED_VALUE"""),"CLBS 125 (вимикач навантаження, 3р, 125А, ETI)")</f>
        <v>CLBS 125 (вимикач навантаження, 3р, 125А, ETI)</v>
      </c>
      <c r="L16" s="315" t="str">
        <f>IFERROR(__xludf.DUMMYFUNCTION("""COMPUTED_VALUE"""),"EB2S 160/3SF 125А 3P Вимикач автоматичний (25kA фикс.настр.)")</f>
        <v>EB2S 160/3SF 125А 3P Вимикач автоматичний (25kA фикс.настр.)</v>
      </c>
      <c r="M16" s="315" t="str">
        <f>IFERROR(__xludf.DUMMYFUNCTION("""COMPUTED_VALUE"""),"ECT-8PT (щит, розподільчий, 8 модулів, зовнішній)")</f>
        <v>ECT-8PT (щит, розподільчий, 8 модулів, зовнішній)</v>
      </c>
      <c r="N16" s="315" t="str">
        <f>IFERROR(__xludf.DUMMYFUNCTION("""COMPUTED_VALUE"""),"Нижня серверна полиця 400 мм, в стійки Lite --- 19шт")</f>
        <v>Нижня серверна полиця 400 мм, в стійки Lite --- 19шт</v>
      </c>
      <c r="O16" s="315"/>
      <c r="P16" s="315" t="str">
        <f>IFERROR(__xludf.DUMMYFUNCTION("""COMPUTED_VALUE"""),"RD63-22 (контактор модульний, 63A, 230VAC/DC, 2NO+2NC, ETI) --- 28шт")</f>
        <v>RD63-22 (контактор модульний, 63A, 230VAC/DC, 2NO+2NC, ETI) --- 28шт</v>
      </c>
      <c r="Q16" s="315" t="str">
        <f>IFERROR(__xludf.DUMMYFUNCTION("""COMPUTED_VALUE"""),"Запобіжник NH-1/gG 160A 500V KOMBI, ETI --- 14шт")</f>
        <v>Запобіжник NH-1/gG 160A 500V KOMBI, ETI --- 14шт</v>
      </c>
      <c r="R16" s="315" t="str">
        <f>IFERROR(__xludf.DUMMYFUNCTION("""COMPUTED_VALUE"""),"ПВ1 4.0 (провід мідний, монолітний) --- 200м")</f>
        <v>ПВ1 4.0 (провід мідний, монолітний) --- 200м</v>
      </c>
      <c r="S16" s="315" t="str">
        <f>IFERROR(__xludf.DUMMYFUNCTION("""COMPUTED_VALUE"""),"AD22-22DS біла (лампа, світлосигнальна арматура, LED, d22 мм, 230VAC, АСКО)")</f>
        <v>AD22-22DS біла (лампа, світлосигнальна арматура, LED, d22 мм, 230VAC, АСКО)</v>
      </c>
      <c r="T16" s="315"/>
      <c r="U16" s="315" t="s">
        <v>346</v>
      </c>
      <c r="V16" s="317"/>
    </row>
    <row r="17">
      <c r="A17" s="333"/>
      <c r="B17" s="315" t="str">
        <f>IFERROR(__xludf.DUMMYFUNCTION("""COMPUTED_VALUE"""),"Cонячна батарея HANERSUN 590W Topcon Bifacial solar module HN18N-72HT590W (1200mm cables) --- 12шт")</f>
        <v>Cонячна батарея HANERSUN 590W Topcon Bifacial solar module HN18N-72HT590W (1200mm cables) --- 12шт</v>
      </c>
      <c r="C17" s="315" t="str">
        <f>IFERROR(__xludf.DUMMYFUNCTION("""COMPUTED_VALUE"""),"Інвертор гібридний Deye SUN-12K-SG02LP1-EU-AM3 (1 фаза)")</f>
        <v>Інвертор гібридний Deye SUN-12K-SG02LP1-EU-AM3 (1 фаза)</v>
      </c>
      <c r="D17" s="315" t="str">
        <f>IFERROR(__xludf.DUMMYFUNCTION("""COMPUTED_VALUE"""),"Акумуляторний блок FEB LV5120-W1")</f>
        <v>Акумуляторний блок FEB LV5120-W1</v>
      </c>
      <c r="E17" s="315" t="str">
        <f>IFERROR(__xludf.DUMMYFUNCTION("""COMPUTED_VALUE"""),"Блок управління для системи збереження електроенергії Pylontech Force H2")</f>
        <v>Блок управління для системи збереження електроенергії Pylontech Force H2</v>
      </c>
      <c r="F17" s="315"/>
      <c r="G17" s="315" t="str">
        <f>IFERROR(__xludf.DUMMYFUNCTION("""COMPUTED_VALUE"""),"Лічильник Huawei CHiNT DTSU666-HW Smart meter, 3ф, без ТС --- 1шт")</f>
        <v>Лічильник Huawei CHiNT DTSU666-HW Smart meter, 3ф, без ТС --- 1шт</v>
      </c>
      <c r="H17" s="315" t="str">
        <f>IFERROR(__xludf.DUMMYFUNCTION("""COMPUTED_VALUE"""),"Пристрій моніторингу DEYE LSE-3 (LAN)")</f>
        <v>Пристрій моніторингу DEYE LSE-3 (LAN)</v>
      </c>
      <c r="I17" s="315" t="str">
        <f>IFERROR(__xludf.DUMMYFUNCTION("""COMPUTED_VALUE"""),"ТРАНСФОРМАТОР СТРУМУ 200/5 (Новатек-електро)")</f>
        <v>ТРАНСФОРМАТОР СТРУМУ 200/5 (Новатек-електро)</v>
      </c>
      <c r="J17" s="315" t="str">
        <f>IFERROR(__xludf.DUMMYFUNCTION("""COMPUTED_VALUE"""),"Z-прижим у зборі Н30 L50 Black --- 236шт")</f>
        <v>Z-прижим у зборі Н30 L50 Black --- 236шт</v>
      </c>
      <c r="K17" s="315" t="str">
        <f>IFERROR(__xludf.DUMMYFUNCTION("""COMPUTED_VALUE"""),"e.is3.pro.2.63 (перемикач навантаження, 3 пол., 63А, 230В, 2р, E.NEXT) --- 11шт")</f>
        <v>e.is3.pro.2.63 (перемикач навантаження, 3 пол., 63А, 230В, 2р, E.NEXT) --- 11шт</v>
      </c>
      <c r="L17" s="315" t="str">
        <f>IFERROR(__xludf.DUMMYFUNCTION("""COMPUTED_VALUE"""),"ETIMAT 10 (2р, С, 100А, автоматичний вимикач, ETI)")</f>
        <v>ETIMAT 10 (2р, С, 100А, автоматичний вимикач, ETI)</v>
      </c>
      <c r="M17" s="315" t="str">
        <f>IFERROR(__xludf.DUMMYFUNCTION("""COMPUTED_VALUE"""),"Бокс монтажний МКН 652, IP54 навісний, ВхШхГ 600х500х200 (з монт. панеллю), Елетон")</f>
        <v>Бокс монтажний МКН 652, IP54 навісний, ВхШхГ 600х500х200 (з монт. панеллю), Елетон</v>
      </c>
      <c r="N17" s="315" t="str">
        <f>IFERROR(__xludf.DUMMYFUNCTION("""COMPUTED_VALUE"""),"Полиця 400мм 1U 19"", 4 точки кріпл., EServer, чорна, 1,5 мм")</f>
        <v>Полиця 400мм 1U 19", 4 точки кріпл., EServer, чорна, 1,5 мм</v>
      </c>
      <c r="O17" s="315"/>
      <c r="P17" s="315" t="str">
        <f>IFERROR(__xludf.DUMMYFUNCTION("""COMPUTED_VALUE"""),"RD63-40 (контактор модульный, 63A, 230VAC/DC, 4NO, ETI) --- 1шт")</f>
        <v>RD63-40 (контактор модульный, 63A, 230VAC/DC, 4NO, ETI) --- 1шт</v>
      </c>
      <c r="Q17" s="315" t="str">
        <f>IFERROR(__xludf.DUMMYFUNCTION("""COMPUTED_VALUE"""),"Запобіжник NH-1/gG 200A 500VAC 120kA KOMBI, ETI --- 10шт")</f>
        <v>Запобіжник NH-1/gG 200A 500VAC 120kA KOMBI, ETI --- 10шт</v>
      </c>
      <c r="R17" s="315" t="str">
        <f>IFERROR(__xludf.DUMMYFUNCTION("""COMPUTED_VALUE"""),"ПВ1 6.0 (провід мідний, монолітний) --- 100м")</f>
        <v>ПВ1 6.0 (провід мідний, монолітний) --- 100м</v>
      </c>
      <c r="S17" s="315" t="str">
        <f>IFERROR(__xludf.DUMMYFUNCTION("""COMPUTED_VALUE"""),"AD22-22DS жовта (лампа, світлосигнальна арматура, LED, d22 мм, 230VAC, АСКО)")</f>
        <v>AD22-22DS жовта (лампа, світлосигнальна арматура, LED, d22 мм, 230VAC, АСКО)</v>
      </c>
      <c r="T17" s="315"/>
      <c r="U17" s="315" t="s">
        <v>347</v>
      </c>
      <c r="V17" s="317"/>
    </row>
    <row r="18">
      <c r="A18" s="333"/>
      <c r="B18" s="315" t="str">
        <f>IFERROR(__xludf.DUMMYFUNCTION("""COMPUTED_VALUE"""),"Cонячна батарея Jinko Solar Tiger Neo 580W (72HL4-BDV) --- 11шт")</f>
        <v>Cонячна батарея Jinko Solar Tiger Neo 580W (72HL4-BDV) --- 11шт</v>
      </c>
      <c r="C18" s="315" t="str">
        <f>IFERROR(__xludf.DUMMYFUNCTION("""COMPUTED_VALUE"""),"Інвертор гібридний Deye SUN-12K-SG04LP3-ЕU (3 фази) --- 6шт")</f>
        <v>Інвертор гібридний Deye SUN-12K-SG04LP3-ЕU (3 фази) --- 6шт</v>
      </c>
      <c r="D18" s="315" t="str">
        <f>IFERROR(__xludf.DUMMYFUNCTION("""COMPUTED_VALUE"""),"Акумуляторний блок Genesis 12TD-100")</f>
        <v>Акумуляторний блок Genesis 12TD-100</v>
      </c>
      <c r="E18" s="315" t="str">
        <f>IFERROR(__xludf.DUMMYFUNCTION("""COMPUTED_VALUE"""),"Модуль для системи збереження електроенергії Pylontech Force-H2 (3,55 КВТ*Ч)")</f>
        <v>Модуль для системи збереження електроенергії Pylontech Force-H2 (3,55 КВТ*Ч)</v>
      </c>
      <c r="F18" s="315"/>
      <c r="G18" s="315" t="str">
        <f>IFERROR(__xludf.DUMMYFUNCTION("""COMPUTED_VALUE"""),"Розумний лічильник Fronius Smart Meter 100A")</f>
        <v>Розумний лічильник Fronius Smart Meter 100A</v>
      </c>
      <c r="H18" s="315" t="str">
        <f>IFERROR(__xludf.DUMMYFUNCTION("""COMPUTED_VALUE"""),"Моніторинг Deye SUN (Wi-Fi)")</f>
        <v>Моніторинг Deye SUN (Wi-Fi)</v>
      </c>
      <c r="I18" s="315" t="str">
        <f>IFERROR(__xludf.DUMMYFUNCTION("""COMPUTED_VALUE"""),"ТРАНСФОРМАТОР СТРУМУ 400/5 (Новатек-Електро)")</f>
        <v>ТРАНСФОРМАТОР СТРУМУ 400/5 (Новатек-Електро)</v>
      </c>
      <c r="J18" s="315" t="str">
        <f>IFERROR(__xludf.DUMMYFUNCTION("""COMPUTED_VALUE"""),"Бітумна стрічка 50мм (10м) Sika --- 13шт")</f>
        <v>Бітумна стрічка 50мм (10м) Sika --- 13шт</v>
      </c>
      <c r="K18" s="315" t="str">
        <f>IFERROR(__xludf.DUMMYFUNCTION("""COMPUTED_VALUE"""),"e.is3.pro.4.63 (перемикач навантаження, 3 пол., 63А, 230В, 4р, E.NEXT) --- 4шт")</f>
        <v>e.is3.pro.4.63 (перемикач навантаження, 3 пол., 63А, 230В, 4р, E.NEXT) --- 4шт</v>
      </c>
      <c r="L18" s="315" t="str">
        <f>IFERROR(__xludf.DUMMYFUNCTION("""COMPUTED_VALUE"""),"ETIMAT 6 (2р, С, 25А, автоматичний вимикач, ETI) --- 50шт")</f>
        <v>ETIMAT 6 (2р, С, 25А, автоматичний вимикач, ETI) --- 50шт</v>
      </c>
      <c r="M18" s="315" t="str">
        <f>IFERROR(__xludf.DUMMYFUNCTION("""COMPUTED_VALUE"""),"Коробка 190х140х70 мм (відгалужувальна, розподільча, IP55, ДКС)")</f>
        <v>Коробка 190х140х70 мм (відгалужувальна, розподільча, IP55, ДКС)</v>
      </c>
      <c r="N18" s="315" t="str">
        <f>IFERROR(__xludf.DUMMYFUNCTION("""COMPUTED_VALUE"""),"Стаціонарна полиця EServer 1U 19"" 420х400 мм (Ш*Г), чорна --- 6шт")</f>
        <v>Стаціонарна полиця EServer 1U 19" 420х400 мм (Ш*Г), чорна --- 6шт</v>
      </c>
      <c r="O18" s="315"/>
      <c r="P18" s="315" t="str">
        <f>IFERROR(__xludf.DUMMYFUNCTION("""COMPUTED_VALUE"""),"e.control.t15 0.3-30s (реле, затримка вмикання, E.NEXT) --- 38шт")</f>
        <v>e.control.t15 0.3-30s (реле, затримка вмикання, E.NEXT) --- 38шт</v>
      </c>
      <c r="Q18" s="315" t="str">
        <f>IFERROR(__xludf.DUMMYFUNCTION("""COMPUTED_VALUE"""),"Запобіжник NH-2/gG 400A 500VAC KOMBI, ETI --- 4шт")</f>
        <v>Запобіжник NH-2/gG 400A 500VAC KOMBI, ETI --- 4шт</v>
      </c>
      <c r="R18" s="315" t="str">
        <f>IFERROR(__xludf.DUMMYFUNCTION("""COMPUTED_VALUE"""),"ПВС 3х2.5 (провід, мідний)")</f>
        <v>ПВС 3х2.5 (провід, мідний)</v>
      </c>
      <c r="S18" s="315" t="str">
        <f>IFERROR(__xludf.DUMMYFUNCTION("""COMPUTED_VALUE"""),"AD22-22DS зелена (лампа, світлосигнальна арматура, LED, d22 мм, 230VAC, АСКО)")</f>
        <v>AD22-22DS зелена (лампа, світлосигнальна арматура, LED, d22 мм, 230VAC, АСКО)</v>
      </c>
      <c r="T18" s="315"/>
      <c r="U18" s="315" t="s">
        <v>348</v>
      </c>
      <c r="V18" s="317"/>
    </row>
    <row r="19">
      <c r="A19" s="333"/>
      <c r="B19" s="315" t="str">
        <f>IFERROR(__xludf.DUMMYFUNCTION("""COMPUTED_VALUE"""),"Cонячна батарея SunPower Flexible Solar Panels")</f>
        <v>Cонячна батарея SunPower Flexible Solar Panels</v>
      </c>
      <c r="C19" s="315" t="str">
        <f>IFERROR(__xludf.DUMMYFUNCTION("""COMPUTED_VALUE"""),"Інвертор гібридний Deye SUN-15K-SG01HP3-EU-AM2 --- 1шт")</f>
        <v>Інвертор гібридний Deye SUN-15K-SG01HP3-EU-AM2 --- 1шт</v>
      </c>
      <c r="D19" s="315" t="str">
        <f>IFERROR(__xludf.DUMMYFUNCTION("""COMPUTED_VALUE"""),"Акумуляторний блок Pylontech US2000C (2,4 кВт*год / 48 В) --- 8шт")</f>
        <v>Акумуляторний блок Pylontech US2000C (2,4 кВт*год / 48 В) --- 8шт</v>
      </c>
      <c r="E19" s="315" t="str">
        <f>IFERROR(__xludf.DUMMYFUNCTION("""COMPUTED_VALUE"""),"Наконечник для кабелю до АКБ (високовольт/низьковольт, 120А, помаранчевий) (підходять для Sofar) --- 3шт")</f>
        <v>Наконечник для кабелю до АКБ (високовольт/низьковольт, 120А, помаранчевий) (підходять для Sofar) --- 3шт</v>
      </c>
      <c r="F19" s="315"/>
      <c r="G19" s="315" t="str">
        <f>IFERROR(__xludf.DUMMYFUNCTION("""COMPUTED_VALUE"""),"Розумний лічильник Fronius Smart Meter 63A-3")</f>
        <v>Розумний лічильник Fronius Smart Meter 63A-3</v>
      </c>
      <c r="H19" s="315" t="str">
        <f>IFERROR(__xludf.DUMMYFUNCTION("""COMPUTED_VALUE"""),"Huawei SmartLogger 3000 A01 (with MBUS)")</f>
        <v>Huawei SmartLogger 3000 A01 (with MBUS)</v>
      </c>
      <c r="I19" s="315" t="str">
        <f>IFERROR(__xludf.DUMMYFUNCTION("""COMPUTED_VALUE"""),"Трансформатор струму 400/5 TA54050C400, IME")</f>
        <v>Трансформатор струму 400/5 TA54050C400, IME</v>
      </c>
      <c r="J19" s="315" t="str">
        <f>IFERROR(__xludf.DUMMYFUNCTION("""COMPUTED_VALUE"""),"З'єднувач для профілю Al LD з гвинтами --- 769шт")</f>
        <v>З'єднувач для профілю Al LD з гвинтами --- 769шт</v>
      </c>
      <c r="K19" s="315" t="str">
        <f>IFERROR(__xludf.DUMMYFUNCTION("""COMPUTED_VALUE"""),"LBS 1000 (вимикач навантаження, 3р, 1000А, ETI)")</f>
        <v>LBS 1000 (вимикач навантаження, 3р, 1000А, ETI)</v>
      </c>
      <c r="L19" s="315" t="str">
        <f>IFERROR(__xludf.DUMMYFUNCTION("""COMPUTED_VALUE"""),"ETIMAT 6 (2р, С, 32А, автоматичний вимикач, ETI) --- 31шт")</f>
        <v>ETIMAT 6 (2р, С, 32А, автоматичний вимикач, ETI) --- 31шт</v>
      </c>
      <c r="M19" s="315" t="str">
        <f>IFERROR(__xludf.DUMMYFUNCTION("""COMPUTED_VALUE"""),"Коробка 240х190х90 мм (відгалужувальна, розподільча, IP55, ДКС)")</f>
        <v>Коробка 240х190х90 мм (відгалужувальна, розподільча, IP55, ДКС)</v>
      </c>
      <c r="N19" s="315" t="str">
        <f>IFERROR(__xludf.DUMMYFUNCTION("""COMPUTED_VALUE"""),"_НАБІР_стійка _16U (стійка 16U, полиця нижня, полиця стаціонарна, гвинти+гайки+шайби)")</f>
        <v>_НАБІР_стійка _16U (стійка 16U, полиця нижня, полиця стаціонарна, гвинти+гайки+шайби)</v>
      </c>
      <c r="O19" s="315"/>
      <c r="P19" s="315" t="str">
        <f>IFERROR(__xludf.DUMMYFUNCTION("""COMPUTED_VALUE"""),"e.control.t17 (реле, асиметричне повторення циклу, 24-220V, E.NEXT) --- 19шт")</f>
        <v>e.control.t17 (реле, асиметричне повторення циклу, 24-220V, E.NEXT) --- 19шт</v>
      </c>
      <c r="Q19" s="315" t="str">
        <f>IFERROR(__xludf.DUMMYFUNCTION("""COMPUTED_VALUE"""),"Коробка 300х220х120 мм (відгалужувальна, розподільча, IP55, ДКС) --- 20шт")</f>
        <v>Коробка 300х220х120 мм (відгалужувальна, розподільча, IP55, ДКС) --- 20шт</v>
      </c>
      <c r="R19" s="315" t="str">
        <f>IFERROR(__xludf.DUMMYFUNCTION("""COMPUTED_VALUE"""),"FTP 15м cat.5E 4х2х0.51 (кабель, мідний, комп'ютерний, FTP, вита пара)")</f>
        <v>FTP 15м cat.5E 4х2х0.51 (кабель, мідний, комп'ютерний, FTP, вита пара)</v>
      </c>
      <c r="S19" s="315" t="str">
        <f>IFERROR(__xludf.DUMMYFUNCTION("""COMPUTED_VALUE"""),"AD22-22DS синя (лампа, світлосигнальна арматура, LED, d22 мм, 230VAC, АСКО)")</f>
        <v>AD22-22DS синя (лампа, світлосигнальна арматура, LED, d22 мм, 230VAC, АСКО)</v>
      </c>
      <c r="T19" s="315"/>
      <c r="U19" s="315" t="s">
        <v>349</v>
      </c>
      <c r="V19" s="317"/>
    </row>
    <row r="20">
      <c r="A20" s="333"/>
      <c r="B20" s="315" t="str">
        <f>IFERROR(__xludf.DUMMYFUNCTION("""COMPUTED_VALUE"""),"Cонячна батарея SunPower SPR-P3-365-UPP")</f>
        <v>Cонячна батарея SunPower SPR-P3-365-UPP</v>
      </c>
      <c r="C20" s="315" t="str">
        <f>IFERROR(__xludf.DUMMYFUNCTION("""COMPUTED_VALUE"""),"Інвертор гібридний Deye SUN-25K-SG01HP3-EU-AM2")</f>
        <v>Інвертор гібридний Deye SUN-25K-SG01HP3-EU-AM2</v>
      </c>
      <c r="D20" s="315" t="str">
        <f>IFERROR(__xludf.DUMMYFUNCTION("""COMPUTED_VALUE"""),"Акумуляторний блок Pylontech US3000С (3,55 кВт*год/48 В) --- 12шт")</f>
        <v>Акумуляторний блок Pylontech US3000С (3,55 кВт*год/48 В) --- 12шт</v>
      </c>
      <c r="E20" s="315" t="str">
        <f>IFERROR(__xludf.DUMMYFUNCTION("""COMPUTED_VALUE"""),"Система збереження енергії  Pylontech Force-H2 (14.21 КВТ*Ч)")</f>
        <v>Система збереження енергії  Pylontech Force-H2 (14.21 КВТ*Ч)</v>
      </c>
      <c r="F20" s="315"/>
      <c r="G20" s="315" t="str">
        <f>IFERROR(__xludf.DUMMYFUNCTION("""COMPUTED_VALUE"""),"Розумній лічильник Acrel ACR10R-D16TE")</f>
        <v>Розумній лічильник Acrel ACR10R-D16TE</v>
      </c>
      <c r="H20" s="315" t="str">
        <f>IFERROR(__xludf.DUMMYFUNCTION("""COMPUTED_VALUE"""),"Huawei SmartLogger 3000 A01 (without MBUS)")</f>
        <v>Huawei SmartLogger 3000 A01 (without MBUS)</v>
      </c>
      <c r="I20" s="315" t="str">
        <f>IFERROR(__xludf.DUMMYFUNCTION("""COMPUTED_VALUE"""),"ТРАНСФОРМАТОР СТРУМУ 600/5 (Новатек- Електро)")</f>
        <v>ТРАНСФОРМАТОР СТРУМУ 600/5 (Новатек- Електро)</v>
      </c>
      <c r="J20" s="315" t="str">
        <f>IFERROR(__xludf.DUMMYFUNCTION("""COMPUTED_VALUE"""),"Комплект кріплень для ФЕМ / Замовляється у постачальника")</f>
        <v>Комплект кріплень для ФЕМ / Замовляється у постачальника</v>
      </c>
      <c r="K20" s="315" t="str">
        <f>IFERROR(__xludf.DUMMYFUNCTION("""COMPUTED_VALUE"""),"LBS 250 (вимикач навантаження, 3р, 250А, ETI)")</f>
        <v>LBS 250 (вимикач навантаження, 3р, 250А, ETI)</v>
      </c>
      <c r="L20" s="315" t="str">
        <f>IFERROR(__xludf.DUMMYFUNCTION("""COMPUTED_VALUE"""),"ETIMAT 6 (2р, С, 40А, автоматичний вимикач, ETI) --- 35шт")</f>
        <v>ETIMAT 6 (2р, С, 40А, автоматичний вимикач, ETI) --- 35шт</v>
      </c>
      <c r="M20" s="315" t="str">
        <f>IFERROR(__xludf.DUMMYFUNCTION("""COMPUTED_VALUE"""),"Коробка TY-RA 200х200х80 мм (відгалужувальна, розподільча, АСКО)")</f>
        <v>Коробка TY-RA 200х200х80 мм (відгалужувальна, розподільча, АСКО)</v>
      </c>
      <c r="N20" s="315" t="str">
        <f>IFERROR(__xludf.DUMMYFUNCTION("""COMPUTED_VALUE"""),"_НАБІР_стійка _24U (стійка 24U, полиця нижня, полиця стаціонарна, гвинти+гайки+шайби)")</f>
        <v>_НАБІР_стійка _24U (стійка 24U, полиця нижня, полиця стаціонарна, гвинти+гайки+шайби)</v>
      </c>
      <c r="O20" s="315"/>
      <c r="P20" s="315" t="str">
        <f>IFERROR(__xludf.DUMMYFUNCTION("""COMPUTED_VALUE"""),"ERB4-T (цоколь для проміжного реле ERM4, 4р, ETI) --- 72шт")</f>
        <v>ERB4-T (цоколь для проміжного реле ERM4, 4р, ETI) --- 72шт</v>
      </c>
      <c r="Q20" s="315" t="str">
        <f>IFERROR(__xludf.DUMMYFUNCTION("""COMPUTED_VALUE"""),"Коробка 300х220х120 мм (відгалужувальна, розподільча, IP56, ДКС) --- 9шт")</f>
        <v>Коробка 300х220х120 мм (відгалужувальна, розподільча, IP56, ДКС) --- 9шт</v>
      </c>
      <c r="R20" s="315" t="str">
        <f>IFERROR(__xludf.DUMMYFUNCTION("""COMPUTED_VALUE"""),"АВВГ 4х10 (кабель, алюм.)")</f>
        <v>АВВГ 4х10 (кабель, алюм.)</v>
      </c>
      <c r="S20" s="315" t="str">
        <f>IFERROR(__xludf.DUMMYFUNCTION("""COMPUTED_VALUE"""),"AD22-22DS червона (лампа, світлосигнальна арматура, LED, d22 мм, 230VAC, АСКО)")</f>
        <v>AD22-22DS червона (лампа, світлосигнальна арматура, LED, d22 мм, 230VAC, АСКО)</v>
      </c>
      <c r="T20" s="315"/>
      <c r="U20" s="315" t="s">
        <v>350</v>
      </c>
      <c r="V20" s="317"/>
    </row>
    <row r="21" ht="15.75" customHeight="1">
      <c r="A21" s="333"/>
      <c r="B21" s="315" t="str">
        <f>IFERROR(__xludf.DUMMYFUNCTION("""COMPUTED_VALUE"""),"Cонячна батарея SunPower SPR-P3-375-RES-BLK")</f>
        <v>Cонячна батарея SunPower SPR-P3-375-RES-BLK</v>
      </c>
      <c r="C21" s="315" t="str">
        <f>IFERROR(__xludf.DUMMYFUNCTION("""COMPUTED_VALUE"""),"Інвертор гібридний Deye SUN-3.6K-SG03LP1-EU")</f>
        <v>Інвертор гібридний Deye SUN-3.6K-SG03LP1-EU</v>
      </c>
      <c r="D21" s="315" t="str">
        <f>IFERROR(__xludf.DUMMYFUNCTION("""COMPUTED_VALUE"""),"Акумуляторний блок Pylontech US5000C (4,8 кВт*год / 48 В)")</f>
        <v>Акумуляторний блок Pylontech US5000C (4,8 кВт*год / 48 В)</v>
      </c>
      <c r="E21" s="315" t="str">
        <f>IFERROR(__xludf.DUMMYFUNCTION("""COMPUTED_VALUE"""),"Система збереження енергії  Pylontech Force-H2 (7,1 КВТ*Ч)")</f>
        <v>Система збереження енергії  Pylontech Force-H2 (7,1 КВТ*Ч)</v>
      </c>
      <c r="F21" s="315"/>
      <c r="G21" s="315" t="str">
        <f>IFERROR(__xludf.DUMMYFUNCTION("""COMPUTED_VALUE"""),"Розумній лічильник JANITZA UMG-103")</f>
        <v>Розумній лічильник JANITZA UMG-103</v>
      </c>
      <c r="H21" s="315" t="str">
        <f>IFERROR(__xludf.DUMMYFUNCTION("""COMPUTED_VALUE"""),"Пристрій WIFI/LAN моніторингу Huawei Smart Dongle WLAN-FE (AP+STA) з точкою доступу")</f>
        <v>Пристрій WIFI/LAN моніторингу Huawei Smart Dongle WLAN-FE (AP+STA) з точкою доступу</v>
      </c>
      <c r="I21" s="315" t="str">
        <f>IFERROR(__xludf.DUMMYFUNCTION("""COMPUTED_VALUE"""),"Трансформатор струму кліпса ESCT-T24 250/5")</f>
        <v>Трансформатор струму кліпса ESCT-T24 250/5</v>
      </c>
      <c r="J21" s="315" t="str">
        <f>IFERROR(__xludf.DUMMYFUNCTION("""COMPUTED_VALUE"""),"Комплект кріплень для ФЕМ_Пд / Замовляється у постачальника")</f>
        <v>Комплект кріплень для ФЕМ_Пд / Замовляється у постачальника</v>
      </c>
      <c r="K21" s="315" t="str">
        <f>IFERROR(__xludf.DUMMYFUNCTION("""COMPUTED_VALUE"""),"LBS 400 (вимикач навантаження, 3р, 400А, ETI)")</f>
        <v>LBS 400 (вимикач навантаження, 3р, 400А, ETI)</v>
      </c>
      <c r="L21" s="315" t="str">
        <f>IFERROR(__xludf.DUMMYFUNCTION("""COMPUTED_VALUE"""),"ETIMAT 6 (2р, С, 50А, автоматичний вимикач, ETI)")</f>
        <v>ETIMAT 6 (2р, С, 50А, автоматичний вимикач, ETI)</v>
      </c>
      <c r="M21" s="315" t="str">
        <f>IFERROR(__xludf.DUMMYFUNCTION("""COMPUTED_VALUE"""),"Коробка TY-RA 255х200х80 мм (відгалужувальна, розподільча, АСКО)")</f>
        <v>Коробка TY-RA 255х200х80 мм (відгалужувальна, розподільча, АСКО)</v>
      </c>
      <c r="N21" s="315" t="str">
        <f>IFERROR(__xludf.DUMMYFUNCTION("""COMPUTED_VALUE"""),"Комплект бічних опор 400 мм, чорний --- 58шт")</f>
        <v>Комплект бічних опор 400 мм, чорний --- 58шт</v>
      </c>
      <c r="O21" s="315"/>
      <c r="P21" s="315" t="str">
        <f>IFERROR(__xludf.DUMMYFUNCTION("""COMPUTED_VALUE"""),"RN-11 (1NO+1NC, додаткові контакти для контакторів типу RA/RD, ETI) --- 27шт")</f>
        <v>RN-11 (1NO+1NC, додаткові контакти для контакторів типу RA/RD, ETI) --- 27шт</v>
      </c>
      <c r="Q21" s="315" t="str">
        <f>IFERROR(__xludf.DUMMYFUNCTION("""COMPUTED_VALUE"""),"Коробка 380х300х120 мм (відгалужувальна, розподільча, IP55, ДКС) --- 5шт")</f>
        <v>Коробка 380х300х120 мм (відгалужувальна, розподільча, IP55, ДКС) --- 5шт</v>
      </c>
      <c r="R21" s="315" t="str">
        <f>IFERROR(__xludf.DUMMYFUNCTION("""COMPUTED_VALUE"""),"АВВГ 4х16 (кабель, алюм.) --- 25м")</f>
        <v>АВВГ 4х16 (кабель, алюм.) --- 25м</v>
      </c>
      <c r="S21" s="315" t="str">
        <f>IFERROR(__xludf.DUMMYFUNCTION("""COMPUTED_VALUE"""),"AVK 10 мм (клема, сіра, гвинтова, розподільчий блок)")</f>
        <v>AVK 10 мм (клема, сіра, гвинтова, розподільчий блок)</v>
      </c>
      <c r="T21" s="315"/>
      <c r="U21" s="315" t="s">
        <v>351</v>
      </c>
      <c r="V21" s="317"/>
    </row>
    <row r="22" ht="15.75" customHeight="1">
      <c r="A22" s="333"/>
      <c r="B22" s="315" t="str">
        <f>IFERROR(__xludf.DUMMYFUNCTION("""COMPUTED_VALUE"""),"Cонячна батарея SunPower SPR-P3-475-UPP")</f>
        <v>Cонячна батарея SunPower SPR-P3-475-UPP</v>
      </c>
      <c r="C22" s="315" t="str">
        <f>IFERROR(__xludf.DUMMYFUNCTION("""COMPUTED_VALUE"""),"Інвертор гібридний Deye SUN-5K-SG03LP1-EU")</f>
        <v>Інвертор гібридний Deye SUN-5K-SG03LP1-EU</v>
      </c>
      <c r="D22" s="315" t="str">
        <f>IFERROR(__xludf.DUMMYFUNCTION("""COMPUTED_VALUE"""),"Зарядна станція Yoobao EN1200Q --- 20шт")</f>
        <v>Зарядна станція Yoobao EN1200Q --- 20шт</v>
      </c>
      <c r="E22" s="315" t="str">
        <f>IFERROR(__xludf.DUMMYFUNCTION("""COMPUTED_VALUE"""),"BMS для батарей DEYE BOS-G PRO 200-1000Vdc 120A (BOS-G-PDU-2)")</f>
        <v>BMS для батарей DEYE BOS-G PRO 200-1000Vdc 120A (BOS-G-PDU-2)</v>
      </c>
      <c r="F22" s="315"/>
      <c r="G22" s="315" t="str">
        <f>IFERROR(__xludf.DUMMYFUNCTION("""COMPUTED_VALUE"""),"Лічильник DTSU666 (трёхфазный) 250A (до 170 кВт)")</f>
        <v>Лічильник DTSU666 (трёхфазный) 250A (до 170 кВт)</v>
      </c>
      <c r="H22" s="315" t="str">
        <f>IFERROR(__xludf.DUMMYFUNCTION("""COMPUTED_VALUE"""),"СІМ-карта")</f>
        <v>СІМ-карта</v>
      </c>
      <c r="I22" s="315"/>
      <c r="J22" s="315" t="str">
        <f>IFERROR(__xludf.DUMMYFUNCTION("""COMPUTED_VALUE"""),"Комплект кріплень для ФЕМ_Сх-Зх / Замовляється у постачальника")</f>
        <v>Комплект кріплень для ФЕМ_Сх-Зх / Замовляється у постачальника</v>
      </c>
      <c r="K22" s="315" t="str">
        <f>IFERROR(__xludf.DUMMYFUNCTION("""COMPUTED_VALUE"""),"LS 32 SMA A2 (вимикач навантаження, 2р, 32А, 1000VDC, ETI)")</f>
        <v>LS 32 SMA A2 (вимикач навантаження, 2р, 32А, 1000VDC, ETI)</v>
      </c>
      <c r="L22" s="315" t="str">
        <f>IFERROR(__xludf.DUMMYFUNCTION("""COMPUTED_VALUE"""),"ETIMAT 6 (2р, С, 63А, автоматичний вимикач, ETI)")</f>
        <v>ETIMAT 6 (2р, С, 63А, автоматичний вимикач, ETI)</v>
      </c>
      <c r="M22" s="315" t="str">
        <f>IFERROR(__xludf.DUMMYFUNCTION("""COMPUTED_VALUE"""),"Корпус HJ9-4 (для кнопок, 4-місний, білий, АСКО) --- 3шт")</f>
        <v>Корпус HJ9-4 (для кнопок, 4-місний, білий, АСКО) --- 3шт</v>
      </c>
      <c r="N22" s="315" t="str">
        <f>IFERROR(__xludf.DUMMYFUNCTION("""COMPUTED_VALUE"""),"Комплект кріплення EServer (сірий гвинт 20мм+гайка+шайба) --- 52шт")</f>
        <v>Комплект кріплення EServer (сірий гвинт 20мм+гайка+шайба) --- 52шт</v>
      </c>
      <c r="O22" s="315"/>
      <c r="P22" s="315" t="str">
        <f>IFERROR(__xludf.DUMMYFUNCTION("""COMPUTED_VALUE"""),"_НАБІР_АВР_1ф")</f>
        <v>_НАБІР_АВР_1ф</v>
      </c>
      <c r="Q22" s="315" t="str">
        <f>IFERROR(__xludf.DUMMYFUNCTION("""COMPUTED_VALUE"""),"PT-1 (тримач, роз'єднувач, 1p, 250A, 500VAC, M10-M10, ETI) --- 22шт")</f>
        <v>PT-1 (тримач, роз'єднувач, 1p, 250A, 500VAC, M10-M10, ETI) --- 22шт</v>
      </c>
      <c r="R22" s="315" t="str">
        <f>IFERROR(__xludf.DUMMYFUNCTION("""COMPUTED_VALUE"""),"АВВГ 4х25 (кабель, алюм.) --- 70м")</f>
        <v>АВВГ 4х25 (кабель, алюм.) --- 70м</v>
      </c>
      <c r="S22" s="315" t="str">
        <f>IFERROR(__xludf.DUMMYFUNCTION("""COMPUTED_VALUE"""),"AVK 2.5 мм (клема, сіра, гвинтова, розподільчий блок) --- 30шт")</f>
        <v>AVK 2.5 мм (клема, сіра, гвинтова, розподільчий блок) --- 30шт</v>
      </c>
      <c r="T22" s="315"/>
      <c r="U22" s="315" t="s">
        <v>352</v>
      </c>
      <c r="V22" s="317"/>
    </row>
    <row r="23" ht="15.75" customHeight="1">
      <c r="A23" s="333"/>
      <c r="B23" s="315" t="str">
        <f>IFERROR(__xludf.DUMMYFUNCTION("""COMPUTED_VALUE"""),"Cонячна батарея SunPower SPR-P6-545-COM-M-BF")</f>
        <v>Cонячна батарея SunPower SPR-P6-545-COM-M-BF</v>
      </c>
      <c r="C23" s="315" t="str">
        <f>IFERROR(__xludf.DUMMYFUNCTION("""COMPUTED_VALUE"""),"Інвертор гібридний Deye SUN-5K-SG05LP3-EU")</f>
        <v>Інвертор гібридний Deye SUN-5K-SG05LP3-EU</v>
      </c>
      <c r="D23" s="315" t="str">
        <f>IFERROR(__xludf.DUMMYFUNCTION("""COMPUTED_VALUE"""),"Плата для акумуляторний блок Pylontech US2000C (2,4 кВт*год / 48 В)")</f>
        <v>Плата для акумуляторний блок Pylontech US2000C (2,4 кВт*год / 48 В)</v>
      </c>
      <c r="E23" s="315" t="str">
        <f>IFERROR(__xludf.DUMMYFUNCTION("""COMPUTED_VALUE"""),"Акумуляторна батарея DEYE BOS-G PRO LiFePO4 HV 51.2v 100AH 5.12kwh no BMS (BOS-GPRO)")</f>
        <v>Акумуляторна батарея DEYE BOS-G PRO LiFePO4 HV 51.2v 100AH 5.12kwh no BMS (BOS-GPRO)</v>
      </c>
      <c r="F23" s="315"/>
      <c r="G23" s="315" t="str">
        <f>IFERROR(__xludf.DUMMYFUNCTION("""COMPUTED_VALUE"""),"Лічильник Huawei Linyang DTSU71 Smart meter, 3ф. (аналог DTSU666-Н) із ТС 250A/50mA (до 170 кВт)")</f>
        <v>Лічильник Huawei Linyang DTSU71 Smart meter, 3ф. (аналог DTSU666-Н) із ТС 250A/50mA (до 170 кВт)</v>
      </c>
      <c r="H23" s="315"/>
      <c r="I23" s="315"/>
      <c r="J23" s="315" t="str">
        <f>IFERROR(__xludf.DUMMYFUNCTION("""COMPUTED_VALUE"""),"Кріплення Z-30 до профтруби 40мм (композит) у зборі --- 40шт")</f>
        <v>Кріплення Z-30 до профтруби 40мм (композит) у зборі --- 40шт</v>
      </c>
      <c r="K23" s="315" t="str">
        <f>IFERROR(__xludf.DUMMYFUNCTION("""COMPUTED_VALUE"""),"LS 32 SMA A4 (вимикач навантаження, 4р, 32А, 1000VDC, ETI) --- 2шт")</f>
        <v>LS 32 SMA A4 (вимикач навантаження, 4р, 32А, 1000VDC, ETI) --- 2шт</v>
      </c>
      <c r="L23" s="315" t="str">
        <f>IFERROR(__xludf.DUMMYFUNCTION("""COMPUTED_VALUE"""),"ETIMAT 6 (3р, C, 20А, автоматичний вимикач, ETI) --- 29шт")</f>
        <v>ETIMAT 6 (3р, C, 20А, автоматичний вимикач, ETI) --- 29шт</v>
      </c>
      <c r="M23" s="315" t="str">
        <f>IFERROR(__xludf.DUMMYFUNCTION("""COMPUTED_VALUE"""),"DOT.3 (ящик, щит, для 3ф лічильника, NiK)")</f>
        <v>DOT.3 (ящик, щит, для 3ф лічильника, NiK)</v>
      </c>
      <c r="N23" s="315" t="str">
        <f>IFERROR(__xludf.DUMMYFUNCTION("""COMPUTED_VALUE"""),"Комплект регульованих бічних опор 600-800 мм")</f>
        <v>Комплект регульованих бічних опор 600-800 мм</v>
      </c>
      <c r="O23" s="315"/>
      <c r="P23" s="315" t="str">
        <f>IFERROR(__xludf.DUMMYFUNCTION("""COMPUTED_VALUE"""),"_НАБІР_АВР_3ф")</f>
        <v>_НАБІР_АВР_3ф</v>
      </c>
      <c r="Q23" s="315" t="str">
        <f>IFERROR(__xludf.DUMMYFUNCTION("""COMPUTED_VALUE"""),"PT-2 (Тримач запобіжника PT 2 1p 400A (M10-M10), ETI) --- 3шт")</f>
        <v>PT-2 (Тримач запобіжника PT 2 1p 400A (M10-M10), ETI) --- 3шт</v>
      </c>
      <c r="R23" s="315" t="str">
        <f>IFERROR(__xludf.DUMMYFUNCTION("""COMPUTED_VALUE"""),"АВВГ 4х35 (кабель, алюм.)")</f>
        <v>АВВГ 4х35 (кабель, алюм.)</v>
      </c>
      <c r="S23" s="315" t="str">
        <f>IFERROR(__xludf.DUMMYFUNCTION("""COMPUTED_VALUE"""),"DIN-рейка (1 м, TS-35-1.0, 1.0 мм, АСКО)")</f>
        <v>DIN-рейка (1 м, TS-35-1.0, 1.0 мм, АСКО)</v>
      </c>
      <c r="T23" s="315"/>
      <c r="U23" s="315" t="s">
        <v>353</v>
      </c>
      <c r="V23" s="317"/>
    </row>
    <row r="24" ht="15.75" customHeight="1">
      <c r="A24" s="333"/>
      <c r="B24" s="315" t="str">
        <f>IFERROR(__xludf.DUMMYFUNCTION("""COMPUTED_VALUE"""),"Сонячна батарея AE AURORA 550MD-144 30mm 550W Silver Frame --- 6шт")</f>
        <v>Сонячна батарея AE AURORA 550MD-144 30mm 550W Silver Frame --- 6шт</v>
      </c>
      <c r="C24" s="315" t="str">
        <f>IFERROR(__xludf.DUMMYFUNCTION("""COMPUTED_VALUE"""),"Інвертор гібридний Deye SUN-6K-SG03LP1-EU --- 4шт")</f>
        <v>Інвертор гібридний Deye SUN-6K-SG03LP1-EU --- 4шт</v>
      </c>
      <c r="D24" s="315" t="str">
        <f>IFERROR(__xludf.DUMMYFUNCTION("""COMPUTED_VALUE"""),"Аккумулятор Kijo JDG 12V 100Ah GEL")</f>
        <v>Аккумулятор Kijo JDG 12V 100Ah GEL</v>
      </c>
      <c r="E24" s="315" t="str">
        <f>IFERROR(__xludf.DUMMYFUNCTION("""COMPUTED_VALUE"""),"Акумуляторный блок Dyness HV51100 51.2v 100ah, 5.12кw LiFePo4")</f>
        <v>Акумуляторный блок Dyness HV51100 51.2v 100ah, 5.12кw LiFePo4</v>
      </c>
      <c r="F24" s="315"/>
      <c r="G24" s="315" t="str">
        <f>IFERROR(__xludf.DUMMYFUNCTION("""COMPUTED_VALUE"""),"Лічильник Huawei Wisdom DHSU1079-CT Smart meter, 3ф. (аналог DTSU666-Н) із ТС 250A/50mA (до 170 кВт) --- 2шт")</f>
        <v>Лічильник Huawei Wisdom DHSU1079-CT Smart meter, 3ф. (аналог DTSU666-Н) із ТС 250A/50mA (до 170 кВт) --- 2шт</v>
      </c>
      <c r="H24" s="315"/>
      <c r="I24" s="315"/>
      <c r="J24" s="335" t="str">
        <f>IFERROR(__xludf.DUMMYFUNCTION("""COMPUTED_VALUE"""),"Кріплення П-30 до профтруби 40мм (композит) у зборі --- 173шт")</f>
        <v>Кріплення П-30 до профтруби 40мм (композит) у зборі --- 173шт</v>
      </c>
      <c r="K24" s="315" t="str">
        <f>IFERROR(__xludf.DUMMYFUNCTION("""COMPUTED_VALUE"""),"ВН-32 (вимикач навантаження, 1р, 40А, ІЕК)")</f>
        <v>ВН-32 (вимикач навантаження, 1р, 40А, ІЕК)</v>
      </c>
      <c r="L24" s="315" t="str">
        <f>IFERROR(__xludf.DUMMYFUNCTION("""COMPUTED_VALUE"""),"ETIMAT 6 (3р, C, 25А, автоматичний вимикач, ETI) --- 24шт")</f>
        <v>ETIMAT 6 (3р, C, 25А, автоматичний вимикач, ETI) --- 24шт</v>
      </c>
      <c r="M24" s="315" t="str">
        <f>IFERROR(__xludf.DUMMYFUNCTION("""COMPUTED_VALUE"""),"Панель монтажна 800х600 (Шафа 800х600), 10Р8060")</f>
        <v>Панель монтажна 800х600 (Шафа 800х600), 10Р8060</v>
      </c>
      <c r="N24" s="315" t="str">
        <f>IFERROR(__xludf.DUMMYFUNCTION("""COMPUTED_VALUE"""),"Панель 19"" 3U з DIN-рейкою, для 24-х автоматичних вимикачів, сіра")</f>
        <v>Панель 19" 3U з DIN-рейкою, для 24-х автоматичних вимикачів, сіра</v>
      </c>
      <c r="O24" s="315"/>
      <c r="P24" s="315" t="str">
        <f>IFERROR(__xludf.DUMMYFUNCTION("""COMPUTED_VALUE"""),"RA25-40 (контактор модульный, 25A, 230VAC, 4NO, ETI) --- 1шт")</f>
        <v>RA25-40 (контактор модульный, 25A, 230VAC, 4NO, ETI) --- 1шт</v>
      </c>
      <c r="Q24" s="315"/>
      <c r="R24" s="315" t="str">
        <f>IFERROR(__xludf.DUMMYFUNCTION("""COMPUTED_VALUE"""),"АВВГ 4х50 (кабель, алюм.)")</f>
        <v>АВВГ 4х50 (кабель, алюм.)</v>
      </c>
      <c r="S24" s="315" t="str">
        <f>IFERROR(__xludf.DUMMYFUNCTION("""COMPUTED_VALUE"""),"DIN-рейка (1 м, TS-35-1.5, 1.5 мм, АСКО)")</f>
        <v>DIN-рейка (1 м, TS-35-1.5, 1.5 мм, АСКО)</v>
      </c>
      <c r="T24" s="315"/>
      <c r="U24" s="315" t="s">
        <v>354</v>
      </c>
      <c r="V24" s="317"/>
    </row>
    <row r="25" ht="15.75" customHeight="1">
      <c r="A25" s="333"/>
      <c r="B25" s="315" t="str">
        <f>IFERROR(__xludf.DUMMYFUNCTION("""COMPUTED_VALUE"""),"Сонячна батарея AE AURORA 550MD-144 35mm 550W Silver Frame --- 1шт")</f>
        <v>Сонячна батарея AE AURORA 550MD-144 35mm 550W Silver Frame --- 1шт</v>
      </c>
      <c r="C25" s="315" t="str">
        <f>IFERROR(__xludf.DUMMYFUNCTION("""COMPUTED_VALUE"""),"Інвертор гібридний Deye SUN-6K-SG05LP1-ЕU --- 16шт")</f>
        <v>Інвертор гібридний Deye SUN-6K-SG05LP1-ЕU --- 16шт</v>
      </c>
      <c r="D25" s="315" t="str">
        <f>IFERROR(__xludf.DUMMYFUNCTION("""COMPUTED_VALUE"""),"Акумуляторний блок DEYE RW-F16 (LiFePO4 LV 51.2V 314Ah 14.4kWh)")</f>
        <v>Акумуляторний блок DEYE RW-F16 (LiFePO4 LV 51.2V 314Ah 14.4kWh)</v>
      </c>
      <c r="E25" s="315" t="str">
        <f>IFERROR(__xludf.DUMMYFUNCTION("""COMPUTED_VALUE"""),"Модуль управління Deye HVB750V/100A-EU")</f>
        <v>Модуль управління Deye HVB750V/100A-EU</v>
      </c>
      <c r="F25" s="315"/>
      <c r="G25" s="315" t="str">
        <f>IFERROR(__xludf.DUMMYFUNCTION("""COMPUTED_VALUE"""),"Лічильник Huawei Yada YDS60-80 Smart meter, 3ф. (аналог DTSU666-HW) без ТС")</f>
        <v>Лічильник Huawei Yada YDS60-80 Smart meter, 3ф. (аналог DTSU666-HW) без ТС</v>
      </c>
      <c r="H25" s="315"/>
      <c r="I25" s="315"/>
      <c r="J25" s="315" t="str">
        <f>IFERROR(__xludf.DUMMYFUNCTION("""COMPUTED_VALUE"""),"Кронштейн кріплення до металочерепиці (шиферу) у зборі L45а-Met М10х200 нерж --- 1347шт")</f>
        <v>Кронштейн кріплення до металочерепиці (шиферу) у зборі L45а-Met М10х200 нерж --- 1347шт</v>
      </c>
      <c r="K25" s="315" t="str">
        <f>IFERROR(__xludf.DUMMYFUNCTION("""COMPUTED_VALUE"""),"ВН-32 (вимикач навантаження, 1р, 63А, ІЕК) --- 6шт")</f>
        <v>ВН-32 (вимикач навантаження, 1р, 63А, ІЕК) --- 6шт</v>
      </c>
      <c r="L25" s="315" t="str">
        <f>IFERROR(__xludf.DUMMYFUNCTION("""COMPUTED_VALUE"""),"ETIMAT 6 (3р, C, 32А, автоматичний вимикач, ETI) --- 37шт")</f>
        <v>ETIMAT 6 (3р, C, 32А, автоматичний вимикач, ETI) --- 37шт</v>
      </c>
      <c r="M25" s="315" t="str">
        <f>IFERROR(__xludf.DUMMYFUNCTION("""COMPUTED_VALUE"""),"Шафа компактна розподільча МК 10-600х600х200 IP65")</f>
        <v>Шафа компактна розподільча МК 10-600х600х200 IP65</v>
      </c>
      <c r="N25" s="315" t="str">
        <f>IFERROR(__xludf.DUMMYFUNCTION("""COMPUTED_VALUE"""),"Полиця 19"" 4 точки кріпл., 850мм глиб., перфорована, сталь, 2 мм, сіра")</f>
        <v>Полиця 19" 4 точки кріпл., 850мм глиб., перфорована, сталь, 2 мм, сіра</v>
      </c>
      <c r="O25" s="315"/>
      <c r="P25" s="315"/>
      <c r="Q25" s="315"/>
      <c r="R25" s="315" t="str">
        <f>IFERROR(__xludf.DUMMYFUNCTION("""COMPUTED_VALUE"""),"АВВГ 4х70 (кабель, алюм.)")</f>
        <v>АВВГ 4х70 (кабель, алюм.)</v>
      </c>
      <c r="S25" s="315" t="str">
        <f>IFERROR(__xludf.DUMMYFUNCTION("""COMPUTED_VALUE"""),"DIN-рейка (1.25 м, оцинкована, ІЕК)")</f>
        <v>DIN-рейка (1.25 м, оцинкована, ІЕК)</v>
      </c>
      <c r="T25" s="315"/>
      <c r="U25" s="315" t="s">
        <v>355</v>
      </c>
      <c r="V25" s="317"/>
    </row>
    <row r="26" ht="15.75" customHeight="1">
      <c r="A26" s="333"/>
      <c r="B26" s="315" t="str">
        <f>IFERROR(__xludf.DUMMYFUNCTION("""COMPUTED_VALUE"""),"Сонячна батарея AE AURORA AE415MD-108 35mm 415W Black frame")</f>
        <v>Сонячна батарея AE AURORA AE415MD-108 35mm 415W Black frame</v>
      </c>
      <c r="C26" s="315" t="str">
        <f>IFERROR(__xludf.DUMMYFUNCTION("""COMPUTED_VALUE"""),"Інвертор гібридний Deye SUN-8K-SG01LP1-US/EU")</f>
        <v>Інвертор гібридний Deye SUN-8K-SG01LP1-US/EU</v>
      </c>
      <c r="D26" s="315"/>
      <c r="E26" s="315" t="str">
        <f>IFERROR(__xludf.DUMMYFUNCTION("""COMPUTED_VALUE"""),"Система управління BMS Battery Disconnection Unit Dyness HV")</f>
        <v>Система управління BMS Battery Disconnection Unit Dyness HV</v>
      </c>
      <c r="F26" s="315"/>
      <c r="G26" s="315" t="str">
        <f>IFERROR(__xludf.DUMMYFUNCTION("""COMPUTED_VALUE"""),"Лічильник Huawei Yada YDS60-C24 Smart meter, 3ф. (аналог DTSU666-HW) без ТС")</f>
        <v>Лічильник Huawei Yada YDS60-C24 Smart meter, 3ф. (аналог DTSU666-HW) без ТС</v>
      </c>
      <c r="H26" s="315"/>
      <c r="I26" s="315"/>
      <c r="J26" s="315" t="str">
        <f>IFERROR(__xludf.DUMMYFUNCTION("""COMPUTED_VALUE"""),"Кронштейн кріплення Т-подібний на бітумну покрівлю у зборі Tbit-2 Al з гвинт 4,8 і прокл --- 110шт")</f>
        <v>Кронштейн кріплення Т-подібний на бітумну покрівлю у зборі Tbit-2 Al з гвинт 4,8 і прокл --- 110шт</v>
      </c>
      <c r="K26" s="315" t="str">
        <f>IFERROR(__xludf.DUMMYFUNCTION("""COMPUTED_VALUE"""),"ВРТ-63 3р (перемикач навантаження, 63А, 3р, ІЕК) --- 1шт")</f>
        <v>ВРТ-63 3р (перемикач навантаження, 63А, 3р, ІЕК) --- 1шт</v>
      </c>
      <c r="L26" s="315" t="str">
        <f>IFERROR(__xludf.DUMMYFUNCTION("""COMPUTED_VALUE"""),"ETIMAT 6 (3р, C, 40А, автоматичний вимикач, ETI) --- 6шт")</f>
        <v>ETIMAT 6 (3р, C, 40А, автоматичний вимикач, ETI) --- 6шт</v>
      </c>
      <c r="M26" s="315" t="str">
        <f>IFERROR(__xludf.DUMMYFUNCTION("""COMPUTED_VALUE"""),"Шафа навісна E.NEXT, 1000x650x300мм, IP54")</f>
        <v>Шафа навісна E.NEXT, 1000x650x300мм, IP54</v>
      </c>
      <c r="N26" s="315" t="str">
        <f>IFERROR(__xludf.DUMMYFUNCTION("""COMPUTED_VALUE"""),"Серверна шафа 18U, EServer 600х600х907 (Ш*Г*В), скло, чорна (ES-Е1860B)")</f>
        <v>Серверна шафа 18U, EServer 600х600х907 (Ш*Г*В), скло, чорна (ES-Е1860B)</v>
      </c>
      <c r="O26" s="315"/>
      <c r="P26" s="315"/>
      <c r="Q26" s="315"/>
      <c r="R26" s="315" t="str">
        <f>IFERROR(__xludf.DUMMYFUNCTION("""COMPUTED_VALUE"""),"АВВГ 5х25 (кабель, алюм.)")</f>
        <v>АВВГ 5х25 (кабель, алюм.)</v>
      </c>
      <c r="S26" s="315" t="str">
        <f>IFERROR(__xludf.DUMMYFUNCTION("""COMPUTED_VALUE"""),"DIN-рейка (TH 35x7.5L, цинк., 1 м, ETI), --- 5шт")</f>
        <v>DIN-рейка (TH 35x7.5L, цинк., 1 м, ETI), --- 5шт</v>
      </c>
      <c r="T26" s="315"/>
      <c r="U26" s="315" t="s">
        <v>356</v>
      </c>
      <c r="V26" s="317"/>
    </row>
    <row r="27" ht="15.75" customHeight="1">
      <c r="A27" s="333"/>
      <c r="B27" s="315" t="str">
        <f>IFERROR(__xludf.DUMMYFUNCTION("""COMPUTED_VALUE"""),"Сонячна батарея JA Solar JAM72S20-455/MR 455 Wp, mono")</f>
        <v>Сонячна батарея JA Solar JAM72S20-455/MR 455 Wp, mono</v>
      </c>
      <c r="C27" s="315" t="str">
        <f>IFERROR(__xludf.DUMMYFUNCTION("""COMPUTED_VALUE"""),"Інвертор гібридний IMEON 9.12")</f>
        <v>Інвертор гібридний IMEON 9.12</v>
      </c>
      <c r="D27" s="315"/>
      <c r="E27" s="315" t="str">
        <f>IFERROR(__xludf.DUMMYFUNCTION("""COMPUTED_VALUE"""),"Система управління BMS SC0500-100S для PYLONTECH H48050, H48074 --- 1шт")</f>
        <v>Система управління BMS SC0500-100S для PYLONTECH H48050, H48074 --- 1шт</v>
      </c>
      <c r="F27" s="315"/>
      <c r="G27" s="315"/>
      <c r="H27" s="315"/>
      <c r="I27" s="315"/>
      <c r="J27" s="315" t="str">
        <f>IFERROR(__xludf.DUMMYFUNCTION("""COMPUTED_VALUE"""),"Наземна конструкція (цинк) для ФЕМ / Замовляється у постачальника")</f>
        <v>Наземна конструкція (цинк) для ФЕМ / Замовляється у постачальника</v>
      </c>
      <c r="K27" s="315" t="str">
        <f>IFERROR(__xludf.DUMMYFUNCTION("""COMPUTED_VALUE"""),"BR-30 (тримач, роз'єднувач, 1p, 30A, 1000VDC, FUSE HOLDER, BENY) --- 239шт")</f>
        <v>BR-30 (тримач, роз'єднувач, 1p, 30A, 1000VDC, FUSE HOLDER, BENY) --- 239шт</v>
      </c>
      <c r="L27" s="315" t="str">
        <f>IFERROR(__xludf.DUMMYFUNCTION("""COMPUTED_VALUE"""),"ETIMAT 6 (3р, C, 50А, автоматичний вимикач, ETI) --- 4шт")</f>
        <v>ETIMAT 6 (3р, C, 50А, автоматичний вимикач, ETI) --- 4шт</v>
      </c>
      <c r="M27" s="315" t="str">
        <f>IFERROR(__xludf.DUMMYFUNCTION("""COMPUTED_VALUE"""),"Шафа навісна E.NEXT, 1200x800x300мм, IP54 --- 1шт")</f>
        <v>Шафа навісна E.NEXT, 1200x800x300мм, IP54 --- 1шт</v>
      </c>
      <c r="N27" s="315" t="str">
        <f>IFERROR(__xludf.DUMMYFUNCTION("""COMPUTED_VALUE"""),"Стійка 19"" Deye 3U-HRACK (12 АКБ + 1 блок керування)")</f>
        <v>Стійка 19" Deye 3U-HRACK (12 АКБ + 1 блок керування)</v>
      </c>
      <c r="O27" s="315"/>
      <c r="P27" s="315"/>
      <c r="Q27" s="315"/>
      <c r="R27" s="315" t="str">
        <f>IFERROR(__xludf.DUMMYFUNCTION("""COMPUTED_VALUE"""),"ВВГнг 3х6 (кабель, мідний)")</f>
        <v>ВВГнг 3х6 (кабель, мідний)</v>
      </c>
      <c r="S27" s="315" t="str">
        <f>IFERROR(__xludf.DUMMYFUNCTION("""COMPUTED_VALUE"""),"DL-25 (накінечник кабельний, алюм., без ізоляції, 25мм2, АСКО) --- 115шт")</f>
        <v>DL-25 (накінечник кабельний, алюм., без ізоляції, 25мм2, АСКО) --- 115шт</v>
      </c>
      <c r="T27" s="315"/>
      <c r="U27" s="315" t="s">
        <v>357</v>
      </c>
      <c r="V27" s="317"/>
    </row>
    <row r="28" ht="15.75" customHeight="1">
      <c r="A28" s="333"/>
      <c r="B28" s="315" t="str">
        <f>IFERROR(__xludf.DUMMYFUNCTION("""COMPUTED_VALUE"""),"Сонячна батарея Longi LR5-72HPH 455Wp")</f>
        <v>Сонячна батарея Longi LR5-72HPH 455Wp</v>
      </c>
      <c r="C28" s="315" t="str">
        <f>IFERROR(__xludf.DUMMYFUNCTION("""COMPUTED_VALUE"""),"Інвертор гібридний Sofar HYD 15KTL-3PH")</f>
        <v>Інвертор гібридний Sofar HYD 15KTL-3PH</v>
      </c>
      <c r="D28" s="315"/>
      <c r="E28" s="315" t="str">
        <f>IFERROR(__xludf.DUMMYFUNCTION("""COMPUTED_VALUE"""),"Система управління BMS SC1000-100S для PYLONTECH H48050, H48074 --- 2шт")</f>
        <v>Система управління BMS SC1000-100S для PYLONTECH H48050, H48074 --- 2шт</v>
      </c>
      <c r="F28" s="315"/>
      <c r="G28" s="315"/>
      <c r="H28" s="315"/>
      <c r="I28" s="315"/>
      <c r="J28" s="315" t="str">
        <f>IFERROR(__xludf.DUMMYFUNCTION("""COMPUTED_VALUE"""),"Наземна конструкція (чорний метал) для ФЕМ / Замовляється у постачальника")</f>
        <v>Наземна конструкція (чорний метал) для ФЕМ / Замовляється у постачальника</v>
      </c>
      <c r="K28" s="315" t="str">
        <f>IFERROR(__xludf.DUMMYFUNCTION("""COMPUTED_VALUE"""),"CH10x38 gPV (12A, 1000VDC, 30 kA, 10 шт., запобіжник, ETI) --- 59шт")</f>
        <v>CH10x38 gPV (12A, 1000VDC, 30 kA, 10 шт., запобіжник, ETI) --- 59шт</v>
      </c>
      <c r="L28" s="315" t="str">
        <f>IFERROR(__xludf.DUMMYFUNCTION("""COMPUTED_VALUE"""),"ETIMAT 6 (3р, C, 63А, автоматичний вимикач, ETI) --- 31шт")</f>
        <v>ETIMAT 6 (3р, C, 63А, автоматичний вимикач, ETI) --- 31шт</v>
      </c>
      <c r="M28" s="315" t="str">
        <f>IFERROR(__xludf.DUMMYFUNCTION("""COMPUTED_VALUE"""),"Шафа навісна ST, 700x500x200мм, IP65,R5ST0752")</f>
        <v>Шафа навісна ST, 700x500x200мм, IP65,R5ST0752</v>
      </c>
      <c r="N28" s="315" t="str">
        <f>IFERROR(__xludf.DUMMYFUNCTION("""COMPUTED_VALUE"""),"Стійка 19"" Deye 3U-LRACK (8 АКБ + 1 блок керування)")</f>
        <v>Стійка 19" Deye 3U-LRACK (8 АКБ + 1 блок керування)</v>
      </c>
      <c r="O28" s="315"/>
      <c r="P28" s="315"/>
      <c r="Q28" s="315"/>
      <c r="R28" s="315" t="str">
        <f>IFERROR(__xludf.DUMMYFUNCTION("""COMPUTED_VALUE"""),"ВВГнг 4х10 (кабель, мідний)")</f>
        <v>ВВГнг 4х10 (кабель, мідний)</v>
      </c>
      <c r="S28" s="315" t="str">
        <f>IFERROR(__xludf.DUMMYFUNCTION("""COMPUTED_VALUE"""),"DL-35 (накінечник кабельний, алюм., без ізоляції, 35мм2, АСКО) --- 51шт")</f>
        <v>DL-35 (накінечник кабельний, алюм., без ізоляції, 35мм2, АСКО) --- 51шт</v>
      </c>
      <c r="T28" s="315"/>
      <c r="U28" s="315" t="s">
        <v>358</v>
      </c>
      <c r="V28" s="317"/>
    </row>
    <row r="29" ht="15.75" customHeight="1">
      <c r="A29" s="333"/>
      <c r="B29" s="315" t="str">
        <f>IFERROR(__xludf.DUMMYFUNCTION("""COMPUTED_VALUE"""),"Сонячна батарея Risen RSM110-8-540M Titan 540 Вт --- 1шт")</f>
        <v>Сонячна батарея Risen RSM110-8-540M Titan 540 Вт --- 1шт</v>
      </c>
      <c r="C29" s="315" t="str">
        <f>IFERROR(__xludf.DUMMYFUNCTION("""COMPUTED_VALUE"""),"Інвертор гібридний Solis RHI-5k-48ЕS-5G")</f>
        <v>Інвертор гібридний Solis RHI-5k-48ЕS-5G</v>
      </c>
      <c r="D29" s="315"/>
      <c r="E29" s="315"/>
      <c r="F29" s="315"/>
      <c r="G29" s="315"/>
      <c r="H29" s="315"/>
      <c r="I29" s="315"/>
      <c r="J29" s="315" t="str">
        <f>IFERROR(__xludf.DUMMYFUNCTION("""COMPUTED_VALUE"""),"Пластина підкладна (композит, алюміній, 60х60х3мм М8) --- 250шт")</f>
        <v>Пластина підкладна (композит, алюміній, 60х60х3мм М8) --- 250шт</v>
      </c>
      <c r="K29" s="315" t="str">
        <f>IFERROR(__xludf.DUMMYFUNCTION("""COMPUTED_VALUE"""),"CH10x38 gPV (15A, 1000VDC, 30 kA, 10 шт., запобіжник, ETI) --- 2шт")</f>
        <v>CH10x38 gPV (15A, 1000VDC, 30 kA, 10 шт., запобіжник, ETI) --- 2шт</v>
      </c>
      <c r="L29" s="315" t="str">
        <f>IFERROR(__xludf.DUMMYFUNCTION("""COMPUTED_VALUE"""),"MC240A (2р, С, 40А, 2M, автоматичний вимикач, HAGER) --- 21шт")</f>
        <v>MC240A (2р, С, 40А, 2M, автоматичний вимикач, HAGER) --- 21шт</v>
      </c>
      <c r="M29" s="315" t="str">
        <f>IFERROR(__xludf.DUMMYFUNCTION("""COMPUTED_VALUE"""),"Розподільча коробка e.db.pro.100.100.50u --- 4шт")</f>
        <v>Розподільча коробка e.db.pro.100.100.50u --- 4шт</v>
      </c>
      <c r="N29" s="315" t="str">
        <f>IFERROR(__xludf.DUMMYFUNCTION("""COMPUTED_VALUE"""),"Стійка 49U (подвійна, сіра)")</f>
        <v>Стійка 49U (подвійна, сіра)</v>
      </c>
      <c r="O29" s="315"/>
      <c r="P29" s="315"/>
      <c r="Q29" s="315"/>
      <c r="R29" s="315" t="str">
        <f>IFERROR(__xludf.DUMMYFUNCTION("""COMPUTED_VALUE"""),"ВВГнг 4х16 (кабель, мідний)")</f>
        <v>ВВГнг 4х16 (кабель, мідний)</v>
      </c>
      <c r="S29" s="315" t="str">
        <f>IFERROR(__xludf.DUMMYFUNCTION("""COMPUTED_VALUE"""),"DL-70 (накінечник кабельний, алюм., без ізоляції, 70мм2, АСКО) --- 6шт")</f>
        <v>DL-70 (накінечник кабельний, алюм., без ізоляції, 70мм2, АСКО) --- 6шт</v>
      </c>
      <c r="T29" s="315"/>
      <c r="U29" s="315" t="s">
        <v>359</v>
      </c>
      <c r="V29" s="317"/>
    </row>
    <row r="30" ht="15.75" customHeight="1">
      <c r="A30" s="333"/>
      <c r="B30" s="315" t="str">
        <f>IFERROR(__xludf.DUMMYFUNCTION("""COMPUTED_VALUE"""),"Сонячна батарея Risen RSM144-6-450M")</f>
        <v>Сонячна батарея Risen RSM144-6-450M</v>
      </c>
      <c r="C30" s="315" t="str">
        <f>IFERROR(__xludf.DUMMYFUNCTION("""COMPUTED_VALUE"""),"Інвертор гібридний Solis S5-EH1P5K-L")</f>
        <v>Інвертор гібридний Solis S5-EH1P5K-L</v>
      </c>
      <c r="D30" s="315"/>
      <c r="E30" s="315"/>
      <c r="F30" s="315"/>
      <c r="G30" s="315"/>
      <c r="H30" s="315"/>
      <c r="I30" s="315"/>
      <c r="J30" s="315" t="str">
        <f>IFERROR(__xludf.DUMMYFUNCTION("""COMPUTED_VALUE"""),"Притиск у зборі Z30 гвинт А2, гайка монт, фікс --- 728шт")</f>
        <v>Притиск у зборі Z30 гвинт А2, гайка монт, фікс --- 728шт</v>
      </c>
      <c r="K30" s="315" t="str">
        <f>IFERROR(__xludf.DUMMYFUNCTION("""COMPUTED_VALUE"""),"CH10x38 gPV (20A, 1000VDC, 30 kA, 10 шт., запобіжник, ETI) --- 1шт")</f>
        <v>CH10x38 gPV (20A, 1000VDC, 30 kA, 10 шт., запобіжник, ETI) --- 1шт</v>
      </c>
      <c r="L30" s="315" t="str">
        <f>IFERROR(__xludf.DUMMYFUNCTION("""COMPUTED_VALUE"""),"MC316A (3р, С, 16А, 3M, автоматичний вимикач, HAGER) --- 3шт")</f>
        <v>MC316A (3р, С, 16А, 3M, автоматичний вимикач, HAGER) --- 3шт</v>
      </c>
      <c r="M30" s="315" t="str">
        <f>IFERROR(__xludf.DUMMYFUNCTION("""COMPUTED_VALUE"""),"Розподільча коробка e.db.pro.85.85.50u --- 2шт")</f>
        <v>Розподільча коробка e.db.pro.85.85.50u --- 2шт</v>
      </c>
      <c r="N30" s="315"/>
      <c r="O30" s="315"/>
      <c r="P30" s="315"/>
      <c r="Q30" s="315"/>
      <c r="R30" s="315" t="str">
        <f>IFERROR(__xludf.DUMMYFUNCTION("""COMPUTED_VALUE"""),"ВВГнг 4х25 (кабель, мідний)")</f>
        <v>ВВГнг 4х25 (кабель, мідний)</v>
      </c>
      <c r="S30" s="315" t="str">
        <f>IFERROR(__xludf.DUMMYFUNCTION("""COMPUTED_VALUE"""),"DN12 мм (труба гофрована, чорна, УФ, 12 мм, ДКС)")</f>
        <v>DN12 мм (труба гофрована, чорна, УФ, 12 мм, ДКС)</v>
      </c>
      <c r="T30" s="315"/>
      <c r="U30" s="315" t="s">
        <v>360</v>
      </c>
      <c r="V30" s="317"/>
    </row>
    <row r="31" ht="15.75" customHeight="1">
      <c r="A31" s="333"/>
      <c r="B31" s="315" t="str">
        <f>IFERROR(__xludf.DUMMYFUNCTION("""COMPUTED_VALUE"""),"Сонячна батарея AE AURORA AE415MD-108 30mm 415W Black frame --- 14шт")</f>
        <v>Сонячна батарея AE AURORA AE415MD-108 30mm 415W Black frame --- 14шт</v>
      </c>
      <c r="C31" s="315" t="str">
        <f>IFERROR(__xludf.DUMMYFUNCTION("""COMPUTED_VALUE"""),"Інвертор гібридний однофазний Аfore AF5K-SL 5кВт")</f>
        <v>Інвертор гібридний однофазний Аfore AF5K-SL 5кВт</v>
      </c>
      <c r="D31" s="315"/>
      <c r="E31" s="315"/>
      <c r="F31" s="315"/>
      <c r="G31" s="315"/>
      <c r="H31" s="315"/>
      <c r="I31" s="315"/>
      <c r="J31" s="315" t="str">
        <f>IFERROR(__xludf.DUMMYFUNCTION("""COMPUTED_VALUE"""),"Профіль прогону L-1230 Al LD Anod --- 309шт")</f>
        <v>Профіль прогону L-1230 Al LD Anod --- 309шт</v>
      </c>
      <c r="K31" s="315" t="str">
        <f>IFERROR(__xludf.DUMMYFUNCTION("""COMPUTED_VALUE"""),"CH10x38 gPV (25A, 1000VDC, 30 kA, 10 шт., запобіжник, ETI) --- 2шт")</f>
        <v>CH10x38 gPV (25A, 1000VDC, 30 kA, 10 шт., запобіжник, ETI) --- 2шт</v>
      </c>
      <c r="L31" s="315" t="str">
        <f>IFERROR(__xludf.DUMMYFUNCTION("""COMPUTED_VALUE"""),"MC320A (3р, С, 20А, 3M, автоматичний вимикач, HAGER) --- 3шт")</f>
        <v>MC320A (3р, С, 20А, 3M, автоматичний вимикач, HAGER) --- 3шт</v>
      </c>
      <c r="M31" s="315" t="str">
        <f>IFERROR(__xludf.DUMMYFUNCTION("""COMPUTED_VALUE"""),"Корпус металевий e.mbox.pro.p.160.80.40 IP31 з монтажною панеллю (1600х800х400), E.NEXT")</f>
        <v>Корпус металевий e.mbox.pro.p.160.80.40 IP31 з монтажною панеллю (1600х800х400), E.NEXT</v>
      </c>
      <c r="N31" s="315"/>
      <c r="O31" s="315"/>
      <c r="P31" s="315"/>
      <c r="Q31" s="315"/>
      <c r="R31" s="315" t="str">
        <f>IFERROR(__xludf.DUMMYFUNCTION("""COMPUTED_VALUE"""),"ВВГнг 4х6 (кабель, мідний)")</f>
        <v>ВВГнг 4х6 (кабель, мідний)</v>
      </c>
      <c r="S31" s="315" t="str">
        <f>IFERROR(__xludf.DUMMYFUNCTION("""COMPUTED_VALUE"""),"DN17 мм (труба гофрована, чорна, УФ, 17 мм, ДКС)")</f>
        <v>DN17 мм (труба гофрована, чорна, УФ, 17 мм, ДКС)</v>
      </c>
      <c r="T31" s="315"/>
      <c r="U31" s="315" t="s">
        <v>361</v>
      </c>
      <c r="V31" s="317"/>
    </row>
    <row r="32" ht="15.75" customHeight="1">
      <c r="A32" s="333"/>
      <c r="B32" s="315" t="str">
        <f>IFERROR(__xludf.DUMMYFUNCTION("""COMPUTED_VALUE"""),"Сонячна батарея HYUNDAI HIT-H450CE-BF --- 736шт")</f>
        <v>Сонячна батарея HYUNDAI HIT-H450CE-BF --- 736шт</v>
      </c>
      <c r="C32" s="315" t="str">
        <f>IFERROR(__xludf.DUMMYFUNCTION("""COMPUTED_VALUE"""),"Інвертор Fronius Symo 15.0-3-M")</f>
        <v>Інвертор Fronius Symo 15.0-3-M</v>
      </c>
      <c r="D32" s="315"/>
      <c r="E32" s="315"/>
      <c r="F32" s="315"/>
      <c r="G32" s="315"/>
      <c r="H32" s="315"/>
      <c r="I32" s="315"/>
      <c r="J32" s="315" t="str">
        <f>IFERROR(__xludf.DUMMYFUNCTION("""COMPUTED_VALUE"""),"Профіль прогону L-1550 Al LD Anod --- 312шт")</f>
        <v>Профіль прогону L-1550 Al LD Anod --- 312шт</v>
      </c>
      <c r="K32" s="315" t="str">
        <f>IFERROR(__xludf.DUMMYFUNCTION("""COMPUTED_VALUE"""),"EFH10 1p (тримач, роз'єднувач, 25A, 1000VDC, ETI) --- 17шт")</f>
        <v>EFH10 1p (тримач, роз'єднувач, 25A, 1000VDC, ETI) --- 17шт</v>
      </c>
      <c r="L32" s="315" t="str">
        <f>IFERROR(__xludf.DUMMYFUNCTION("""COMPUTED_VALUE"""),"MC325A (3р, С, 25А, 3M, автоматичний вимикач, HAGER) --- 2шт")</f>
        <v>MC325A (3р, С, 25А, 3M, автоматичний вимикач, HAGER) --- 2шт</v>
      </c>
      <c r="M32" s="315" t="str">
        <f>IFERROR(__xludf.DUMMYFUNCTION("""COMPUTED_VALUE"""),"Корпус металевий e.mbox.pro.p.160.80.40 IP54 з монтажною панеллю (1600х800х400), E.NEXT")</f>
        <v>Корпус металевий e.mbox.pro.p.160.80.40 IP54 з монтажною панеллю (1600х800х400), E.NEXT</v>
      </c>
      <c r="N32" s="315"/>
      <c r="O32" s="315"/>
      <c r="P32" s="315"/>
      <c r="Q32" s="315"/>
      <c r="R32" s="315" t="str">
        <f>IFERROR(__xludf.DUMMYFUNCTION("""COMPUTED_VALUE"""),"ВВГнг 5х10 (кабель, мідний)")</f>
        <v>ВВГнг 5х10 (кабель, мідний)</v>
      </c>
      <c r="S32" s="315" t="str">
        <f>IFERROR(__xludf.DUMMYFUNCTION("""COMPUTED_VALUE"""),"DT-35 (накінечник кабельний, мідний, луджений, 35мм2, АСКО) --- 23шт")</f>
        <v>DT-35 (накінечник кабельний, мідний, луджений, 35мм2, АСКО) --- 23шт</v>
      </c>
      <c r="T32" s="315"/>
      <c r="U32" s="315" t="s">
        <v>362</v>
      </c>
      <c r="V32" s="317"/>
    </row>
    <row r="33" ht="15.75" customHeight="1">
      <c r="A33" s="333"/>
      <c r="B33" s="315" t="str">
        <f>IFERROR(__xludf.DUMMYFUNCTION("""COMPUTED_VALUE"""),"Сонячна панель SunPower Performance P3  365 BLK")</f>
        <v>Сонячна панель SunPower Performance P3  365 BLK</v>
      </c>
      <c r="C33" s="315" t="str">
        <f>IFERROR(__xludf.DUMMYFUNCTION("""COMPUTED_VALUE"""),"Інвертор Fronius Symo 20.0-3-M")</f>
        <v>Інвертор Fronius Symo 20.0-3-M</v>
      </c>
      <c r="D33" s="315"/>
      <c r="E33" s="315"/>
      <c r="F33" s="315"/>
      <c r="G33" s="315"/>
      <c r="H33" s="315"/>
      <c r="I33" s="315"/>
      <c r="J33" s="315" t="str">
        <f>IFERROR(__xludf.DUMMYFUNCTION("""COMPUTED_VALUE"""),"Профіль прогону L-2060 Al LD Anod --- 201шт")</f>
        <v>Профіль прогону L-2060 Al LD Anod --- 201шт</v>
      </c>
      <c r="K33" s="315" t="str">
        <f>IFERROR(__xludf.DUMMYFUNCTION("""COMPUTED_VALUE"""),"EFH10 2p (тримач, роз'єднувач, 25A, 1000VDC, ETI)")</f>
        <v>EFH10 2p (тримач, роз'єднувач, 25A, 1000VDC, ETI)</v>
      </c>
      <c r="L33" s="315" t="str">
        <f>IFERROR(__xludf.DUMMYFUNCTION("""COMPUTED_VALUE"""),"MC332A (3р, С, 32А, 3M, автоматичний вимикач, HAGER) --- 3шт")</f>
        <v>MC332A (3р, С, 32А, 3M, автоматичний вимикач, HAGER) --- 3шт</v>
      </c>
      <c r="M33" s="315" t="str">
        <f>IFERROR(__xludf.DUMMYFUNCTION("""COMPUTED_VALUE"""),"Корпус металевий e.mbox.pro.p.50.40.20 IP54 з монтажною панеллю, E.NEXT")</f>
        <v>Корпус металевий e.mbox.pro.p.50.40.20 IP54 з монтажною панеллю, E.NEXT</v>
      </c>
      <c r="N33" s="315"/>
      <c r="O33" s="315"/>
      <c r="P33" s="315"/>
      <c r="Q33" s="315"/>
      <c r="R33" s="315" t="str">
        <f>IFERROR(__xludf.DUMMYFUNCTION("""COMPUTED_VALUE"""),"ВВГнг 5х16 (кабель, мідний) --- 50м")</f>
        <v>ВВГнг 5х16 (кабель, мідний) --- 50м</v>
      </c>
      <c r="S33" s="315" t="str">
        <f>IFERROR(__xludf.DUMMYFUNCTION("""COMPUTED_VALUE"""),"DT-95-12 (накінечник кабельний, мідний, луджений, 95мм2, АСКО) --- 36шт")</f>
        <v>DT-95-12 (накінечник кабельний, мідний, луджений, 95мм2, АСКО) --- 36шт</v>
      </c>
      <c r="T33" s="315"/>
      <c r="U33" s="315" t="s">
        <v>363</v>
      </c>
      <c r="V33" s="317"/>
    </row>
    <row r="34" ht="15.75" customHeight="1">
      <c r="A34" s="333"/>
      <c r="B34" s="315" t="str">
        <f>IFERROR(__xludf.DUMMYFUNCTION("""COMPUTED_VALUE"""),"Сонячний фотоелектричний модуль Sunova Solar SS-550-72MDH, 550 Wp, Mono 182HC")</f>
        <v>Сонячний фотоелектричний модуль Sunova Solar SS-550-72MDH, 550 Wp, Mono 182HC</v>
      </c>
      <c r="C34" s="315" t="str">
        <f>IFERROR(__xludf.DUMMYFUNCTION("""COMPUTED_VALUE"""),"Інвертор мережевий Deye SUN-100k-G03")</f>
        <v>Інвертор мережевий Deye SUN-100k-G03</v>
      </c>
      <c r="D34" s="315"/>
      <c r="E34" s="315"/>
      <c r="F34" s="315"/>
      <c r="G34" s="315"/>
      <c r="H34" s="315"/>
      <c r="I34" s="315"/>
      <c r="J34" s="315" t="str">
        <f>IFERROR(__xludf.DUMMYFUNCTION("""COMPUTED_VALUE"""),"Профіль прогону L-2200 Al LD Anod --- 30шт")</f>
        <v>Профіль прогону L-2200 Al LD Anod --- 30шт</v>
      </c>
      <c r="K34" s="315" t="str">
        <f>IFERROR(__xludf.DUMMYFUNCTION("""COMPUTED_VALUE"""),"ETITEC M T2 PV 1100/20 Y (обмежувач перенапруг, тип Y, ETI) --- 16шт")</f>
        <v>ETITEC M T2 PV 1100/20 Y (обмежувач перенапруг, тип Y, ETI) --- 16шт</v>
      </c>
      <c r="L34" s="315" t="str">
        <f>IFERROR(__xludf.DUMMYFUNCTION("""COMPUTED_VALUE"""),"MC340A (3р, С, 40А, 3M, автоматичний вимикач, HAGER) --- 4шт")</f>
        <v>MC340A (3р, С, 40А, 3M, автоматичний вимикач, HAGER) --- 4шт</v>
      </c>
      <c r="M34" s="315" t="str">
        <f>IFERROR(__xludf.DUMMYFUNCTION("""COMPUTED_VALUE"""),"Шафа компактна розподільча МК 10-600х500х250 IP 65+ мп")</f>
        <v>Шафа компактна розподільча МК 10-600х500х250 IP 65+ мп</v>
      </c>
      <c r="N34" s="315"/>
      <c r="O34" s="315"/>
      <c r="P34" s="315"/>
      <c r="Q34" s="315"/>
      <c r="R34" s="315" t="str">
        <f>IFERROR(__xludf.DUMMYFUNCTION("""COMPUTED_VALUE"""),"ВВГнг 5х4 (кабель, мідний)")</f>
        <v>ВВГнг 5х4 (кабель, мідний)</v>
      </c>
      <c r="S34" s="315" t="str">
        <f>IFERROR(__xludf.DUMMYFUNCTION("""COMPUTED_VALUE"""),"DT(G)-25-6 (накінечник кабельний, мідний, луджений, 25 мм2, АСКО) --- 33шт")</f>
        <v>DT(G)-25-6 (накінечник кабельний, мідний, луджений, 25 мм2, АСКО) --- 33шт</v>
      </c>
      <c r="T34" s="315"/>
      <c r="U34" s="315" t="s">
        <v>364</v>
      </c>
      <c r="V34" s="317"/>
    </row>
    <row r="35" ht="15.75" customHeight="1">
      <c r="A35" s="333"/>
      <c r="B35" s="315" t="str">
        <f>IFERROR(__xludf.DUMMYFUNCTION("""COMPUTED_VALUE"""),"Сонячна панель SunPower E20-435-COM")</f>
        <v>Сонячна панель SunPower E20-435-COM</v>
      </c>
      <c r="C35" s="315" t="str">
        <f>IFERROR(__xludf.DUMMYFUNCTION("""COMPUTED_VALUE"""),"Інвертор мережевий Deye SUN-80k-G03")</f>
        <v>Інвертор мережевий Deye SUN-80k-G03</v>
      </c>
      <c r="D35" s="315"/>
      <c r="E35" s="315"/>
      <c r="F35" s="315"/>
      <c r="G35" s="315"/>
      <c r="H35" s="315"/>
      <c r="I35" s="315"/>
      <c r="J35" s="315" t="str">
        <f>IFERROR(__xludf.DUMMYFUNCTION("""COMPUTED_VALUE"""),"Профіль прогону L-2460 Al LD Anod --- 236шт")</f>
        <v>Профіль прогону L-2460 Al LD Anod --- 236шт</v>
      </c>
      <c r="K35" s="315" t="str">
        <f>IFERROR(__xludf.DUMMYFUNCTION("""COMPUTED_VALUE"""),"OSPV-30, 10x38 (15A, 1000VDC,  запобіжник для BR-30,BENY) --- 690шт")</f>
        <v>OSPV-30, 10x38 (15A, 1000VDC,  запобіжник для BR-30,BENY) --- 690шт</v>
      </c>
      <c r="L35" s="315" t="str">
        <f>IFERROR(__xludf.DUMMYFUNCTION("""COMPUTED_VALUE"""),"МС363А (3р, С, 63А, 3M, автоматичний вимикач, HAGER)")</f>
        <v>МС363А (3р, С, 63А, 3M, автоматичний вимикач, HAGER)</v>
      </c>
      <c r="M35" s="315" t="str">
        <f>IFERROR(__xludf.DUMMYFUNCTION("""COMPUTED_VALUE"""),"Шафа компактна розподільча МК 10-600х500х300 IP 65+ мп")</f>
        <v>Шафа компактна розподільча МК 10-600х500х300 IP 65+ мп</v>
      </c>
      <c r="N35" s="315"/>
      <c r="O35" s="315"/>
      <c r="P35" s="315"/>
      <c r="Q35" s="315"/>
      <c r="R35" s="315" t="str">
        <f>IFERROR(__xludf.DUMMYFUNCTION("""COMPUTED_VALUE"""),"ВВГнг-LS 4х10 (кабель, мідний)")</f>
        <v>ВВГнг-LS 4х10 (кабель, мідний)</v>
      </c>
      <c r="S35" s="315" t="str">
        <f>IFERROR(__xludf.DUMMYFUNCTION("""COMPUTED_VALUE"""),"DT(G)-35 (накінечник кабельний, мідний, луджений, 35 мм2, АСКО) --- 118шт")</f>
        <v>DT(G)-35 (накінечник кабельний, мідний, луджений, 35 мм2, АСКО) --- 118шт</v>
      </c>
      <c r="T35" s="315"/>
      <c r="U35" s="315" t="s">
        <v>365</v>
      </c>
      <c r="V35" s="317"/>
    </row>
    <row r="36" ht="15.75" customHeight="1">
      <c r="A36" s="333"/>
      <c r="B36" s="315" t="str">
        <f>IFERROR(__xludf.DUMMYFUNCTION("""COMPUTED_VALUE"""),"Сонячна панель SunPower MAX2-350-RES")</f>
        <v>Сонячна панель SunPower MAX2-350-RES</v>
      </c>
      <c r="C36" s="315" t="str">
        <f>IFERROR(__xludf.DUMMYFUNCTION("""COMPUTED_VALUE"""),"Інвертор мережевий Huawei SUN2000-100KTL-M2")</f>
        <v>Інвертор мережевий Huawei SUN2000-100KTL-M2</v>
      </c>
      <c r="D36" s="315"/>
      <c r="E36" s="315"/>
      <c r="F36" s="315"/>
      <c r="G36" s="315"/>
      <c r="H36" s="315"/>
      <c r="I36" s="315"/>
      <c r="J36" s="315" t="str">
        <f>IFERROR(__xludf.DUMMYFUNCTION("""COMPUTED_VALUE"""),"Профіль прогону L-3100 Al LD Anod --- 9шт")</f>
        <v>Профіль прогону L-3100 Al LD Anod --- 9шт</v>
      </c>
      <c r="K36" s="315" t="str">
        <f>IFERROR(__xludf.DUMMYFUNCTION("""COMPUTED_VALUE"""),"OSPV-30, 10x38 (30A, 1000VDC,  запобіжник для BR-30,BENY) --- 48шт")</f>
        <v>OSPV-30, 10x38 (30A, 1000VDC,  запобіжник для BR-30,BENY) --- 48шт</v>
      </c>
      <c r="L36" s="315" t="str">
        <f>IFERROR(__xludf.DUMMYFUNCTION("""COMPUTED_VALUE"""),"Трифазний індикатор наявності напруги SON H-3K (3-х кольоровий), ETI --- 16шт")</f>
        <v>Трифазний індикатор наявності напруги SON H-3K (3-х кольоровий), ETI --- 16шт</v>
      </c>
      <c r="M36" s="315" t="str">
        <f>IFERROR(__xludf.DUMMYFUNCTION("""COMPUTED_VALUE"""),"Шафа компактна розподільча МК 10-700х500х200 IP 65+ мп")</f>
        <v>Шафа компактна розподільча МК 10-700х500х200 IP 65+ мп</v>
      </c>
      <c r="N36" s="315"/>
      <c r="O36" s="315"/>
      <c r="P36" s="315"/>
      <c r="Q36" s="315"/>
      <c r="R36" s="315" t="str">
        <f>IFERROR(__xludf.DUMMYFUNCTION("""COMPUTED_VALUE"""),"ВВГнгд 5х6 (кабель, мідний)")</f>
        <v>ВВГнгд 5х6 (кабель, мідний)</v>
      </c>
      <c r="S36" s="315" t="str">
        <f>IFERROR(__xludf.DUMMYFUNCTION("""COMPUTED_VALUE"""),"DTL-120 (накінечник кабельний, мідно-алюмінієвий, 120мм2, АСКО) --- 10шт")</f>
        <v>DTL-120 (накінечник кабельний, мідно-алюмінієвий, 120мм2, АСКО) --- 10шт</v>
      </c>
      <c r="T36" s="315"/>
      <c r="U36" s="315" t="s">
        <v>366</v>
      </c>
      <c r="V36" s="317"/>
    </row>
    <row r="37" ht="15.75" customHeight="1">
      <c r="A37" s="333"/>
      <c r="B37" s="315" t="str">
        <f>IFERROR(__xludf.DUMMYFUNCTION("""COMPUTED_VALUE"""),"Сонячна панель SunPower MAX2-360-COM")</f>
        <v>Сонячна панель SunPower MAX2-360-COM</v>
      </c>
      <c r="C37" s="315" t="str">
        <f>IFERROR(__xludf.DUMMYFUNCTION("""COMPUTED_VALUE"""),"Інвертор мережевий Huawei SUN2000-30KTL-M3")</f>
        <v>Інвертор мережевий Huawei SUN2000-30KTL-M3</v>
      </c>
      <c r="D37" s="315"/>
      <c r="E37" s="315"/>
      <c r="F37" s="315"/>
      <c r="G37" s="315"/>
      <c r="H37" s="315"/>
      <c r="I37" s="315"/>
      <c r="J37" s="315" t="str">
        <f>IFERROR(__xludf.DUMMYFUNCTION("""COMPUTED_VALUE"""),"Т-прижим у зборі H30 L50 Black --- 704шт")</f>
        <v>Т-прижим у зборі H30 L50 Black --- 704шт</v>
      </c>
      <c r="K37" s="315" t="str">
        <f>IFERROR(__xludf.DUMMYFUNCTION("""COMPUTED_VALUE"""),"CLBSV CO ""I-0-II"" 100 (перемикач навантаження, 3р, 100А, 3 пол., ETI) --- 2шт")</f>
        <v>CLBSV CO "I-0-II" 100 (перемикач навантаження, 3р, 100А, 3 пол., ETI) --- 2шт</v>
      </c>
      <c r="L37" s="315" t="str">
        <f>IFERROR(__xludf.DUMMYFUNCTION("""COMPUTED_VALUE"""),"ETITEC C T2 275/20 (обмежувач перенапруг, 1р, ETI) --- 10шт")</f>
        <v>ETITEC C T2 275/20 (обмежувач перенапруг, 1р, ETI) --- 10шт</v>
      </c>
      <c r="M37" s="315"/>
      <c r="N37" s="315"/>
      <c r="O37" s="315"/>
      <c r="P37" s="315"/>
      <c r="Q37" s="315"/>
      <c r="R37" s="315" t="str">
        <f>IFERROR(__xludf.DUMMYFUNCTION("""COMPUTED_VALUE"""),"Кабель сонячний 10 кв.мм (чорний, червоний) --- 336м")</f>
        <v>Кабель сонячний 10 кв.мм (чорний, червоний) --- 336м</v>
      </c>
      <c r="S37" s="315" t="str">
        <f>IFERROR(__xludf.DUMMYFUNCTION("""COMPUTED_VALUE"""),"DTL-150 (накінечник кабельний, мідно-алюмінієвий, 150мм2, АСКО)")</f>
        <v>DTL-150 (накінечник кабельний, мідно-алюмінієвий, 150мм2, АСКО)</v>
      </c>
      <c r="T37" s="315"/>
      <c r="U37" s="315" t="s">
        <v>367</v>
      </c>
      <c r="V37" s="317"/>
    </row>
    <row r="38" ht="15.75" customHeight="1">
      <c r="A38" s="333"/>
      <c r="B38" s="315" t="str">
        <f>IFERROR(__xludf.DUMMYFUNCTION("""COMPUTED_VALUE"""),"Сонячна панель SunPower MAX3-375-BLK-RES")</f>
        <v>Сонячна панель SunPower MAX3-375-BLK-RES</v>
      </c>
      <c r="C38" s="315" t="str">
        <f>IFERROR(__xludf.DUMMYFUNCTION("""COMPUTED_VALUE"""),"Інвертор мережевий Huawei SUN2000-50KTL-M3")</f>
        <v>Інвертор мережевий Huawei SUN2000-50KTL-M3</v>
      </c>
      <c r="D38" s="315"/>
      <c r="E38" s="315"/>
      <c r="F38" s="315"/>
      <c r="G38" s="315"/>
      <c r="H38" s="315"/>
      <c r="I38" s="315"/>
      <c r="J38" s="315" t="str">
        <f>IFERROR(__xludf.DUMMYFUNCTION("""COMPUTED_VALUE"""),"Тротуарна плитка (баласт 300х300х60 12,6кг)")</f>
        <v>Тротуарна плитка (баласт 300х300х60 12,6кг)</v>
      </c>
      <c r="K38" s="315" t="str">
        <f>IFERROR(__xludf.DUMMYFUNCTION("""COMPUTED_VALUE"""),"CLBSV-DH125/B  (рукоятка, ручка, чорна, для CLBSV 63-125A 3P CO ""I-0-II"", ETI) --- 2шт")</f>
        <v>CLBSV-DH125/B  (рукоятка, ручка, чорна, для CLBSV 63-125A 3P CO "I-0-II", ETI) --- 2шт</v>
      </c>
      <c r="L38" s="315" t="str">
        <f>IFERROR(__xludf.DUMMYFUNCTION("""COMPUTED_VALUE"""),"ETITEC C T2 275/20 (обмежувач перенапруг, 3р, ETI) --- 1шт")</f>
        <v>ETITEC C T2 275/20 (обмежувач перенапруг, 3р, ETI) --- 1шт</v>
      </c>
      <c r="M38" s="315"/>
      <c r="N38" s="315"/>
      <c r="O38" s="315"/>
      <c r="P38" s="315"/>
      <c r="Q38" s="315"/>
      <c r="R38" s="315" t="str">
        <f>IFERROR(__xludf.DUMMYFUNCTION("""COMPUTED_VALUE"""),"Кабель сонячний 4 кв.мм КВЕ (червоний) --- 6000м")</f>
        <v>Кабель сонячний 4 кв.мм КВЕ (червоний) --- 6000м</v>
      </c>
      <c r="S38" s="315" t="str">
        <f>IFERROR(__xludf.DUMMYFUNCTION("""COMPUTED_VALUE"""),"DTL-25 (накінечник кабельний, мідно-алюмінієвий, 25мм2, АСКО) --- 10шт")</f>
        <v>DTL-25 (накінечник кабельний, мідно-алюмінієвий, 25мм2, АСКО) --- 10шт</v>
      </c>
      <c r="T38" s="315"/>
      <c r="U38" s="315" t="s">
        <v>368</v>
      </c>
      <c r="V38" s="317"/>
    </row>
    <row r="39" ht="15.75" customHeight="1">
      <c r="A39" s="333"/>
      <c r="B39" s="315" t="str">
        <f>IFERROR(__xludf.DUMMYFUNCTION("""COMPUTED_VALUE"""),"Сонячна панель SunPower MAX3-390-COM")</f>
        <v>Сонячна панель SunPower MAX3-390-COM</v>
      </c>
      <c r="C39" s="315" t="str">
        <f>IFERROR(__xludf.DUMMYFUNCTION("""COMPUTED_VALUE"""),"Інвертор мережевий Solis-20K-DC-4G")</f>
        <v>Інвертор мережевий Solis-20K-DC-4G</v>
      </c>
      <c r="D39" s="315"/>
      <c r="E39" s="315"/>
      <c r="F39" s="315"/>
      <c r="G39" s="315"/>
      <c r="H39" s="315"/>
      <c r="I39" s="315"/>
      <c r="J39" s="315" t="str">
        <f>IFERROR(__xludf.DUMMYFUNCTION("""COMPUTED_VALUE"""),"Zinc Spray антикороз. цинк. засіб 400мл")</f>
        <v>Zinc Spray антикороз. цинк. засіб 400мл</v>
      </c>
      <c r="K39" s="315" t="str">
        <f>IFERROR(__xludf.DUMMYFUNCTION("""COMPUTED_VALUE"""),"CS 32 53 PNG (перемикач в корпусі, 3p, 1-0-2, IP65"", 32A, ETI) --- 3шт")</f>
        <v>CS 32 53 PNG (перемикач в корпусі, 3p, 1-0-2, IP65", 32A, ETI) --- 3шт</v>
      </c>
      <c r="L39" s="315" t="str">
        <f>IFERROR(__xludf.DUMMYFUNCTION("""COMPUTED_VALUE"""),"ETITEC C T2 275/20 (обмежувач перенапруг, 4р, ETI) --- 4шт")</f>
        <v>ETITEC C T2 275/20 (обмежувач перенапруг, 4р, ETI) --- 4шт</v>
      </c>
      <c r="M39" s="315"/>
      <c r="N39" s="315"/>
      <c r="O39" s="315"/>
      <c r="P39" s="315"/>
      <c r="Q39" s="315"/>
      <c r="R39" s="315" t="str">
        <f>IFERROR(__xludf.DUMMYFUNCTION("""COMPUTED_VALUE"""),"Кабель сонячний 4 кв.мм КВЕ (чорний) --- 6000м")</f>
        <v>Кабель сонячний 4 кв.мм КВЕ (чорний) --- 6000м</v>
      </c>
      <c r="S39" s="315" t="str">
        <f>IFERROR(__xludf.DUMMYFUNCTION("""COMPUTED_VALUE"""),"DTL-35 (накінечник кабельний, мідно-алюмінієвий, 35мм2, АСКО) --- 16шт")</f>
        <v>DTL-35 (накінечник кабельний, мідно-алюмінієвий, 35мм2, АСКО) --- 16шт</v>
      </c>
      <c r="T39" s="315"/>
      <c r="U39" s="315" t="s">
        <v>369</v>
      </c>
      <c r="V39" s="317"/>
    </row>
    <row r="40" ht="15.75" customHeight="1">
      <c r="A40" s="333"/>
      <c r="B40" s="315" t="str">
        <f>IFERROR(__xludf.DUMMYFUNCTION("""COMPUTED_VALUE"""),"Сонячна панель SunPower MAX3-390-RES")</f>
        <v>Сонячна панель SunPower MAX3-390-RES</v>
      </c>
      <c r="C40" s="315" t="str">
        <f>IFERROR(__xludf.DUMMYFUNCTION("""COMPUTED_VALUE"""),"Інвертор мережевий Solis-25K-5G-DC --- 1шт")</f>
        <v>Інвертор мережевий Solis-25K-5G-DC --- 1шт</v>
      </c>
      <c r="D40" s="315"/>
      <c r="E40" s="315"/>
      <c r="F40" s="315"/>
      <c r="G40" s="315"/>
      <c r="H40" s="315"/>
      <c r="I40" s="315"/>
      <c r="J40" s="315" t="str">
        <f>IFERROR(__xludf.DUMMYFUNCTION("""COMPUTED_VALUE"""),"Герметик силіконовий Sika універсальний Sikasil Universal прозорий 280 мл")</f>
        <v>Герметик силіконовий Sika універсальний Sikasil Universal прозорий 280 мл</v>
      </c>
      <c r="K40" s="315" t="str">
        <f>IFERROR(__xludf.DUMMYFUNCTION("""COMPUTED_VALUE"""),"HIM 306 Перемикач модульний трьохпозиційний I-0-II до 16мм2, 3п40А,Hager --- 2шт")</f>
        <v>HIM 306 Перемикач модульний трьохпозиційний I-0-II до 16мм2, 3п40А,Hager --- 2шт</v>
      </c>
      <c r="L40" s="315" t="str">
        <f>IFERROR(__xludf.DUMMYFUNCTION("""COMPUTED_VALUE"""),"ОПС1-D 1р (обмежувач перенапруг, D, ІЕК)")</f>
        <v>ОПС1-D 1р (обмежувач перенапруг, D, ІЕК)</v>
      </c>
      <c r="M40" s="315"/>
      <c r="N40" s="315"/>
      <c r="O40" s="315"/>
      <c r="P40" s="315"/>
      <c r="Q40" s="315"/>
      <c r="R40" s="315" t="str">
        <f>IFERROR(__xludf.DUMMYFUNCTION("""COMPUTED_VALUE"""),"Кабель сонячний 6 кв.мм (чорний, червоний) --- 120м")</f>
        <v>Кабель сонячний 6 кв.мм (чорний, червоний) --- 120м</v>
      </c>
      <c r="S40" s="315" t="str">
        <f>IFERROR(__xludf.DUMMYFUNCTION("""COMPUTED_VALUE"""),"DTL-50 (накінечник кабельний, мідно-алюмінієвий, 50мм2, АСКО) --- 20шт")</f>
        <v>DTL-50 (накінечник кабельний, мідно-алюмінієвий, 50мм2, АСКО) --- 20шт</v>
      </c>
      <c r="T40" s="315"/>
      <c r="U40" s="315" t="s">
        <v>370</v>
      </c>
      <c r="V40" s="317"/>
    </row>
    <row r="41" ht="15.75" customHeight="1">
      <c r="A41" s="333"/>
      <c r="B41" s="315" t="str">
        <f>IFERROR(__xludf.DUMMYFUNCTION("""COMPUTED_VALUE"""),"Сонячна панель SunPower MAX3-395-RES")</f>
        <v>Сонячна панель SunPower MAX3-395-RES</v>
      </c>
      <c r="C41" s="315" t="str">
        <f>IFERROR(__xludf.DUMMYFUNCTION("""COMPUTED_VALUE"""),"Інвертор мережевий Solis-30K-4G-DC")</f>
        <v>Інвертор мережевий Solis-30K-4G-DC</v>
      </c>
      <c r="D41" s="315"/>
      <c r="E41" s="315"/>
      <c r="F41" s="315"/>
      <c r="G41" s="315"/>
      <c r="H41" s="315"/>
      <c r="I41" s="315"/>
      <c r="J41" s="315" t="str">
        <f>IFERROR(__xludf.DUMMYFUNCTION("""COMPUTED_VALUE"""),"Інвертор гібридний Victron Energy EasySolar-II 48/5000/70-50 MPPT 250/100 GX (1 фаза)")</f>
        <v>Інвертор гібридний Victron Energy EasySolar-II 48/5000/70-50 MPPT 250/100 GX (1 фаза)</v>
      </c>
      <c r="K41" s="315" t="str">
        <f>IFERROR(__xludf.DUMMYFUNCTION("""COMPUTED_VALUE"""),"HIM306 (перемикач навантаження, 3 пол., 63А, 3р, HAGER) --- 3шт")</f>
        <v>HIM306 (перемикач навантаження, 3 пол., 63А, 3р, HAGER) --- 3шт</v>
      </c>
      <c r="L41" s="315" t="str">
        <f>IFERROR(__xludf.DUMMYFUNCTION("""COMPUTED_VALUE"""),"EZ9 1Р+N (обмежувач імпульсних перенапруг) In=10kA Up=1.3кB Im=20kA, Schneider Electric")</f>
        <v>EZ9 1Р+N (обмежувач імпульсних перенапруг) In=10kA Up=1.3кB Im=20kA, Schneider Electric</v>
      </c>
      <c r="M41" s="315"/>
      <c r="N41" s="315"/>
      <c r="O41" s="315"/>
      <c r="P41" s="315"/>
      <c r="Q41" s="315"/>
      <c r="R41" s="315" t="str">
        <f>IFERROR(__xludf.DUMMYFUNCTION("""COMPUTED_VALUE"""),"Кабель сонячний 6 кв.мм КВЕ (червоний) --- 83230м")</f>
        <v>Кабель сонячний 6 кв.мм КВЕ (червоний) --- 83230м</v>
      </c>
      <c r="S41" s="315" t="str">
        <f>IFERROR(__xludf.DUMMYFUNCTION("""COMPUTED_VALUE"""),"e.bc.stand.1.63, 1п., 63 А(Шина з'єднувальна e.bc.stand.1.63, 1п.,63 А) --- 5шт")</f>
        <v>e.bc.stand.1.63, 1п., 63 А(Шина з'єднувальна e.bc.stand.1.63, 1п.,63 А) --- 5шт</v>
      </c>
      <c r="T41" s="315"/>
      <c r="U41" s="315" t="s">
        <v>371</v>
      </c>
      <c r="V41" s="317"/>
    </row>
    <row r="42" ht="15.75" customHeight="1">
      <c r="A42" s="333"/>
      <c r="B42" s="315" t="str">
        <f>IFERROR(__xludf.DUMMYFUNCTION("""COMPUTED_VALUE"""),"Сонячна панель SunPower MAX3-400-COM")</f>
        <v>Сонячна панель SunPower MAX3-400-COM</v>
      </c>
      <c r="C42" s="315" t="str">
        <f>IFERROR(__xludf.DUMMYFUNCTION("""COMPUTED_VALUE"""),"Інвертор мережевий Solis-30K-5G-DC")</f>
        <v>Інвертор мережевий Solis-30K-5G-DC</v>
      </c>
      <c r="D42" s="315"/>
      <c r="E42" s="315"/>
      <c r="F42" s="315"/>
      <c r="G42" s="315"/>
      <c r="H42" s="315"/>
      <c r="I42" s="315"/>
      <c r="J42" s="315" t="str">
        <f>IFERROR(__xludf.DUMMYFUNCTION("""COMPUTED_VALUE"""),"Кронштейн 95-крюк А2 під керамічну черепицю")</f>
        <v>Кронштейн 95-крюк А2 під керамічну черепицю</v>
      </c>
      <c r="K42" s="315" t="str">
        <f>IFERROR(__xludf.DUMMYFUNCTION("""COMPUTED_VALUE"""),"HIM406 (перемикач навантаження, 3 пол., 63А, 4р, HAGER) --- 2шт")</f>
        <v>HIM406 (перемикач навантаження, 3 пол., 63А, 4р, HAGER) --- 2шт</v>
      </c>
      <c r="L42" s="315" t="str">
        <f>IFERROR(__xludf.DUMMYFUNCTION("""COMPUTED_VALUE"""),"e.pro.spd.1D.275 1p (обмежувач імпульсних перенапруг, хар-ка ""D"", ENEXT) --- 132шт")</f>
        <v>e.pro.spd.1D.275 1p (обмежувач імпульсних перенапруг, хар-ка "D", ENEXT) --- 132шт</v>
      </c>
      <c r="M42" s="315"/>
      <c r="N42" s="315"/>
      <c r="O42" s="315"/>
      <c r="P42" s="315"/>
      <c r="Q42" s="315"/>
      <c r="R42" s="315" t="str">
        <f>IFERROR(__xludf.DUMMYFUNCTION("""COMPUTED_VALUE"""),"Кабель сонячний 6 кв.мм КВЕ (чорний) --- 61871,5м")</f>
        <v>Кабель сонячний 6 кв.мм КВЕ (чорний) --- 61871,5м</v>
      </c>
      <c r="S42" s="315" t="str">
        <f>IFERROR(__xludf.DUMMYFUNCTION("""COMPUTED_VALUE"""),"e.bc.stand.2.63, 2п., 63 А (Шина з'єднувальна e.bc.stand.2.63, 2п., 63 А, E.NEXT) --- 2шт")</f>
        <v>e.bc.stand.2.63, 2п., 63 А (Шина з'єднувальна e.bc.stand.2.63, 2п., 63 А, E.NEXT) --- 2шт</v>
      </c>
      <c r="T42" s="315"/>
      <c r="U42" s="315" t="s">
        <v>372</v>
      </c>
      <c r="V42" s="317"/>
    </row>
    <row r="43" ht="15.75" customHeight="1">
      <c r="A43" s="333"/>
      <c r="B43" s="315" t="str">
        <f>IFERROR(__xludf.DUMMYFUNCTION("""COMPUTED_VALUE"""),"Сонячна панель SunPower MAX3-400-RES")</f>
        <v>Сонячна панель SunPower MAX3-400-RES</v>
      </c>
      <c r="C43" s="315" t="str">
        <f>IFERROR(__xludf.DUMMYFUNCTION("""COMPUTED_VALUE"""),"Інвертор гібридний Deye SUN-50K-SG01HP3-EU-BM4")</f>
        <v>Інвертор гібридний Deye SUN-50K-SG01HP3-EU-BM4</v>
      </c>
      <c r="D43" s="315"/>
      <c r="E43" s="315"/>
      <c r="F43" s="315"/>
      <c r="G43" s="315"/>
      <c r="H43" s="315"/>
      <c r="I43" s="315"/>
      <c r="J43" s="315" t="str">
        <f>IFERROR(__xludf.DUMMYFUNCTION("""COMPUTED_VALUE"""),"Мат гумовий МГ 320х320х3 --- 20шт")</f>
        <v>Мат гумовий МГ 320х320х3 --- 20шт</v>
      </c>
      <c r="K43" s="315" t="str">
        <f>IFERROR(__xludf.DUMMYFUNCTION("""COMPUTED_VALUE"""),"LA 2/D 250A 3P CO ""1-0-2"" (перемикач навантаження, 3р, 250А, 3 пол., ETI)")</f>
        <v>LA 2/D 250A 3P CO "1-0-2" (перемикач навантаження, 3р, 250А, 3 пол., ETI)</v>
      </c>
      <c r="L43" s="315" t="str">
        <f>IFERROR(__xludf.DUMMYFUNCTION("""COMPUTED_VALUE"""),"ZB2 160&amp;250/3 (перехідники шинні розширювальні (комплект 3 шт.), ETI)")</f>
        <v>ZB2 160&amp;250/3 (перехідники шинні розширювальні (комплект 3 шт.), ETI)</v>
      </c>
      <c r="M43" s="315"/>
      <c r="N43" s="315"/>
      <c r="O43" s="315"/>
      <c r="P43" s="315"/>
      <c r="Q43" s="315"/>
      <c r="R43" s="315" t="str">
        <f>IFERROR(__xludf.DUMMYFUNCTION("""COMPUTED_VALUE"""),"КППЕ-ВП (100) 4х2х0.51 (кабель, мідний, комп'ютерний, екранований, FTP, вита пара) --- 712м")</f>
        <v>КППЕ-ВП (100) 4х2х0.51 (кабель, мідний, комп'ютерний, екранований, FTP, вита пара) --- 712м</v>
      </c>
      <c r="S43" s="315" t="str">
        <f>IFERROR(__xludf.DUMMYFUNCTION("""COMPUTED_VALUE"""),"e.bc.stand.3.100 (шина живлення, мідна, 3p, 100А, E.NEXT)")</f>
        <v>e.bc.stand.3.100 (шина живлення, мідна, 3p, 100А, E.NEXT)</v>
      </c>
      <c r="T43" s="315"/>
      <c r="U43" s="315" t="s">
        <v>373</v>
      </c>
      <c r="V43" s="317"/>
    </row>
    <row r="44" ht="15.75" customHeight="1">
      <c r="A44" s="333"/>
      <c r="B44" s="315" t="str">
        <f>IFERROR(__xludf.DUMMYFUNCTION("""COMPUTED_VALUE"""),"Сонячна панель SunPower P3 325-RES BLK")</f>
        <v>Сонячна панель SunPower P3 325-RES BLK</v>
      </c>
      <c r="C44" s="315" t="str">
        <f>IFERROR(__xludf.DUMMYFUNCTION("""COMPUTED_VALUE"""),"Інвертор гібридний Fronius Primo GEN24 3.0 Plus")</f>
        <v>Інвертор гібридний Fronius Primo GEN24 3.0 Plus</v>
      </c>
      <c r="D44" s="315"/>
      <c r="E44" s="315"/>
      <c r="F44" s="315"/>
      <c r="G44" s="315"/>
      <c r="H44" s="315"/>
      <c r="I44" s="315"/>
      <c r="J44" s="315" t="str">
        <f>IFERROR(__xludf.DUMMYFUNCTION("""COMPUTED_VALUE"""),"Притиск у зборі П30 гвинт А2, гайка монт, фікс --- 734шт")</f>
        <v>Притиск у зборі П30 гвинт А2, гайка монт, фікс --- 734шт</v>
      </c>
      <c r="K44" s="315" t="str">
        <f>IFERROR(__xludf.DUMMYFUNCTION("""COMPUTED_VALUE"""),"LBS 400 CO ""1-0-2"" (Перемикач навантаження, 3P, 400А, ETI)")</f>
        <v>LBS 400 CO "1-0-2" (Перемикач навантаження, 3P, 400А, ETI)</v>
      </c>
      <c r="L44" s="315" t="str">
        <f>IFERROR(__xludf.DUMMYFUNCTION("""COMPUTED_VALUE"""),"Авт. вимикач NBS-TMD 100/3L 80A (36kA,(0.8-1)In/фікс.) 3P, ETI --- 5шт")</f>
        <v>Авт. вимикач NBS-TMD 100/3L 80A (36kA,(0.8-1)In/фікс.) 3P, ETI --- 5шт</v>
      </c>
      <c r="M44" s="315"/>
      <c r="N44" s="315"/>
      <c r="O44" s="315"/>
      <c r="P44" s="315"/>
      <c r="Q44" s="315"/>
      <c r="R44" s="315" t="str">
        <f>IFERROR(__xludf.DUMMYFUNCTION("""COMPUTED_VALUE"""),"КППт-ВП (100) 2х2х0.51 (кабель, мідний, комп'ютерний, FTP, вита пара) --- 792м")</f>
        <v>КППт-ВП (100) 2х2х0.51 (кабель, мідний, комп'ютерний, FTP, вита пара) --- 792м</v>
      </c>
      <c r="S44" s="315" t="str">
        <f>IFERROR(__xludf.DUMMYFUNCTION("""COMPUTED_VALUE"""),"e.bc.stand.3.63, 3п., 63 А (Шина з'єднувальна e.bc.stand.3.63, 3п., 63 А, E.NEXT) --- 6,9шт")</f>
        <v>e.bc.stand.3.63, 3п., 63 А (Шина з'єднувальна e.bc.stand.3.63, 3п., 63 А, E.NEXT) --- 6,9шт</v>
      </c>
      <c r="T44" s="315"/>
      <c r="U44" s="315" t="s">
        <v>374</v>
      </c>
      <c r="V44" s="317"/>
    </row>
    <row r="45" ht="15.75" customHeight="1">
      <c r="A45" s="333"/>
      <c r="B45" s="315" t="str">
        <f>IFERROR(__xludf.DUMMYFUNCTION("""COMPUTED_VALUE"""),"Сонячна панель SunPower P3 330-RES BLK")</f>
        <v>Сонячна панель SunPower P3 330-RES BLK</v>
      </c>
      <c r="C45" s="315" t="str">
        <f>IFERROR(__xludf.DUMMYFUNCTION("""COMPUTED_VALUE"""),"Інвертор гібридний Fronius Primo GEN24 3.6 Plus")</f>
        <v>Інвертор гібридний Fronius Primo GEN24 3.6 Plus</v>
      </c>
      <c r="D45" s="315"/>
      <c r="E45" s="315"/>
      <c r="F45" s="315"/>
      <c r="G45" s="315"/>
      <c r="H45" s="315"/>
      <c r="I45" s="315"/>
      <c r="J45" s="315" t="str">
        <f>IFERROR(__xludf.DUMMYFUNCTION("""COMPUTED_VALUE"""),"Продольний з'єднувач ZN41 у зборі  --- 48шт")</f>
        <v>Продольний з'єднувач ZN41 у зборі  --- 48шт</v>
      </c>
      <c r="K45" s="315" t="str">
        <f>IFERROR(__xludf.DUMMYFUNCTION("""COMPUTED_VALUE"""),"LBS-EH 630/G …400/G FLBS  (рукоятка, ручка, чорна, для LBS..CD 160-630А&amp;FLBS 125-400A, ETI) --- 1шт")</f>
        <v>LBS-EH 630/G …400/G FLBS  (рукоятка, ручка, чорна, для LBS..CD 160-630А&amp;FLBS 125-400A, ETI) --- 1шт</v>
      </c>
      <c r="L45" s="315" t="str">
        <f>IFERROR(__xludf.DUMMYFUNCTION("""COMPUTED_VALUE"""),"Авт. вимикач NBS-TMD 100/3S 80A (50kA,(0.8-1)In/фікс.) 3P, ETI")</f>
        <v>Авт. вимикач NBS-TMD 100/3S 80A (50kA,(0.8-1)In/фікс.) 3P, ETI</v>
      </c>
      <c r="M45" s="315"/>
      <c r="N45" s="315"/>
      <c r="O45" s="315"/>
      <c r="P45" s="315"/>
      <c r="Q45" s="315"/>
      <c r="R45" s="315" t="str">
        <f>IFERROR(__xludf.DUMMYFUNCTION("""COMPUTED_VALUE"""),"ПВ3 0.75 (провід, мідний)")</f>
        <v>ПВ3 0.75 (провід, мідний)</v>
      </c>
      <c r="S45" s="315" t="str">
        <f>IFERROR(__xludf.DUMMYFUNCTION("""COMPUTED_VALUE"""),"e.i.clamp.si.4х10-35 (ізольований анкерний затискач, 4x10-35 мм2, E.Next) --- 6шт")</f>
        <v>e.i.clamp.si.4х10-35 (ізольований анкерний затискач, 4x10-35 мм2, E.Next) --- 6шт</v>
      </c>
      <c r="T45" s="315"/>
      <c r="U45" s="315" t="s">
        <v>375</v>
      </c>
      <c r="V45" s="317"/>
    </row>
    <row r="46" ht="15.75" customHeight="1">
      <c r="A46" s="333"/>
      <c r="B46" s="315" t="str">
        <f>IFERROR(__xludf.DUMMYFUNCTION("""COMPUTED_VALUE"""),"Сонячна панель SunPower P3 370 RES BLK")</f>
        <v>Сонячна панель SunPower P3 370 RES BLK</v>
      </c>
      <c r="C46" s="315" t="str">
        <f>IFERROR(__xludf.DUMMYFUNCTION("""COMPUTED_VALUE"""),"Інвертор гібридний Fronius Primo GEN24 4.0 Plus")</f>
        <v>Інвертор гібридний Fronius Primo GEN24 4.0 Plus</v>
      </c>
      <c r="D46" s="315"/>
      <c r="E46" s="315"/>
      <c r="F46" s="315"/>
      <c r="G46" s="315"/>
      <c r="H46" s="315"/>
      <c r="I46" s="315"/>
      <c r="J46" s="315" t="str">
        <f>IFERROR(__xludf.DUMMYFUNCTION("""COMPUTED_VALUE"""),"Профіль прогону L-3100 Al LD --- 772шт")</f>
        <v>Профіль прогону L-3100 Al LD --- 772шт</v>
      </c>
      <c r="K46" s="315" t="str">
        <f>IFERROR(__xludf.DUMMYFUNCTION("""COMPUTED_VALUE"""),"NH40-200/3CS (перемикач навантаження, 3 пол., 200А, 3р, CHINT)")</f>
        <v>NH40-200/3CS (перемикач навантаження, 3 пол., 200А, 3р, CHINT)</v>
      </c>
      <c r="L46" s="315" t="str">
        <f>IFERROR(__xludf.DUMMYFUNCTION("""COMPUTED_VALUE"""),"Авт. вимикач NBS-TMD 160/3S 125A (50kA,(0.8-1)In/фікс.) 3P, ETI")</f>
        <v>Авт. вимикач NBS-TMD 160/3S 125A (50kA,(0.8-1)In/фікс.) 3P, ETI</v>
      </c>
      <c r="M46" s="315"/>
      <c r="N46" s="315"/>
      <c r="O46" s="315"/>
      <c r="P46" s="315"/>
      <c r="Q46" s="315"/>
      <c r="R46" s="315" t="str">
        <f>IFERROR(__xludf.DUMMYFUNCTION("""COMPUTED_VALUE"""),"ПВ3 1.0 (провід, мідний) --- 594м")</f>
        <v>ПВ3 1.0 (провід, мідний) --- 594м</v>
      </c>
      <c r="S46" s="315" t="str">
        <f>IFERROR(__xludf.DUMMYFUNCTION("""COMPUTED_VALUE"""),"e.industrial.i.1.yellow.1.red (індикатор жовто-червоний, DIN-рейка, E.NEXT) --- 2шт")</f>
        <v>e.industrial.i.1.yellow.1.red (індикатор жовто-червоний, DIN-рейка, E.NEXT) --- 2шт</v>
      </c>
      <c r="T46" s="315"/>
      <c r="U46" s="315" t="s">
        <v>376</v>
      </c>
      <c r="V46" s="317"/>
    </row>
    <row r="47" ht="15.75" customHeight="1">
      <c r="A47" s="333"/>
      <c r="B47" s="315" t="str">
        <f>IFERROR(__xludf.DUMMYFUNCTION("""COMPUTED_VALUE"""),"Сонячна панель SunPower P3 380 RES BLK")</f>
        <v>Сонячна панель SunPower P3 380 RES BLK</v>
      </c>
      <c r="C47" s="315" t="str">
        <f>IFERROR(__xludf.DUMMYFUNCTION("""COMPUTED_VALUE"""),"Інвертор гібридний Fronius Primo GEN24 4.6 Plus")</f>
        <v>Інвертор гібридний Fronius Primo GEN24 4.6 Plus</v>
      </c>
      <c r="D47" s="315"/>
      <c r="E47" s="315"/>
      <c r="F47" s="315"/>
      <c r="G47" s="315"/>
      <c r="H47" s="315"/>
      <c r="I47" s="315"/>
      <c r="J47" s="315" t="str">
        <f>IFERROR(__xludf.DUMMYFUNCTION("""COMPUTED_VALUE"""),"Профіль цинк L2060 (41х41х1.5, бічна перфорація)")</f>
        <v>Профіль цинк L2060 (41х41х1.5, бічна перфорація)</v>
      </c>
      <c r="K47" s="315" t="str">
        <f>IFERROR(__xludf.DUMMYFUNCTION("""COMPUTED_VALUE"""),"NH40-200/3CSW (перемикач навантаження, 3 пол., 200А, 3р, виносна рукоятка, CHINT)")</f>
        <v>NH40-200/3CSW (перемикач навантаження, 3 пол., 200А, 3р, виносна рукоятка, CHINT)</v>
      </c>
      <c r="L47" s="315" t="str">
        <f>IFERROR(__xludf.DUMMYFUNCTION("""COMPUTED_VALUE"""),"Авт. вимикач NBS-TMD 250/3L 200A (36kA,(0.8-1)In/(5-10)In) 3P --- 1шт")</f>
        <v>Авт. вимикач NBS-TMD 250/3L 200A (36kA,(0.8-1)In/(5-10)In) 3P --- 1шт</v>
      </c>
      <c r="M47" s="315"/>
      <c r="N47" s="315"/>
      <c r="O47" s="315"/>
      <c r="P47" s="315"/>
      <c r="Q47" s="315"/>
      <c r="R47" s="315" t="str">
        <f>IFERROR(__xludf.DUMMYFUNCTION("""COMPUTED_VALUE"""),"ПВ3 10.0 (провід, мідний) --- 100м")</f>
        <v>ПВ3 10.0 (провід, мідний) --- 100м</v>
      </c>
      <c r="S47" s="315" t="str">
        <f>IFERROR(__xludf.DUMMYFUNCTION("""COMPUTED_VALUE"""),"e.terminal.stand.e10-12.orange (накінечник втулковий, ізольований, 10.0 кв.мм, помаранчевий, E.NEXT)")</f>
        <v>e.terminal.stand.e10-12.orange (накінечник втулковий, ізольований, 10.0 кв.мм, помаранчевий, E.NEXT)</v>
      </c>
      <c r="T47" s="315"/>
      <c r="U47" s="315" t="s">
        <v>377</v>
      </c>
      <c r="V47" s="317"/>
    </row>
    <row r="48" ht="15.75" customHeight="1">
      <c r="A48" s="333"/>
      <c r="B48" s="315" t="str">
        <f>IFERROR(__xludf.DUMMYFUNCTION("""COMPUTED_VALUE"""),"Сонячна панель SunPower X21-460-COM")</f>
        <v>Сонячна панель SunPower X21-460-COM</v>
      </c>
      <c r="C48" s="315" t="str">
        <f>IFERROR(__xludf.DUMMYFUNCTION("""COMPUTED_VALUE"""),"Інвертор гібридний Fronius Primo GEN24 5.0 Plus")</f>
        <v>Інвертор гібридний Fronius Primo GEN24 5.0 Plus</v>
      </c>
      <c r="D48" s="315"/>
      <c r="E48" s="315"/>
      <c r="F48" s="315"/>
      <c r="G48" s="315"/>
      <c r="H48" s="315"/>
      <c r="I48" s="315"/>
      <c r="J48" s="315" t="str">
        <f>IFERROR(__xludf.DUMMYFUNCTION("""COMPUTED_VALUE"""),"Профіль цинк L3100 (35х21х1.5, бічна перфорація)")</f>
        <v>Профіль цинк L3100 (35х21х1.5, бічна перфорація)</v>
      </c>
      <c r="K48" s="315" t="str">
        <f>IFERROR(__xludf.DUMMYFUNCTION("""COMPUTED_VALUE"""),"SFT240 (перемикач навантаження, 3 пол., 40А, 230В, 2р, HAGER)")</f>
        <v>SFT240 (перемикач навантаження, 3 пол., 40А, 230В, 2р, HAGER)</v>
      </c>
      <c r="L48" s="315" t="str">
        <f>IFERROR(__xludf.DUMMYFUNCTION("""COMPUTED_VALUE"""),"Авт. вимикач NBS-TMD 250/3L 250A (36kA,(0.8-1)In/(5-10)In) 3P --- 1шт")</f>
        <v>Авт. вимикач NBS-TMD 250/3L 250A (36kA,(0.8-1)In/(5-10)In) 3P --- 1шт</v>
      </c>
      <c r="M48" s="315"/>
      <c r="N48" s="315"/>
      <c r="O48" s="315"/>
      <c r="P48" s="315"/>
      <c r="Q48" s="315"/>
      <c r="R48" s="315" t="str">
        <f>IFERROR(__xludf.DUMMYFUNCTION("""COMPUTED_VALUE"""),"ПВ3 16.0 (провід, мідний) --- 284м")</f>
        <v>ПВ3 16.0 (провід, мідний) --- 284м</v>
      </c>
      <c r="S48" s="315" t="str">
        <f>IFERROR(__xludf.DUMMYFUNCTION("""COMPUTED_VALUE"""),"e.terminal.stand.e10-12.yellow (наконечник втулковий, ізольований, 10,0 кв.мм, жовтий, E.NEXT) --- 1пак")</f>
        <v>e.terminal.stand.e10-12.yellow (наконечник втулковий, ізольований, 10,0 кв.мм, жовтий, E.NEXT) --- 1пак</v>
      </c>
      <c r="T48" s="315"/>
      <c r="U48" s="315" t="s">
        <v>378</v>
      </c>
      <c r="V48" s="317"/>
    </row>
    <row r="49" ht="15.75" customHeight="1">
      <c r="A49" s="333"/>
      <c r="B49" s="315" t="str">
        <f>IFERROR(__xludf.DUMMYFUNCTION("""COMPUTED_VALUE"""),"Сонячна панель SunPower X21-470-COM")</f>
        <v>Сонячна панель SunPower X21-470-COM</v>
      </c>
      <c r="C49" s="315" t="str">
        <f>IFERROR(__xludf.DUMMYFUNCTION("""COMPUTED_VALUE"""),"Інвертор гібридний Fronius Primo GEN24 6.0 Plus")</f>
        <v>Інвертор гібридний Fronius Primo GEN24 6.0 Plus</v>
      </c>
      <c r="D49" s="315"/>
      <c r="E49" s="315"/>
      <c r="F49" s="315"/>
      <c r="G49" s="315"/>
      <c r="H49" s="315"/>
      <c r="I49" s="315"/>
      <c r="J49" s="315" t="str">
        <f>IFERROR(__xludf.DUMMYFUNCTION("""COMPUTED_VALUE"""),"Профіль цинк L3100 (41х21х1.5, 1d перфорація) --- 10шт")</f>
        <v>Профіль цинк L3100 (41х21х1.5, 1d перфорація) --- 10шт</v>
      </c>
      <c r="K49" s="315" t="str">
        <f>IFERROR(__xludf.DUMMYFUNCTION("""COMPUTED_VALUE"""),"SFT440 (перемикач навантаження, 3 пол., 40А, 230В, 4р, HAGER)")</f>
        <v>SFT440 (перемикач навантаження, 3 пол., 40А, 230В, 4р, HAGER)</v>
      </c>
      <c r="L49" s="315" t="str">
        <f>IFERROR(__xludf.DUMMYFUNCTION("""COMPUTED_VALUE"""),"ОПС1-D 1р (обмежувач перенапруг, D, УЕК) --- 1шт")</f>
        <v>ОПС1-D 1р (обмежувач перенапруг, D, УЕК) --- 1шт</v>
      </c>
      <c r="M49" s="315"/>
      <c r="N49" s="315"/>
      <c r="O49" s="315"/>
      <c r="P49" s="315"/>
      <c r="Q49" s="315"/>
      <c r="R49" s="315" t="str">
        <f>IFERROR(__xludf.DUMMYFUNCTION("""COMPUTED_VALUE"""),"ПВ3 2.5 (провід, мідний) --- 280м")</f>
        <v>ПВ3 2.5 (провід, мідний) --- 280м</v>
      </c>
      <c r="S49" s="315" t="str">
        <f>IFERROR(__xludf.DUMMYFUNCTION("""COMPUTED_VALUE"""),"e.terminal.stand.e1008.green (наконечник втулковий, ізольований 1,0 кв.мм, зелений, E.NEXT) --- 1пак")</f>
        <v>e.terminal.stand.e1008.green (наконечник втулковий, ізольований 1,0 кв.мм, зелений, E.NEXT) --- 1пак</v>
      </c>
      <c r="T49" s="315"/>
      <c r="U49" s="315" t="s">
        <v>379</v>
      </c>
      <c r="V49" s="317"/>
    </row>
    <row r="50" ht="15.75" customHeight="1">
      <c r="A50" s="333"/>
      <c r="B50" s="315" t="str">
        <f>IFERROR(__xludf.DUMMYFUNCTION("""COMPUTED_VALUE"""),"Сонячна панель SunPower Performance 405 W BLK")</f>
        <v>Сонячна панель SunPower Performance 405 W BLK</v>
      </c>
      <c r="C50" s="315" t="str">
        <f>IFERROR(__xludf.DUMMYFUNCTION("""COMPUTED_VALUE"""),"Інвертор гібридний Fronius Symo GEN24 10.0 Plus")</f>
        <v>Інвертор гібридний Fronius Symo GEN24 10.0 Plus</v>
      </c>
      <c r="D50" s="315"/>
      <c r="E50" s="315"/>
      <c r="F50" s="315"/>
      <c r="G50" s="315"/>
      <c r="H50" s="315"/>
      <c r="I50" s="315"/>
      <c r="J50" s="315" t="str">
        <f>IFERROR(__xludf.DUMMYFUNCTION("""COMPUTED_VALUE"""),"Профіль цинк L3100 (41х41х1.5, бічна перфорація) --- 35шт")</f>
        <v>Профіль цинк L3100 (41х41х1.5, бічна перфорація) --- 35шт</v>
      </c>
      <c r="K50" s="315" t="str">
        <f>IFERROR(__xludf.DUMMYFUNCTION("""COMPUTED_VALUE"""),"SSQ240 (перемикач навантаження, 3 пол., 2p, 40A, ETI) --- 37шт")</f>
        <v>SSQ240 (перемикач навантаження, 3 пол., 2p, 40A, ETI) --- 37шт</v>
      </c>
      <c r="L50" s="315"/>
      <c r="M50" s="315"/>
      <c r="N50" s="315"/>
      <c r="O50" s="315"/>
      <c r="P50" s="315"/>
      <c r="Q50" s="315"/>
      <c r="R50" s="315" t="str">
        <f>IFERROR(__xludf.DUMMYFUNCTION("""COMPUTED_VALUE"""),"ПВ3 25.0 (провід, мідний) --- 295м")</f>
        <v>ПВ3 25.0 (провід, мідний) --- 295м</v>
      </c>
      <c r="S50" s="315" t="str">
        <f>IFERROR(__xludf.DUMMYFUNCTION("""COMPUTED_VALUE"""),"e.terminal.stand.e1008.red (наконечник втулковий, ізольований, 1,0 кв.мм, червоний, E.NEXT) --- 8пак")</f>
        <v>e.terminal.stand.e1008.red (наконечник втулковий, ізольований, 1,0 кв.мм, червоний, E.NEXT) --- 8пак</v>
      </c>
      <c r="T50" s="315"/>
      <c r="U50" s="315" t="s">
        <v>380</v>
      </c>
      <c r="V50" s="317"/>
    </row>
    <row r="51" ht="15.75" customHeight="1">
      <c r="A51" s="333"/>
      <c r="B51" s="315" t="str">
        <f>IFERROR(__xludf.DUMMYFUNCTION("""COMPUTED_VALUE"""),"Cонячна панель Longi LR5-54HIH-410M (black)")</f>
        <v>Cонячна панель Longi LR5-54HIH-410M (black)</v>
      </c>
      <c r="C51" s="315" t="str">
        <f>IFERROR(__xludf.DUMMYFUNCTION("""COMPUTED_VALUE"""),"Інвертор гібридний Fronius Symo GEN24 6.0 Plus")</f>
        <v>Інвертор гібридний Fronius Symo GEN24 6.0 Plus</v>
      </c>
      <c r="D51" s="315"/>
      <c r="E51" s="315"/>
      <c r="F51" s="315"/>
      <c r="G51" s="315"/>
      <c r="H51" s="315"/>
      <c r="I51" s="315"/>
      <c r="J51" s="315" t="str">
        <f>IFERROR(__xludf.DUMMYFUNCTION("""COMPUTED_VALUE"""),"Турбогвинт 7,5х6x50 по бетону")</f>
        <v>Турбогвинт 7,5х6x50 по бетону</v>
      </c>
      <c r="K51" s="315" t="str">
        <f>IFERROR(__xludf.DUMMYFUNCTION("""COMPUTED_VALUE"""),"SSQ425 (перемикач навантаження, 3 пол., 4р, 25А, ETI) --- 1шт")</f>
        <v>SSQ425 (перемикач навантаження, 3 пол., 4р, 25А, ETI) --- 1шт</v>
      </c>
      <c r="L51" s="315"/>
      <c r="M51" s="315"/>
      <c r="N51" s="315"/>
      <c r="O51" s="315"/>
      <c r="P51" s="315"/>
      <c r="Q51" s="315"/>
      <c r="R51" s="315" t="str">
        <f>IFERROR(__xludf.DUMMYFUNCTION("""COMPUTED_VALUE"""),"ПВ3 35.0 (провід, мідний) --- 168м")</f>
        <v>ПВ3 35.0 (провід, мідний) --- 168м</v>
      </c>
      <c r="S51" s="315" t="str">
        <f>IFERROR(__xludf.DUMMYFUNCTION("""COMPUTED_VALUE"""),"e.terminal.stand.e16-12.green (наконечник втулковий, ізольований, 16,0 кв.мм, зелений, E.NEXT) --- 3пак")</f>
        <v>e.terminal.stand.e16-12.green (наконечник втулковий, ізольований, 16,0 кв.мм, зелений, E.NEXT) --- 3пак</v>
      </c>
      <c r="T51" s="315"/>
      <c r="U51" s="315" t="s">
        <v>381</v>
      </c>
      <c r="V51" s="317"/>
    </row>
    <row r="52" ht="15.75" customHeight="1">
      <c r="A52" s="333"/>
      <c r="B52" s="315" t="str">
        <f>IFERROR(__xludf.DUMMYFUNCTION("""COMPUTED_VALUE"""),"Сонячна батарея Abi Solar AB375-60MHC, 375Wp, Mono")</f>
        <v>Сонячна батарея Abi Solar AB375-60MHC, 375Wp, Mono</v>
      </c>
      <c r="C52" s="315" t="str">
        <f>IFERROR(__xludf.DUMMYFUNCTION("""COMPUTED_VALUE"""),"Інвертор гібридний Fronius Symo GEN24 8.0 Plus")</f>
        <v>Інвертор гібридний Fronius Symo GEN24 8.0 Plus</v>
      </c>
      <c r="D52" s="315"/>
      <c r="E52" s="315"/>
      <c r="F52" s="315"/>
      <c r="G52" s="315"/>
      <c r="H52" s="315"/>
      <c r="I52" s="315"/>
      <c r="J52" s="315" t="str">
        <f>IFERROR(__xludf.DUMMYFUNCTION("""COMPUTED_VALUE"""),"Хімічний анкер PROFIX 300 мл Metalvis --- 6шт")</f>
        <v>Хімічний анкер PROFIX 300 мл Metalvis --- 6шт</v>
      </c>
      <c r="K52" s="315" t="str">
        <f>IFERROR(__xludf.DUMMYFUNCTION("""COMPUTED_VALUE"""),"SSQ440 (перемикач навантаження, 3 пол., 4р, 40А, ETI) --- 43шт")</f>
        <v>SSQ440 (перемикач навантаження, 3 пол., 4р, 40А, ETI) --- 43шт</v>
      </c>
      <c r="L52" s="315"/>
      <c r="M52" s="315"/>
      <c r="N52" s="315"/>
      <c r="O52" s="315"/>
      <c r="P52" s="315"/>
      <c r="Q52" s="315"/>
      <c r="R52" s="315" t="str">
        <f>IFERROR(__xludf.DUMMYFUNCTION("""COMPUTED_VALUE"""),"ПВ3 50.0 (провід, мідний) --- 34м")</f>
        <v>ПВ3 50.0 (провід, мідний) --- 34м</v>
      </c>
      <c r="S52" s="315" t="str">
        <f>IFERROR(__xludf.DUMMYFUNCTION("""COMPUTED_VALUE"""),"e.terminal.stand.e2508.blue (наконечник втулковий, ізольований, 2,5 кв.мм, синій, E.NEXT) --- 1пак")</f>
        <v>e.terminal.stand.e2508.blue (наконечник втулковий, ізольований, 2,5 кв.мм, синій, E.NEXT) --- 1пак</v>
      </c>
      <c r="T52" s="315"/>
      <c r="U52" s="315" t="s">
        <v>382</v>
      </c>
      <c r="V52" s="317"/>
    </row>
    <row r="53" ht="15.75" customHeight="1">
      <c r="A53" s="333"/>
      <c r="B53" s="315" t="str">
        <f>IFERROR(__xludf.DUMMYFUNCTION("""COMPUTED_VALUE"""),"Сонячна батарея AE SOLAR AE435CMD-108DBS 30mm")</f>
        <v>Сонячна батарея AE SOLAR AE435CMD-108DBS 30mm</v>
      </c>
      <c r="C53" s="315" t="str">
        <f>IFERROR(__xludf.DUMMYFUNCTION("""COMPUTED_VALUE"""),"Інвертор гібридний Solis RHI-3P10K-HVES-5G")</f>
        <v>Інвертор гібридний Solis RHI-3P10K-HVES-5G</v>
      </c>
      <c r="D53" s="315"/>
      <c r="E53" s="315"/>
      <c r="F53" s="315"/>
      <c r="G53" s="315"/>
      <c r="H53" s="315"/>
      <c r="I53" s="315"/>
      <c r="J53" s="315"/>
      <c r="K53" s="315" t="str">
        <f>IFERROR(__xludf.DUMMYFUNCTION("""COMPUTED_VALUE"""),"SSQ463 (перемикач навантаження, 3 пол., 4р, 63А, ETI)")</f>
        <v>SSQ463 (перемикач навантаження, 3 пол., 4р, 63А, ETI)</v>
      </c>
      <c r="L53" s="315"/>
      <c r="M53" s="315"/>
      <c r="N53" s="315"/>
      <c r="O53" s="315"/>
      <c r="P53" s="315"/>
      <c r="Q53" s="315"/>
      <c r="R53" s="315" t="str">
        <f>IFERROR(__xludf.DUMMYFUNCTION("""COMPUTED_VALUE"""),"ПВ3 6.0 (провід, мідний) --- 1412м")</f>
        <v>ПВ3 6.0 (провід, мідний) --- 1412м</v>
      </c>
      <c r="S53" s="315" t="str">
        <f>IFERROR(__xludf.DUMMYFUNCTION("""COMPUTED_VALUE"""),"e.terminal.stand.e2508.green (наконечник втулковий, ізольований, 2,5 кв.мм, зелений, E.NEXT) --- 3пак")</f>
        <v>e.terminal.stand.e2508.green (наконечник втулковий, ізольований, 2,5 кв.мм, зелений, E.NEXT) --- 3пак</v>
      </c>
      <c r="T53" s="315"/>
      <c r="U53" s="315" t="s">
        <v>383</v>
      </c>
      <c r="V53" s="317"/>
    </row>
    <row r="54" ht="15.75" customHeight="1">
      <c r="A54" s="333"/>
      <c r="B54" s="315" t="str">
        <f>IFERROR(__xludf.DUMMYFUNCTION("""COMPUTED_VALUE"""),"Сонячна батарея DAH SOLAR 590W DHN-72X16/DG N type double glass 2278*1134*30mm 1.25/1.25m cable")</f>
        <v>Сонячна батарея DAH SOLAR 590W DHN-72X16/DG N type double glass 2278*1134*30mm 1.25/1.25m cable</v>
      </c>
      <c r="C54" s="315" t="str">
        <f>IFERROR(__xludf.DUMMYFUNCTION("""COMPUTED_VALUE"""),"Інвертор Fronius ECO 25.0-3-S")</f>
        <v>Інвертор Fronius ECO 25.0-3-S</v>
      </c>
      <c r="D54" s="315"/>
      <c r="E54" s="315"/>
      <c r="F54" s="315"/>
      <c r="G54" s="315"/>
      <c r="H54" s="315"/>
      <c r="I54" s="315"/>
      <c r="J54" s="315"/>
      <c r="K54" s="315" t="str">
        <f>IFERROR(__xludf.DUMMYFUNCTION("""COMPUTED_VALUE"""),"ВРТ-63 4р (перемикач навантаження, 3 пол., 4р, 25А, ІЕК)")</f>
        <v>ВРТ-63 4р (перемикач навантаження, 3 пол., 4р, 25А, ІЕК)</v>
      </c>
      <c r="L54" s="315"/>
      <c r="M54" s="315"/>
      <c r="N54" s="315"/>
      <c r="O54" s="315"/>
      <c r="P54" s="315"/>
      <c r="Q54" s="315"/>
      <c r="R54" s="315" t="str">
        <f>IFERROR(__xludf.DUMMYFUNCTION("""COMPUTED_VALUE"""),"ПВ3 70.0 (провід, мідний) --- 29м")</f>
        <v>ПВ3 70.0 (провід, мідний) --- 29м</v>
      </c>
      <c r="S54" s="315" t="str">
        <f>IFERROR(__xludf.DUMMYFUNCTION("""COMPUTED_VALUE"""),"e.terminal.stand.e6012.blue (наконечник втулковий, ізольований 6,0 кв.мм, синій, E.NEXT)")</f>
        <v>e.terminal.stand.e6012.blue (наконечник втулковий, ізольований 6,0 кв.мм, синій, E.NEXT)</v>
      </c>
      <c r="T54" s="315"/>
      <c r="U54" s="315" t="s">
        <v>384</v>
      </c>
      <c r="V54" s="317"/>
    </row>
    <row r="55" ht="15.75" customHeight="1">
      <c r="A55" s="333"/>
      <c r="B55" s="315" t="str">
        <f>IFERROR(__xludf.DUMMYFUNCTION("""COMPUTED_VALUE"""),"Сонячна батарея DAH SOLAR 620W DHN-66Z20/DG N type double glass 2382*1134*30mm 1.35/1.35m cable")</f>
        <v>Сонячна батарея DAH SOLAR 620W DHN-66Z20/DG N type double glass 2382*1134*30mm 1.35/1.35m cable</v>
      </c>
      <c r="C55" s="315" t="str">
        <f>IFERROR(__xludf.DUMMYFUNCTION("""COMPUTED_VALUE"""),"Інвертор Fronius ECO 25.0-3-S Light")</f>
        <v>Інвертор Fronius ECO 25.0-3-S Light</v>
      </c>
      <c r="D55" s="315"/>
      <c r="E55" s="315"/>
      <c r="F55" s="315"/>
      <c r="G55" s="315"/>
      <c r="H55" s="315"/>
      <c r="I55" s="315"/>
      <c r="J55" s="315"/>
      <c r="K55" s="315" t="str">
        <f>IFERROR(__xludf.DUMMYFUNCTION("""COMPUTED_VALUE"""),"Запобіжник gPV для СЕС 20А/1000В")</f>
        <v>Запобіжник gPV для СЕС 20А/1000В</v>
      </c>
      <c r="L55" s="315"/>
      <c r="M55" s="315"/>
      <c r="N55" s="315"/>
      <c r="O55" s="315"/>
      <c r="P55" s="315"/>
      <c r="Q55" s="315"/>
      <c r="R55" s="315" t="str">
        <f>IFERROR(__xludf.DUMMYFUNCTION("""COMPUTED_VALUE"""),"ПВ3 95.0 (провід, мідний)")</f>
        <v>ПВ3 95.0 (провід, мідний)</v>
      </c>
      <c r="S55" s="315" t="str">
        <f>IFERROR(__xludf.DUMMYFUNCTION("""COMPUTED_VALUE"""),"e.terminal.stand.e6012.red (накінечник втулковий, ізольований, 6.0 кв.мм, червоний, E.NEXT)")</f>
        <v>e.terminal.stand.e6012.red (накінечник втулковий, ізольований, 6.0 кв.мм, червоний, E.NEXT)</v>
      </c>
      <c r="T55" s="315"/>
      <c r="U55" s="315" t="s">
        <v>385</v>
      </c>
      <c r="V55" s="317"/>
    </row>
    <row r="56" ht="15.75" customHeight="1">
      <c r="A56" s="333"/>
      <c r="B56" s="315" t="str">
        <f>IFERROR(__xludf.DUMMYFUNCTION("""COMPUTED_VALUE"""),"Сонячна батарея MAXEON 3, 400 W COM")</f>
        <v>Сонячна батарея MAXEON 3, 400 W COM</v>
      </c>
      <c r="C56" s="315" t="str">
        <f>IFERROR(__xludf.DUMMYFUNCTION("""COMPUTED_VALUE"""),"Інвертор Fronius ECO 27.0-3-S")</f>
        <v>Інвертор Fronius ECO 27.0-3-S</v>
      </c>
      <c r="D56" s="315"/>
      <c r="E56" s="315"/>
      <c r="F56" s="315"/>
      <c r="G56" s="315"/>
      <c r="H56" s="315"/>
      <c r="I56" s="315"/>
      <c r="J56" s="315"/>
      <c r="K56" s="315" t="str">
        <f>IFERROR(__xludf.DUMMYFUNCTION("""COMPUTED_VALUE"""),"Місток з'єднувальний LBS-BR400 1P CO для LBS 400 CO 3P/4P, ETI")</f>
        <v>Місток з'єднувальний LBS-BR400 1P CO для LBS 400 CO 3P/4P, ETI</v>
      </c>
      <c r="L56" s="315"/>
      <c r="M56" s="315"/>
      <c r="N56" s="315"/>
      <c r="O56" s="315"/>
      <c r="P56" s="315"/>
      <c r="Q56" s="315"/>
      <c r="R56" s="315" t="str">
        <f>IFERROR(__xludf.DUMMYFUNCTION("""COMPUTED_VALUE"""),"ПВ3нгд 0.75 (провід, мідний)")</f>
        <v>ПВ3нгд 0.75 (провід, мідний)</v>
      </c>
      <c r="S56" s="315" t="str">
        <f>IFERROR(__xludf.DUMMYFUNCTION("""COMPUTED_VALUE"""),"e.terminal.stand.te.2.1.red (накінечник втулковий, ізольований, подвоєний, 2x1,0 мм², червоний)")</f>
        <v>e.terminal.stand.te.2.1.red (накінечник втулковий, ізольований, подвоєний, 2x1,0 мм², червоний)</v>
      </c>
      <c r="T56" s="315"/>
      <c r="U56" s="315" t="s">
        <v>386</v>
      </c>
      <c r="V56" s="317"/>
    </row>
    <row r="57" ht="15.75" customHeight="1">
      <c r="A57" s="333"/>
      <c r="B57" s="315" t="str">
        <f>IFERROR(__xludf.DUMMYFUNCTION("""COMPUTED_VALUE"""),"Сонячна батарея Risen RSM156-6-440M")</f>
        <v>Сонячна батарея Risen RSM156-6-440M</v>
      </c>
      <c r="C57" s="315" t="str">
        <f>IFERROR(__xludf.DUMMYFUNCTION("""COMPUTED_VALUE"""),"Інвертор Fronius ECO 27.0-3-S Light")</f>
        <v>Інвертор Fronius ECO 27.0-3-S Light</v>
      </c>
      <c r="D57" s="315"/>
      <c r="E57" s="315"/>
      <c r="F57" s="315"/>
      <c r="G57" s="315"/>
      <c r="H57" s="315"/>
      <c r="I57" s="315"/>
      <c r="J57" s="315"/>
      <c r="K57" s="315" t="str">
        <f>IFERROR(__xludf.DUMMYFUNCTION("""COMPUTED_VALUE"""),"BUD-40/2 (обмежувач перенапруг, 600VDC, 2p, 40kA, BENY) --- 128шт")</f>
        <v>BUD-40/2 (обмежувач перенапруг, 600VDC, 2p, 40kA, BENY) --- 128шт</v>
      </c>
      <c r="L57" s="315"/>
      <c r="M57" s="315"/>
      <c r="N57" s="315"/>
      <c r="O57" s="315"/>
      <c r="P57" s="315"/>
      <c r="Q57" s="315"/>
      <c r="R57" s="315" t="str">
        <f>IFERROR(__xludf.DUMMYFUNCTION("""COMPUTED_VALUE"""),"ПВ3нгд 16.0 (провід, мідний) --- 80м")</f>
        <v>ПВ3нгд 16.0 (провід, мідний) --- 80м</v>
      </c>
      <c r="S57" s="315" t="str">
        <f>IFERROR(__xludf.DUMMYFUNCTION("""COMPUTED_VALUE"""),"e.terminal.stand.te.2.1.white (накінечник втулковий, ізольований, подвоєний, 2x1 мм², білий, E.NEXT) --- 1пак")</f>
        <v>e.terminal.stand.te.2.1.white (накінечник втулковий, ізольований, подвоєний, 2x1 мм², білий, E.NEXT) --- 1пак</v>
      </c>
      <c r="T57" s="315"/>
      <c r="U57" s="315" t="s">
        <v>387</v>
      </c>
      <c r="V57" s="317"/>
    </row>
    <row r="58" ht="15.75" customHeight="1">
      <c r="A58" s="333"/>
      <c r="B58" s="315" t="str">
        <f>IFERROR(__xludf.DUMMYFUNCTION("""COMPUTED_VALUE"""),"Сонячна батарея Trina Solar TSM-450DE17M(II) ")</f>
        <v>Сонячна батарея Trina Solar TSM-450DE17M(II) </v>
      </c>
      <c r="C58" s="315" t="str">
        <f>IFERROR(__xludf.DUMMYFUNCTION("""COMPUTED_VALUE"""),"Інвертор Fronius Symo 10.0-3-M")</f>
        <v>Інвертор Fronius Symo 10.0-3-M</v>
      </c>
      <c r="D58" s="315"/>
      <c r="E58" s="315"/>
      <c r="F58" s="315"/>
      <c r="G58" s="315"/>
      <c r="H58" s="315"/>
      <c r="I58" s="315"/>
      <c r="J58" s="315"/>
      <c r="K58" s="315" t="str">
        <f>IFERROR(__xludf.DUMMYFUNCTION("""COMPUTED_VALUE"""),"BUD-40/3 (обмежувач перенапруг, 3р, 1000VDC, 40kA, SPD, BENY) --- 45шт")</f>
        <v>BUD-40/3 (обмежувач перенапруг, 3р, 1000VDC, 40kA, SPD, BENY) --- 45шт</v>
      </c>
      <c r="L58" s="315"/>
      <c r="M58" s="315"/>
      <c r="N58" s="315"/>
      <c r="O58" s="315"/>
      <c r="P58" s="315"/>
      <c r="Q58" s="315"/>
      <c r="R58" s="315" t="str">
        <f>IFERROR(__xludf.DUMMYFUNCTION("""COMPUTED_VALUE"""),"ПВ3нгд 25.0 (провід, мідний) --- 143м")</f>
        <v>ПВ3нгд 25.0 (провід, мідний) --- 143м</v>
      </c>
      <c r="S58" s="315" t="str">
        <f>IFERROR(__xludf.DUMMYFUNCTION("""COMPUTED_VALUE"""),"e.terminal.stand.te.2.10.brown (накінечник втулковий, ізольований, подвоєний, 2x10 мм², коричневий)")</f>
        <v>e.terminal.stand.te.2.10.brown (накінечник втулковий, ізольований, подвоєний, 2x10 мм², коричневий)</v>
      </c>
      <c r="T58" s="315"/>
      <c r="U58" s="315" t="s">
        <v>388</v>
      </c>
      <c r="V58" s="317"/>
    </row>
    <row r="59" ht="15.75" customHeight="1">
      <c r="A59" s="333"/>
      <c r="B59" s="315" t="str">
        <f>IFERROR(__xludf.DUMMYFUNCTION("""COMPUTED_VALUE"""),"Сонячна батарея Trina Solar TSM-DE09.08  395W")</f>
        <v>Сонячна батарея Trina Solar TSM-DE09.08  395W</v>
      </c>
      <c r="C59" s="315" t="str">
        <f>IFERROR(__xludf.DUMMYFUNCTION("""COMPUTED_VALUE"""),"Інвертор Fronius Symo 10.0-3-M Light")</f>
        <v>Інвертор Fronius Symo 10.0-3-M Light</v>
      </c>
      <c r="D59" s="315"/>
      <c r="E59" s="315"/>
      <c r="F59" s="315"/>
      <c r="G59" s="315"/>
      <c r="H59" s="315"/>
      <c r="I59" s="315"/>
      <c r="J59" s="315"/>
      <c r="K59" s="315" t="str">
        <f>IFERROR(__xludf.DUMMYFUNCTION("""COMPUTED_VALUE"""),"ОПС1-B 1р (обмежувач перенапруг, B, ІЕК) --- 15шт")</f>
        <v>ОПС1-B 1р (обмежувач перенапруг, B, ІЕК) --- 15шт</v>
      </c>
      <c r="L59" s="315"/>
      <c r="M59" s="315"/>
      <c r="N59" s="315"/>
      <c r="O59" s="315"/>
      <c r="P59" s="315"/>
      <c r="Q59" s="315"/>
      <c r="R59" s="315" t="str">
        <f>IFERROR(__xludf.DUMMYFUNCTION("""COMPUTED_VALUE"""),"ПВ3нгд 35.0 (провід, мідний) --- 72м")</f>
        <v>ПВ3нгд 35.0 (провід, мідний) --- 72м</v>
      </c>
      <c r="S59" s="315" t="str">
        <f>IFERROR(__xludf.DUMMYFUNCTION("""COMPUTED_VALUE"""),"e.terminal.stand.te.2.16.grey (накінечник втулковий, ізольований, подвоєний, 2x16 мм², сірий) --- 1пак")</f>
        <v>e.terminal.stand.te.2.16.grey (накінечник втулковий, ізольований, подвоєний, 2x16 мм², сірий) --- 1пак</v>
      </c>
      <c r="T59" s="315"/>
      <c r="U59" s="315" t="s">
        <v>389</v>
      </c>
      <c r="V59" s="317"/>
    </row>
    <row r="60" ht="15.75" customHeight="1">
      <c r="A60" s="333"/>
      <c r="B60" s="315" t="str">
        <f>IFERROR(__xludf.DUMMYFUNCTION("""COMPUTED_VALUE"""),"Сонячна батарея Trina Solar TSM-DE09.08  400W")</f>
        <v>Сонячна батарея Trina Solar TSM-DE09.08  400W</v>
      </c>
      <c r="C60" s="315" t="str">
        <f>IFERROR(__xludf.DUMMYFUNCTION("""COMPUTED_VALUE"""),"Інвертор Fronius Symo 12.5-3-M")</f>
        <v>Інвертор Fronius Symo 12.5-3-M</v>
      </c>
      <c r="D60" s="315"/>
      <c r="E60" s="315"/>
      <c r="F60" s="315"/>
      <c r="G60" s="315"/>
      <c r="H60" s="315"/>
      <c r="I60" s="315"/>
      <c r="J60" s="315"/>
      <c r="K60" s="315" t="str">
        <f>IFERROR(__xludf.DUMMYFUNCTION("""COMPUTED_VALUE"""),"ОПС1-C 1р (обмежувач перенапруг, C, ІЕК)")</f>
        <v>ОПС1-C 1р (обмежувач перенапруг, C, ІЕК)</v>
      </c>
      <c r="L60" s="315"/>
      <c r="M60" s="315"/>
      <c r="N60" s="315"/>
      <c r="O60" s="315"/>
      <c r="P60" s="315"/>
      <c r="Q60" s="315"/>
      <c r="R60" s="315" t="str">
        <f>IFERROR(__xludf.DUMMYFUNCTION("""COMPUTED_VALUE"""),"ПВ3нгд 6.0 (провід, мідний)")</f>
        <v>ПВ3нгд 6.0 (провід, мідний)</v>
      </c>
      <c r="S60" s="315" t="str">
        <f>IFERROR(__xludf.DUMMYFUNCTION("""COMPUTED_VALUE"""),"e.terminal.stand.te.2.2.5.grey (накінечник втулковий, ізольований, подвоєний, 2x2,5 мм², сірий) --- 2пак")</f>
        <v>e.terminal.stand.te.2.2.5.grey (накінечник втулковий, ізольований, подвоєний, 2x2,5 мм², сірий) --- 2пак</v>
      </c>
      <c r="T60" s="315"/>
      <c r="U60" s="315" t="s">
        <v>390</v>
      </c>
      <c r="V60" s="317"/>
    </row>
    <row r="61" ht="15.75" customHeight="1">
      <c r="A61" s="333"/>
      <c r="B61" s="315" t="str">
        <f>IFERROR(__xludf.DUMMYFUNCTION("""COMPUTED_VALUE"""),"Сонячна батарея Trina Vertex TSM-DE19 545W")</f>
        <v>Сонячна батарея Trina Vertex TSM-DE19 545W</v>
      </c>
      <c r="C61" s="315" t="str">
        <f>IFERROR(__xludf.DUMMYFUNCTION("""COMPUTED_VALUE"""),"Інвертор Fronius Symo 15.0-3-M Light")</f>
        <v>Інвертор Fronius Symo 15.0-3-M Light</v>
      </c>
      <c r="D61" s="315"/>
      <c r="E61" s="315"/>
      <c r="F61" s="315"/>
      <c r="G61" s="315"/>
      <c r="H61" s="315"/>
      <c r="I61" s="315"/>
      <c r="J61" s="315"/>
      <c r="K61" s="315" t="str">
        <f>IFERROR(__xludf.DUMMYFUNCTION("""COMPUTED_VALUE"""),"QS5-63P/4 Роз'єднувач  (1-0-2) на 63А, АСКО-УКРЕМ --- 3шт")</f>
        <v>QS5-63P/4 Роз'єднувач  (1-0-2) на 63А, АСКО-УКРЕМ --- 3шт</v>
      </c>
      <c r="L61" s="315"/>
      <c r="M61" s="315"/>
      <c r="N61" s="315"/>
      <c r="O61" s="315"/>
      <c r="P61" s="315"/>
      <c r="Q61" s="315"/>
      <c r="R61" s="315" t="str">
        <f>IFERROR(__xludf.DUMMYFUNCTION("""COMPUTED_VALUE"""),"ПВС 2х0.75 (кабель, мідний)")</f>
        <v>ПВС 2х0.75 (кабель, мідний)</v>
      </c>
      <c r="S61" s="315" t="str">
        <f>IFERROR(__xludf.DUMMYFUNCTION("""COMPUTED_VALUE"""),"e.terminal.stand.te.2.6.black (накінечник втулковий, ізольований, подвоєний, 2x6,0 мм², чорний)")</f>
        <v>e.terminal.stand.te.2.6.black (накінечник втулковий, ізольований, подвоєний, 2x6,0 мм², чорний)</v>
      </c>
      <c r="T61" s="315"/>
      <c r="U61" s="315" t="s">
        <v>391</v>
      </c>
      <c r="V61" s="317"/>
    </row>
    <row r="62" ht="15.75" customHeight="1">
      <c r="A62" s="333"/>
      <c r="B62" s="315" t="str">
        <f>IFERROR(__xludf.DUMMYFUNCTION("""COMPUTED_VALUE"""),"Сонячна панель Ja Solar JAM72S30-545/MR")</f>
        <v>Сонячна панель Ja Solar JAM72S30-545/MR</v>
      </c>
      <c r="C62" s="315" t="str">
        <f>IFERROR(__xludf.DUMMYFUNCTION("""COMPUTED_VALUE"""),"Інвертор Fronius Symo 17.5-3-M")</f>
        <v>Інвертор Fronius Symo 17.5-3-M</v>
      </c>
      <c r="D62" s="315"/>
      <c r="E62" s="315"/>
      <c r="F62" s="315"/>
      <c r="G62" s="315"/>
      <c r="H62" s="315"/>
      <c r="I62" s="315"/>
      <c r="J62" s="315"/>
      <c r="K62" s="315" t="str">
        <f>IFERROR(__xludf.DUMMYFUNCTION("""COMPUTED_VALUE"""),"e.is3.pro.4.40 4р,40А Вимикач на DIN-рейку на три положення --- 4шт")</f>
        <v>e.is3.pro.4.40 4р,40А Вимикач на DIN-рейку на три положення --- 4шт</v>
      </c>
      <c r="L62" s="315"/>
      <c r="M62" s="315"/>
      <c r="N62" s="315"/>
      <c r="O62" s="315"/>
      <c r="P62" s="315"/>
      <c r="Q62" s="315"/>
      <c r="R62" s="315" t="str">
        <f>IFERROR(__xludf.DUMMYFUNCTION("""COMPUTED_VALUE"""),"ПВС 2х6 (кабель, мідний) --- 263м")</f>
        <v>ПВС 2х6 (кабель, мідний) --- 263м</v>
      </c>
      <c r="S62" s="315" t="str">
        <f>IFERROR(__xludf.DUMMYFUNCTION("""COMPUTED_VALUE"""),"e.tube.stand.gty.25 (Гільза мідна луджена кабельна з'єднувальна e.tube.stand.gty.25) --- 47шт")</f>
        <v>e.tube.stand.gty.25 (Гільза мідна луджена кабельна з'єднувальна e.tube.stand.gty.25) --- 47шт</v>
      </c>
      <c r="T62" s="315"/>
      <c r="U62" s="315" t="s">
        <v>392</v>
      </c>
      <c r="V62" s="317"/>
    </row>
    <row r="63" ht="15.75" customHeight="1">
      <c r="A63" s="333"/>
      <c r="B63" s="315" t="str">
        <f>IFERROR(__xludf.DUMMYFUNCTION("""COMPUTED_VALUE"""),"Сонячна панель Longi LR5-54HTH-430M (black)")</f>
        <v>Сонячна панель Longi LR5-54HTH-430M (black)</v>
      </c>
      <c r="C63" s="315" t="str">
        <f>IFERROR(__xludf.DUMMYFUNCTION("""COMPUTED_VALUE"""),"Інвертор Fronius Symo 20.0-3-M Light")</f>
        <v>Інвертор Fronius Symo 20.0-3-M Light</v>
      </c>
      <c r="D63" s="315"/>
      <c r="E63" s="315"/>
      <c r="F63" s="315"/>
      <c r="G63" s="315"/>
      <c r="H63" s="315"/>
      <c r="I63" s="315"/>
      <c r="J63" s="315"/>
      <c r="K63" s="315" t="str">
        <f>IFERROR(__xludf.DUMMYFUNCTION("""COMPUTED_VALUE"""),"Пакетний перемикач в корпусі e.industrial.sb.1-0-2.4.40 4р 40А (1-0-2), E.NEXT")</f>
        <v>Пакетний перемикач в корпусі e.industrial.sb.1-0-2.4.40 4р 40А (1-0-2), E.NEXT</v>
      </c>
      <c r="L63" s="315"/>
      <c r="M63" s="315"/>
      <c r="N63" s="315"/>
      <c r="O63" s="315"/>
      <c r="P63" s="315"/>
      <c r="Q63" s="315"/>
      <c r="R63" s="315" t="str">
        <f>IFERROR(__xludf.DUMMYFUNCTION("""COMPUTED_VALUE"""),"ПВС 3х1.5 (кабель, мідний)")</f>
        <v>ПВС 3х1.5 (кабель, мідний)</v>
      </c>
      <c r="S63" s="315" t="str">
        <f>IFERROR(__xludf.DUMMYFUNCTION("""COMPUTED_VALUE"""),"EDBJ-1x35-1x35 (клема ввідна, силова, розподільчий блок, сіра, ETI) --- 273шт")</f>
        <v>EDBJ-1x35-1x35 (клема ввідна, силова, розподільчий блок, сіра, ETI) --- 273шт</v>
      </c>
      <c r="T63" s="315"/>
      <c r="U63" s="315" t="s">
        <v>393</v>
      </c>
      <c r="V63" s="317"/>
    </row>
    <row r="64" ht="15.75" customHeight="1">
      <c r="A64" s="333"/>
      <c r="B64" s="315" t="str">
        <f>IFERROR(__xludf.DUMMYFUNCTION("""COMPUTED_VALUE"""),"Сонячна панель Longi LR5-72HPH 550W (black)")</f>
        <v>Сонячна панель Longi LR5-72HPH 550W (black)</v>
      </c>
      <c r="C64" s="315" t="str">
        <f>IFERROR(__xludf.DUMMYFUNCTION("""COMPUTED_VALUE"""),"Інвертор Fronius Symo 5.0-3-M")</f>
        <v>Інвертор Fronius Symo 5.0-3-M</v>
      </c>
      <c r="D64" s="315"/>
      <c r="E64" s="315"/>
      <c r="F64" s="315"/>
      <c r="G64" s="315"/>
      <c r="H64" s="315"/>
      <c r="I64" s="315"/>
      <c r="J64" s="315"/>
      <c r="K64" s="315" t="str">
        <f>IFERROR(__xludf.DUMMYFUNCTION("""COMPUTED_VALUE"""),"BB1H-63-25A-2B (2р, 600VDC, автоматичний вимикач, постійний струм, BENY) --- 44шт")</f>
        <v>BB1H-63-25A-2B (2р, 600VDC, автоматичний вимикач, постійний струм, BENY) --- 44шт</v>
      </c>
      <c r="L64" s="315"/>
      <c r="M64" s="315"/>
      <c r="N64" s="315"/>
      <c r="O64" s="315"/>
      <c r="P64" s="315"/>
      <c r="Q64" s="315"/>
      <c r="R64" s="315" t="str">
        <f>IFERROR(__xludf.DUMMYFUNCTION("""COMPUTED_VALUE"""),"ПВС 3х10 (кабель, мідний)")</f>
        <v>ПВС 3х10 (кабель, мідний)</v>
      </c>
      <c r="S64" s="315" t="str">
        <f>IFERROR(__xludf.DUMMYFUNCTION("""COMPUTED_VALUE"""),"EDBJ-1x35-1x35/B (клема ввідна, силова, розподільчий блок, чорна, ETI)")</f>
        <v>EDBJ-1x35-1x35/B (клема ввідна, силова, розподільчий блок, чорна, ETI)</v>
      </c>
      <c r="T64" s="315"/>
      <c r="U64" s="315" t="s">
        <v>394</v>
      </c>
      <c r="V64" s="317"/>
    </row>
    <row r="65" ht="15.75" customHeight="1">
      <c r="A65" s="333"/>
      <c r="B65" s="315" t="str">
        <f>IFERROR(__xludf.DUMMYFUNCTION("""COMPUTED_VALUE"""),"Сонячна панель Longi LR5-72HTH 580W (black)")</f>
        <v>Сонячна панель Longi LR5-72HTH 580W (black)</v>
      </c>
      <c r="C65" s="315" t="str">
        <f>IFERROR(__xludf.DUMMYFUNCTION("""COMPUTED_VALUE"""),"Інвертор Fronius Symo 6.0-3-M")</f>
        <v>Інвертор Fronius Symo 6.0-3-M</v>
      </c>
      <c r="D65" s="315"/>
      <c r="E65" s="315"/>
      <c r="F65" s="315"/>
      <c r="G65" s="315"/>
      <c r="H65" s="315"/>
      <c r="I65" s="315"/>
      <c r="J65" s="315"/>
      <c r="K65" s="315" t="str">
        <f>IFERROR(__xludf.DUMMYFUNCTION("""COMPUTED_VALUE"""),"BB1H-63-32A-2B (2р, 600VDC, автоматичний вимикач, постійний струм, BENY)")</f>
        <v>BB1H-63-32A-2B (2р, 600VDC, автоматичний вимикач, постійний струм, BENY)</v>
      </c>
      <c r="L65" s="315"/>
      <c r="M65" s="315"/>
      <c r="N65" s="315"/>
      <c r="O65" s="315"/>
      <c r="P65" s="315"/>
      <c r="Q65" s="315"/>
      <c r="R65" s="315" t="str">
        <f>IFERROR(__xludf.DUMMYFUNCTION("""COMPUTED_VALUE"""),"ПВС 3х4 (кабель, мідний)")</f>
        <v>ПВС 3х4 (кабель, мідний)</v>
      </c>
      <c r="S65" s="315" t="str">
        <f>IFERROR(__xludf.DUMMYFUNCTION("""COMPUTED_VALUE"""),"EDBJ-1x35-1x35/N (клема ввідна, силова, розподільчий блок, синя, ETI) --- 161шт")</f>
        <v>EDBJ-1x35-1x35/N (клема ввідна, силова, розподільчий блок, синя, ETI) --- 161шт</v>
      </c>
      <c r="T65" s="315"/>
      <c r="U65" s="315" t="s">
        <v>395</v>
      </c>
      <c r="V65" s="317"/>
    </row>
    <row r="66" ht="15.75" customHeight="1">
      <c r="A66" s="333"/>
      <c r="B66" s="315" t="str">
        <f>IFERROR(__xludf.DUMMYFUNCTION("""COMPUTED_VALUE"""),"Сонячна панель Risen RSM108-9-430N")</f>
        <v>Сонячна панель Risen RSM108-9-430N</v>
      </c>
      <c r="C66" s="315" t="str">
        <f>IFERROR(__xludf.DUMMYFUNCTION("""COMPUTED_VALUE"""),"Інвертор Fronius Symo 7.0-3-M")</f>
        <v>Інвертор Fronius Symo 7.0-3-M</v>
      </c>
      <c r="D66" s="315"/>
      <c r="E66" s="315"/>
      <c r="F66" s="315"/>
      <c r="G66" s="315"/>
      <c r="H66" s="315"/>
      <c r="I66" s="315"/>
      <c r="J66" s="315"/>
      <c r="K66" s="315" t="str">
        <f>IFERROR(__xludf.DUMMYFUNCTION("""COMPUTED_VALUE"""),"BB1H-63-40A-2B (2р, 600VDC, автоматичний вимикач, постійний струм, BENY) --- 38шт")</f>
        <v>BB1H-63-40A-2B (2р, 600VDC, автоматичний вимикач, постійний струм, BENY) --- 38шт</v>
      </c>
      <c r="L66" s="315"/>
      <c r="M66" s="315"/>
      <c r="N66" s="315"/>
      <c r="O66" s="315"/>
      <c r="P66" s="315"/>
      <c r="Q66" s="315"/>
      <c r="R66" s="315" t="str">
        <f>IFERROR(__xludf.DUMMYFUNCTION("""COMPUTED_VALUE"""),"ПВС 3х6 (кабель, мідний) --- 300м")</f>
        <v>ПВС 3х6 (кабель, мідний) --- 300м</v>
      </c>
      <c r="S66" s="315" t="str">
        <f>IFERROR(__xludf.DUMMYFUNCTION("""COMPUTED_VALUE"""),"EDBJ-1x35-1x35/R (клема ввідна, силова, розподільчий блок, червона, ETI)")</f>
        <v>EDBJ-1x35-1x35/R (клема ввідна, силова, розподільчий блок, червона, ETI)</v>
      </c>
      <c r="T66" s="315"/>
      <c r="U66" s="315" t="s">
        <v>396</v>
      </c>
      <c r="V66" s="317"/>
    </row>
    <row r="67" ht="15.75" customHeight="1">
      <c r="A67" s="333"/>
      <c r="B67" s="315" t="str">
        <f>IFERROR(__xludf.DUMMYFUNCTION("""COMPUTED_VALUE"""),"Сонячна панель Risen RSM110-8-545M")</f>
        <v>Сонячна панель Risen RSM110-8-545M</v>
      </c>
      <c r="C67" s="315" t="str">
        <f>IFERROR(__xludf.DUMMYFUNCTION("""COMPUTED_VALUE"""),"Інвертор Fronius Symo 8.2-3-M")</f>
        <v>Інвертор Fronius Symo 8.2-3-M</v>
      </c>
      <c r="D67" s="315"/>
      <c r="E67" s="315"/>
      <c r="F67" s="315"/>
      <c r="G67" s="315"/>
      <c r="H67" s="315"/>
      <c r="I67" s="315"/>
      <c r="J67" s="315"/>
      <c r="K67" s="315" t="str">
        <f>IFERROR(__xludf.DUMMYFUNCTION("""COMPUTED_VALUE"""),"BYT.2a-32 (4P, 32A, 1200V, вимикач навантаження, DIN-рейка, BENY) --- 221шт")</f>
        <v>BYT.2a-32 (4P, 32A, 1200V, вимикач навантаження, DIN-рейка, BENY) --- 221шт</v>
      </c>
      <c r="L67" s="315"/>
      <c r="M67" s="315"/>
      <c r="N67" s="315"/>
      <c r="O67" s="315"/>
      <c r="P67" s="315"/>
      <c r="Q67" s="315"/>
      <c r="R67" s="315" t="str">
        <f>IFERROR(__xludf.DUMMYFUNCTION("""COMPUTED_VALUE"""),"ПВС 4х10 (кабель, мідний)")</f>
        <v>ПВС 4х10 (кабель, мідний)</v>
      </c>
      <c r="S67" s="315" t="str">
        <f>IFERROR(__xludf.DUMMYFUNCTION("""COMPUTED_VALUE"""),"EDBJ-1x35-1x35PE (клема ввідна, силова, розподільчий блок, зелена, ETI)")</f>
        <v>EDBJ-1x35-1x35PE (клема ввідна, силова, розподільчий блок, зелена, ETI)</v>
      </c>
      <c r="T67" s="315"/>
      <c r="U67" s="315" t="s">
        <v>397</v>
      </c>
      <c r="V67" s="317"/>
    </row>
    <row r="68" ht="15.75" customHeight="1">
      <c r="A68" s="333"/>
      <c r="B68" s="315" t="str">
        <f>IFERROR(__xludf.DUMMYFUNCTION("""COMPUTED_VALUE"""),"Сонячна панель Risen RSM40-8-410M (black)")</f>
        <v>Сонячна панель Risen RSM40-8-410M (black)</v>
      </c>
      <c r="C68" s="315" t="str">
        <f>IFERROR(__xludf.DUMMYFUNCTION("""COMPUTED_VALUE"""),"Інвертор мережевий Huawei SUN2000-10KTL-M0")</f>
        <v>Інвертор мережевий Huawei SUN2000-10KTL-M0</v>
      </c>
      <c r="D68" s="315"/>
      <c r="E68" s="315"/>
      <c r="F68" s="315"/>
      <c r="G68" s="315"/>
      <c r="H68" s="315"/>
      <c r="I68" s="315"/>
      <c r="J68" s="315"/>
      <c r="K68" s="315" t="str">
        <f>IFERROR(__xludf.DUMMYFUNCTION("""COMPUTED_VALUE"""),"LBS-DH CO 630/B (рукоятка, ручка, чорна, для LBS 160-630А CO, ETI)")</f>
        <v>LBS-DH CO 630/B (рукоятка, ручка, чорна, для LBS 160-630А CO, ETI)</v>
      </c>
      <c r="L68" s="315"/>
      <c r="M68" s="315"/>
      <c r="N68" s="315"/>
      <c r="O68" s="315"/>
      <c r="P68" s="315"/>
      <c r="Q68" s="315"/>
      <c r="R68" s="315" t="str">
        <f>IFERROR(__xludf.DUMMYFUNCTION("""COMPUTED_VALUE"""),"ПВС 5х4 (кабель, мідний)")</f>
        <v>ПВС 5х4 (кабель, мідний)</v>
      </c>
      <c r="S68" s="315" t="str">
        <f>IFERROR(__xludf.DUMMYFUNCTION("""COMPUTED_VALUE"""),"EDBJ-4x25-4x25 (блок розподільчий, сірий, ETI, клема) --- 2шт")</f>
        <v>EDBJ-4x25-4x25 (блок розподільчий, сірий, ETI, клема) --- 2шт</v>
      </c>
      <c r="T68" s="315"/>
      <c r="U68" s="315" t="s">
        <v>398</v>
      </c>
      <c r="V68" s="317"/>
    </row>
    <row r="69" ht="15.75" customHeight="1">
      <c r="A69" s="333"/>
      <c r="B69" s="315" t="str">
        <f>IFERROR(__xludf.DUMMYFUNCTION("""COMPUTED_VALUE"""),"Сонячна панель SunPower MAX6-450-COM")</f>
        <v>Сонячна панель SunPower MAX6-450-COM</v>
      </c>
      <c r="C69" s="315" t="str">
        <f>IFERROR(__xludf.DUMMYFUNCTION("""COMPUTED_VALUE"""),"Інвертор мережевий Huawei SUN2000-12KTL-M0")</f>
        <v>Інвертор мережевий Huawei SUN2000-12KTL-M0</v>
      </c>
      <c r="D69" s="315"/>
      <c r="E69" s="315"/>
      <c r="F69" s="315"/>
      <c r="G69" s="315"/>
      <c r="H69" s="315"/>
      <c r="I69" s="315"/>
      <c r="J69" s="315"/>
      <c r="K69" s="315" t="str">
        <f>IFERROR(__xludf.DUMMYFUNCTION("""COMPUTED_VALUE"""),"OSPV-30A Запобіжник gPV для СЕС 30A/1000В --- 54шт")</f>
        <v>OSPV-30A Запобіжник gPV для СЕС 30A/1000В --- 54шт</v>
      </c>
      <c r="L69" s="315"/>
      <c r="M69" s="315"/>
      <c r="N69" s="315"/>
      <c r="O69" s="315"/>
      <c r="P69" s="315"/>
      <c r="Q69" s="315"/>
      <c r="R69" s="315" t="str">
        <f>IFERROR(__xludf.DUMMYFUNCTION("""COMPUTED_VALUE"""),"ПВС 5х6 (провід, мідний) --- 321м")</f>
        <v>ПВС 5х6 (провід, мідний) --- 321м</v>
      </c>
      <c r="S69" s="315" t="str">
        <f>IFERROR(__xludf.DUMMYFUNCTION("""COMPUTED_VALUE"""),"EDBJ-4x25-4x25/B (блок розподільчий, чорний, ETI, клема)")</f>
        <v>EDBJ-4x25-4x25/B (блок розподільчий, чорний, ETI, клема)</v>
      </c>
      <c r="T69" s="315"/>
      <c r="U69" s="315" t="s">
        <v>399</v>
      </c>
      <c r="V69" s="317"/>
    </row>
    <row r="70" ht="15.75" customHeight="1">
      <c r="A70" s="333"/>
      <c r="B70" s="315" t="str">
        <f>IFERROR(__xludf.DUMMYFUNCTION("""COMPUTED_VALUE"""),"Сонячна панель SunPower P6 500 COM S
Bifacial")</f>
        <v>Сонячна панель SunPower P6 500 COM S
Bifacial</v>
      </c>
      <c r="C70" s="315" t="str">
        <f>IFERROR(__xludf.DUMMYFUNCTION("""COMPUTED_VALUE"""),"Інвертор мережевий Huawei SUN2000-15KTL-M5")</f>
        <v>Інвертор мережевий Huawei SUN2000-15KTL-M5</v>
      </c>
      <c r="D70" s="315"/>
      <c r="E70" s="315"/>
      <c r="F70" s="315"/>
      <c r="G70" s="315"/>
      <c r="H70" s="315"/>
      <c r="I70" s="315"/>
      <c r="J70" s="315"/>
      <c r="K70" s="315"/>
      <c r="L70" s="315"/>
      <c r="M70" s="317"/>
      <c r="N70" s="315"/>
      <c r="O70" s="317"/>
      <c r="P70" s="315"/>
      <c r="Q70" s="317"/>
      <c r="R70" s="315" t="str">
        <f>IFERROR(__xludf.DUMMYFUNCTION("""COMPUTED_VALUE"""),"СІП 1х50 (провід, алюм.) --- 71м")</f>
        <v>СІП 1х50 (провід, алюм.) --- 71м</v>
      </c>
      <c r="S70" s="315" t="str">
        <f>IFERROR(__xludf.DUMMYFUNCTION("""COMPUTED_VALUE"""),"EDBM-1 (блок розподільчий, клема, 160А, 1500VAC/DC, ETI) --- 7шт")</f>
        <v>EDBM-1 (блок розподільчий, клема, 160А, 1500VAC/DC, ETI) --- 7шт</v>
      </c>
      <c r="T70" s="315"/>
      <c r="U70" s="315" t="s">
        <v>400</v>
      </c>
      <c r="V70" s="317"/>
    </row>
    <row r="71" ht="15.75" customHeight="1">
      <c r="A71" s="333"/>
      <c r="B71" s="315" t="str">
        <f>IFERROR(__xludf.DUMMYFUNCTION("""COMPUTED_VALUE"""),"Сонячна панель SunPower P6 545 COM M
Bifacial")</f>
        <v>Сонячна панель SunPower P6 545 COM M
Bifacial</v>
      </c>
      <c r="C71" s="315" t="str">
        <f>IFERROR(__xludf.DUMMYFUNCTION("""COMPUTED_VALUE"""),"Інвертор мережевий Huawei SUN2000-17KTL-M2")</f>
        <v>Інвертор мережевий Huawei SUN2000-17KTL-M2</v>
      </c>
      <c r="D71" s="315"/>
      <c r="E71" s="315"/>
      <c r="F71" s="315"/>
      <c r="G71" s="315"/>
      <c r="H71" s="315"/>
      <c r="I71" s="315"/>
      <c r="J71" s="315"/>
      <c r="K71" s="315"/>
      <c r="L71" s="315"/>
      <c r="M71" s="317"/>
      <c r="N71" s="315"/>
      <c r="O71" s="317"/>
      <c r="P71" s="315"/>
      <c r="Q71" s="317"/>
      <c r="R71" s="315" t="str">
        <f>IFERROR(__xludf.DUMMYFUNCTION("""COMPUTED_VALUE"""),"СІП 2х10 (провід, алюм.) --- 38м")</f>
        <v>СІП 2х10 (провід, алюм.) --- 38м</v>
      </c>
      <c r="S71" s="315" t="str">
        <f>IFERROR(__xludf.DUMMYFUNCTION("""COMPUTED_VALUE"""),"EDBM-7/N (блок розподільчий, синій, ETI, клема)")</f>
        <v>EDBM-7/N (блок розподільчий, синій, ETI, клема)</v>
      </c>
      <c r="T71" s="315"/>
      <c r="U71" s="315" t="s">
        <v>401</v>
      </c>
      <c r="V71" s="317"/>
    </row>
    <row r="72" ht="15.75" customHeight="1">
      <c r="A72" s="333"/>
      <c r="B72" s="315" t="str">
        <f>IFERROR(__xludf.DUMMYFUNCTION("""COMPUTED_VALUE"""),"Сонячна панель SunPower P6-405-BLK")</f>
        <v>Сонячна панель SunPower P6-405-BLK</v>
      </c>
      <c r="C72" s="315" t="str">
        <f>IFERROR(__xludf.DUMMYFUNCTION("""COMPUTED_VALUE"""),"Інвертор мережевий Huawei SUN2000-20KTL-M5")</f>
        <v>Інвертор мережевий Huawei SUN2000-20KTL-M5</v>
      </c>
      <c r="D72" s="315"/>
      <c r="E72" s="315"/>
      <c r="F72" s="315"/>
      <c r="G72" s="315"/>
      <c r="H72" s="315"/>
      <c r="I72" s="315"/>
      <c r="J72" s="315"/>
      <c r="K72" s="315"/>
      <c r="L72" s="315"/>
      <c r="M72" s="317"/>
      <c r="N72" s="315"/>
      <c r="O72" s="317"/>
      <c r="P72" s="315"/>
      <c r="Q72" s="317"/>
      <c r="R72" s="315" t="str">
        <f>IFERROR(__xludf.DUMMYFUNCTION("""COMPUTED_VALUE"""),"СІП 2х16 (провід, алюм.)")</f>
        <v>СІП 2х16 (провід, алюм.)</v>
      </c>
      <c r="S72" s="315" t="str">
        <f>IFERROR(__xludf.DUMMYFUNCTION("""COMPUTED_VALUE"""),"EDBS-50B (клема ввідна, силова, розподільчий блок, сіра, ETI) --- 86шт")</f>
        <v>EDBS-50B (клема ввідна, силова, розподільчий блок, сіра, ETI) --- 86шт</v>
      </c>
      <c r="T72" s="315"/>
      <c r="U72" s="315" t="s">
        <v>402</v>
      </c>
      <c r="V72" s="317"/>
    </row>
    <row r="73" ht="15.75" customHeight="1">
      <c r="A73" s="333"/>
      <c r="B73" s="315" t="str">
        <f>IFERROR(__xludf.DUMMYFUNCTION("""COMPUTED_VALUE"""),"Сонячна панель SunPower P7  550W  (SPR-P7-550-COM-S)")</f>
        <v>Сонячна панель SunPower P7  550W  (SPR-P7-550-COM-S)</v>
      </c>
      <c r="C73" s="315" t="str">
        <f>IFERROR(__xludf.DUMMYFUNCTION("""COMPUTED_VALUE"""),"Інвертор мережевий Huawei SUN2000-3KTL-M0")</f>
        <v>Інвертор мережевий Huawei SUN2000-3KTL-M0</v>
      </c>
      <c r="D73" s="315"/>
      <c r="E73" s="315"/>
      <c r="F73" s="315"/>
      <c r="G73" s="315"/>
      <c r="H73" s="315"/>
      <c r="I73" s="315"/>
      <c r="J73" s="315"/>
      <c r="K73" s="315"/>
      <c r="L73" s="315"/>
      <c r="M73" s="317"/>
      <c r="N73" s="315"/>
      <c r="O73" s="317"/>
      <c r="P73" s="315"/>
      <c r="Q73" s="317"/>
      <c r="R73" s="315" t="str">
        <f>IFERROR(__xludf.DUMMYFUNCTION("""COMPUTED_VALUE"""),"СІП 4х120 (провід, алюм.)")</f>
        <v>СІП 4х120 (провід, алюм.)</v>
      </c>
      <c r="S73" s="315" t="str">
        <f>IFERROR(__xludf.DUMMYFUNCTION("""COMPUTED_VALUE"""),"EDBS-50B/N (клема ввідна, силова, розподільчий блок, нульова, синя, ETI) --- 50шт")</f>
        <v>EDBS-50B/N (клема ввідна, силова, розподільчий блок, нульова, синя, ETI) --- 50шт</v>
      </c>
      <c r="T73" s="315"/>
      <c r="U73" s="315" t="s">
        <v>403</v>
      </c>
      <c r="V73" s="317"/>
    </row>
    <row r="74" ht="15.75" customHeight="1">
      <c r="A74" s="333"/>
      <c r="B74" s="315" t="str">
        <f>IFERROR(__xludf.DUMMYFUNCTION("""COMPUTED_VALUE"""),"Сонячна панель Trina Solar Vertex S TSM-DE19R-570")</f>
        <v>Сонячна панель Trina Solar Vertex S TSM-DE19R-570</v>
      </c>
      <c r="C74" s="315" t="str">
        <f>IFERROR(__xludf.DUMMYFUNCTION("""COMPUTED_VALUE"""),"Інвертор мережевий Huawei SUN2000-4KTL-M0")</f>
        <v>Інвертор мережевий Huawei SUN2000-4KTL-M0</v>
      </c>
      <c r="D74" s="315"/>
      <c r="E74" s="315"/>
      <c r="F74" s="315"/>
      <c r="G74" s="315"/>
      <c r="H74" s="315"/>
      <c r="I74" s="315"/>
      <c r="J74" s="315"/>
      <c r="K74" s="315"/>
      <c r="L74" s="315"/>
      <c r="M74" s="317"/>
      <c r="N74" s="315"/>
      <c r="O74" s="317"/>
      <c r="P74" s="315"/>
      <c r="Q74" s="317"/>
      <c r="R74" s="315" t="str">
        <f>IFERROR(__xludf.DUMMYFUNCTION("""COMPUTED_VALUE"""),"СІП 4х150 (провід, алюм.)")</f>
        <v>СІП 4х150 (провід, алюм.)</v>
      </c>
      <c r="S74" s="315" t="str">
        <f>IFERROR(__xludf.DUMMYFUNCTION("""COMPUTED_VALUE"""),"EDBS-50B/PE (клема ввідна, силова, розподільчий блок, заземлення, ETI)")</f>
        <v>EDBS-50B/PE (клема ввідна, силова, розподільчий блок, заземлення, ETI)</v>
      </c>
      <c r="T74" s="315"/>
      <c r="U74" s="315" t="s">
        <v>404</v>
      </c>
      <c r="V74" s="317"/>
    </row>
    <row r="75" ht="15.75" customHeight="1">
      <c r="A75" s="333"/>
      <c r="B75" s="315"/>
      <c r="C75" s="315" t="str">
        <f>IFERROR(__xludf.DUMMYFUNCTION("""COMPUTED_VALUE"""),"Інвертор мережевий Huawei SUN2000-50KTL-M0")</f>
        <v>Інвертор мережевий Huawei SUN2000-50KTL-M0</v>
      </c>
      <c r="D75" s="315"/>
      <c r="E75" s="315"/>
      <c r="F75" s="315"/>
      <c r="G75" s="315"/>
      <c r="H75" s="315"/>
      <c r="I75" s="315"/>
      <c r="J75" s="315"/>
      <c r="K75" s="315"/>
      <c r="L75" s="315"/>
      <c r="M75" s="317"/>
      <c r="N75" s="315"/>
      <c r="O75" s="317"/>
      <c r="P75" s="315"/>
      <c r="Q75" s="317"/>
      <c r="R75" s="315" t="str">
        <f>IFERROR(__xludf.DUMMYFUNCTION("""COMPUTED_VALUE"""),"СІП 4х16 (провід, алюм.)")</f>
        <v>СІП 4х16 (провід, алюм.)</v>
      </c>
      <c r="S75" s="315" t="str">
        <f>IFERROR(__xludf.DUMMYFUNCTION("""COMPUTED_VALUE"""),"EFB-50FT-15 (ввідна клема 15мм, Fork) --- 4шт")</f>
        <v>EFB-50FT-15 (ввідна клема 15мм, Fork) --- 4шт</v>
      </c>
      <c r="T75" s="315"/>
      <c r="U75" s="315" t="s">
        <v>405</v>
      </c>
      <c r="V75" s="317"/>
    </row>
    <row r="76" ht="15.75" customHeight="1">
      <c r="A76" s="333"/>
      <c r="B76" s="315"/>
      <c r="C76" s="315" t="str">
        <f>IFERROR(__xludf.DUMMYFUNCTION("""COMPUTED_VALUE"""),"Інвертор мережевий Huawei SUN2000-5KTL-M0")</f>
        <v>Інвертор мережевий Huawei SUN2000-5KTL-M0</v>
      </c>
      <c r="D76" s="315"/>
      <c r="E76" s="315"/>
      <c r="F76" s="315"/>
      <c r="G76" s="315"/>
      <c r="H76" s="315"/>
      <c r="I76" s="315"/>
      <c r="J76" s="315"/>
      <c r="K76" s="315"/>
      <c r="L76" s="315"/>
      <c r="M76" s="317"/>
      <c r="N76" s="315"/>
      <c r="O76" s="317"/>
      <c r="P76" s="315"/>
      <c r="Q76" s="317"/>
      <c r="R76" s="315" t="str">
        <f>IFERROR(__xludf.DUMMYFUNCTION("""COMPUTED_VALUE"""),"СІП 4х25 (провід, алюм.) --- 228м")</f>
        <v>СІП 4х25 (провід, алюм.) --- 228м</v>
      </c>
      <c r="S76" s="315" t="str">
        <f>IFERROR(__xludf.DUMMYFUNCTION("""COMPUTED_VALUE"""),"GL-35 (гільза алюмінієва кабельна з'єднувальна, 35 мм2, АСКО) --- 9шт")</f>
        <v>GL-35 (гільза алюмінієва кабельна з'єднувальна, 35 мм2, АСКО) --- 9шт</v>
      </c>
      <c r="T76" s="315"/>
      <c r="U76" s="315" t="s">
        <v>406</v>
      </c>
      <c r="V76" s="317"/>
    </row>
    <row r="77" ht="15.75" customHeight="1">
      <c r="A77" s="333"/>
      <c r="B77" s="315"/>
      <c r="C77" s="315" t="str">
        <f>IFERROR(__xludf.DUMMYFUNCTION("""COMPUTED_VALUE"""),"Інвертор мережевий Huawei SUN2000-60KTL-M0")</f>
        <v>Інвертор мережевий Huawei SUN2000-60KTL-M0</v>
      </c>
      <c r="D77" s="315"/>
      <c r="E77" s="315"/>
      <c r="F77" s="315"/>
      <c r="G77" s="315"/>
      <c r="H77" s="315"/>
      <c r="I77" s="315"/>
      <c r="J77" s="315"/>
      <c r="K77" s="315"/>
      <c r="L77" s="315"/>
      <c r="M77" s="317"/>
      <c r="N77" s="315"/>
      <c r="O77" s="317"/>
      <c r="P77" s="315"/>
      <c r="Q77" s="317"/>
      <c r="R77" s="315" t="str">
        <f>IFERROR(__xludf.DUMMYFUNCTION("""COMPUTED_VALUE"""),"СІП 4х35 (провід, алюм.) --- 45м")</f>
        <v>СІП 4х35 (провід, алюм.) --- 45м</v>
      </c>
      <c r="S77" s="315" t="str">
        <f>IFERROR(__xludf.DUMMYFUNCTION("""COMPUTED_VALUE"""),"GT-16 (гільза мідна луджена кабельна з'єднувальна, 16 мм2, АСКО) --- 18шт")</f>
        <v>GT-16 (гільза мідна луджена кабельна з'єднувальна, 16 мм2, АСКО) --- 18шт</v>
      </c>
      <c r="T77" s="315"/>
      <c r="U77" s="315" t="s">
        <v>407</v>
      </c>
      <c r="V77" s="317"/>
    </row>
    <row r="78" ht="15.75" customHeight="1">
      <c r="A78" s="333"/>
      <c r="B78" s="315"/>
      <c r="C78" s="315" t="str">
        <f>IFERROR(__xludf.DUMMYFUNCTION("""COMPUTED_VALUE"""),"Інвертор мережевий Huawei SUN2000-6KTL-M0")</f>
        <v>Інвертор мережевий Huawei SUN2000-6KTL-M0</v>
      </c>
      <c r="D78" s="315"/>
      <c r="E78" s="315"/>
      <c r="F78" s="315"/>
      <c r="G78" s="315"/>
      <c r="H78" s="315"/>
      <c r="I78" s="315"/>
      <c r="J78" s="315"/>
      <c r="K78" s="315"/>
      <c r="L78" s="315"/>
      <c r="M78" s="317"/>
      <c r="N78" s="315"/>
      <c r="O78" s="317"/>
      <c r="P78" s="315"/>
      <c r="Q78" s="317"/>
      <c r="R78" s="315" t="str">
        <f>IFERROR(__xludf.DUMMYFUNCTION("""COMPUTED_VALUE"""),"СІП 4х50 (провід, алюм.)")</f>
        <v>СІП 4х50 (провід, алюм.)</v>
      </c>
      <c r="S78" s="315" t="str">
        <f>IFERROR(__xludf.DUMMYFUNCTION("""COMPUTED_VALUE"""),"GT-25 (гільза мідна луджена кабельна з'єднувальна, 25 мм2, АСКО) --- 151шт")</f>
        <v>GT-25 (гільза мідна луджена кабельна з'єднувальна, 25 мм2, АСКО) --- 151шт</v>
      </c>
      <c r="T78" s="315"/>
      <c r="U78" s="315" t="s">
        <v>408</v>
      </c>
      <c r="V78" s="317"/>
    </row>
    <row r="79" ht="15.75" customHeight="1">
      <c r="A79" s="333"/>
      <c r="B79" s="315"/>
      <c r="C79" s="315" t="str">
        <f>IFERROR(__xludf.DUMMYFUNCTION("""COMPUTED_VALUE"""),"Інвертор мережевий Huawei SUN2000-8KTL-M0")</f>
        <v>Інвертор мережевий Huawei SUN2000-8KTL-M0</v>
      </c>
      <c r="D79" s="315"/>
      <c r="E79" s="315"/>
      <c r="F79" s="315"/>
      <c r="G79" s="315"/>
      <c r="H79" s="315"/>
      <c r="I79" s="315"/>
      <c r="J79" s="315"/>
      <c r="K79" s="315"/>
      <c r="L79" s="315"/>
      <c r="M79" s="317"/>
      <c r="N79" s="315"/>
      <c r="O79" s="317"/>
      <c r="P79" s="315"/>
      <c r="Q79" s="317"/>
      <c r="R79" s="315" t="str">
        <f>IFERROR(__xludf.DUMMYFUNCTION("""COMPUTED_VALUE"""),"СІП 4х70 (провід, алюм.)")</f>
        <v>СІП 4х70 (провід, алюм.)</v>
      </c>
      <c r="S79" s="315" t="str">
        <f>IFERROR(__xludf.DUMMYFUNCTION("""COMPUTED_VALUE"""),"GT-35 (гільза мідна луджена кабельна з'єднувальна, 35 мм2, АСКО) --- 19шт")</f>
        <v>GT-35 (гільза мідна луджена кабельна з'єднувальна, 35 мм2, АСКО) --- 19шт</v>
      </c>
      <c r="T79" s="315"/>
      <c r="U79" s="315" t="s">
        <v>409</v>
      </c>
      <c r="V79" s="317"/>
    </row>
    <row r="80" ht="15.75" customHeight="1">
      <c r="A80" s="333"/>
      <c r="B80" s="315"/>
      <c r="C80" s="315" t="str">
        <f>IFERROR(__xludf.DUMMYFUNCTION("""COMPUTED_VALUE"""),"Інвертор мережевий S5-GR1P(2.5-6)K")</f>
        <v>Інвертор мережевий S5-GR1P(2.5-6)K</v>
      </c>
      <c r="D80" s="315"/>
      <c r="E80" s="315"/>
      <c r="F80" s="315"/>
      <c r="G80" s="315"/>
      <c r="H80" s="315"/>
      <c r="I80" s="315"/>
      <c r="J80" s="315"/>
      <c r="K80" s="315"/>
      <c r="L80" s="315"/>
      <c r="M80" s="317"/>
      <c r="N80" s="315"/>
      <c r="O80" s="317"/>
      <c r="P80" s="315"/>
      <c r="Q80" s="317"/>
      <c r="R80" s="315" t="str">
        <f>IFERROR(__xludf.DUMMYFUNCTION("""COMPUTED_VALUE"""),"СІП 4х95 (провід, алюм.)")</f>
        <v>СІП 4х95 (провід, алюм.)</v>
      </c>
      <c r="S80" s="315" t="str">
        <f>IFERROR(__xludf.DUMMYFUNCTION("""COMPUTED_VALUE"""),"GT-95 (гільза мідна луджена кабельна з'єднувальна, 95 мм2, АСКО) --- 6шт")</f>
        <v>GT-95 (гільза мідна луджена кабельна з'єднувальна, 95 мм2, АСКО) --- 6шт</v>
      </c>
      <c r="T80" s="315"/>
      <c r="U80" s="315" t="s">
        <v>410</v>
      </c>
      <c r="V80" s="317"/>
    </row>
    <row r="81" ht="15.75" customHeight="1">
      <c r="A81" s="333"/>
      <c r="B81" s="315"/>
      <c r="C81" s="315" t="str">
        <f>IFERROR(__xludf.DUMMYFUNCTION("""COMPUTED_VALUE"""),"Інвертор мережевий SolarEdge SE30 Full")</f>
        <v>Інвертор мережевий SolarEdge SE30 Full</v>
      </c>
      <c r="D81" s="315"/>
      <c r="E81" s="315"/>
      <c r="F81" s="315"/>
      <c r="G81" s="315"/>
      <c r="H81" s="315"/>
      <c r="I81" s="315"/>
      <c r="J81" s="315"/>
      <c r="K81" s="315"/>
      <c r="L81" s="315"/>
      <c r="M81" s="317"/>
      <c r="N81" s="315"/>
      <c r="O81" s="317"/>
      <c r="P81" s="315"/>
      <c r="Q81" s="317"/>
      <c r="R81" s="315" t="str">
        <f>IFERROR(__xludf.DUMMYFUNCTION("""COMPUTED_VALUE"""),"ШВВП 2х0.75 (кабель, мідний) --- 242м")</f>
        <v>ШВВП 2х0.75 (кабель, мідний) --- 242м</v>
      </c>
      <c r="S81" s="315" t="str">
        <f>IFERROR(__xludf.DUMMYFUNCTION("""COMPUTED_VALUE"""),"GTL-25 (гільза мідно-алюмінієва, 25 мм2, АСКО) --- 16шт")</f>
        <v>GTL-25 (гільза мідно-алюмінієва, 25 мм2, АСКО) --- 16шт</v>
      </c>
      <c r="T81" s="315"/>
      <c r="U81" s="315" t="s">
        <v>411</v>
      </c>
      <c r="V81" s="317"/>
    </row>
    <row r="82" ht="15.75" customHeight="1">
      <c r="A82" s="333"/>
      <c r="B82" s="315"/>
      <c r="C82" s="315" t="str">
        <f>IFERROR(__xludf.DUMMYFUNCTION("""COMPUTED_VALUE"""),"Інвертор мережевий Solis S5-GC25K")</f>
        <v>Інвертор мережевий Solis S5-GC25K</v>
      </c>
      <c r="D82" s="315"/>
      <c r="E82" s="315"/>
      <c r="F82" s="315"/>
      <c r="G82" s="315"/>
      <c r="H82" s="315"/>
      <c r="I82" s="315"/>
      <c r="J82" s="315"/>
      <c r="K82" s="315"/>
      <c r="L82" s="315"/>
      <c r="M82" s="317"/>
      <c r="N82" s="315"/>
      <c r="O82" s="317"/>
      <c r="P82" s="315"/>
      <c r="Q82" s="317"/>
      <c r="R82" s="315" t="str">
        <f>IFERROR(__xludf.DUMMYFUNCTION("""COMPUTED_VALUE"""),"ШВВП 2х2.5 (кабель, мідний)")</f>
        <v>ШВВП 2х2.5 (кабель, мідний)</v>
      </c>
      <c r="S82" s="315" t="str">
        <f>IFERROR(__xludf.DUMMYFUNCTION("""COMPUTED_VALUE"""),"GTL-35 (гільза мідно-алюмінієва, 35 мм2, АСКО) --- 18шт")</f>
        <v>GTL-35 (гільза мідно-алюмінієва, 35 мм2, АСКО) --- 18шт</v>
      </c>
      <c r="T82" s="315"/>
      <c r="U82" s="315" t="s">
        <v>412</v>
      </c>
      <c r="V82" s="317"/>
    </row>
    <row r="83" ht="15.75" customHeight="1">
      <c r="A83" s="333"/>
      <c r="B83" s="315"/>
      <c r="C83" s="315" t="str">
        <f>IFERROR(__xludf.DUMMYFUNCTION("""COMPUTED_VALUE"""),"Інвертор мережевий Solis-100K-5G-DC")</f>
        <v>Інвертор мережевий Solis-100K-5G-DC</v>
      </c>
      <c r="D83" s="315"/>
      <c r="E83" s="315"/>
      <c r="F83" s="315"/>
      <c r="G83" s="315"/>
      <c r="H83" s="315"/>
      <c r="I83" s="315"/>
      <c r="J83" s="315"/>
      <c r="K83" s="315"/>
      <c r="L83" s="315"/>
      <c r="M83" s="317"/>
      <c r="N83" s="315"/>
      <c r="O83" s="317"/>
      <c r="P83" s="315"/>
      <c r="Q83" s="317"/>
      <c r="R83" s="315" t="str">
        <f>IFERROR(__xludf.DUMMYFUNCTION("""COMPUTED_VALUE"""),"АВВГ 4х120 (кабель, алюм.)")</f>
        <v>АВВГ 4х120 (кабель, алюм.)</v>
      </c>
      <c r="S83" s="315" t="str">
        <f>IFERROR(__xludf.DUMMYFUNCTION("""COMPUTED_VALUE"""),"GTL-50 (гільза мідно-алюмінієва, 50 мм2, АСКО) --- 20шт")</f>
        <v>GTL-50 (гільза мідно-алюмінієва, 50 мм2, АСКО) --- 20шт</v>
      </c>
      <c r="T83" s="315"/>
      <c r="U83" s="315" t="s">
        <v>413</v>
      </c>
      <c r="V83" s="317"/>
    </row>
    <row r="84" ht="15.75" customHeight="1">
      <c r="A84" s="333"/>
      <c r="B84" s="315"/>
      <c r="C84" s="315" t="str">
        <f>IFERROR(__xludf.DUMMYFUNCTION("""COMPUTED_VALUE"""),"Інвертор мережевий Solis-10K-DC-4G")</f>
        <v>Інвертор мережевий Solis-10K-DC-4G</v>
      </c>
      <c r="D84" s="315"/>
      <c r="E84" s="315"/>
      <c r="F84" s="315"/>
      <c r="G84" s="315"/>
      <c r="H84" s="315"/>
      <c r="I84" s="315"/>
      <c r="J84" s="315"/>
      <c r="K84" s="315"/>
      <c r="L84" s="315"/>
      <c r="M84" s="317"/>
      <c r="N84" s="315"/>
      <c r="O84" s="317"/>
      <c r="P84" s="315"/>
      <c r="Q84" s="317"/>
      <c r="R84" s="315" t="str">
        <f>IFERROR(__xludf.DUMMYFUNCTION("""COMPUTED_VALUE"""),"АВВГ 4х150 (кабель, алюм.)")</f>
        <v>АВВГ 4х150 (кабель, алюм.)</v>
      </c>
      <c r="S84" s="315" t="str">
        <f>IFERROR(__xludf.DUMMYFUNCTION("""COMPUTED_VALUE"""),"IZ 10/3F/54 (шина живлення, мідна, 10 мм², 3р, 1м, Fork, ETI)")</f>
        <v>IZ 10/3F/54 (шина живлення, мідна, 10 мм², 3р, 1м, Fork, ETI)</v>
      </c>
      <c r="T84" s="315"/>
      <c r="U84" s="315" t="s">
        <v>414</v>
      </c>
      <c r="V84" s="317"/>
    </row>
    <row r="85" ht="15.75" customHeight="1">
      <c r="A85" s="333"/>
      <c r="B85" s="315"/>
      <c r="C85" s="315" t="str">
        <f>IFERROR(__xludf.DUMMYFUNCTION("""COMPUTED_VALUE"""),"Інвертор мережевий Solis-12K-DC-4G")</f>
        <v>Інвертор мережевий Solis-12K-DC-4G</v>
      </c>
      <c r="D85" s="315"/>
      <c r="E85" s="315"/>
      <c r="F85" s="315"/>
      <c r="G85" s="315"/>
      <c r="H85" s="315"/>
      <c r="I85" s="315"/>
      <c r="J85" s="315"/>
      <c r="K85" s="315"/>
      <c r="L85" s="315"/>
      <c r="M85" s="317"/>
      <c r="N85" s="315"/>
      <c r="O85" s="317"/>
      <c r="P85" s="315"/>
      <c r="Q85" s="317"/>
      <c r="R85" s="315" t="str">
        <f>IFERROR(__xludf.DUMMYFUNCTION("""COMPUTED_VALUE"""),"АВВГ 4х185 (кабель, алюм.)")</f>
        <v>АВВГ 4х185 (кабель, алюм.)</v>
      </c>
      <c r="S85" s="315" t="str">
        <f>IFERROR(__xludf.DUMMYFUNCTION("""COMPUTED_VALUE"""),"IZ 12/3F/54 (шина живлення, мідна, 12 мм², 3р, 1м, Fork, ETI)")</f>
        <v>IZ 12/3F/54 (шина живлення, мідна, 12 мм², 3р, 1м, Fork, ETI)</v>
      </c>
      <c r="T85" s="315"/>
      <c r="U85" s="315" t="s">
        <v>415</v>
      </c>
      <c r="V85" s="317"/>
    </row>
    <row r="86" ht="15.75" customHeight="1">
      <c r="A86" s="333"/>
      <c r="B86" s="315"/>
      <c r="C86" s="315" t="str">
        <f>IFERROR(__xludf.DUMMYFUNCTION("""COMPUTED_VALUE"""),"Інвертор мережевий Solis-15K-DC-4G")</f>
        <v>Інвертор мережевий Solis-15K-DC-4G</v>
      </c>
      <c r="D86" s="315"/>
      <c r="E86" s="315"/>
      <c r="F86" s="315"/>
      <c r="G86" s="315"/>
      <c r="H86" s="315"/>
      <c r="I86" s="315"/>
      <c r="J86" s="315"/>
      <c r="K86" s="315"/>
      <c r="L86" s="315"/>
      <c r="M86" s="317"/>
      <c r="N86" s="315"/>
      <c r="O86" s="317"/>
      <c r="P86" s="315"/>
      <c r="Q86" s="317"/>
      <c r="R86" s="315" t="str">
        <f>IFERROR(__xludf.DUMMYFUNCTION("""COMPUTED_VALUE"""),"АВВГнг-1 (3х185+1х95, кабель, алюм.)")</f>
        <v>АВВГнг-1 (3х185+1х95, кабель, алюм.)</v>
      </c>
      <c r="S86" s="315" t="str">
        <f>IFERROR(__xludf.DUMMYFUNCTION("""COMPUTED_VALUE"""),"IZS 10/1F/54 1р 1m (шина живлення, IZS 10/1F/54 1р 1m(штирькова), ETI --- 1шт")</f>
        <v>IZS 10/1F/54 1р 1m (шина живлення, IZS 10/1F/54 1р 1m(штирькова), ETI --- 1шт</v>
      </c>
      <c r="T86" s="315"/>
      <c r="U86" s="315" t="s">
        <v>416</v>
      </c>
      <c r="V86" s="317"/>
    </row>
    <row r="87" ht="15.75" customHeight="1">
      <c r="A87" s="333"/>
      <c r="B87" s="315"/>
      <c r="C87" s="315" t="str">
        <f>IFERROR(__xludf.DUMMYFUNCTION("""COMPUTED_VALUE"""),"Інвертор мережевий Solis-1P5K-4G-DC")</f>
        <v>Інвертор мережевий Solis-1P5K-4G-DC</v>
      </c>
      <c r="D87" s="315"/>
      <c r="E87" s="315"/>
      <c r="F87" s="315"/>
      <c r="G87" s="315"/>
      <c r="H87" s="315"/>
      <c r="I87" s="315"/>
      <c r="J87" s="315"/>
      <c r="K87" s="315"/>
      <c r="L87" s="315"/>
      <c r="M87" s="317"/>
      <c r="N87" s="315"/>
      <c r="O87" s="317"/>
      <c r="P87" s="315"/>
      <c r="Q87" s="317"/>
      <c r="R87" s="315" t="str">
        <f>IFERROR(__xludf.DUMMYFUNCTION("""COMPUTED_VALUE"""),"АВВГнг-1 (3х240+1х150, кабель, алюм.)")</f>
        <v>АВВГнг-1 (3х240+1х150, кабель, алюм.)</v>
      </c>
      <c r="S87" s="315" t="str">
        <f>IFERROR(__xludf.DUMMYFUNCTION("""COMPUTED_VALUE"""),"JG-16 (накінечник кабельний, мідний, луджений, 16 мм², ІЕК)")</f>
        <v>JG-16 (накінечник кабельний, мідний, луджений, 16 мм², ІЕК)</v>
      </c>
      <c r="T87" s="315"/>
      <c r="U87" s="315" t="s">
        <v>417</v>
      </c>
      <c r="V87" s="317"/>
    </row>
    <row r="88" ht="15.75" customHeight="1">
      <c r="A88" s="333"/>
      <c r="B88" s="315"/>
      <c r="C88" s="315" t="str">
        <f>IFERROR(__xludf.DUMMYFUNCTION("""COMPUTED_VALUE"""),"Інвертор мережевий Solis-25K")</f>
        <v>Інвертор мережевий Solis-25K</v>
      </c>
      <c r="D88" s="315"/>
      <c r="E88" s="315"/>
      <c r="F88" s="315"/>
      <c r="G88" s="315"/>
      <c r="H88" s="315"/>
      <c r="I88" s="315"/>
      <c r="J88" s="315"/>
      <c r="K88" s="315"/>
      <c r="L88" s="315"/>
      <c r="M88" s="317"/>
      <c r="N88" s="315"/>
      <c r="O88" s="317"/>
      <c r="P88" s="315"/>
      <c r="Q88" s="317"/>
      <c r="R88" s="315" t="str">
        <f>IFERROR(__xludf.DUMMYFUNCTION("""COMPUTED_VALUE"""),"АВВГнг-1 (3х95+1х50, кабель, алюм.)")</f>
        <v>АВВГнг-1 (3х95+1х50, кабель, алюм.)</v>
      </c>
      <c r="S88" s="315" t="str">
        <f>IFERROR(__xludf.DUMMYFUNCTION("""COMPUTED_VALUE"""),"JG-25 (накінечник кабельний, мідний, луджений, 25мм2, ІЕК) --- 71шт")</f>
        <v>JG-25 (накінечник кабельний, мідний, луджений, 25мм2, ІЕК) --- 71шт</v>
      </c>
      <c r="T88" s="315"/>
      <c r="U88" s="315" t="s">
        <v>418</v>
      </c>
      <c r="V88" s="317"/>
    </row>
    <row r="89" ht="15.75" customHeight="1">
      <c r="A89" s="333"/>
      <c r="B89" s="315"/>
      <c r="C89" s="315" t="str">
        <f>IFERROR(__xludf.DUMMYFUNCTION("""COMPUTED_VALUE"""),"Інвертор мережевий Solis-40K-5G")</f>
        <v>Інвертор мережевий Solis-40K-5G</v>
      </c>
      <c r="D89" s="315"/>
      <c r="E89" s="315"/>
      <c r="F89" s="315"/>
      <c r="G89" s="315"/>
      <c r="H89" s="315"/>
      <c r="I89" s="315"/>
      <c r="J89" s="315"/>
      <c r="K89" s="315"/>
      <c r="L89" s="315"/>
      <c r="M89" s="317"/>
      <c r="N89" s="315"/>
      <c r="O89" s="317"/>
      <c r="P89" s="315"/>
      <c r="Q89" s="317"/>
      <c r="R89" s="315" t="str">
        <f>IFERROR(__xludf.DUMMYFUNCTION("""COMPUTED_VALUE"""),"АВВГнг-1 (4х+16, кабель, алюм.)")</f>
        <v>АВВГнг-1 (4х+16, кабель, алюм.)</v>
      </c>
      <c r="S89" s="315" t="str">
        <f>IFERROR(__xludf.DUMMYFUNCTION("""COMPUTED_VALUE"""),"JG-35 (накінечник кабельний, мідний, луджений, 35мм2, ІЕК) --- 1шт")</f>
        <v>JG-35 (накінечник кабельний, мідний, луджений, 35мм2, ІЕК) --- 1шт</v>
      </c>
      <c r="T89" s="315"/>
      <c r="U89" s="315" t="s">
        <v>419</v>
      </c>
      <c r="V89" s="317"/>
    </row>
    <row r="90" ht="15.75" customHeight="1">
      <c r="A90" s="333"/>
      <c r="B90" s="315"/>
      <c r="C90" s="315" t="str">
        <f>IFERROR(__xludf.DUMMYFUNCTION("""COMPUTED_VALUE"""),"Інвертор мережевий Solis-50K-DC")</f>
        <v>Інвертор мережевий Solis-50K-DC</v>
      </c>
      <c r="D90" s="315"/>
      <c r="E90" s="315"/>
      <c r="F90" s="315"/>
      <c r="G90" s="315"/>
      <c r="H90" s="315"/>
      <c r="I90" s="315"/>
      <c r="J90" s="315"/>
      <c r="K90" s="315"/>
      <c r="L90" s="315"/>
      <c r="M90" s="317"/>
      <c r="N90" s="315"/>
      <c r="O90" s="317"/>
      <c r="P90" s="315"/>
      <c r="Q90" s="317"/>
      <c r="R90" s="315" t="str">
        <f>IFERROR(__xludf.DUMMYFUNCTION("""COMPUTED_VALUE"""),"АВВГнг-1 (4х+50, кабель, алюм.)")</f>
        <v>АВВГнг-1 (4х+50, кабель, алюм.)</v>
      </c>
      <c r="S90" s="315" t="str">
        <f>IFERROR(__xludf.DUMMYFUNCTION("""COMPUTED_VALUE"""),"JXB 10/35 (клема, сіра, розподільчий блок, АСКО)")</f>
        <v>JXB 10/35 (клема, сіра, розподільчий блок, АСКО)</v>
      </c>
      <c r="T90" s="315"/>
      <c r="U90" s="315" t="s">
        <v>420</v>
      </c>
      <c r="V90" s="317"/>
    </row>
    <row r="91" ht="15.75" customHeight="1">
      <c r="A91" s="333"/>
      <c r="B91" s="315"/>
      <c r="C91" s="315" t="str">
        <f>IFERROR(__xludf.DUMMYFUNCTION("""COMPUTED_VALUE"""),"Автономний інвертор ALTEK Atlas 3,6KW-24V")</f>
        <v>Автономний інвертор ALTEK Atlas 3,6KW-24V</v>
      </c>
      <c r="D91" s="315"/>
      <c r="E91" s="315"/>
      <c r="F91" s="315"/>
      <c r="G91" s="315"/>
      <c r="H91" s="315"/>
      <c r="I91" s="315"/>
      <c r="J91" s="315"/>
      <c r="K91" s="315"/>
      <c r="L91" s="315"/>
      <c r="M91" s="317"/>
      <c r="N91" s="315"/>
      <c r="O91" s="317"/>
      <c r="P91" s="315"/>
      <c r="Q91" s="317"/>
      <c r="R91" s="315" t="str">
        <f>IFERROR(__xludf.DUMMYFUNCTION("""COMPUTED_VALUE"""),"ВВГнг 3х1,5 (кабель, мідний) --- 78м")</f>
        <v>ВВГнг 3х1,5 (кабель, мідний) --- 78м</v>
      </c>
      <c r="S91" s="315" t="str">
        <f>IFERROR(__xludf.DUMMYFUNCTION("""COMPUTED_VALUE"""),"JXB 2.5/35 (клема, сіра, розподільчий блок, АСКО) --- 27шт")</f>
        <v>JXB 2.5/35 (клема, сіра, розподільчий блок, АСКО) --- 27шт</v>
      </c>
      <c r="T91" s="315"/>
      <c r="U91" s="315" t="s">
        <v>421</v>
      </c>
      <c r="V91" s="317"/>
    </row>
    <row r="92" ht="15.75" customHeight="1">
      <c r="A92" s="333"/>
      <c r="B92" s="315"/>
      <c r="C92" s="315" t="str">
        <f>IFERROR(__xludf.DUMMYFUNCTION("""COMPUTED_VALUE"""),"Інвертор гібридний Deye SUN-12K-SG01HP3-ЕU (3 фази)")</f>
        <v>Інвертор гібридний Deye SUN-12K-SG01HP3-ЕU (3 фази)</v>
      </c>
      <c r="D92" s="315"/>
      <c r="E92" s="315"/>
      <c r="F92" s="315"/>
      <c r="G92" s="315"/>
      <c r="H92" s="315"/>
      <c r="I92" s="315"/>
      <c r="J92" s="315"/>
      <c r="K92" s="315"/>
      <c r="L92" s="315"/>
      <c r="M92" s="317"/>
      <c r="N92" s="315"/>
      <c r="O92" s="317"/>
      <c r="P92" s="315"/>
      <c r="Q92" s="317"/>
      <c r="R92" s="315" t="str">
        <f>IFERROR(__xludf.DUMMYFUNCTION("""COMPUTED_VALUE"""),"ВВГнг 3х2,5 (кабель, мідний)")</f>
        <v>ВВГнг 3х2,5 (кабель, мідний)</v>
      </c>
      <c r="S92" s="315" t="str">
        <f>IFERROR(__xludf.DUMMYFUNCTION("""COMPUTED_VALUE"""),"KF09040  40 мм (труба гофрована, чорна, підземна, Kopoflex)")</f>
        <v>KF09040  40 мм (труба гофрована, чорна, підземна, Kopoflex)</v>
      </c>
      <c r="T92" s="315"/>
      <c r="U92" s="315" t="s">
        <v>422</v>
      </c>
      <c r="V92" s="317"/>
    </row>
    <row r="93" ht="15.75" customHeight="1">
      <c r="A93" s="333"/>
      <c r="B93" s="315"/>
      <c r="C93" s="315" t="str">
        <f>IFERROR(__xludf.DUMMYFUNCTION("""COMPUTED_VALUE"""),"Інвертор гібридний Deye SUN-14K-SG05LP3-EU-SM2")</f>
        <v>Інвертор гібридний Deye SUN-14K-SG05LP3-EU-SM2</v>
      </c>
      <c r="D93" s="315"/>
      <c r="E93" s="315"/>
      <c r="F93" s="315"/>
      <c r="G93" s="315"/>
      <c r="H93" s="315"/>
      <c r="I93" s="315"/>
      <c r="J93" s="315"/>
      <c r="K93" s="315"/>
      <c r="L93" s="315"/>
      <c r="M93" s="317"/>
      <c r="N93" s="315"/>
      <c r="O93" s="317"/>
      <c r="P93" s="315"/>
      <c r="Q93" s="317"/>
      <c r="R93" s="315" t="str">
        <f>IFERROR(__xludf.DUMMYFUNCTION("""COMPUTED_VALUE"""),"ВВГнг 4х50 (кабель, мідний)")</f>
        <v>ВВГнг 4х50 (кабель, мідний)</v>
      </c>
      <c r="S93" s="315" t="str">
        <f>IFERROR(__xludf.DUMMYFUNCTION("""COMPUTED_VALUE"""),"KF09040UVFA  40 мм (труба гофрована, підземна, чорна, Kopoflex) --- 80м")</f>
        <v>KF09040UVFA  40 мм (труба гофрована, підземна, чорна, Kopoflex) --- 80м</v>
      </c>
      <c r="T93" s="315"/>
      <c r="U93" s="315" t="s">
        <v>423</v>
      </c>
      <c r="V93" s="317"/>
    </row>
    <row r="94" ht="15.75" customHeight="1">
      <c r="A94" s="333"/>
      <c r="B94" s="315"/>
      <c r="C94" s="315" t="str">
        <f>IFERROR(__xludf.DUMMYFUNCTION("""COMPUTED_VALUE"""),"Інвертор гібридний Deye SUN-15K-SG05LP3-EU-SM2")</f>
        <v>Інвертор гібридний Deye SUN-15K-SG05LP3-EU-SM2</v>
      </c>
      <c r="D94" s="315"/>
      <c r="E94" s="315"/>
      <c r="F94" s="315"/>
      <c r="G94" s="315"/>
      <c r="H94" s="315"/>
      <c r="I94" s="315"/>
      <c r="J94" s="315"/>
      <c r="K94" s="315"/>
      <c r="L94" s="315"/>
      <c r="M94" s="317"/>
      <c r="N94" s="315"/>
      <c r="O94" s="317"/>
      <c r="P94" s="315"/>
      <c r="Q94" s="317"/>
      <c r="R94" s="315" t="str">
        <f>IFERROR(__xludf.DUMMYFUNCTION("""COMPUTED_VALUE"""),"Кабель Category 5e F/UTP PE 4х2х24 AWG")</f>
        <v>Кабель Category 5e F/UTP PE 4х2х24 AWG</v>
      </c>
      <c r="S94" s="315" t="str">
        <f>IFERROR(__xludf.DUMMYFUNCTION("""COMPUTED_VALUE"""),"LAN 80x40 (торцева заглушка для кабель-каналів 80х40 мм, DKC) --- 14шт")</f>
        <v>LAN 80x40 (торцева заглушка для кабель-каналів 80х40 мм, DKC) --- 14шт</v>
      </c>
      <c r="T94" s="315"/>
      <c r="U94" s="315" t="s">
        <v>424</v>
      </c>
      <c r="V94" s="317"/>
    </row>
    <row r="95" ht="15.75" customHeight="1">
      <c r="A95" s="333"/>
      <c r="B95" s="315"/>
      <c r="C95" s="315" t="str">
        <f>IFERROR(__xludf.DUMMYFUNCTION("""COMPUTED_VALUE"""),"Інвертор гібридний Deye SUN-16K-SG01LP1-EU (1 фаза)")</f>
        <v>Інвертор гібридний Deye SUN-16K-SG01LP1-EU (1 фаза)</v>
      </c>
      <c r="D95" s="315"/>
      <c r="E95" s="315"/>
      <c r="F95" s="315"/>
      <c r="G95" s="315"/>
      <c r="H95" s="315"/>
      <c r="I95" s="315"/>
      <c r="J95" s="315"/>
      <c r="K95" s="315"/>
      <c r="L95" s="315"/>
      <c r="M95" s="317"/>
      <c r="N95" s="315"/>
      <c r="O95" s="317"/>
      <c r="P95" s="315"/>
      <c r="Q95" s="317"/>
      <c r="R95" s="315" t="str">
        <f>IFERROR(__xludf.DUMMYFUNCTION("""COMPUTED_VALUE"""),"КПВ-ВП (350) 4х2х0.51 (кабель, мідний, комп'ютерний, FTP, вита пара) --- 270м")</f>
        <v>КПВ-ВП (350) 4х2х0.51 (кабель, мідний, комп'ютерний, FTP, вита пара) --- 270м</v>
      </c>
      <c r="S95" s="315" t="str">
        <f>IFERROR(__xludf.DUMMYFUNCTION("""COMPUTED_VALUE"""),"MC4-FUSE (запобіжник 20А, MC4)")</f>
        <v>MC4-FUSE (запобіжник 20А, MC4)</v>
      </c>
      <c r="T95" s="315"/>
      <c r="U95" s="315" t="s">
        <v>425</v>
      </c>
      <c r="V95" s="317"/>
    </row>
    <row r="96" ht="15.75" customHeight="1">
      <c r="A96" s="333"/>
      <c r="B96" s="315"/>
      <c r="C96" s="315" t="str">
        <f>IFERROR(__xludf.DUMMYFUNCTION("""COMPUTED_VALUE"""),"Інвертор гібридний Deye SUN-16K-SG05LP3-EU-SM2 (3 фази)")</f>
        <v>Інвертор гібридний Deye SUN-16K-SG05LP3-EU-SM2 (3 фази)</v>
      </c>
      <c r="D96" s="315"/>
      <c r="E96" s="315"/>
      <c r="F96" s="315"/>
      <c r="G96" s="315"/>
      <c r="H96" s="315"/>
      <c r="I96" s="315"/>
      <c r="J96" s="315"/>
      <c r="K96" s="315"/>
      <c r="L96" s="315"/>
      <c r="M96" s="317"/>
      <c r="N96" s="315"/>
      <c r="O96" s="317"/>
      <c r="P96" s="315"/>
      <c r="Q96" s="317"/>
      <c r="R96" s="315" t="str">
        <f>IFERROR(__xludf.DUMMYFUNCTION("""COMPUTED_VALUE"""),"КПП-ВП (100) 4*2*0,51 (кабель, мідний, комп'ютерний, FTP, вита пара, чорна ізоляція) --- 260м")</f>
        <v>КПП-ВП (100) 4*2*0,51 (кабель, мідний, комп'ютерний, FTP, вита пара, чорна ізоляція) --- 260м</v>
      </c>
      <c r="S96" s="315" t="str">
        <f>IFERROR(__xludf.DUMMYFUNCTION("""COMPUTED_VALUE"""),"MC4-VD (блокувальний діод 20А, MC4) --- 12шт")</f>
        <v>MC4-VD (блокувальний діод 20А, MC4) --- 12шт</v>
      </c>
      <c r="T96" s="315"/>
      <c r="U96" s="315" t="s">
        <v>426</v>
      </c>
      <c r="V96" s="317"/>
    </row>
    <row r="97" ht="15.75" customHeight="1">
      <c r="A97" s="333"/>
      <c r="B97" s="315"/>
      <c r="C97" s="315" t="str">
        <f>IFERROR(__xludf.DUMMYFUNCTION("""COMPUTED_VALUE"""),"Інвертор гібридний Deye SUN-18K-SG05LP3-EU-SM2")</f>
        <v>Інвертор гібридний Deye SUN-18K-SG05LP3-EU-SM2</v>
      </c>
      <c r="D97" s="315"/>
      <c r="E97" s="315"/>
      <c r="F97" s="315"/>
      <c r="G97" s="315"/>
      <c r="H97" s="315"/>
      <c r="I97" s="315"/>
      <c r="J97" s="315"/>
      <c r="K97" s="315"/>
      <c r="L97" s="315"/>
      <c r="M97" s="317"/>
      <c r="N97" s="315"/>
      <c r="O97" s="317"/>
      <c r="P97" s="315"/>
      <c r="Q97" s="317"/>
      <c r="R97" s="315" t="str">
        <f>IFERROR(__xludf.DUMMYFUNCTION("""COMPUTED_VALUE"""),"ПВС 5х2,5 (кабель, мідний)")</f>
        <v>ПВС 5х2,5 (кабель, мідний)</v>
      </c>
      <c r="S97" s="315" t="str">
        <f>IFERROR(__xludf.DUMMYFUNCTION("""COMPUTED_VALUE"""),"NPP/AVK 2.5-10 (кришка торцева, сіра, клема) --- 2шт")</f>
        <v>NPP/AVK 2.5-10 (кришка торцева, сіра, клема) --- 2шт</v>
      </c>
      <c r="T97" s="315"/>
      <c r="U97" s="315" t="s">
        <v>427</v>
      </c>
      <c r="V97" s="317"/>
    </row>
    <row r="98" ht="15.75" customHeight="1">
      <c r="A98" s="333"/>
      <c r="B98" s="315"/>
      <c r="C98" s="315" t="str">
        <f>IFERROR(__xludf.DUMMYFUNCTION("""COMPUTED_VALUE"""),"Інвертор гібридний Deye SUN-20K-SG01HP3-EU-AM2")</f>
        <v>Інвертор гібридний Deye SUN-20K-SG01HP3-EU-AM2</v>
      </c>
      <c r="D98" s="315"/>
      <c r="E98" s="315"/>
      <c r="F98" s="315"/>
      <c r="G98" s="315"/>
      <c r="H98" s="315"/>
      <c r="I98" s="315"/>
      <c r="J98" s="315"/>
      <c r="K98" s="315"/>
      <c r="L98" s="315"/>
      <c r="M98" s="317"/>
      <c r="N98" s="315"/>
      <c r="O98" s="317"/>
      <c r="P98" s="315"/>
      <c r="Q98" s="317"/>
      <c r="R98" s="315" t="str">
        <f>IFERROR(__xludf.DUMMYFUNCTION("""COMPUTED_VALUE"""),"ШВВП 2х1.5 (кабель, мідний)")</f>
        <v>ШВВП 2х1.5 (кабель, мідний)</v>
      </c>
      <c r="S98" s="315" t="str">
        <f>IFERROR(__xludf.DUMMYFUNCTION("""COMPUTED_VALUE"""),"RJ-45 (UTP  (Сat.5e,8P8C), Конектор роз'єм для мережевого кабелю)")</f>
        <v>RJ-45 (UTP  (Сat.5e,8P8C), Конектор роз'єм для мережевого кабелю)</v>
      </c>
      <c r="T98" s="315"/>
      <c r="U98" s="315" t="s">
        <v>428</v>
      </c>
      <c r="V98" s="317"/>
    </row>
    <row r="99" ht="15.75" customHeight="1">
      <c r="A99" s="333"/>
      <c r="B99" s="315"/>
      <c r="C99" s="315" t="str">
        <f>IFERROR(__xludf.DUMMYFUNCTION("""COMPUTED_VALUE"""),"Інвертор гібридний Deye SUN-20K-SG05LP3-EU-SM2")</f>
        <v>Інвертор гібридний Deye SUN-20K-SG05LP3-EU-SM2</v>
      </c>
      <c r="D99" s="315"/>
      <c r="E99" s="315"/>
      <c r="F99" s="315"/>
      <c r="G99" s="315"/>
      <c r="H99" s="315"/>
      <c r="I99" s="315"/>
      <c r="J99" s="315"/>
      <c r="K99" s="315"/>
      <c r="L99" s="315"/>
      <c r="M99" s="317"/>
      <c r="N99" s="315"/>
      <c r="O99" s="317"/>
      <c r="P99" s="315"/>
      <c r="Q99" s="317"/>
      <c r="R99" s="315"/>
      <c r="S99" s="315" t="str">
        <f>IFERROR(__xludf.DUMMYFUNCTION("""COMPUTED_VALUE"""),"RJ-45 (UTP cat.6, ITK, роз'єм для мережевого кабелю)")</f>
        <v>RJ-45 (UTP cat.6, ITK, роз'єм для мережевого кабелю)</v>
      </c>
      <c r="T99" s="315"/>
      <c r="U99" s="315" t="s">
        <v>429</v>
      </c>
      <c r="V99" s="317"/>
    </row>
    <row r="100" ht="15.75" customHeight="1">
      <c r="A100" s="333"/>
      <c r="B100" s="315"/>
      <c r="C100" s="315" t="str">
        <f>IFERROR(__xludf.DUMMYFUNCTION("""COMPUTED_VALUE"""),"Інвертор гібридний Deye SUN-30K-SG01HP3-EU-BM2")</f>
        <v>Інвертор гібридний Deye SUN-30K-SG01HP3-EU-BM2</v>
      </c>
      <c r="D100" s="315"/>
      <c r="E100" s="315"/>
      <c r="F100" s="315"/>
      <c r="G100" s="315"/>
      <c r="H100" s="315"/>
      <c r="I100" s="315"/>
      <c r="J100" s="315"/>
      <c r="K100" s="315"/>
      <c r="L100" s="315"/>
      <c r="M100" s="317"/>
      <c r="N100" s="315"/>
      <c r="O100" s="317"/>
      <c r="P100" s="315"/>
      <c r="Q100" s="317"/>
      <c r="R100" s="315"/>
      <c r="S100" s="315" t="str">
        <f>IFERROR(__xludf.DUMMYFUNCTION("""COMPUTED_VALUE"""),"RV 5.5-6 (накінечник кільцевий під гвинт, ізольований, 4-6 мм² жовтий, ENEXT)")</f>
        <v>RV 5.5-6 (накінечник кільцевий під гвинт, ізольований, 4-6 мм² жовтий, ENEXT)</v>
      </c>
      <c r="T100" s="315"/>
      <c r="U100" s="315" t="s">
        <v>430</v>
      </c>
      <c r="V100" s="317"/>
    </row>
    <row r="101" ht="15.75" customHeight="1">
      <c r="A101" s="333"/>
      <c r="B101" s="315"/>
      <c r="C101" s="315" t="str">
        <f>IFERROR(__xludf.DUMMYFUNCTION("""COMPUTED_VALUE"""),"Інвертор гібридний Deye SUN-30K-SG01HP3-EU-BM3")</f>
        <v>Інвертор гібридний Deye SUN-30K-SG01HP3-EU-BM3</v>
      </c>
      <c r="D101" s="315"/>
      <c r="E101" s="315"/>
      <c r="F101" s="315"/>
      <c r="G101" s="315"/>
      <c r="H101" s="315"/>
      <c r="I101" s="315"/>
      <c r="J101" s="315"/>
      <c r="K101" s="315"/>
      <c r="L101" s="315"/>
      <c r="M101" s="317"/>
      <c r="N101" s="315"/>
      <c r="O101" s="317"/>
      <c r="P101" s="315"/>
      <c r="Q101" s="317"/>
      <c r="R101" s="315"/>
      <c r="S101" s="315" t="str">
        <f>IFERROR(__xludf.DUMMYFUNCTION("""COMPUTED_VALUE"""),"RV 5.5-6 (накінечник кільцевий під гвинт, ізольований, 4-6 мм2, АСКО) --- 8пак")</f>
        <v>RV 5.5-6 (накінечник кільцевий під гвинт, ізольований, 4-6 мм2, АСКО) --- 8пак</v>
      </c>
      <c r="T101" s="315"/>
      <c r="U101" s="315" t="s">
        <v>431</v>
      </c>
      <c r="V101" s="317"/>
    </row>
    <row r="102" ht="15.75" customHeight="1">
      <c r="A102" s="333"/>
      <c r="B102" s="315"/>
      <c r="C102" s="315" t="str">
        <f>IFERROR(__xludf.DUMMYFUNCTION("""COMPUTED_VALUE"""),"Інвертор гібридний Deye SUN-40K-SG01HP3-EU-BM4")</f>
        <v>Інвертор гібридний Deye SUN-40K-SG01HP3-EU-BM4</v>
      </c>
      <c r="D102" s="315"/>
      <c r="E102" s="315"/>
      <c r="F102" s="315"/>
      <c r="G102" s="315"/>
      <c r="H102" s="315"/>
      <c r="I102" s="315"/>
      <c r="J102" s="315"/>
      <c r="K102" s="315"/>
      <c r="L102" s="315"/>
      <c r="M102" s="317"/>
      <c r="N102" s="315"/>
      <c r="O102" s="317"/>
      <c r="P102" s="315"/>
      <c r="Q102" s="317"/>
      <c r="R102" s="315"/>
      <c r="S102" s="315" t="str">
        <f>IFERROR(__xludf.DUMMYFUNCTION("""COMPUTED_VALUE"""),"SC-16-6 (накінечник кабельний, мідний, луджений, 16 мм2, АСКО) --- 100шт")</f>
        <v>SC-16-6 (накінечник кабельний, мідний, луджений, 16 мм2, АСКО) --- 100шт</v>
      </c>
      <c r="T102" s="315"/>
      <c r="U102" s="315" t="s">
        <v>432</v>
      </c>
      <c r="V102" s="317"/>
    </row>
    <row r="103" ht="15.75" customHeight="1">
      <c r="A103" s="333"/>
      <c r="B103" s="315"/>
      <c r="C103" s="315" t="str">
        <f>IFERROR(__xludf.DUMMYFUNCTION("""COMPUTED_VALUE"""),"Інвертор гібридний Deye SUN-60K-SG02HP3-EU-EM6")</f>
        <v>Інвертор гібридний Deye SUN-60K-SG02HP3-EU-EM6</v>
      </c>
      <c r="D103" s="315"/>
      <c r="E103" s="315"/>
      <c r="F103" s="315"/>
      <c r="G103" s="315"/>
      <c r="H103" s="315"/>
      <c r="I103" s="315"/>
      <c r="J103" s="315"/>
      <c r="K103" s="315"/>
      <c r="L103" s="315"/>
      <c r="M103" s="317"/>
      <c r="N103" s="315"/>
      <c r="O103" s="317"/>
      <c r="P103" s="315"/>
      <c r="Q103" s="317"/>
      <c r="R103" s="315"/>
      <c r="S103" s="315" t="str">
        <f>IFERROR(__xludf.DUMMYFUNCTION("""COMPUTED_VALUE"""),"SC-16-8 (накінечник кабельний, мідний, луджений, 16мм2, АСКО) --- 79шт")</f>
        <v>SC-16-8 (накінечник кабельний, мідний, луджений, 16мм2, АСКО) --- 79шт</v>
      </c>
      <c r="T103" s="315"/>
      <c r="U103" s="315" t="s">
        <v>433</v>
      </c>
      <c r="V103" s="317"/>
    </row>
    <row r="104" ht="15.75" customHeight="1">
      <c r="A104" s="333"/>
      <c r="B104" s="315"/>
      <c r="C104" s="315" t="str">
        <f>IFERROR(__xludf.DUMMYFUNCTION("""COMPUTED_VALUE"""),"Інвертор гібридний Deye SUN-75K-SG02HP3-EU-EM6")</f>
        <v>Інвертор гібридний Deye SUN-75K-SG02HP3-EU-EM6</v>
      </c>
      <c r="D104" s="315"/>
      <c r="E104" s="315"/>
      <c r="F104" s="315"/>
      <c r="G104" s="315"/>
      <c r="H104" s="315"/>
      <c r="I104" s="315"/>
      <c r="J104" s="315"/>
      <c r="K104" s="315"/>
      <c r="L104" s="315"/>
      <c r="M104" s="317"/>
      <c r="N104" s="315"/>
      <c r="O104" s="317"/>
      <c r="P104" s="315"/>
      <c r="Q104" s="317"/>
      <c r="R104" s="315"/>
      <c r="S104" s="315" t="str">
        <f>IFERROR(__xludf.DUMMYFUNCTION("""COMPUTED_VALUE"""),"SC-25-8 (накінечник кабельний, мідний, луджений, 25мм2, АСКО) --- 127шт")</f>
        <v>SC-25-8 (накінечник кабельний, мідний, луджений, 25мм2, АСКО) --- 127шт</v>
      </c>
      <c r="T104" s="315"/>
      <c r="U104" s="315" t="s">
        <v>434</v>
      </c>
      <c r="V104" s="317"/>
    </row>
    <row r="105" ht="15.75" customHeight="1">
      <c r="A105" s="333"/>
      <c r="B105" s="315"/>
      <c r="C105" s="315" t="str">
        <f>IFERROR(__xludf.DUMMYFUNCTION("""COMPUTED_VALUE"""),"Інвертор гібридний Deye SUN-80K-SG02HP3-EU-EM6")</f>
        <v>Інвертор гібридний Deye SUN-80K-SG02HP3-EU-EM6</v>
      </c>
      <c r="D105" s="315"/>
      <c r="E105" s="315"/>
      <c r="F105" s="315"/>
      <c r="G105" s="315"/>
      <c r="H105" s="315"/>
      <c r="I105" s="315"/>
      <c r="J105" s="315"/>
      <c r="K105" s="315"/>
      <c r="L105" s="315"/>
      <c r="M105" s="317"/>
      <c r="N105" s="315"/>
      <c r="O105" s="317"/>
      <c r="P105" s="315"/>
      <c r="Q105" s="317"/>
      <c r="R105" s="315"/>
      <c r="S105" s="315" t="str">
        <f>IFERROR(__xludf.DUMMYFUNCTION("""COMPUTED_VALUE"""),"SC-35-8 (накінечник кабельний, мідний, луджений, 35 мм2, АСКО) --- 90шт")</f>
        <v>SC-35-8 (накінечник кабельний, мідний, луджений, 35 мм2, АСКО) --- 90шт</v>
      </c>
      <c r="T105" s="315"/>
      <c r="U105" s="315" t="s">
        <v>435</v>
      </c>
      <c r="V105" s="317"/>
    </row>
    <row r="106" ht="15.75" customHeight="1">
      <c r="A106" s="333"/>
      <c r="B106" s="315"/>
      <c r="C106" s="315" t="str">
        <f>IFERROR(__xludf.DUMMYFUNCTION("""COMPUTED_VALUE"""),"Інвертор гібридний Deye SUN-8K-SG05LP1-EU")</f>
        <v>Інвертор гібридний Deye SUN-8K-SG05LP1-EU</v>
      </c>
      <c r="D106" s="315"/>
      <c r="E106" s="315"/>
      <c r="F106" s="315"/>
      <c r="G106" s="315"/>
      <c r="H106" s="315"/>
      <c r="I106" s="315"/>
      <c r="J106" s="315"/>
      <c r="K106" s="315"/>
      <c r="L106" s="315"/>
      <c r="M106" s="317"/>
      <c r="N106" s="315"/>
      <c r="O106" s="317"/>
      <c r="P106" s="315"/>
      <c r="Q106" s="317"/>
      <c r="R106" s="315"/>
      <c r="S106" s="315" t="str">
        <f>IFERROR(__xludf.DUMMYFUNCTION("""COMPUTED_VALUE"""),"SC-6-6 (накінечник кабельний, мідний, луджений, 6 мм2, АСКО) --- 90шт")</f>
        <v>SC-6-6 (накінечник кабельний, мідний, луджений, 6 мм2, АСКО) --- 90шт</v>
      </c>
      <c r="T106" s="315"/>
      <c r="U106" s="315" t="s">
        <v>436</v>
      </c>
      <c r="V106" s="317"/>
    </row>
    <row r="107" ht="15.75" customHeight="1">
      <c r="A107" s="333"/>
      <c r="B107" s="315"/>
      <c r="C107" s="315" t="str">
        <f>IFERROR(__xludf.DUMMYFUNCTION("""COMPUTED_VALUE"""),"Інвертор гібридний LuxPower SNA5000 Wide PV (5 кВт, 1 фаза)")</f>
        <v>Інвертор гібридний LuxPower SNA5000 Wide PV (5 кВт, 1 фаза)</v>
      </c>
      <c r="D107" s="315"/>
      <c r="E107" s="315"/>
      <c r="F107" s="315"/>
      <c r="G107" s="315"/>
      <c r="H107" s="315"/>
      <c r="I107" s="315"/>
      <c r="J107" s="315"/>
      <c r="K107" s="315"/>
      <c r="L107" s="315"/>
      <c r="M107" s="317"/>
      <c r="N107" s="315"/>
      <c r="O107" s="317"/>
      <c r="P107" s="315"/>
      <c r="Q107" s="317"/>
      <c r="R107" s="315"/>
      <c r="S107" s="315" t="str">
        <f>IFERROR(__xludf.DUMMYFUNCTION("""COMPUTED_VALUE"""),"SM25 (ізолятор силовий, з болтом, H25хD27хM6 мм, IEK)")</f>
        <v>SM25 (ізолятор силовий, з болтом, H25хD27хM6 мм, IEK)</v>
      </c>
      <c r="T107" s="315"/>
      <c r="U107" s="315" t="s">
        <v>437</v>
      </c>
      <c r="V107" s="317"/>
    </row>
    <row r="108" ht="15.75" customHeight="1">
      <c r="A108" s="333"/>
      <c r="B108" s="315"/>
      <c r="C108" s="315" t="str">
        <f>IFERROR(__xludf.DUMMYFUNCTION("""COMPUTED_VALUE"""),"Інвертор гібридний Sungrow SH10.0RT ")</f>
        <v>Інвертор гібридний Sungrow SH10.0RT </v>
      </c>
      <c r="D108" s="315"/>
      <c r="E108" s="315"/>
      <c r="F108" s="315"/>
      <c r="G108" s="315"/>
      <c r="H108" s="315"/>
      <c r="I108" s="315"/>
      <c r="J108" s="315"/>
      <c r="K108" s="315"/>
      <c r="L108" s="315"/>
      <c r="M108" s="317"/>
      <c r="N108" s="315"/>
      <c r="O108" s="317"/>
      <c r="P108" s="315"/>
      <c r="Q108" s="317"/>
      <c r="R108" s="315"/>
      <c r="S108" s="315" t="str">
        <f>IFERROR(__xludf.DUMMYFUNCTION("""COMPUTED_VALUE"""),"SM30 (ізолятор силовий, з болтом М8, АСКО) --- 26шт")</f>
        <v>SM30 (ізолятор силовий, з болтом М8, АСКО) --- 26шт</v>
      </c>
      <c r="T108" s="315"/>
      <c r="U108" s="315" t="s">
        <v>438</v>
      </c>
      <c r="V108" s="317"/>
    </row>
    <row r="109" ht="15.75" customHeight="1">
      <c r="A109" s="333"/>
      <c r="B109" s="315"/>
      <c r="C109" s="315" t="str">
        <f>IFERROR(__xludf.DUMMYFUNCTION("""COMPUTED_VALUE"""),"Інвертор гібридний Victron Energy MultiPlus-II 48/10000/140-100")</f>
        <v>Інвертор гібридний Victron Energy MultiPlus-II 48/10000/140-100</v>
      </c>
      <c r="D109" s="315"/>
      <c r="E109" s="315"/>
      <c r="F109" s="315"/>
      <c r="G109" s="315"/>
      <c r="H109" s="315"/>
      <c r="I109" s="315"/>
      <c r="J109" s="315"/>
      <c r="K109" s="315"/>
      <c r="L109" s="315"/>
      <c r="M109" s="317"/>
      <c r="N109" s="315"/>
      <c r="O109" s="317"/>
      <c r="P109" s="315"/>
      <c r="Q109" s="317"/>
      <c r="R109" s="315"/>
      <c r="S109" s="315" t="str">
        <f>IFERROR(__xludf.DUMMYFUNCTION("""COMPUTED_VALUE"""),"SM40 (ізолятор силовий, з болтом М8, АСКО) --- 75шт")</f>
        <v>SM40 (ізолятор силовий, з болтом М8, АСКО) --- 75шт</v>
      </c>
      <c r="T109" s="315"/>
      <c r="U109" s="315" t="s">
        <v>439</v>
      </c>
      <c r="V109" s="317"/>
    </row>
    <row r="110" ht="15.75" customHeight="1">
      <c r="A110" s="333"/>
      <c r="B110" s="315"/>
      <c r="C110" s="315" t="str">
        <f>IFERROR(__xludf.DUMMYFUNCTION("""COMPUTED_VALUE"""),"Інвертор гібридний Victron Energy MultiPlus-II 48/15000/200-100")</f>
        <v>Інвертор гібридний Victron Energy MultiPlus-II 48/15000/200-100</v>
      </c>
      <c r="D110" s="315"/>
      <c r="E110" s="315"/>
      <c r="F110" s="315"/>
      <c r="G110" s="315"/>
      <c r="H110" s="315"/>
      <c r="I110" s="315"/>
      <c r="J110" s="315"/>
      <c r="K110" s="315"/>
      <c r="L110" s="315"/>
      <c r="M110" s="317"/>
      <c r="N110" s="315"/>
      <c r="O110" s="317"/>
      <c r="P110" s="315"/>
      <c r="Q110" s="317"/>
      <c r="R110" s="315"/>
      <c r="S110" s="315" t="str">
        <f>IFERROR(__xludf.DUMMYFUNCTION("""COMPUTED_VALUE"""),"SSV-35 (колодка клемна, розподільчий блок) --- 1шт")</f>
        <v>SSV-35 (колодка клемна, розподільчий блок) --- 1шт</v>
      </c>
      <c r="T110" s="315"/>
      <c r="U110" s="315" t="s">
        <v>440</v>
      </c>
      <c r="V110" s="317"/>
    </row>
    <row r="111" ht="15.75" customHeight="1">
      <c r="A111" s="333"/>
      <c r="B111" s="315"/>
      <c r="C111" s="315" t="str">
        <f>IFERROR(__xludf.DUMMYFUNCTION("""COMPUTED_VALUE"""),"Інвертор гібридний Victron Energy MultiPlus-II 48/3000/35-32 GX")</f>
        <v>Інвертор гібридний Victron Energy MultiPlus-II 48/3000/35-32 GX</v>
      </c>
      <c r="D111" s="315"/>
      <c r="E111" s="315"/>
      <c r="F111" s="315"/>
      <c r="G111" s="315"/>
      <c r="H111" s="315"/>
      <c r="I111" s="315"/>
      <c r="J111" s="315"/>
      <c r="K111" s="315"/>
      <c r="L111" s="315"/>
      <c r="M111" s="317"/>
      <c r="N111" s="315"/>
      <c r="O111" s="317"/>
      <c r="P111" s="315"/>
      <c r="Q111" s="317"/>
      <c r="R111" s="315"/>
      <c r="S111" s="315" t="str">
        <f>IFERROR(__xludf.DUMMYFUNCTION("""COMPUTED_VALUE"""),"SWB-15 біла-прозора (спіраль, 10 м, АСКО) --- 9м")</f>
        <v>SWB-15 біла-прозора (спіраль, 10 м, АСКО) --- 9м</v>
      </c>
      <c r="T111" s="315"/>
      <c r="U111" s="315" t="s">
        <v>441</v>
      </c>
      <c r="V111" s="317"/>
    </row>
    <row r="112" ht="15.75" customHeight="1">
      <c r="A112" s="333"/>
      <c r="B112" s="315"/>
      <c r="C112" s="315" t="str">
        <f>IFERROR(__xludf.DUMMYFUNCTION("""COMPUTED_VALUE"""),"Інвертор гібридний Victron Energy MultiPlus-II 48/8000/110-100/100")</f>
        <v>Інвертор гібридний Victron Energy MultiPlus-II 48/8000/110-100/100</v>
      </c>
      <c r="D112" s="315"/>
      <c r="E112" s="315"/>
      <c r="F112" s="315"/>
      <c r="G112" s="315"/>
      <c r="H112" s="315"/>
      <c r="I112" s="315"/>
      <c r="J112" s="315"/>
      <c r="K112" s="315"/>
      <c r="L112" s="315"/>
      <c r="M112" s="317"/>
      <c r="N112" s="315"/>
      <c r="O112" s="317"/>
      <c r="P112" s="315"/>
      <c r="Q112" s="317"/>
      <c r="R112" s="315"/>
      <c r="S112" s="315" t="str">
        <f>IFERROR(__xludf.DUMMYFUNCTION("""COMPUTED_VALUE"""),"TA-EN 40х40 мм (короб з кришкою, 2000 мм, ДКС)")</f>
        <v>TA-EN 40х40 мм (короб з кришкою, 2000 мм, ДКС)</v>
      </c>
      <c r="T112" s="315"/>
      <c r="U112" s="315" t="s">
        <v>442</v>
      </c>
      <c r="V112" s="317"/>
    </row>
    <row r="113" ht="15.75" customHeight="1">
      <c r="A113" s="333"/>
      <c r="B113" s="315"/>
      <c r="C113" s="315" t="str">
        <f>IFERROR(__xludf.DUMMYFUNCTION("""COMPUTED_VALUE"""),"Інвертор гібридний Victron Energy Quattro 48/10000/140-100/100")</f>
        <v>Інвертор гібридний Victron Energy Quattro 48/10000/140-100/100</v>
      </c>
      <c r="D113" s="315"/>
      <c r="E113" s="315"/>
      <c r="F113" s="315"/>
      <c r="G113" s="315"/>
      <c r="H113" s="315"/>
      <c r="I113" s="315"/>
      <c r="J113" s="315"/>
      <c r="K113" s="315"/>
      <c r="L113" s="315"/>
      <c r="M113" s="317"/>
      <c r="N113" s="315"/>
      <c r="O113" s="317"/>
      <c r="P113" s="315"/>
      <c r="Q113" s="317"/>
      <c r="R113" s="315"/>
      <c r="S113" s="315" t="str">
        <f>IFERROR(__xludf.DUMMYFUNCTION("""COMPUTED_VALUE"""),"TA-GN 100х40 мм (короб з кришкою, 2000 мм, ДКС) --- 14м")</f>
        <v>TA-GN 100х40 мм (короб з кришкою, 2000 мм, ДКС) --- 14м</v>
      </c>
      <c r="T113" s="315"/>
      <c r="U113" s="315" t="s">
        <v>443</v>
      </c>
      <c r="V113" s="317"/>
    </row>
    <row r="114" ht="15.75" customHeight="1">
      <c r="A114" s="333"/>
      <c r="B114" s="315"/>
      <c r="C114" s="315" t="str">
        <f>IFERROR(__xludf.DUMMYFUNCTION("""COMPUTED_VALUE"""),"Інвертор гібридний Victron Energy Quattro 48/15000/200-100/100")</f>
        <v>Інвертор гібридний Victron Energy Quattro 48/15000/200-100/100</v>
      </c>
      <c r="D114" s="315"/>
      <c r="E114" s="315"/>
      <c r="F114" s="315"/>
      <c r="G114" s="315"/>
      <c r="H114" s="315"/>
      <c r="I114" s="315"/>
      <c r="J114" s="315"/>
      <c r="K114" s="315"/>
      <c r="L114" s="315"/>
      <c r="M114" s="317"/>
      <c r="N114" s="315"/>
      <c r="O114" s="317"/>
      <c r="P114" s="315"/>
      <c r="Q114" s="317"/>
      <c r="R114" s="315"/>
      <c r="S114" s="315" t="str">
        <f>IFERROR(__xludf.DUMMYFUNCTION("""COMPUTED_VALUE"""),"TA-GN 100х60 мм (короб з кришкою, 2000 мм, ДКС)")</f>
        <v>TA-GN 100х60 мм (короб з кришкою, 2000 мм, ДКС)</v>
      </c>
      <c r="T114" s="315"/>
      <c r="U114" s="315" t="s">
        <v>444</v>
      </c>
      <c r="V114" s="317"/>
    </row>
    <row r="115" ht="15.75" customHeight="1">
      <c r="A115" s="333"/>
      <c r="B115" s="315"/>
      <c r="C115" s="315" t="str">
        <f>IFERROR(__xludf.DUMMYFUNCTION("""COMPUTED_VALUE"""),"Інвертор гібридний Victron Energy Quattro 48/5000/70-100/100")</f>
        <v>Інвертор гібридний Victron Energy Quattro 48/5000/70-100/100</v>
      </c>
      <c r="D115" s="315"/>
      <c r="E115" s="315"/>
      <c r="F115" s="315"/>
      <c r="G115" s="315"/>
      <c r="H115" s="315"/>
      <c r="I115" s="315"/>
      <c r="J115" s="315"/>
      <c r="K115" s="315"/>
      <c r="L115" s="315"/>
      <c r="M115" s="317"/>
      <c r="N115" s="315"/>
      <c r="O115" s="317"/>
      <c r="P115" s="315"/>
      <c r="Q115" s="317"/>
      <c r="R115" s="315"/>
      <c r="S115" s="315" t="str">
        <f>IFERROR(__xludf.DUMMYFUNCTION("""COMPUTED_VALUE"""),"TA-GN 80х40 мм (короб з кришкою, 2000 мм, ДКС)")</f>
        <v>TA-GN 80х40 мм (короб з кришкою, 2000 мм, ДКС)</v>
      </c>
      <c r="T115" s="315"/>
      <c r="U115" s="315" t="s">
        <v>445</v>
      </c>
      <c r="V115" s="317"/>
    </row>
    <row r="116" ht="15.75" customHeight="1">
      <c r="A116" s="333"/>
      <c r="B116" s="315"/>
      <c r="C116" s="315" t="str">
        <f>IFERROR(__xludf.DUMMYFUNCTION("""COMPUTED_VALUE"""),"Інвертор гібридний Victron Energy Quattro 48/8000/110-100/100")</f>
        <v>Інвертор гібридний Victron Energy Quattro 48/8000/110-100/100</v>
      </c>
      <c r="D116" s="315"/>
      <c r="E116" s="315"/>
      <c r="F116" s="315"/>
      <c r="G116" s="315"/>
      <c r="H116" s="315"/>
      <c r="I116" s="315"/>
      <c r="J116" s="315"/>
      <c r="K116" s="315"/>
      <c r="L116" s="315"/>
      <c r="M116" s="317"/>
      <c r="N116" s="315"/>
      <c r="O116" s="317"/>
      <c r="P116" s="315"/>
      <c r="Q116" s="317"/>
      <c r="R116" s="315"/>
      <c r="S116" s="315" t="str">
        <f>IFERROR(__xludf.DUMMYFUNCTION("""COMPUTED_VALUE"""),"VSU 150 Клема силова VSU 150 (150 mm2_бежева),ETI --- 19шт")</f>
        <v>VSU 150 Клема силова VSU 150 (150 mm2_бежева),ETI --- 19шт</v>
      </c>
      <c r="T116" s="315"/>
      <c r="U116" s="315" t="s">
        <v>446</v>
      </c>
      <c r="V116" s="317"/>
    </row>
    <row r="117" ht="15.75" customHeight="1">
      <c r="A117" s="333"/>
      <c r="B117" s="315"/>
      <c r="C117" s="315" t="str">
        <f>IFERROR(__xludf.DUMMYFUNCTION("""COMPUTED_VALUE"""),"Інвертор гібридний Victron Multi RS Solar 48/6000")</f>
        <v>Інвертор гібридний Victron Multi RS Solar 48/6000</v>
      </c>
      <c r="D117" s="315"/>
      <c r="E117" s="315"/>
      <c r="F117" s="315"/>
      <c r="G117" s="315"/>
      <c r="H117" s="315"/>
      <c r="I117" s="315"/>
      <c r="J117" s="315"/>
      <c r="K117" s="315"/>
      <c r="L117" s="315"/>
      <c r="M117" s="317"/>
      <c r="N117" s="315"/>
      <c r="O117" s="317"/>
      <c r="P117" s="315"/>
      <c r="Q117" s="317"/>
      <c r="R117" s="315"/>
      <c r="S117" s="315" t="str">
        <f>IFERROR(__xludf.DUMMYFUNCTION("""COMPUTED_VALUE"""),"VSU 70 Клема силова VSU 70 (70 mm2_бежева), ETI --- 20шт")</f>
        <v>VSU 70 Клема силова VSU 70 (70 mm2_бежева), ETI --- 20шт</v>
      </c>
      <c r="T117" s="315"/>
      <c r="U117" s="315" t="s">
        <v>447</v>
      </c>
      <c r="V117" s="317"/>
    </row>
    <row r="118" ht="15.75" customHeight="1">
      <c r="A118" s="333"/>
      <c r="B118" s="315"/>
      <c r="C118" s="315" t="str">
        <f>IFERROR(__xludf.DUMMYFUNCTION("""COMPUTED_VALUE"""),"Інвертор мережевий Deye SUN-100К-G03")</f>
        <v>Інвертор мережевий Deye SUN-100К-G03</v>
      </c>
      <c r="D118" s="315"/>
      <c r="E118" s="315"/>
      <c r="F118" s="315"/>
      <c r="G118" s="315"/>
      <c r="H118" s="315"/>
      <c r="I118" s="315"/>
      <c r="J118" s="315"/>
      <c r="K118" s="315"/>
      <c r="L118" s="315"/>
      <c r="M118" s="317"/>
      <c r="N118" s="315"/>
      <c r="O118" s="317"/>
      <c r="P118" s="315"/>
      <c r="Q118" s="317"/>
      <c r="R118" s="315"/>
      <c r="S118" s="315" t="str">
        <f>IFERROR(__xludf.DUMMYFUNCTION("""COMPUTED_VALUE"""),"VSU 95 Клема силова VSU 95 (95 mm2_бежева),ETI --- 1шт")</f>
        <v>VSU 95 Клема силова VSU 95 (95 mm2_бежева),ETI --- 1шт</v>
      </c>
      <c r="T118" s="315"/>
      <c r="U118" s="315" t="s">
        <v>448</v>
      </c>
      <c r="V118" s="317"/>
    </row>
    <row r="119" ht="15.75" customHeight="1">
      <c r="A119" s="333"/>
      <c r="B119" s="315"/>
      <c r="C119" s="315" t="str">
        <f>IFERROR(__xludf.DUMMYFUNCTION("""COMPUTED_VALUE"""),"Інвертор мережевий Deye SUN-10K-G WiFi")</f>
        <v>Інвертор мережевий Deye SUN-10K-G WiFi</v>
      </c>
      <c r="D119" s="315"/>
      <c r="E119" s="315"/>
      <c r="F119" s="315"/>
      <c r="G119" s="315"/>
      <c r="H119" s="315"/>
      <c r="I119" s="315"/>
      <c r="J119" s="315"/>
      <c r="K119" s="315"/>
      <c r="L119" s="315"/>
      <c r="M119" s="317"/>
      <c r="N119" s="315"/>
      <c r="O119" s="317"/>
      <c r="P119" s="315"/>
      <c r="Q119" s="317"/>
      <c r="R119" s="315"/>
      <c r="S119" s="315" t="str">
        <f>IFERROR(__xludf.DUMMYFUNCTION("""COMPUTED_VALUE"""),"YXD10 (обмежувач, металевий, тримач, на DIN-рейку, ІЕК) --- 11шт")</f>
        <v>YXD10 (обмежувач, металевий, тримач, на DIN-рейку, ІЕК) --- 11шт</v>
      </c>
      <c r="T119" s="315"/>
      <c r="U119" s="315" t="s">
        <v>449</v>
      </c>
      <c r="V119" s="317"/>
    </row>
    <row r="120" ht="15.75" customHeight="1">
      <c r="A120" s="333"/>
      <c r="B120" s="315"/>
      <c r="C120" s="315" t="str">
        <f>IFERROR(__xludf.DUMMYFUNCTION("""COMPUTED_VALUE"""),"Інвертор мережевий Deye SUN-10K-G06")</f>
        <v>Інвертор мережевий Deye SUN-10K-G06</v>
      </c>
      <c r="D120" s="315"/>
      <c r="E120" s="315"/>
      <c r="F120" s="315"/>
      <c r="G120" s="315"/>
      <c r="H120" s="315"/>
      <c r="I120" s="315"/>
      <c r="J120" s="315"/>
      <c r="K120" s="315"/>
      <c r="L120" s="315"/>
      <c r="M120" s="317"/>
      <c r="N120" s="315"/>
      <c r="O120" s="317"/>
      <c r="P120" s="315"/>
      <c r="Q120" s="317"/>
      <c r="R120" s="315"/>
      <c r="S120" s="315" t="str">
        <f>IFERROR(__xludf.DUMMYFUNCTION("""COMPUTED_VALUE"""),"Блок-контакт 1НЗ (додатковий контакт, 1NC, ""СТОП"") --- 1шт")</f>
        <v>Блок-контакт 1НЗ (додатковий контакт, 1NC, "СТОП") --- 1шт</v>
      </c>
      <c r="T120" s="315"/>
      <c r="U120" s="315" t="s">
        <v>450</v>
      </c>
      <c r="V120" s="317"/>
    </row>
    <row r="121" ht="15.75" customHeight="1">
      <c r="A121" s="333"/>
      <c r="B121" s="315"/>
      <c r="C121" s="315" t="str">
        <f>IFERROR(__xludf.DUMMYFUNCTION("""COMPUTED_VALUE"""),"Інвертор мережевий Deye SUN-10K-G06P3-EU-AM2-P1")</f>
        <v>Інвертор мережевий Deye SUN-10K-G06P3-EU-AM2-P1</v>
      </c>
      <c r="D121" s="315"/>
      <c r="E121" s="315"/>
      <c r="F121" s="315"/>
      <c r="G121" s="315"/>
      <c r="H121" s="315"/>
      <c r="I121" s="315"/>
      <c r="J121" s="315"/>
      <c r="K121" s="315"/>
      <c r="L121" s="315"/>
      <c r="M121" s="317"/>
      <c r="N121" s="315"/>
      <c r="O121" s="317"/>
      <c r="P121" s="315"/>
      <c r="Q121" s="317"/>
      <c r="R121" s="315"/>
      <c r="S121" s="315" t="str">
        <f>IFERROR(__xludf.DUMMYFUNCTION("""COMPUTED_VALUE"""),"Блок-контакт 1НО (додатковий контакт, 1NO, ""СТАРТ"", ""ПУСК"")")</f>
        <v>Блок-контакт 1НО (додатковий контакт, 1NO, "СТАРТ", "ПУСК")</v>
      </c>
      <c r="T121" s="315"/>
      <c r="U121" s="315" t="s">
        <v>451</v>
      </c>
      <c r="V121" s="317"/>
    </row>
    <row r="122" ht="15.75" customHeight="1">
      <c r="A122" s="333"/>
      <c r="B122" s="315"/>
      <c r="C122" s="315" t="str">
        <f>IFERROR(__xludf.DUMMYFUNCTION("""COMPUTED_VALUE"""),"Інвертор мережевий Deye SUN-15K-G0")</f>
        <v>Інвертор мережевий Deye SUN-15K-G0</v>
      </c>
      <c r="D122" s="315"/>
      <c r="E122" s="315"/>
      <c r="F122" s="315"/>
      <c r="G122" s="315"/>
      <c r="H122" s="315"/>
      <c r="I122" s="315"/>
      <c r="J122" s="315"/>
      <c r="K122" s="315"/>
      <c r="L122" s="315"/>
      <c r="M122" s="317"/>
      <c r="N122" s="315"/>
      <c r="O122" s="317"/>
      <c r="P122" s="315"/>
      <c r="Q122" s="317"/>
      <c r="R122" s="315"/>
      <c r="S122" s="315" t="str">
        <f>IFERROR(__xludf.DUMMYFUNCTION("""COMPUTED_VALUE"""),"Вимикач з фіксацією (2 положення, поворотний, 1НО) --- 2шт")</f>
        <v>Вимикач з фіксацією (2 положення, поворотний, 1НО) --- 2шт</v>
      </c>
      <c r="T122" s="315"/>
      <c r="U122" s="315" t="s">
        <v>452</v>
      </c>
      <c r="V122" s="317"/>
    </row>
    <row r="123" ht="15.75" customHeight="1">
      <c r="A123" s="333"/>
      <c r="B123" s="315"/>
      <c r="C123" s="315" t="str">
        <f>IFERROR(__xludf.DUMMYFUNCTION("""COMPUTED_VALUE"""),"Інвертор мережевий Deye SUN-15K-G06")</f>
        <v>Інвертор мережевий Deye SUN-15K-G06</v>
      </c>
      <c r="D123" s="315"/>
      <c r="E123" s="315"/>
      <c r="F123" s="315"/>
      <c r="G123" s="315"/>
      <c r="H123" s="315"/>
      <c r="I123" s="315"/>
      <c r="J123" s="315"/>
      <c r="K123" s="315"/>
      <c r="L123" s="315"/>
      <c r="M123" s="317"/>
      <c r="N123" s="315"/>
      <c r="O123" s="317"/>
      <c r="P123" s="315"/>
      <c r="Q123" s="317"/>
      <c r="R123" s="315"/>
      <c r="S123" s="315" t="str">
        <f>IFERROR(__xludf.DUMMYFUNCTION("""COMPUTED_VALUE"""),"ГМА-25/35 (гільза мідно-алюмінієва з'єднувальна, 25/35 мм2, IEK) --- 7шт")</f>
        <v>ГМА-25/35 (гільза мідно-алюмінієва з'єднувальна, 25/35 мм2, IEK) --- 7шт</v>
      </c>
      <c r="T123" s="315"/>
      <c r="U123" s="315" t="s">
        <v>453</v>
      </c>
      <c r="V123" s="317"/>
    </row>
    <row r="124" ht="15.75" customHeight="1">
      <c r="A124" s="333"/>
      <c r="B124" s="315"/>
      <c r="C124" s="315" t="str">
        <f>IFERROR(__xludf.DUMMYFUNCTION("""COMPUTED_VALUE"""),"Інвертор мережевий Deye SUN-15K-G06P3-EU-AM2-P1")</f>
        <v>Інвертор мережевий Deye SUN-15K-G06P3-EU-AM2-P1</v>
      </c>
      <c r="D124" s="315"/>
      <c r="E124" s="315"/>
      <c r="F124" s="315"/>
      <c r="G124" s="315"/>
      <c r="H124" s="315"/>
      <c r="I124" s="315"/>
      <c r="J124" s="315"/>
      <c r="K124" s="315"/>
      <c r="L124" s="315"/>
      <c r="M124" s="317"/>
      <c r="N124" s="315"/>
      <c r="O124" s="317"/>
      <c r="P124" s="315"/>
      <c r="Q124" s="317"/>
      <c r="R124" s="315"/>
      <c r="S124" s="315" t="str">
        <f>IFERROR(__xludf.DUMMYFUNCTION("""COMPUTED_VALUE"""),"ЗАБу 4х10-35  (затискач анкерний для СІП-4, 10-35 мм2, ІЕК) --- 6шт")</f>
        <v>ЗАБу 4х10-35  (затискач анкерний для СІП-4, 10-35 мм2, ІЕК) --- 6шт</v>
      </c>
      <c r="T124" s="315"/>
      <c r="U124" s="315" t="s">
        <v>454</v>
      </c>
      <c r="V124" s="317"/>
    </row>
    <row r="125" ht="15.75" customHeight="1">
      <c r="A125" s="333"/>
      <c r="B125" s="315"/>
      <c r="C125" s="315" t="str">
        <f>IFERROR(__xludf.DUMMYFUNCTION("""COMPUTED_VALUE"""),"Інвертор мережевий Deye SUN-18K-G05")</f>
        <v>Інвертор мережевий Deye SUN-18K-G05</v>
      </c>
      <c r="D125" s="315"/>
      <c r="E125" s="315"/>
      <c r="F125" s="315"/>
      <c r="G125" s="315"/>
      <c r="H125" s="315"/>
      <c r="I125" s="315"/>
      <c r="J125" s="315"/>
      <c r="K125" s="315"/>
      <c r="L125" s="315"/>
      <c r="M125" s="317"/>
      <c r="N125" s="315"/>
      <c r="O125" s="317"/>
      <c r="P125" s="315"/>
      <c r="Q125" s="317"/>
      <c r="R125" s="315"/>
      <c r="S125" s="315" t="str">
        <f>IFERROR(__xludf.DUMMYFUNCTION("""COMPUTED_VALUE"""),"ЗАС 4х16-50/14400  (затискач анкерний для СІП-4, 16-50 мм2, ІЕК)")</f>
        <v>ЗАС 4х16-50/14400  (затискач анкерний для СІП-4, 16-50 мм2, ІЕК)</v>
      </c>
      <c r="T125" s="315"/>
      <c r="U125" s="315" t="s">
        <v>455</v>
      </c>
      <c r="V125" s="317"/>
    </row>
    <row r="126" ht="15.75" customHeight="1">
      <c r="A126" s="333"/>
      <c r="B126" s="315"/>
      <c r="C126" s="315" t="str">
        <f>IFERROR(__xludf.DUMMYFUNCTION("""COMPUTED_VALUE"""),"Інвертор мережевий Deye SUN-20K-G04 WiFi")</f>
        <v>Інвертор мережевий Deye SUN-20K-G04 WiFi</v>
      </c>
      <c r="D126" s="315"/>
      <c r="E126" s="315"/>
      <c r="F126" s="315"/>
      <c r="G126" s="315"/>
      <c r="H126" s="315"/>
      <c r="I126" s="315"/>
      <c r="J126" s="315"/>
      <c r="K126" s="315"/>
      <c r="L126" s="315"/>
      <c r="M126" s="317"/>
      <c r="N126" s="315"/>
      <c r="O126" s="317"/>
      <c r="P126" s="315"/>
      <c r="Q126" s="317"/>
      <c r="R126" s="315"/>
      <c r="S126" s="315" t="str">
        <f>IFERROR(__xludf.DUMMYFUNCTION("""COMPUTED_VALUE"""),"ЗНИ-10 (заглушка для затискача набірного 10мм², клема, сіра, IEK) --- 19шт")</f>
        <v>ЗНИ-10 (заглушка для затискача набірного 10мм², клема, сіра, IEK) --- 19шт</v>
      </c>
      <c r="T126" s="315"/>
      <c r="U126" s="315" t="s">
        <v>456</v>
      </c>
      <c r="V126" s="317"/>
    </row>
    <row r="127" ht="15.75" customHeight="1">
      <c r="A127" s="333"/>
      <c r="B127" s="315"/>
      <c r="C127" s="315" t="str">
        <f>IFERROR(__xludf.DUMMYFUNCTION("""COMPUTED_VALUE"""),"Інвертор мережевий Deye SUN-20K-G05")</f>
        <v>Інвертор мережевий Deye SUN-20K-G05</v>
      </c>
      <c r="D127" s="315"/>
      <c r="E127" s="315"/>
      <c r="F127" s="315"/>
      <c r="G127" s="315"/>
      <c r="H127" s="315"/>
      <c r="I127" s="315"/>
      <c r="J127" s="315"/>
      <c r="K127" s="315"/>
      <c r="L127" s="315"/>
      <c r="M127" s="317"/>
      <c r="N127" s="315"/>
      <c r="O127" s="317"/>
      <c r="P127" s="315"/>
      <c r="Q127" s="317"/>
      <c r="R127" s="315"/>
      <c r="S127" s="315" t="str">
        <f>IFERROR(__xludf.DUMMYFUNCTION("""COMPUTED_VALUE"""),"ЗНИ-10 (затискач набірний, клема, розподільчий блок, 10 мм², сірий, IEK) --- 70шт")</f>
        <v>ЗНИ-10 (затискач набірний, клема, розподільчий блок, 10 мм², сірий, IEK) --- 70шт</v>
      </c>
      <c r="T127" s="315"/>
      <c r="U127" s="315" t="s">
        <v>457</v>
      </c>
      <c r="V127" s="317"/>
    </row>
    <row r="128" ht="15.75" customHeight="1">
      <c r="A128" s="333"/>
      <c r="B128" s="315"/>
      <c r="C128" s="315" t="str">
        <f>IFERROR(__xludf.DUMMYFUNCTION("""COMPUTED_VALUE"""),"Інвертор мережевий Deye SUN-25K-G05")</f>
        <v>Інвертор мережевий Deye SUN-25K-G05</v>
      </c>
      <c r="D128" s="315"/>
      <c r="E128" s="315"/>
      <c r="F128" s="315"/>
      <c r="G128" s="315"/>
      <c r="H128" s="315"/>
      <c r="I128" s="315"/>
      <c r="J128" s="315"/>
      <c r="K128" s="315"/>
      <c r="L128" s="315"/>
      <c r="M128" s="317"/>
      <c r="N128" s="315"/>
      <c r="O128" s="317"/>
      <c r="P128" s="315"/>
      <c r="Q128" s="317"/>
      <c r="R128" s="315"/>
      <c r="S128" s="315" t="str">
        <f>IFERROR(__xludf.DUMMYFUNCTION("""COMPUTED_VALUE"""),"ЗОИ 25-95/25-95 (затискач відгалужувальний ізольований, IEK)")</f>
        <v>ЗОИ 25-95/25-95 (затискач відгалужувальний ізольований, IEK)</v>
      </c>
      <c r="T128" s="315"/>
      <c r="U128" s="315" t="s">
        <v>458</v>
      </c>
      <c r="V128" s="317"/>
    </row>
    <row r="129" ht="15.75" customHeight="1">
      <c r="A129" s="333"/>
      <c r="B129" s="315"/>
      <c r="C129" s="315" t="str">
        <f>IFERROR(__xludf.DUMMYFUNCTION("""COMPUTED_VALUE"""),"Інвертор мережевий Deye SUN-30K-G04 WiFi")</f>
        <v>Інвертор мережевий Deye SUN-30K-G04 WiFi</v>
      </c>
      <c r="D129" s="315"/>
      <c r="E129" s="315"/>
      <c r="F129" s="315"/>
      <c r="G129" s="315"/>
      <c r="H129" s="315"/>
      <c r="I129" s="315"/>
      <c r="J129" s="315"/>
      <c r="K129" s="315"/>
      <c r="L129" s="315"/>
      <c r="M129" s="317"/>
      <c r="N129" s="315"/>
      <c r="O129" s="317"/>
      <c r="P129" s="315"/>
      <c r="Q129" s="317"/>
      <c r="R129" s="315"/>
      <c r="S129" s="315" t="str">
        <f>IFERROR(__xludf.DUMMYFUNCTION("""COMPUTED_VALUE"""),"Кришка бокова 2.5 (пластина бокова, заглушка, 2.5 мм, клема, сіра) --- 4шт")</f>
        <v>Кришка бокова 2.5 (пластина бокова, заглушка, 2.5 мм, клема, сіра) --- 4шт</v>
      </c>
      <c r="T129" s="315"/>
      <c r="U129" s="315" t="s">
        <v>459</v>
      </c>
      <c r="V129" s="317"/>
    </row>
    <row r="130" ht="15.75" customHeight="1">
      <c r="A130" s="333"/>
      <c r="B130" s="315"/>
      <c r="C130" s="315" t="str">
        <f>IFERROR(__xludf.DUMMYFUNCTION("""COMPUTED_VALUE"""),"Інвертор мережевий Deye SUN-35K-G04")</f>
        <v>Інвертор мережевий Deye SUN-35K-G04</v>
      </c>
      <c r="D130" s="315"/>
      <c r="E130" s="315"/>
      <c r="F130" s="315"/>
      <c r="G130" s="315"/>
      <c r="H130" s="315"/>
      <c r="I130" s="315"/>
      <c r="J130" s="315"/>
      <c r="K130" s="315"/>
      <c r="L130" s="315"/>
      <c r="M130" s="317"/>
      <c r="N130" s="315"/>
      <c r="O130" s="317"/>
      <c r="P130" s="315"/>
      <c r="Q130" s="317"/>
      <c r="R130" s="315"/>
      <c r="S130" s="315" t="str">
        <f>IFERROR(__xludf.DUMMYFUNCTION("""COMPUTED_VALUE"""),"Кришка на лоток 50 мм (із заземленням, оцинкована сталь., 3000 мм, ДКС)")</f>
        <v>Кришка на лоток 50 мм (із заземленням, оцинкована сталь., 3000 мм, ДКС)</v>
      </c>
      <c r="T130" s="315"/>
      <c r="U130" s="315" t="s">
        <v>460</v>
      </c>
      <c r="V130" s="317"/>
    </row>
    <row r="131" ht="15.75" customHeight="1">
      <c r="A131" s="333"/>
      <c r="B131" s="315"/>
      <c r="C131" s="315" t="str">
        <f>IFERROR(__xludf.DUMMYFUNCTION("""COMPUTED_VALUE"""),"Інвертор мережевий Deye SUN-45K-G04")</f>
        <v>Інвертор мережевий Deye SUN-45K-G04</v>
      </c>
      <c r="D131" s="315"/>
      <c r="E131" s="315"/>
      <c r="F131" s="315"/>
      <c r="G131" s="315"/>
      <c r="H131" s="315"/>
      <c r="I131" s="315"/>
      <c r="J131" s="315"/>
      <c r="K131" s="315"/>
      <c r="L131" s="315"/>
      <c r="M131" s="317"/>
      <c r="N131" s="315"/>
      <c r="O131" s="317"/>
      <c r="P131" s="315"/>
      <c r="Q131" s="317"/>
      <c r="R131" s="315"/>
      <c r="S131" s="315" t="str">
        <f>IFERROR(__xludf.DUMMYFUNCTION("""COMPUTED_VALUE"""),"Лоток 50х50 мм (лоток, неперфорований, оцинкована сталь., 3000 мм, ДКС)")</f>
        <v>Лоток 50х50 мм (лоток, неперфорований, оцинкована сталь., 3000 мм, ДКС)</v>
      </c>
      <c r="T131" s="315"/>
      <c r="U131" s="315" t="s">
        <v>461</v>
      </c>
      <c r="V131" s="317"/>
    </row>
    <row r="132" ht="15.75" customHeight="1">
      <c r="A132" s="333"/>
      <c r="B132" s="315"/>
      <c r="C132" s="315" t="str">
        <f>IFERROR(__xludf.DUMMYFUNCTION("""COMPUTED_VALUE"""),"Інвертор мережевий Deye SUN-50K-G03")</f>
        <v>Інвертор мережевий Deye SUN-50K-G03</v>
      </c>
      <c r="D132" s="315"/>
      <c r="E132" s="315"/>
      <c r="F132" s="315"/>
      <c r="G132" s="315"/>
      <c r="H132" s="315"/>
      <c r="I132" s="315"/>
      <c r="J132" s="315"/>
      <c r="K132" s="315"/>
      <c r="L132" s="315"/>
      <c r="M132" s="317"/>
      <c r="N132" s="315"/>
      <c r="O132" s="317"/>
      <c r="P132" s="315"/>
      <c r="Q132" s="317"/>
      <c r="R132" s="315"/>
      <c r="S132" s="315" t="str">
        <f>IFERROR(__xludf.DUMMYFUNCTION("""COMPUTED_VALUE"""),"ЛС-47М жовта (лампа, світлосигнальна арматура, модульна, LED, ІЕК) --- 3шт")</f>
        <v>ЛС-47М жовта (лампа, світлосигнальна арматура, модульна, LED, ІЕК) --- 3шт</v>
      </c>
      <c r="T132" s="315"/>
      <c r="U132" s="315" t="s">
        <v>462</v>
      </c>
      <c r="V132" s="317"/>
    </row>
    <row r="133" ht="15.75" customHeight="1">
      <c r="A133" s="333"/>
      <c r="B133" s="315"/>
      <c r="C133" s="315" t="str">
        <f>IFERROR(__xludf.DUMMYFUNCTION("""COMPUTED_VALUE"""),"Інвертор мережевий Deye SUN-50K-G04")</f>
        <v>Інвертор мережевий Deye SUN-50K-G04</v>
      </c>
      <c r="D133" s="315"/>
      <c r="E133" s="315"/>
      <c r="F133" s="315"/>
      <c r="G133" s="315"/>
      <c r="H133" s="315"/>
      <c r="I133" s="315"/>
      <c r="J133" s="315"/>
      <c r="K133" s="315"/>
      <c r="L133" s="315"/>
      <c r="M133" s="317"/>
      <c r="N133" s="315"/>
      <c r="O133" s="317"/>
      <c r="P133" s="315"/>
      <c r="Q133" s="317"/>
      <c r="R133" s="315"/>
      <c r="S133" s="315" t="str">
        <f>IFERROR(__xludf.DUMMYFUNCTION("""COMPUTED_VALUE"""),"ЛС-47М зелена (лампа, світлосигнальна арматура, модульна, LED, ІЕК)")</f>
        <v>ЛС-47М зелена (лампа, світлосигнальна арматура, модульна, LED, ІЕК)</v>
      </c>
      <c r="T133" s="315"/>
      <c r="U133" s="315" t="s">
        <v>463</v>
      </c>
      <c r="V133" s="317"/>
    </row>
    <row r="134" ht="15.75" customHeight="1">
      <c r="A134" s="333"/>
      <c r="B134" s="315"/>
      <c r="C134" s="315" t="str">
        <f>IFERROR(__xludf.DUMMYFUNCTION("""COMPUTED_VALUE"""),"Інвертор мережевий Deye SUN-60K-G04P3-EU-AM4")</f>
        <v>Інвертор мережевий Deye SUN-60K-G04P3-EU-AM4</v>
      </c>
      <c r="D134" s="315"/>
      <c r="E134" s="315"/>
      <c r="F134" s="315"/>
      <c r="G134" s="315"/>
      <c r="H134" s="315"/>
      <c r="I134" s="315"/>
      <c r="J134" s="315"/>
      <c r="K134" s="315"/>
      <c r="L134" s="315"/>
      <c r="M134" s="317"/>
      <c r="N134" s="315"/>
      <c r="O134" s="317"/>
      <c r="P134" s="315"/>
      <c r="Q134" s="317"/>
      <c r="R134" s="315"/>
      <c r="S134" s="315" t="str">
        <f>IFERROR(__xludf.DUMMYFUNCTION("""COMPUTED_VALUE"""),"Муфта д.32 мм (труба-труба, IP67)")</f>
        <v>Муфта д.32 мм (труба-труба, IP67)</v>
      </c>
      <c r="T134" s="315"/>
      <c r="U134" s="315" t="s">
        <v>464</v>
      </c>
      <c r="V134" s="317"/>
    </row>
    <row r="135" ht="15.75" customHeight="1">
      <c r="A135" s="333"/>
      <c r="B135" s="315"/>
      <c r="C135" s="315" t="str">
        <f>IFERROR(__xludf.DUMMYFUNCTION("""COMPUTED_VALUE"""),"Інвертор мережевий Deye SUN-80K-G04P3-EU-AM4")</f>
        <v>Інвертор мережевий Deye SUN-80K-G04P3-EU-AM4</v>
      </c>
      <c r="D135" s="315"/>
      <c r="E135" s="315"/>
      <c r="F135" s="315"/>
      <c r="G135" s="315"/>
      <c r="H135" s="315"/>
      <c r="I135" s="315"/>
      <c r="J135" s="315"/>
      <c r="K135" s="315"/>
      <c r="L135" s="315"/>
      <c r="M135" s="317"/>
      <c r="N135" s="315"/>
      <c r="O135" s="317"/>
      <c r="P135" s="315"/>
      <c r="Q135" s="317"/>
      <c r="R135" s="315"/>
      <c r="S135" s="315" t="str">
        <f>IFERROR(__xludf.DUMMYFUNCTION("""COMPUTED_VALUE"""),"Муфта д.32 мм (труба-труба, з обмежувачем, IP40)")</f>
        <v>Муфта д.32 мм (труба-труба, з обмежувачем, IP40)</v>
      </c>
      <c r="T135" s="315"/>
      <c r="U135" s="315" t="s">
        <v>465</v>
      </c>
      <c r="V135" s="317"/>
    </row>
    <row r="136" ht="15.75" customHeight="1">
      <c r="A136" s="333"/>
      <c r="B136" s="315"/>
      <c r="C136" s="315" t="str">
        <f>IFERROR(__xludf.DUMMYFUNCTION("""COMPUTED_VALUE"""),"Інвертор мережевий Fronius Verto 30.0 SPD 1+2 (30 кВт, 3 фази, 4 МРРТ)")</f>
        <v>Інвертор мережевий Fronius Verto 30.0 SPD 1+2 (30 кВт, 3 фази, 4 МРРТ)</v>
      </c>
      <c r="D136" s="315"/>
      <c r="E136" s="315"/>
      <c r="F136" s="315"/>
      <c r="G136" s="315"/>
      <c r="H136" s="315"/>
      <c r="I136" s="315"/>
      <c r="J136" s="315"/>
      <c r="K136" s="315"/>
      <c r="L136" s="315"/>
      <c r="M136" s="317"/>
      <c r="N136" s="315"/>
      <c r="O136" s="317"/>
      <c r="P136" s="315"/>
      <c r="Q136" s="317"/>
      <c r="R136" s="315"/>
      <c r="S136" s="315" t="str">
        <f>IFERROR(__xludf.DUMMYFUNCTION("""COMPUTED_VALUE"""),"Муфта М32х1.5 (труба-коробка, IP67, 32 мм, ДКС)")</f>
        <v>Муфта М32х1.5 (труба-коробка, IP67, 32 мм, ДКС)</v>
      </c>
      <c r="T136" s="315"/>
      <c r="U136" s="315" t="s">
        <v>466</v>
      </c>
      <c r="V136" s="317"/>
    </row>
    <row r="137" ht="15.75" customHeight="1">
      <c r="A137" s="333"/>
      <c r="B137" s="315"/>
      <c r="C137" s="315" t="str">
        <f>IFERROR(__xludf.DUMMYFUNCTION("""COMPUTED_VALUE"""),"Інвертор мережевий Huawei SUN2000-10KTL-M1")</f>
        <v>Інвертор мережевий Huawei SUN2000-10KTL-M1</v>
      </c>
      <c r="D137" s="315"/>
      <c r="E137" s="315"/>
      <c r="F137" s="315"/>
      <c r="G137" s="315"/>
      <c r="H137" s="315"/>
      <c r="I137" s="315"/>
      <c r="J137" s="315"/>
      <c r="K137" s="315"/>
      <c r="L137" s="315"/>
      <c r="M137" s="317"/>
      <c r="N137" s="315"/>
      <c r="O137" s="317"/>
      <c r="P137" s="315"/>
      <c r="Q137" s="317"/>
      <c r="R137" s="315"/>
      <c r="S137" s="315" t="str">
        <f>IFERROR(__xludf.DUMMYFUNCTION("""COMPUTED_VALUE"""),"Муфта М50х1.5 (труба-коробка, IP67, 50 мм, ДКС) --- 1шт")</f>
        <v>Муфта М50х1.5 (труба-коробка, IP67, 50 мм, ДКС) --- 1шт</v>
      </c>
      <c r="T137" s="315"/>
      <c r="U137" s="315" t="s">
        <v>467</v>
      </c>
      <c r="V137" s="317"/>
    </row>
    <row r="138" ht="15.75" customHeight="1">
      <c r="A138" s="333"/>
      <c r="B138" s="315"/>
      <c r="C138" s="315" t="str">
        <f>IFERROR(__xludf.DUMMYFUNCTION("""COMPUTED_VALUE"""),"Інвертор мережевий Huawei SUN2000-115KTL-M2")</f>
        <v>Інвертор мережевий Huawei SUN2000-115KTL-M2</v>
      </c>
      <c r="D138" s="315"/>
      <c r="E138" s="315"/>
      <c r="F138" s="315"/>
      <c r="G138" s="315"/>
      <c r="H138" s="315"/>
      <c r="I138" s="315"/>
      <c r="J138" s="315"/>
      <c r="K138" s="315"/>
      <c r="L138" s="315"/>
      <c r="M138" s="317"/>
      <c r="N138" s="315"/>
      <c r="O138" s="317"/>
      <c r="P138" s="315"/>
      <c r="Q138" s="317"/>
      <c r="R138" s="315"/>
      <c r="S138" s="315" t="str">
        <f>IFERROR(__xludf.DUMMYFUNCTION("""COMPUTED_VALUE"""),"НТ 0.75-08 сині (накінечник трубчатий, 0.75 мм2, АСКО)")</f>
        <v>НТ 0.75-08 сині (накінечник трубчатий, 0.75 мм2, АСКО)</v>
      </c>
      <c r="T138" s="315"/>
      <c r="U138" s="315" t="s">
        <v>468</v>
      </c>
      <c r="V138" s="317"/>
    </row>
    <row r="139" ht="15.75" customHeight="1">
      <c r="A139" s="333"/>
      <c r="B139" s="315"/>
      <c r="C139" s="315" t="str">
        <f>IFERROR(__xludf.DUMMYFUNCTION("""COMPUTED_VALUE"""),"Інвертор мережевий Huawei SUN2000-12KTL-M5")</f>
        <v>Інвертор мережевий Huawei SUN2000-12KTL-M5</v>
      </c>
      <c r="D139" s="315"/>
      <c r="E139" s="315"/>
      <c r="F139" s="315"/>
      <c r="G139" s="315"/>
      <c r="H139" s="315"/>
      <c r="I139" s="315"/>
      <c r="J139" s="315"/>
      <c r="K139" s="315"/>
      <c r="L139" s="315"/>
      <c r="M139" s="317"/>
      <c r="N139" s="315"/>
      <c r="O139" s="317"/>
      <c r="P139" s="315"/>
      <c r="Q139" s="317"/>
      <c r="R139" s="315"/>
      <c r="S139" s="315" t="str">
        <f>IFERROR(__xludf.DUMMYFUNCTION("""COMPUTED_VALUE"""),"НТ 1.0-08 жовті (накінечник трубчатий, 1 мм2, АСКО)")</f>
        <v>НТ 1.0-08 жовті (накінечник трубчатий, 1 мм2, АСКО)</v>
      </c>
      <c r="T139" s="315"/>
      <c r="U139" s="315" t="s">
        <v>469</v>
      </c>
      <c r="V139" s="317"/>
    </row>
    <row r="140" ht="15.75" customHeight="1">
      <c r="A140" s="333"/>
      <c r="B140" s="315"/>
      <c r="C140" s="315" t="str">
        <f>IFERROR(__xludf.DUMMYFUNCTION("""COMPUTED_VALUE"""),"Інвертор мережевий Huawei SUN2000-17KTL-M5")</f>
        <v>Інвертор мережевий Huawei SUN2000-17KTL-M5</v>
      </c>
      <c r="D140" s="315"/>
      <c r="E140" s="315"/>
      <c r="F140" s="315"/>
      <c r="G140" s="315"/>
      <c r="H140" s="315"/>
      <c r="I140" s="315"/>
      <c r="J140" s="315"/>
      <c r="K140" s="315"/>
      <c r="L140" s="315"/>
      <c r="M140" s="317"/>
      <c r="N140" s="315"/>
      <c r="O140" s="317"/>
      <c r="P140" s="315"/>
      <c r="Q140" s="317"/>
      <c r="R140" s="315"/>
      <c r="S140" s="315" t="str">
        <f>IFERROR(__xludf.DUMMYFUNCTION("""COMPUTED_VALUE"""),"НТ 1.0-08 червоні (накінечник трубчатий, 1 мм2, АСКО) --- 12пак")</f>
        <v>НТ 1.0-08 червоні (накінечник трубчатий, 1 мм2, АСКО) --- 12пак</v>
      </c>
      <c r="T140" s="315"/>
      <c r="U140" s="315" t="s">
        <v>470</v>
      </c>
      <c r="V140" s="317"/>
    </row>
    <row r="141" ht="15.75" customHeight="1">
      <c r="A141" s="333"/>
      <c r="B141" s="315"/>
      <c r="C141" s="315" t="str">
        <f>IFERROR(__xludf.DUMMYFUNCTION("""COMPUTED_VALUE"""),"Інвертор мережевий Huawei SUN2000-25KTL-M5")</f>
        <v>Інвертор мережевий Huawei SUN2000-25KTL-M5</v>
      </c>
      <c r="D141" s="315"/>
      <c r="E141" s="315"/>
      <c r="F141" s="315"/>
      <c r="G141" s="315"/>
      <c r="H141" s="315"/>
      <c r="I141" s="315"/>
      <c r="J141" s="315"/>
      <c r="K141" s="315"/>
      <c r="L141" s="315"/>
      <c r="M141" s="317"/>
      <c r="N141" s="315"/>
      <c r="O141" s="317"/>
      <c r="P141" s="315"/>
      <c r="Q141" s="317"/>
      <c r="R141" s="315"/>
      <c r="S141" s="315" t="str">
        <f>IFERROR(__xludf.DUMMYFUNCTION("""COMPUTED_VALUE"""),"НТ 10.0-12 білі (накінечник трубчатий, 10 мм2, АСКО)")</f>
        <v>НТ 10.0-12 білі (накінечник трубчатий, 10 мм2, АСКО)</v>
      </c>
      <c r="T141" s="315"/>
      <c r="U141" s="315" t="s">
        <v>471</v>
      </c>
      <c r="V141" s="317"/>
    </row>
    <row r="142" ht="15.75" customHeight="1">
      <c r="A142" s="333"/>
      <c r="B142" s="315"/>
      <c r="C142" s="315" t="str">
        <f>IFERROR(__xludf.DUMMYFUNCTION("""COMPUTED_VALUE"""),"Інвертор мережевий Huawei SUN2000-40KTL-M3")</f>
        <v>Інвертор мережевий Huawei SUN2000-40KTL-M3</v>
      </c>
      <c r="D142" s="315"/>
      <c r="E142" s="315"/>
      <c r="F142" s="315"/>
      <c r="G142" s="315"/>
      <c r="H142" s="315"/>
      <c r="I142" s="315"/>
      <c r="J142" s="315"/>
      <c r="K142" s="315"/>
      <c r="L142" s="315"/>
      <c r="M142" s="317"/>
      <c r="N142" s="315"/>
      <c r="O142" s="317"/>
      <c r="P142" s="315"/>
      <c r="Q142" s="317"/>
      <c r="R142" s="315"/>
      <c r="S142" s="315" t="str">
        <f>IFERROR(__xludf.DUMMYFUNCTION("""COMPUTED_VALUE"""),"НТ 10.0-12 жовті (накінечник трубчатий, 10 мм2, АСКО) --- 3пак")</f>
        <v>НТ 10.0-12 жовті (накінечник трубчатий, 10 мм2, АСКО) --- 3пак</v>
      </c>
      <c r="T142" s="315"/>
      <c r="U142" s="315" t="s">
        <v>472</v>
      </c>
      <c r="V142" s="317"/>
    </row>
    <row r="143" ht="15.75" customHeight="1">
      <c r="A143" s="333"/>
      <c r="B143" s="315"/>
      <c r="C143" s="315" t="str">
        <f>IFERROR(__xludf.DUMMYFUNCTION("""COMPUTED_VALUE"""),"Інвертор мережевий Solis S5-GC30K")</f>
        <v>Інвертор мережевий Solis S5-GC30K</v>
      </c>
      <c r="D143" s="315"/>
      <c r="E143" s="315"/>
      <c r="F143" s="315"/>
      <c r="G143" s="315"/>
      <c r="H143" s="315"/>
      <c r="I143" s="315"/>
      <c r="J143" s="315"/>
      <c r="K143" s="315"/>
      <c r="L143" s="315"/>
      <c r="M143" s="317"/>
      <c r="N143" s="315"/>
      <c r="O143" s="317"/>
      <c r="P143" s="315"/>
      <c r="Q143" s="317"/>
      <c r="R143" s="315"/>
      <c r="S143" s="315" t="str">
        <f>IFERROR(__xludf.DUMMYFUNCTION("""COMPUTED_VALUE"""),"НТ 16.0-12 зелені (накінечник трубчатий, 16 мм2, АСКО) --- 1пак")</f>
        <v>НТ 16.0-12 зелені (накінечник трубчатий, 16 мм2, АСКО) --- 1пак</v>
      </c>
      <c r="T143" s="315"/>
      <c r="U143" s="315" t="s">
        <v>473</v>
      </c>
      <c r="V143" s="317"/>
    </row>
    <row r="144" ht="15.75" customHeight="1">
      <c r="A144" s="333"/>
      <c r="B144" s="315"/>
      <c r="C144" s="315" t="str">
        <f>IFERROR(__xludf.DUMMYFUNCTION("""COMPUTED_VALUE"""),"Інвертор мережевий Solis S5-GR1P5K")</f>
        <v>Інвертор мережевий Solis S5-GR1P5K</v>
      </c>
      <c r="D144" s="315"/>
      <c r="E144" s="315"/>
      <c r="F144" s="315"/>
      <c r="G144" s="315"/>
      <c r="H144" s="315"/>
      <c r="I144" s="315"/>
      <c r="J144" s="315"/>
      <c r="K144" s="315"/>
      <c r="L144" s="315"/>
      <c r="M144" s="317"/>
      <c r="N144" s="315"/>
      <c r="O144" s="317"/>
      <c r="P144" s="315"/>
      <c r="Q144" s="317"/>
      <c r="R144" s="315"/>
      <c r="S144" s="315" t="str">
        <f>IFERROR(__xludf.DUMMYFUNCTION("""COMPUTED_VALUE"""),"НТ 16.0-12 сині (накінечник трубчатий, 16 мм2, АСКО) --- 4пак")</f>
        <v>НТ 16.0-12 сині (накінечник трубчатий, 16 мм2, АСКО) --- 4пак</v>
      </c>
      <c r="T144" s="315"/>
      <c r="U144" s="315" t="s">
        <v>474</v>
      </c>
      <c r="V144" s="317"/>
    </row>
    <row r="145" ht="15.75" customHeight="1">
      <c r="A145" s="333"/>
      <c r="B145" s="315"/>
      <c r="C145" s="315" t="str">
        <f>IFERROR(__xludf.DUMMYFUNCTION("""COMPUTED_VALUE"""),"Інвертор мережевий Solis S5-GR3P10K")</f>
        <v>Інвертор мережевий Solis S5-GR3P10K</v>
      </c>
      <c r="D145" s="315"/>
      <c r="E145" s="315"/>
      <c r="F145" s="315"/>
      <c r="G145" s="315"/>
      <c r="H145" s="315"/>
      <c r="I145" s="315"/>
      <c r="J145" s="315"/>
      <c r="K145" s="315"/>
      <c r="L145" s="315"/>
      <c r="M145" s="317"/>
      <c r="N145" s="315"/>
      <c r="O145" s="317"/>
      <c r="P145" s="315"/>
      <c r="Q145" s="317"/>
      <c r="R145" s="315"/>
      <c r="S145" s="315" t="str">
        <f>IFERROR(__xludf.DUMMYFUNCTION("""COMPUTED_VALUE"""),"НТ 2.5-08 сині (накінечник трубчатий, 2.5 мм2, АСКО)")</f>
        <v>НТ 2.5-08 сині (накінечник трубчатий, 2.5 мм2, АСКО)</v>
      </c>
      <c r="T145" s="315"/>
      <c r="U145" s="315" t="s">
        <v>475</v>
      </c>
      <c r="V145" s="317"/>
    </row>
    <row r="146" ht="15.75" customHeight="1">
      <c r="A146" s="333"/>
      <c r="B146" s="315"/>
      <c r="C146" s="315" t="str">
        <f>IFERROR(__xludf.DUMMYFUNCTION("""COMPUTED_VALUE"""),"Інвертор мережевий Solis S5-GR3P15K")</f>
        <v>Інвертор мережевий Solis S5-GR3P15K</v>
      </c>
      <c r="D146" s="315"/>
      <c r="E146" s="315"/>
      <c r="F146" s="315"/>
      <c r="G146" s="315"/>
      <c r="H146" s="315"/>
      <c r="I146" s="315"/>
      <c r="J146" s="315"/>
      <c r="K146" s="315"/>
      <c r="L146" s="315"/>
      <c r="M146" s="317"/>
      <c r="N146" s="315"/>
      <c r="O146" s="317"/>
      <c r="P146" s="315"/>
      <c r="Q146" s="317"/>
      <c r="R146" s="315"/>
      <c r="S146" s="315" t="str">
        <f>IFERROR(__xludf.DUMMYFUNCTION("""COMPUTED_VALUE"""),"НТ 25.0-12 помаранчеві (накінечник трубчатий, 25 мм2, АСКО)")</f>
        <v>НТ 25.0-12 помаранчеві (накінечник трубчатий, 25 мм2, АСКО)</v>
      </c>
      <c r="T146" s="315"/>
      <c r="U146" s="315" t="s">
        <v>476</v>
      </c>
      <c r="V146" s="317"/>
    </row>
    <row r="147" ht="15.75" customHeight="1">
      <c r="A147" s="333"/>
      <c r="B147" s="315"/>
      <c r="C147" s="315" t="str">
        <f>IFERROR(__xludf.DUMMYFUNCTION("""COMPUTED_VALUE"""),"Інвертор мережевий Solis S5-GR3P20K")</f>
        <v>Інвертор мережевий Solis S5-GR3P20K</v>
      </c>
      <c r="D147" s="315"/>
      <c r="E147" s="315"/>
      <c r="F147" s="315"/>
      <c r="G147" s="315"/>
      <c r="H147" s="315"/>
      <c r="I147" s="315"/>
      <c r="J147" s="315"/>
      <c r="K147" s="315"/>
      <c r="L147" s="315"/>
      <c r="M147" s="317"/>
      <c r="N147" s="315"/>
      <c r="O147" s="317"/>
      <c r="P147" s="315"/>
      <c r="Q147" s="317"/>
      <c r="R147" s="315"/>
      <c r="S147" s="315" t="str">
        <f>IFERROR(__xludf.DUMMYFUNCTION("""COMPUTED_VALUE"""),"НТ 4.0-09 помаранчеві (накінечник трубчатий, 4 мм2, АСКО)")</f>
        <v>НТ 4.0-09 помаранчеві (накінечник трубчатий, 4 мм2, АСКО)</v>
      </c>
      <c r="T147" s="315"/>
      <c r="U147" s="315" t="s">
        <v>477</v>
      </c>
      <c r="V147" s="317"/>
    </row>
    <row r="148" ht="15.75" customHeight="1">
      <c r="A148" s="333"/>
      <c r="B148" s="315"/>
      <c r="C148" s="315" t="str">
        <f>IFERROR(__xludf.DUMMYFUNCTION("""COMPUTED_VALUE"""),"Інвертор мережевий Solis S5-GR3P5K")</f>
        <v>Інвертор мережевий Solis S5-GR3P5K</v>
      </c>
      <c r="D148" s="315"/>
      <c r="E148" s="315"/>
      <c r="F148" s="315"/>
      <c r="G148" s="315"/>
      <c r="H148" s="315"/>
      <c r="I148" s="315"/>
      <c r="J148" s="315"/>
      <c r="K148" s="315"/>
      <c r="L148" s="315"/>
      <c r="M148" s="317"/>
      <c r="N148" s="315"/>
      <c r="O148" s="317"/>
      <c r="P148" s="315"/>
      <c r="Q148" s="317"/>
      <c r="R148" s="315"/>
      <c r="S148" s="315" t="str">
        <f>IFERROR(__xludf.DUMMYFUNCTION("""COMPUTED_VALUE"""),"НТ 6,0-12 жовті (накінечник трубчатий, 6.0 мм2, АСКО)")</f>
        <v>НТ 6,0-12 жовті (накінечник трубчатий, 6.0 мм2, АСКО)</v>
      </c>
      <c r="T148" s="315"/>
      <c r="U148" s="315" t="s">
        <v>478</v>
      </c>
      <c r="V148" s="317"/>
    </row>
    <row r="149" ht="15.75" customHeight="1">
      <c r="A149" s="333"/>
      <c r="B149" s="315"/>
      <c r="C149" s="315" t="str">
        <f>IFERROR(__xludf.DUMMYFUNCTION("""COMPUTED_VALUE"""),"Інвертор мережевий Solis-100K-5G-PRO")</f>
        <v>Інвертор мережевий Solis-100K-5G-PRO</v>
      </c>
      <c r="D149" s="315"/>
      <c r="E149" s="315"/>
      <c r="F149" s="315"/>
      <c r="G149" s="315"/>
      <c r="H149" s="315"/>
      <c r="I149" s="315"/>
      <c r="J149" s="315"/>
      <c r="K149" s="315"/>
      <c r="L149" s="315"/>
      <c r="M149" s="317"/>
      <c r="N149" s="315"/>
      <c r="O149" s="317"/>
      <c r="P149" s="315"/>
      <c r="Q149" s="317"/>
      <c r="R149" s="315"/>
      <c r="S149" s="315" t="str">
        <f>IFERROR(__xludf.DUMMYFUNCTION("""COMPUTED_VALUE"""),"НТ 6.0-12 зелені (накінечник трубчатий, 6.0 мм2, АСКО) --- 15пак")</f>
        <v>НТ 6.0-12 зелені (накінечник трубчатий, 6.0 мм2, АСКО) --- 15пак</v>
      </c>
      <c r="T149" s="315"/>
      <c r="U149" s="315" t="s">
        <v>479</v>
      </c>
      <c r="V149" s="317"/>
    </row>
    <row r="150" ht="15.75" customHeight="1">
      <c r="A150" s="333"/>
      <c r="B150" s="315"/>
      <c r="C150" s="315" t="str">
        <f>IFERROR(__xludf.DUMMYFUNCTION("""COMPUTED_VALUE"""),"Оптимізатор потужності Huawei SUN2000-450W-P")</f>
        <v>Оптимізатор потужності Huawei SUN2000-450W-P</v>
      </c>
      <c r="D150" s="315"/>
      <c r="E150" s="315"/>
      <c r="F150" s="315"/>
      <c r="G150" s="315"/>
      <c r="H150" s="315"/>
      <c r="I150" s="315"/>
      <c r="J150" s="315"/>
      <c r="K150" s="315"/>
      <c r="L150" s="315"/>
      <c r="M150" s="317"/>
      <c r="N150" s="315"/>
      <c r="O150" s="317"/>
      <c r="P150" s="315"/>
      <c r="Q150" s="317"/>
      <c r="R150" s="315"/>
      <c r="S150" s="315" t="str">
        <f>IFERROR(__xludf.DUMMYFUNCTION("""COMPUTED_VALUE"""),"НТ 6.0-12 чорні (накінечник трубчатий, 6.0 мм2, АСКО)")</f>
        <v>НТ 6.0-12 чорні (накінечник трубчатий, 6.0 мм2, АСКО)</v>
      </c>
      <c r="T150" s="315"/>
      <c r="U150" s="315" t="s">
        <v>480</v>
      </c>
      <c r="V150" s="317"/>
    </row>
    <row r="151" ht="15.75" customHeight="1">
      <c r="A151" s="333"/>
      <c r="B151" s="315"/>
      <c r="C151" s="315" t="str">
        <f>IFERROR(__xludf.DUMMYFUNCTION("""COMPUTED_VALUE"""),"Оптимізатор потужності SolarEdge SE P950")</f>
        <v>Оптимізатор потужності SolarEdge SE P950</v>
      </c>
      <c r="D151" s="315"/>
      <c r="E151" s="315"/>
      <c r="F151" s="315"/>
      <c r="G151" s="315"/>
      <c r="H151" s="315"/>
      <c r="I151" s="315"/>
      <c r="J151" s="315"/>
      <c r="K151" s="315"/>
      <c r="L151" s="315"/>
      <c r="M151" s="317"/>
      <c r="N151" s="315"/>
      <c r="O151" s="317"/>
      <c r="P151" s="315"/>
      <c r="Q151" s="317"/>
      <c r="R151" s="315"/>
      <c r="S151" s="315" t="str">
        <f>IFERROR(__xludf.DUMMYFUNCTION("""COMPUTED_VALUE"""),"ПНД d50 мм (труба гофрована, з зондом, чорна, УФ, ІЕК) --- 15м")</f>
        <v>ПНД d50 мм (труба гофрована, з зондом, чорна, УФ, ІЕК) --- 15м</v>
      </c>
      <c r="T151" s="315"/>
      <c r="U151" s="315" t="s">
        <v>481</v>
      </c>
      <c r="V151" s="317"/>
    </row>
    <row r="152" ht="15.75" customHeight="1">
      <c r="A152" s="333"/>
      <c r="B152" s="315"/>
      <c r="C152" s="315"/>
      <c r="D152" s="315"/>
      <c r="E152" s="315"/>
      <c r="F152" s="315"/>
      <c r="G152" s="315"/>
      <c r="H152" s="315"/>
      <c r="I152" s="315"/>
      <c r="J152" s="315"/>
      <c r="K152" s="315"/>
      <c r="L152" s="315"/>
      <c r="M152" s="317"/>
      <c r="N152" s="315"/>
      <c r="O152" s="317"/>
      <c r="P152" s="315"/>
      <c r="Q152" s="317"/>
      <c r="R152" s="315"/>
      <c r="S152" s="315" t="str">
        <f>IFERROR(__xludf.DUMMYFUNCTION("""COMPUTED_VALUE"""),"Розподільчий блок (sn.pro.80 (80 А) на DIN-рейку, E.NEXT) --- 14шт")</f>
        <v>Розподільчий блок (sn.pro.80 (80 А) на DIN-рейку, E.NEXT) --- 14шт</v>
      </c>
      <c r="T152" s="315"/>
      <c r="U152" s="315" t="s">
        <v>482</v>
      </c>
      <c r="V152" s="317"/>
    </row>
    <row r="153" ht="15.75" customHeight="1">
      <c r="A153" s="333"/>
      <c r="B153" s="315"/>
      <c r="C153" s="315"/>
      <c r="D153" s="315"/>
      <c r="E153" s="315"/>
      <c r="F153" s="315"/>
      <c r="G153" s="315"/>
      <c r="H153" s="315"/>
      <c r="I153" s="315"/>
      <c r="J153" s="315"/>
      <c r="K153" s="315"/>
      <c r="L153" s="315"/>
      <c r="M153" s="317"/>
      <c r="N153" s="315"/>
      <c r="O153" s="317"/>
      <c r="P153" s="315"/>
      <c r="Q153" s="317"/>
      <c r="R153" s="315"/>
      <c r="S153" s="315" t="str">
        <f>IFERROR(__xludf.DUMMYFUNCTION("""COMPUTED_VALUE"""),"РСВ 25х5 мм (шина мідна, полоса, 4 м, 433А)")</f>
        <v>РСВ 25х5 мм (шина мідна, полоса, 4 м, 433А)</v>
      </c>
      <c r="T153" s="315"/>
      <c r="U153" s="315" t="s">
        <v>483</v>
      </c>
      <c r="V153" s="317"/>
    </row>
    <row r="154" ht="15.75" customHeight="1">
      <c r="A154" s="333"/>
      <c r="B154" s="315"/>
      <c r="C154" s="315"/>
      <c r="D154" s="315"/>
      <c r="E154" s="315"/>
      <c r="F154" s="315"/>
      <c r="G154" s="315"/>
      <c r="H154" s="315"/>
      <c r="I154" s="315"/>
      <c r="J154" s="315"/>
      <c r="K154" s="315"/>
      <c r="L154" s="315"/>
      <c r="M154" s="317"/>
      <c r="N154" s="315"/>
      <c r="O154" s="317"/>
      <c r="P154" s="315"/>
      <c r="Q154" s="317"/>
      <c r="R154" s="315"/>
      <c r="S154" s="315" t="str">
        <f>IFERROR(__xludf.DUMMYFUNCTION("""COMPUTED_VALUE"""),"СТН-2A (майданчик до хомутів, чорний, УФ, АСКО) --- 36пак")</f>
        <v>СТН-2A (майданчик до хомутів, чорний, УФ, АСКО) --- 36пак</v>
      </c>
      <c r="T154" s="315"/>
      <c r="U154" s="315" t="s">
        <v>484</v>
      </c>
      <c r="V154" s="317"/>
    </row>
    <row r="155" ht="15.75" customHeight="1">
      <c r="A155" s="333"/>
      <c r="B155" s="315"/>
      <c r="C155" s="315"/>
      <c r="D155" s="315"/>
      <c r="E155" s="315"/>
      <c r="F155" s="315"/>
      <c r="G155" s="315"/>
      <c r="H155" s="315"/>
      <c r="I155" s="315"/>
      <c r="J155" s="315"/>
      <c r="K155" s="315"/>
      <c r="L155" s="315"/>
      <c r="M155" s="317"/>
      <c r="N155" s="315"/>
      <c r="O155" s="317"/>
      <c r="P155" s="315"/>
      <c r="Q155" s="317"/>
      <c r="R155" s="315"/>
      <c r="S155" s="315" t="str">
        <f>IFERROR(__xludf.DUMMYFUNCTION("""COMPUTED_VALUE"""),"СТН-2B (майданчик до хомутів, чорний, УФ, АСКО)")</f>
        <v>СТН-2B (майданчик до хомутів, чорний, УФ, АСКО)</v>
      </c>
      <c r="T155" s="315"/>
      <c r="U155" s="315" t="s">
        <v>485</v>
      </c>
      <c r="V155" s="317"/>
    </row>
    <row r="156" ht="15.75" customHeight="1">
      <c r="A156" s="333"/>
      <c r="B156" s="315"/>
      <c r="C156" s="315"/>
      <c r="D156" s="315"/>
      <c r="E156" s="315"/>
      <c r="F156" s="315"/>
      <c r="G156" s="315"/>
      <c r="H156" s="315"/>
      <c r="I156" s="315"/>
      <c r="J156" s="315"/>
      <c r="K156" s="315"/>
      <c r="L156" s="315"/>
      <c r="M156" s="317"/>
      <c r="N156" s="315"/>
      <c r="O156" s="317"/>
      <c r="P156" s="315"/>
      <c r="Q156" s="317"/>
      <c r="R156" s="315"/>
      <c r="S156" s="315" t="str">
        <f>IFERROR(__xludf.DUMMYFUNCTION("""COMPUTED_VALUE"""),"СТН-2C (майданчик до хомутів, чорний, УФ, АСКО) --- 3пак")</f>
        <v>СТН-2C (майданчик до хомутів, чорний, УФ, АСКО) --- 3пак</v>
      </c>
      <c r="T156" s="315"/>
      <c r="U156" s="315" t="s">
        <v>486</v>
      </c>
      <c r="V156" s="317"/>
    </row>
    <row r="157" ht="15.75" customHeight="1">
      <c r="A157" s="333"/>
      <c r="B157" s="315"/>
      <c r="C157" s="315"/>
      <c r="D157" s="315"/>
      <c r="E157" s="315"/>
      <c r="F157" s="315"/>
      <c r="G157" s="315"/>
      <c r="H157" s="315"/>
      <c r="I157" s="315"/>
      <c r="J157" s="315"/>
      <c r="K157" s="315"/>
      <c r="L157" s="315"/>
      <c r="M157" s="317"/>
      <c r="N157" s="315"/>
      <c r="O157" s="317"/>
      <c r="P157" s="315"/>
      <c r="Q157" s="317"/>
      <c r="R157" s="315"/>
      <c r="S157" s="315" t="str">
        <f>IFERROR(__xludf.DUMMYFUNCTION("""COMPUTED_VALUE"""),"Табличка 18mm (порожня, бірка, шильдік, для тримача B-ROZET18) --- 4шт")</f>
        <v>Табличка 18mm (порожня, бірка, шильдік, для тримача B-ROZET18) --- 4шт</v>
      </c>
      <c r="T157" s="315"/>
      <c r="U157" s="315" t="s">
        <v>487</v>
      </c>
      <c r="V157" s="317"/>
    </row>
    <row r="158" ht="15.75" customHeight="1">
      <c r="A158" s="333"/>
      <c r="B158" s="315"/>
      <c r="C158" s="315"/>
      <c r="D158" s="315"/>
      <c r="E158" s="315"/>
      <c r="F158" s="315"/>
      <c r="G158" s="315"/>
      <c r="H158" s="315"/>
      <c r="I158" s="315"/>
      <c r="J158" s="315"/>
      <c r="K158" s="315"/>
      <c r="L158" s="315"/>
      <c r="M158" s="317"/>
      <c r="N158" s="315"/>
      <c r="O158" s="317"/>
      <c r="P158" s="315"/>
      <c r="Q158" s="317"/>
      <c r="R158" s="315"/>
      <c r="S158" s="315" t="str">
        <f>IFERROR(__xludf.DUMMYFUNCTION("""COMPUTED_VALUE"""),"ТЕ 0.75-08 сині (накінечник трубчатий, подвоєний, 0.75 мм2, АСКО)")</f>
        <v>ТЕ 0.75-08 сині (накінечник трубчатий, подвоєний, 0.75 мм2, АСКО)</v>
      </c>
      <c r="T158" s="315"/>
      <c r="U158" s="315" t="s">
        <v>488</v>
      </c>
      <c r="V158" s="317"/>
    </row>
    <row r="159" ht="15.75" customHeight="1">
      <c r="A159" s="333"/>
      <c r="B159" s="315"/>
      <c r="C159" s="315"/>
      <c r="D159" s="315"/>
      <c r="E159" s="315"/>
      <c r="F159" s="315"/>
      <c r="G159" s="315"/>
      <c r="H159" s="315"/>
      <c r="I159" s="315"/>
      <c r="J159" s="315"/>
      <c r="K159" s="315"/>
      <c r="L159" s="315"/>
      <c r="M159" s="317"/>
      <c r="N159" s="315"/>
      <c r="O159" s="317"/>
      <c r="P159" s="315"/>
      <c r="Q159" s="317"/>
      <c r="R159" s="315"/>
      <c r="S159" s="315" t="str">
        <f>IFERROR(__xludf.DUMMYFUNCTION("""COMPUTED_VALUE"""),"ТЕ 1.0-08 червоні (накінечник трубчатий, подвоєний, 1 мм2, АСКО) --- 10пак")</f>
        <v>ТЕ 1.0-08 червоні (накінечник трубчатий, подвоєний, 1 мм2, АСКО) --- 10пак</v>
      </c>
      <c r="T159" s="315"/>
      <c r="U159" s="315" t="s">
        <v>489</v>
      </c>
      <c r="V159" s="317"/>
    </row>
    <row r="160" ht="15.75" customHeight="1">
      <c r="A160" s="333"/>
      <c r="B160" s="315"/>
      <c r="C160" s="315"/>
      <c r="D160" s="315"/>
      <c r="E160" s="315"/>
      <c r="F160" s="315"/>
      <c r="G160" s="315"/>
      <c r="H160" s="315"/>
      <c r="I160" s="315"/>
      <c r="J160" s="315"/>
      <c r="K160" s="315"/>
      <c r="L160" s="315"/>
      <c r="M160" s="317"/>
      <c r="N160" s="315"/>
      <c r="O160" s="317"/>
      <c r="P160" s="315"/>
      <c r="Q160" s="317"/>
      <c r="R160" s="315"/>
      <c r="S160" s="315" t="str">
        <f>IFERROR(__xludf.DUMMYFUNCTION("""COMPUTED_VALUE"""),"ТЕ 1.0-10 червоні (накінечник трубчатий, подвоєний, 1 мм2, АСКО)")</f>
        <v>ТЕ 1.0-10 червоні (накінечник трубчатий, подвоєний, 1 мм2, АСКО)</v>
      </c>
      <c r="T160" s="315"/>
      <c r="U160" s="315" t="s">
        <v>490</v>
      </c>
      <c r="V160" s="317"/>
    </row>
    <row r="161" ht="15.75" customHeight="1">
      <c r="A161" s="333"/>
      <c r="B161" s="315"/>
      <c r="C161" s="315"/>
      <c r="D161" s="315"/>
      <c r="E161" s="315"/>
      <c r="F161" s="315"/>
      <c r="G161" s="315"/>
      <c r="H161" s="315"/>
      <c r="I161" s="315"/>
      <c r="J161" s="315"/>
      <c r="K161" s="315"/>
      <c r="L161" s="315"/>
      <c r="M161" s="317"/>
      <c r="N161" s="315"/>
      <c r="O161" s="317"/>
      <c r="P161" s="315"/>
      <c r="Q161" s="317"/>
      <c r="R161" s="315"/>
      <c r="S161" s="315" t="str">
        <f>IFERROR(__xludf.DUMMYFUNCTION("""COMPUTED_VALUE"""),"ТЕ 10.0-14 коричневі (накінечник трубчатий, подвоєний, 10 мм2, АСКО)")</f>
        <v>ТЕ 10.0-14 коричневі (накінечник трубчатий, подвоєний, 10 мм2, АСКО)</v>
      </c>
      <c r="T161" s="315"/>
      <c r="U161" s="315" t="s">
        <v>491</v>
      </c>
      <c r="V161" s="317"/>
    </row>
    <row r="162" ht="15.75" customHeight="1">
      <c r="A162" s="333"/>
      <c r="B162" s="315"/>
      <c r="C162" s="315"/>
      <c r="D162" s="315"/>
      <c r="E162" s="315"/>
      <c r="F162" s="315"/>
      <c r="G162" s="315"/>
      <c r="H162" s="315"/>
      <c r="I162" s="315"/>
      <c r="J162" s="315"/>
      <c r="K162" s="315"/>
      <c r="L162" s="315"/>
      <c r="M162" s="317"/>
      <c r="N162" s="315"/>
      <c r="O162" s="317"/>
      <c r="P162" s="315"/>
      <c r="Q162" s="317"/>
      <c r="R162" s="315"/>
      <c r="S162" s="315" t="str">
        <f>IFERROR(__xludf.DUMMYFUNCTION("""COMPUTED_VALUE"""),"ТЕ 16.0-14 білі (накінечник трубчатий, подвоєний, 16 мм2, АСКО) --- 2пак")</f>
        <v>ТЕ 16.0-14 білі (накінечник трубчатий, подвоєний, 16 мм2, АСКО) --- 2пак</v>
      </c>
      <c r="T162" s="315"/>
      <c r="U162" s="315" t="s">
        <v>492</v>
      </c>
      <c r="V162" s="317"/>
    </row>
    <row r="163" ht="15.75" customHeight="1">
      <c r="A163" s="333"/>
      <c r="B163" s="315"/>
      <c r="C163" s="315"/>
      <c r="D163" s="315"/>
      <c r="E163" s="315"/>
      <c r="F163" s="315"/>
      <c r="G163" s="315"/>
      <c r="H163" s="315"/>
      <c r="I163" s="315"/>
      <c r="J163" s="315"/>
      <c r="K163" s="315"/>
      <c r="L163" s="315"/>
      <c r="M163" s="317"/>
      <c r="N163" s="315"/>
      <c r="O163" s="317"/>
      <c r="P163" s="315"/>
      <c r="Q163" s="317"/>
      <c r="R163" s="315"/>
      <c r="S163" s="315" t="str">
        <f>IFERROR(__xludf.DUMMYFUNCTION("""COMPUTED_VALUE"""),"ТЕ 2.5-10 сині (накінечник трубчатий, подвоєний, 2.5 мм2, АСКО) --- 15пак")</f>
        <v>ТЕ 2.5-10 сині (накінечник трубчатий, подвоєний, 2.5 мм2, АСКО) --- 15пак</v>
      </c>
      <c r="T163" s="315"/>
      <c r="U163" s="315" t="s">
        <v>493</v>
      </c>
      <c r="V163" s="317"/>
    </row>
    <row r="164" ht="15.75" customHeight="1">
      <c r="A164" s="333"/>
      <c r="B164" s="315"/>
      <c r="C164" s="315"/>
      <c r="D164" s="315"/>
      <c r="E164" s="315"/>
      <c r="F164" s="315"/>
      <c r="G164" s="315"/>
      <c r="H164" s="315"/>
      <c r="I164" s="315"/>
      <c r="J164" s="315"/>
      <c r="K164" s="315"/>
      <c r="L164" s="315"/>
      <c r="M164" s="317"/>
      <c r="N164" s="315"/>
      <c r="O164" s="317"/>
      <c r="P164" s="315"/>
      <c r="Q164" s="317"/>
      <c r="R164" s="315"/>
      <c r="S164" s="315" t="str">
        <f>IFERROR(__xludf.DUMMYFUNCTION("""COMPUTED_VALUE"""),"ТЕ 6.0-14 жовті (накінечник трубчатий, подвоєний, 6 мм2, АСКО) --- 27пак")</f>
        <v>ТЕ 6.0-14 жовті (накінечник трубчатий, подвоєний, 6 мм2, АСКО) --- 27пак</v>
      </c>
      <c r="T164" s="315"/>
      <c r="U164" s="315" t="s">
        <v>494</v>
      </c>
      <c r="V164" s="317"/>
    </row>
    <row r="165" ht="15.75" customHeight="1">
      <c r="A165" s="333"/>
      <c r="B165" s="315"/>
      <c r="C165" s="315"/>
      <c r="D165" s="315"/>
      <c r="E165" s="315"/>
      <c r="F165" s="315"/>
      <c r="G165" s="315"/>
      <c r="H165" s="315"/>
      <c r="I165" s="315"/>
      <c r="J165" s="315"/>
      <c r="K165" s="315"/>
      <c r="L165" s="315"/>
      <c r="M165" s="317"/>
      <c r="N165" s="315"/>
      <c r="O165" s="317"/>
      <c r="P165" s="315"/>
      <c r="Q165" s="317"/>
      <c r="R165" s="315"/>
      <c r="S165" s="315" t="str">
        <f>IFERROR(__xludf.DUMMYFUNCTION("""COMPUTED_VALUE"""),"Тримач 16 мм (кліпса, труба ПВТ, УФ, ДКС) --- 95шт")</f>
        <v>Тримач 16 мм (кліпса, труба ПВТ, УФ, ДКС) --- 95шт</v>
      </c>
      <c r="T165" s="315"/>
      <c r="U165" s="315" t="s">
        <v>495</v>
      </c>
      <c r="V165" s="317"/>
    </row>
    <row r="166" ht="15.75" customHeight="1">
      <c r="A166" s="333"/>
      <c r="B166" s="315"/>
      <c r="C166" s="315"/>
      <c r="D166" s="315"/>
      <c r="E166" s="315"/>
      <c r="F166" s="315"/>
      <c r="G166" s="315"/>
      <c r="H166" s="315"/>
      <c r="I166" s="315"/>
      <c r="J166" s="315"/>
      <c r="K166" s="315"/>
      <c r="L166" s="315"/>
      <c r="M166" s="317"/>
      <c r="N166" s="315"/>
      <c r="O166" s="317"/>
      <c r="P166" s="315"/>
      <c r="Q166" s="317"/>
      <c r="R166" s="315"/>
      <c r="S166" s="315" t="str">
        <f>IFERROR(__xludf.DUMMYFUNCTION("""COMPUTED_VALUE"""),"Тримач 25 мм (з фіксатором, труба ПВТ, УФ, ДКС) --- 35шт")</f>
        <v>Тримач 25 мм (з фіксатором, труба ПВТ, УФ, ДКС) --- 35шт</v>
      </c>
      <c r="T166" s="315"/>
      <c r="U166" s="315" t="s">
        <v>496</v>
      </c>
      <c r="V166" s="317"/>
    </row>
    <row r="167" ht="15.75" customHeight="1">
      <c r="A167" s="333"/>
      <c r="B167" s="315"/>
      <c r="C167" s="315"/>
      <c r="D167" s="315"/>
      <c r="E167" s="315"/>
      <c r="F167" s="315"/>
      <c r="G167" s="315"/>
      <c r="H167" s="315"/>
      <c r="I167" s="315"/>
      <c r="J167" s="315"/>
      <c r="K167" s="315"/>
      <c r="L167" s="315"/>
      <c r="M167" s="317"/>
      <c r="N167" s="315"/>
      <c r="O167" s="317"/>
      <c r="P167" s="315"/>
      <c r="Q167" s="317"/>
      <c r="R167" s="315"/>
      <c r="S167" s="315" t="str">
        <f>IFERROR(__xludf.DUMMYFUNCTION("""COMPUTED_VALUE"""),"Тримач 32 мм (з фіксатором, труба ПВТ, УФ, ДКС) --- 1364шт")</f>
        <v>Тримач 32 мм (з фіксатором, труба ПВТ, УФ, ДКС) --- 1364шт</v>
      </c>
      <c r="T167" s="315"/>
      <c r="U167" s="315" t="s">
        <v>497</v>
      </c>
      <c r="V167" s="317"/>
    </row>
    <row r="168" ht="15.75" customHeight="1">
      <c r="A168" s="333"/>
      <c r="B168" s="315"/>
      <c r="C168" s="315"/>
      <c r="D168" s="315"/>
      <c r="E168" s="315"/>
      <c r="F168" s="315"/>
      <c r="G168" s="315"/>
      <c r="H168" s="315"/>
      <c r="I168" s="315"/>
      <c r="J168" s="315"/>
      <c r="K168" s="315"/>
      <c r="L168" s="315"/>
      <c r="M168" s="317"/>
      <c r="N168" s="315"/>
      <c r="O168" s="317"/>
      <c r="P168" s="315"/>
      <c r="Q168" s="317"/>
      <c r="R168" s="315"/>
      <c r="S168" s="315" t="str">
        <f>IFERROR(__xludf.DUMMYFUNCTION("""COMPUTED_VALUE"""),"Труба ПВТ 16 мм (гофрована, УФ, чорна, ДКС)")</f>
        <v>Труба ПВТ 16 мм (гофрована, УФ, чорна, ДКС)</v>
      </c>
      <c r="T168" s="315"/>
      <c r="U168" s="315" t="s">
        <v>498</v>
      </c>
      <c r="V168" s="317"/>
    </row>
    <row r="169" ht="15.75" customHeight="1">
      <c r="A169" s="333"/>
      <c r="B169" s="315"/>
      <c r="C169" s="315"/>
      <c r="D169" s="315"/>
      <c r="E169" s="315"/>
      <c r="F169" s="315"/>
      <c r="G169" s="315"/>
      <c r="H169" s="315"/>
      <c r="I169" s="315"/>
      <c r="J169" s="315"/>
      <c r="K169" s="315"/>
      <c r="L169" s="315"/>
      <c r="M169" s="317"/>
      <c r="N169" s="315"/>
      <c r="O169" s="317"/>
      <c r="P169" s="315"/>
      <c r="Q169" s="317"/>
      <c r="R169" s="315"/>
      <c r="S169" s="315" t="str">
        <f>IFERROR(__xludf.DUMMYFUNCTION("""COMPUTED_VALUE"""),"Труба ПВТ 25 мм (гофрована, УФ, чорна, ДКС) --- 200м")</f>
        <v>Труба ПВТ 25 мм (гофрована, УФ, чорна, ДКС) --- 200м</v>
      </c>
      <c r="T169" s="315"/>
      <c r="U169" s="315" t="s">
        <v>499</v>
      </c>
      <c r="V169" s="317"/>
    </row>
    <row r="170" ht="15.75" customHeight="1">
      <c r="A170" s="333"/>
      <c r="B170" s="315"/>
      <c r="C170" s="315"/>
      <c r="D170" s="315"/>
      <c r="E170" s="315"/>
      <c r="F170" s="315"/>
      <c r="G170" s="315"/>
      <c r="H170" s="315"/>
      <c r="I170" s="315"/>
      <c r="J170" s="315"/>
      <c r="K170" s="315"/>
      <c r="L170" s="315"/>
      <c r="M170" s="317"/>
      <c r="N170" s="315"/>
      <c r="O170" s="317"/>
      <c r="P170" s="315"/>
      <c r="Q170" s="317"/>
      <c r="R170" s="315"/>
      <c r="S170" s="315" t="str">
        <f>IFERROR(__xludf.DUMMYFUNCTION("""COMPUTED_VALUE"""),"Труба ПВТ 32 мм (гофрована, УФ, чорна, ДКС) --- 775м")</f>
        <v>Труба ПВТ 32 мм (гофрована, УФ, чорна, ДКС) --- 775м</v>
      </c>
      <c r="T170" s="315"/>
      <c r="U170" s="315" t="s">
        <v>500</v>
      </c>
      <c r="V170" s="317"/>
    </row>
    <row r="171" ht="15.75" customHeight="1">
      <c r="A171" s="333"/>
      <c r="B171" s="315"/>
      <c r="C171" s="315"/>
      <c r="D171" s="315"/>
      <c r="E171" s="315"/>
      <c r="F171" s="315"/>
      <c r="G171" s="315"/>
      <c r="H171" s="315"/>
      <c r="I171" s="315"/>
      <c r="J171" s="315"/>
      <c r="K171" s="315"/>
      <c r="L171" s="315"/>
      <c r="M171" s="317"/>
      <c r="N171" s="315"/>
      <c r="O171" s="317"/>
      <c r="P171" s="315"/>
      <c r="Q171" s="317"/>
      <c r="R171" s="315"/>
      <c r="S171" s="315" t="str">
        <f>IFERROR(__xludf.DUMMYFUNCTION("""COMPUTED_VALUE"""),"Труба ПВТ 40 мм (гофрована, УФ, чорна, ДКС) --- 60м")</f>
        <v>Труба ПВТ 40 мм (гофрована, УФ, чорна, ДКС) --- 60м</v>
      </c>
      <c r="T171" s="315"/>
      <c r="U171" s="315" t="s">
        <v>501</v>
      </c>
      <c r="V171" s="317"/>
    </row>
    <row r="172" ht="15.75" customHeight="1">
      <c r="A172" s="333"/>
      <c r="B172" s="315"/>
      <c r="C172" s="315"/>
      <c r="D172" s="315"/>
      <c r="E172" s="315"/>
      <c r="F172" s="315"/>
      <c r="G172" s="315"/>
      <c r="H172" s="315"/>
      <c r="I172" s="315"/>
      <c r="J172" s="315"/>
      <c r="K172" s="315"/>
      <c r="L172" s="315"/>
      <c r="M172" s="317"/>
      <c r="N172" s="315"/>
      <c r="O172" s="317"/>
      <c r="P172" s="315"/>
      <c r="Q172" s="317"/>
      <c r="R172" s="315"/>
      <c r="S172" s="315" t="str">
        <f>IFERROR(__xludf.DUMMYFUNCTION("""COMPUTED_VALUE"""),"Труба ПВТ 50 мм (гофрована, УФ, чорна, ДКС)")</f>
        <v>Труба ПВТ 50 мм (гофрована, УФ, чорна, ДКС)</v>
      </c>
      <c r="T172" s="315"/>
      <c r="U172" s="315" t="s">
        <v>502</v>
      </c>
      <c r="V172" s="317"/>
    </row>
    <row r="173" ht="15.75" customHeight="1">
      <c r="A173" s="333"/>
      <c r="B173" s="315"/>
      <c r="C173" s="315"/>
      <c r="D173" s="315"/>
      <c r="E173" s="315"/>
      <c r="F173" s="315"/>
      <c r="G173" s="315"/>
      <c r="H173" s="315"/>
      <c r="I173" s="315"/>
      <c r="J173" s="315"/>
      <c r="K173" s="315"/>
      <c r="L173" s="315"/>
      <c r="M173" s="317"/>
      <c r="N173" s="315"/>
      <c r="O173" s="317"/>
      <c r="P173" s="315"/>
      <c r="Q173" s="317"/>
      <c r="R173" s="315"/>
      <c r="S173" s="315" t="str">
        <f>IFERROR(__xludf.DUMMYFUNCTION("""COMPUTED_VALUE"""),"Труба ППР Дn 20х3,4 PN20 Georg Fischer (100)")</f>
        <v>Труба ППР Дn 20х3,4 PN20 Georg Fischer (100)</v>
      </c>
      <c r="T173" s="315"/>
      <c r="U173" s="315" t="s">
        <v>503</v>
      </c>
      <c r="V173" s="317"/>
    </row>
    <row r="174" ht="15.75" customHeight="1">
      <c r="A174" s="333"/>
      <c r="B174" s="315"/>
      <c r="C174" s="315"/>
      <c r="D174" s="315"/>
      <c r="E174" s="315"/>
      <c r="F174" s="315"/>
      <c r="G174" s="315"/>
      <c r="H174" s="315"/>
      <c r="I174" s="315"/>
      <c r="J174" s="315"/>
      <c r="K174" s="315"/>
      <c r="L174" s="315"/>
      <c r="M174" s="317"/>
      <c r="N174" s="315"/>
      <c r="O174" s="317"/>
      <c r="P174" s="315"/>
      <c r="Q174" s="317"/>
      <c r="R174" s="315"/>
      <c r="S174" s="315" t="str">
        <f>IFERROR(__xludf.DUMMYFUNCTION("""COMPUTED_VALUE"""),"Хомут 3.6х200 мм (стандартний, білий, поліамід, стяжка)")</f>
        <v>Хомут 3.6х200 мм (стандартний, білий, поліамід, стяжка)</v>
      </c>
      <c r="T174" s="315"/>
      <c r="U174" s="315" t="s">
        <v>504</v>
      </c>
      <c r="V174" s="317"/>
    </row>
    <row r="175" ht="15.75" customHeight="1">
      <c r="A175" s="333"/>
      <c r="B175" s="315"/>
      <c r="C175" s="315"/>
      <c r="D175" s="315"/>
      <c r="E175" s="315"/>
      <c r="F175" s="315"/>
      <c r="G175" s="315"/>
      <c r="H175" s="315"/>
      <c r="I175" s="315"/>
      <c r="J175" s="315"/>
      <c r="K175" s="315"/>
      <c r="L175" s="315"/>
      <c r="M175" s="317"/>
      <c r="N175" s="315"/>
      <c r="O175" s="317"/>
      <c r="P175" s="315"/>
      <c r="Q175" s="317"/>
      <c r="R175" s="315"/>
      <c r="S175" s="315" t="str">
        <f>IFERROR(__xludf.DUMMYFUNCTION("""COMPUTED_VALUE"""),"Хомут 3.6х290 мм (стандартний, чорний, поліамід, стяжка, ДКС)")</f>
        <v>Хомут 3.6х290 мм (стандартний, чорний, поліамід, стяжка, ДКС)</v>
      </c>
      <c r="T175" s="315"/>
      <c r="U175" s="315" t="s">
        <v>505</v>
      </c>
      <c r="V175" s="317"/>
    </row>
    <row r="176" ht="15.75" customHeight="1">
      <c r="A176" s="333"/>
      <c r="B176" s="315"/>
      <c r="C176" s="315"/>
      <c r="D176" s="315"/>
      <c r="E176" s="315"/>
      <c r="F176" s="315"/>
      <c r="G176" s="315"/>
      <c r="H176" s="315"/>
      <c r="I176" s="315"/>
      <c r="J176" s="315"/>
      <c r="K176" s="315"/>
      <c r="L176" s="315"/>
      <c r="M176" s="317"/>
      <c r="N176" s="315"/>
      <c r="O176" s="317"/>
      <c r="P176" s="315"/>
      <c r="Q176" s="317"/>
      <c r="R176" s="315"/>
      <c r="S176" s="315" t="str">
        <f>IFERROR(__xludf.DUMMYFUNCTION("""COMPUTED_VALUE"""),"Хомут 4,5х300 (нейлон) (пак-100 шт.), колір чорний, SSSEL.3.429")</f>
        <v>Хомут 4,5х300 (нейлон) (пак-100 шт.), колір чорний, SSSEL.3.429</v>
      </c>
      <c r="T176" s="315"/>
      <c r="U176" s="315" t="s">
        <v>506</v>
      </c>
      <c r="V176" s="317"/>
    </row>
    <row r="177" ht="15.75" customHeight="1">
      <c r="A177" s="333"/>
      <c r="B177" s="315"/>
      <c r="C177" s="315"/>
      <c r="D177" s="315"/>
      <c r="E177" s="315"/>
      <c r="F177" s="315"/>
      <c r="G177" s="315"/>
      <c r="H177" s="315"/>
      <c r="I177" s="315"/>
      <c r="J177" s="315"/>
      <c r="K177" s="315"/>
      <c r="L177" s="315"/>
      <c r="M177" s="317"/>
      <c r="N177" s="315"/>
      <c r="O177" s="317"/>
      <c r="P177" s="315"/>
      <c r="Q177" s="317"/>
      <c r="R177" s="315"/>
      <c r="S177" s="315" t="str">
        <f>IFERROR(__xludf.DUMMYFUNCTION("""COMPUTED_VALUE"""),"Хомут 4.8х290 мм (стандартний, чорний, поліамід, стяжка, ДКС)")</f>
        <v>Хомут 4.8х290 мм (стандартний, чорний, поліамід, стяжка, ДКС)</v>
      </c>
      <c r="T177" s="315"/>
      <c r="U177" s="315" t="s">
        <v>507</v>
      </c>
      <c r="V177" s="317"/>
    </row>
    <row r="178" ht="15.75" customHeight="1">
      <c r="A178" s="333"/>
      <c r="B178" s="315"/>
      <c r="C178" s="315"/>
      <c r="D178" s="315"/>
      <c r="E178" s="315"/>
      <c r="F178" s="315"/>
      <c r="G178" s="315"/>
      <c r="H178" s="315"/>
      <c r="I178" s="315"/>
      <c r="J178" s="315"/>
      <c r="K178" s="315"/>
      <c r="L178" s="315"/>
      <c r="M178" s="317"/>
      <c r="N178" s="315"/>
      <c r="O178" s="317"/>
      <c r="P178" s="315"/>
      <c r="Q178" s="317"/>
      <c r="R178" s="315"/>
      <c r="S178" s="315" t="str">
        <f>IFERROR(__xludf.DUMMYFUNCTION("""COMPUTED_VALUE"""),"Шина 2x7 (розподільчий блок, e.cbs.pro.2.7, N, нульова, E.NEXT) --- 23шт")</f>
        <v>Шина 2x7 (розподільчий блок, e.cbs.pro.2.7, N, нульова, E.NEXT) --- 23шт</v>
      </c>
      <c r="T178" s="315"/>
      <c r="U178" s="315" t="s">
        <v>508</v>
      </c>
      <c r="V178" s="317"/>
    </row>
    <row r="179" ht="15.75" customHeight="1">
      <c r="A179" s="333"/>
      <c r="B179" s="315"/>
      <c r="C179" s="315"/>
      <c r="D179" s="315"/>
      <c r="E179" s="315"/>
      <c r="F179" s="315"/>
      <c r="G179" s="315"/>
      <c r="H179" s="315"/>
      <c r="I179" s="315"/>
      <c r="J179" s="315"/>
      <c r="K179" s="315"/>
      <c r="L179" s="315"/>
      <c r="M179" s="317"/>
      <c r="N179" s="315"/>
      <c r="O179" s="317"/>
      <c r="P179" s="315"/>
      <c r="Q179" s="317"/>
      <c r="R179" s="315"/>
      <c r="S179" s="315" t="str">
        <f>IFERROR(__xludf.DUMMYFUNCTION("""COMPUTED_VALUE"""),"Шина 2x7 (розподільчий блок, N, нульова, ІЕК) --- 1шт")</f>
        <v>Шина 2x7 (розподільчий блок, N, нульова, ІЕК) --- 1шт</v>
      </c>
      <c r="T179" s="315"/>
      <c r="U179" s="315" t="s">
        <v>509</v>
      </c>
      <c r="V179" s="317"/>
    </row>
    <row r="180" ht="15.75" customHeight="1">
      <c r="A180" s="333"/>
      <c r="B180" s="315"/>
      <c r="C180" s="315"/>
      <c r="D180" s="315"/>
      <c r="E180" s="315"/>
      <c r="F180" s="315"/>
      <c r="G180" s="315"/>
      <c r="H180" s="315"/>
      <c r="I180" s="315"/>
      <c r="J180" s="315"/>
      <c r="K180" s="315"/>
      <c r="L180" s="315"/>
      <c r="M180" s="317"/>
      <c r="N180" s="315"/>
      <c r="O180" s="317"/>
      <c r="P180" s="315"/>
      <c r="Q180" s="317"/>
      <c r="R180" s="315"/>
      <c r="S180" s="315" t="str">
        <f>IFERROR(__xludf.DUMMYFUNCTION("""COMPUTED_VALUE"""),"Шина 2x7 EDB-207 (розподільчий блок, клема, нульова, 2p, 125A, ETI) --- 109шт")</f>
        <v>Шина 2x7 EDB-207 (розподільчий блок, клема, нульова, 2p, 125A, ETI) --- 109шт</v>
      </c>
      <c r="T180" s="315"/>
      <c r="U180" s="315" t="s">
        <v>510</v>
      </c>
      <c r="V180" s="317"/>
    </row>
    <row r="181" ht="15.75" customHeight="1">
      <c r="A181" s="333"/>
      <c r="B181" s="315"/>
      <c r="C181" s="315"/>
      <c r="D181" s="315"/>
      <c r="E181" s="315"/>
      <c r="F181" s="315"/>
      <c r="G181" s="315"/>
      <c r="H181" s="315"/>
      <c r="I181" s="315"/>
      <c r="J181" s="315"/>
      <c r="K181" s="315"/>
      <c r="L181" s="315"/>
      <c r="M181" s="317"/>
      <c r="N181" s="315"/>
      <c r="O181" s="317"/>
      <c r="P181" s="315"/>
      <c r="Q181" s="317"/>
      <c r="R181" s="315"/>
      <c r="S181" s="315" t="str">
        <f>IFERROR(__xludf.DUMMYFUNCTION("""COMPUTED_VALUE"""),"ШМТ 5х25, 3м Шина мідна --- 7,15м")</f>
        <v>ШМТ 5х25, 3м Шина мідна --- 7,15м</v>
      </c>
      <c r="T181" s="315"/>
      <c r="U181" s="315" t="s">
        <v>511</v>
      </c>
      <c r="V181" s="317"/>
    </row>
    <row r="182" ht="15.75" customHeight="1">
      <c r="A182" s="333"/>
      <c r="B182" s="315"/>
      <c r="C182" s="315"/>
      <c r="D182" s="315"/>
      <c r="E182" s="315"/>
      <c r="F182" s="315"/>
      <c r="G182" s="315"/>
      <c r="H182" s="315"/>
      <c r="I182" s="315"/>
      <c r="J182" s="315"/>
      <c r="K182" s="315"/>
      <c r="L182" s="315"/>
      <c r="M182" s="317"/>
      <c r="N182" s="315"/>
      <c r="O182" s="317"/>
      <c r="P182" s="315"/>
      <c r="Q182" s="317"/>
      <c r="R182" s="315"/>
      <c r="S182" s="315" t="str">
        <f>IFERROR(__xludf.DUMMYFUNCTION("""COMPUTED_VALUE"""),"ШМТ 5х30 мм (шина мідна, полоса, 3 м, М1) --- 3,85м")</f>
        <v>ШМТ 5х30 мм (шина мідна, полоса, 3 м, М1) --- 3,85м</v>
      </c>
      <c r="T182" s="315"/>
      <c r="U182" s="315" t="s">
        <v>512</v>
      </c>
      <c r="V182" s="317"/>
    </row>
    <row r="183" ht="15.75" customHeight="1">
      <c r="A183" s="333"/>
      <c r="B183" s="315"/>
      <c r="C183" s="315"/>
      <c r="D183" s="315"/>
      <c r="E183" s="315"/>
      <c r="F183" s="315"/>
      <c r="G183" s="315"/>
      <c r="H183" s="315"/>
      <c r="I183" s="315"/>
      <c r="J183" s="315"/>
      <c r="K183" s="315"/>
      <c r="L183" s="315"/>
      <c r="M183" s="317"/>
      <c r="N183" s="315"/>
      <c r="O183" s="317"/>
      <c r="P183" s="315"/>
      <c r="Q183" s="317"/>
      <c r="R183" s="315"/>
      <c r="S183" s="315" t="str">
        <f>IFERROR(__xludf.DUMMYFUNCTION("""COMPUTED_VALUE"""),"ШС 100-1/63, АсКо (Шина з`єднувальна ШС 100-1/63, АсКо )")</f>
        <v>ШС 100-1/63, АсКо (Шина з`єднувальна ШС 100-1/63, АсКо )</v>
      </c>
      <c r="T183" s="315"/>
      <c r="U183" s="315" t="s">
        <v>513</v>
      </c>
      <c r="V183" s="317"/>
    </row>
    <row r="184" ht="15.75" customHeight="1">
      <c r="A184" s="333"/>
      <c r="B184" s="315"/>
      <c r="C184" s="315"/>
      <c r="D184" s="315"/>
      <c r="E184" s="315"/>
      <c r="F184" s="315"/>
      <c r="G184" s="315"/>
      <c r="H184" s="315"/>
      <c r="I184" s="315"/>
      <c r="J184" s="315"/>
      <c r="K184" s="315"/>
      <c r="L184" s="315"/>
      <c r="M184" s="317"/>
      <c r="N184" s="315"/>
      <c r="O184" s="317"/>
      <c r="P184" s="315"/>
      <c r="Q184" s="317"/>
      <c r="R184" s="315"/>
      <c r="S184" s="315" t="str">
        <f>IFERROR(__xludf.DUMMYFUNCTION("""COMPUTED_VALUE"""),"APP/AVK 2.5-10  (розмежувач клем, пластина, сіра) --- 4шт")</f>
        <v>APP/AVK 2.5-10  (розмежувач клем, пластина, сіра) --- 4шт</v>
      </c>
      <c r="T184" s="315"/>
      <c r="U184" s="315" t="s">
        <v>514</v>
      </c>
      <c r="V184" s="317"/>
    </row>
    <row r="185" ht="15.75" customHeight="1">
      <c r="A185" s="333"/>
      <c r="B185" s="315"/>
      <c r="C185" s="315"/>
      <c r="D185" s="315"/>
      <c r="E185" s="315"/>
      <c r="F185" s="315"/>
      <c r="G185" s="315"/>
      <c r="H185" s="315"/>
      <c r="I185" s="315"/>
      <c r="J185" s="315"/>
      <c r="K185" s="315"/>
      <c r="L185" s="315"/>
      <c r="M185" s="317"/>
      <c r="N185" s="315"/>
      <c r="O185" s="317"/>
      <c r="P185" s="315"/>
      <c r="Q185" s="317"/>
      <c r="R185" s="315"/>
      <c r="S185" s="315" t="str">
        <f>IFERROR(__xludf.DUMMYFUNCTION("""COMPUTED_VALUE"""),"B-ROZET18 (тримач шильдіка, для маркування кнопок EMAS) --- 4шт")</f>
        <v>B-ROZET18 (тримач шильдіка, для маркування кнопок EMAS) --- 4шт</v>
      </c>
      <c r="T185" s="315"/>
      <c r="U185" s="315" t="s">
        <v>515</v>
      </c>
      <c r="V185" s="317"/>
    </row>
    <row r="186" ht="15.75" customHeight="1">
      <c r="A186" s="333"/>
      <c r="B186" s="315"/>
      <c r="C186" s="315"/>
      <c r="D186" s="315"/>
      <c r="E186" s="315"/>
      <c r="F186" s="315"/>
      <c r="G186" s="315"/>
      <c r="H186" s="315"/>
      <c r="I186" s="315"/>
      <c r="J186" s="315"/>
      <c r="K186" s="315"/>
      <c r="L186" s="315"/>
      <c r="M186" s="317"/>
      <c r="N186" s="315"/>
      <c r="O186" s="317"/>
      <c r="P186" s="315"/>
      <c r="Q186" s="317"/>
      <c r="R186" s="315"/>
      <c r="S186" s="315" t="str">
        <f>IFERROR(__xludf.DUMMYFUNCTION("""COMPUTED_VALUE"""),"EKE 100х60 (кабельний канал, короб, білий, ПВХ, 2000мм,KOPOS) --- 82м")</f>
        <v>EKE 100х60 (кабельний канал, короб, білий, ПВХ, 2000мм,KOPOS) --- 82м</v>
      </c>
      <c r="T186" s="315"/>
      <c r="U186" s="315" t="s">
        <v>516</v>
      </c>
      <c r="V186" s="317"/>
    </row>
    <row r="187" ht="15.75" customHeight="1">
      <c r="A187" s="333"/>
      <c r="B187" s="315"/>
      <c r="C187" s="315"/>
      <c r="D187" s="315"/>
      <c r="E187" s="315"/>
      <c r="F187" s="315"/>
      <c r="G187" s="315"/>
      <c r="H187" s="315"/>
      <c r="I187" s="315"/>
      <c r="J187" s="315"/>
      <c r="K187" s="315"/>
      <c r="L187" s="315"/>
      <c r="M187" s="317"/>
      <c r="N187" s="315"/>
      <c r="O187" s="317"/>
      <c r="P187" s="315"/>
      <c r="Q187" s="317"/>
      <c r="R187" s="315"/>
      <c r="S187" s="315" t="str">
        <f>IFERROR(__xludf.DUMMYFUNCTION("""COMPUTED_VALUE"""),"EKE 100х60 заглушка (Серія EKЕ, ПВХ, KOPOS) --- 29шт")</f>
        <v>EKE 100х60 заглушка (Серія EKЕ, ПВХ, KOPOS) --- 29шт</v>
      </c>
      <c r="T187" s="315"/>
      <c r="U187" s="315" t="s">
        <v>517</v>
      </c>
      <c r="V187" s="317"/>
    </row>
    <row r="188" ht="15.75" customHeight="1">
      <c r="A188" s="333"/>
      <c r="B188" s="315"/>
      <c r="C188" s="315"/>
      <c r="D188" s="315"/>
      <c r="E188" s="315"/>
      <c r="F188" s="315"/>
      <c r="G188" s="315"/>
      <c r="H188" s="315"/>
      <c r="I188" s="315"/>
      <c r="J188" s="315"/>
      <c r="K188" s="315"/>
      <c r="L188" s="315"/>
      <c r="M188" s="317"/>
      <c r="N188" s="315"/>
      <c r="O188" s="317"/>
      <c r="P188" s="315"/>
      <c r="Q188" s="317"/>
      <c r="R188" s="315"/>
      <c r="S188" s="315" t="str">
        <f>IFERROR(__xludf.DUMMYFUNCTION("""COMPUTED_VALUE"""),"EKE 100х60 кут внутрішній (Серія EKЕ, ПВХ, KOPOS) --- 20шт")</f>
        <v>EKE 100х60 кут внутрішній (Серія EKЕ, ПВХ, KOPOS) --- 20шт</v>
      </c>
      <c r="T188" s="315"/>
      <c r="U188" s="315" t="s">
        <v>518</v>
      </c>
      <c r="V188" s="317"/>
    </row>
    <row r="189" ht="15.75" customHeight="1">
      <c r="A189" s="333"/>
      <c r="B189" s="315"/>
      <c r="C189" s="315"/>
      <c r="D189" s="315"/>
      <c r="E189" s="315"/>
      <c r="F189" s="315"/>
      <c r="G189" s="315"/>
      <c r="H189" s="315"/>
      <c r="I189" s="315"/>
      <c r="J189" s="315"/>
      <c r="K189" s="315"/>
      <c r="L189" s="315"/>
      <c r="M189" s="317"/>
      <c r="N189" s="315"/>
      <c r="O189" s="317"/>
      <c r="P189" s="315"/>
      <c r="Q189" s="317"/>
      <c r="R189" s="315"/>
      <c r="S189" s="315" t="str">
        <f>IFERROR(__xludf.DUMMYFUNCTION("""COMPUTED_VALUE"""),"EKE 100х60 кут зовнішній (Серія EKЕ, ПВХ, KOPOS) 8556 --- 19шт")</f>
        <v>EKE 100х60 кут зовнішній (Серія EKЕ, ПВХ, KOPOS) 8556 --- 19шт</v>
      </c>
      <c r="T189" s="315"/>
      <c r="U189" s="315" t="s">
        <v>519</v>
      </c>
      <c r="V189" s="317"/>
    </row>
    <row r="190" ht="15.75" customHeight="1">
      <c r="A190" s="333"/>
      <c r="B190" s="315"/>
      <c r="C190" s="315"/>
      <c r="D190" s="315"/>
      <c r="E190" s="315"/>
      <c r="F190" s="315"/>
      <c r="G190" s="315"/>
      <c r="H190" s="315"/>
      <c r="I190" s="315"/>
      <c r="J190" s="315"/>
      <c r="K190" s="315"/>
      <c r="L190" s="315"/>
      <c r="M190" s="317"/>
      <c r="N190" s="315"/>
      <c r="O190" s="317"/>
      <c r="P190" s="315"/>
      <c r="Q190" s="317"/>
      <c r="R190" s="315"/>
      <c r="S190" s="315" t="str">
        <f>IFERROR(__xludf.DUMMYFUNCTION("""COMPUTED_VALUE"""),"EKE 100х60 кут плаский (Серія EKЕ, ПВХ, KOPOS) 8553 --- 33шт")</f>
        <v>EKE 100х60 кут плаский (Серія EKЕ, ПВХ, KOPOS) 8553 --- 33шт</v>
      </c>
      <c r="T190" s="315"/>
      <c r="U190" s="315" t="s">
        <v>520</v>
      </c>
      <c r="V190" s="317"/>
    </row>
    <row r="191" ht="15.75" customHeight="1">
      <c r="A191" s="333"/>
      <c r="B191" s="315"/>
      <c r="C191" s="315"/>
      <c r="D191" s="315"/>
      <c r="E191" s="315"/>
      <c r="F191" s="315"/>
      <c r="G191" s="315"/>
      <c r="H191" s="315"/>
      <c r="I191" s="315"/>
      <c r="J191" s="315"/>
      <c r="K191" s="315"/>
      <c r="L191" s="315"/>
      <c r="M191" s="317"/>
      <c r="N191" s="315"/>
      <c r="O191" s="317"/>
      <c r="P191" s="315"/>
      <c r="Q191" s="317"/>
      <c r="R191" s="315"/>
      <c r="S191" s="315" t="str">
        <f>IFERROR(__xludf.DUMMYFUNCTION("""COMPUTED_VALUE"""),"EKE 100х60 кут Т-подібний, трійник (Серія EKЕ, ПВХ, KOPOS) 8554 --- 1шт")</f>
        <v>EKE 100х60 кут Т-подібний, трійник (Серія EKЕ, ПВХ, KOPOS) 8554 --- 1шт</v>
      </c>
      <c r="T191" s="315"/>
      <c r="U191" s="315" t="s">
        <v>521</v>
      </c>
      <c r="V191" s="317"/>
    </row>
    <row r="192" ht="15.75" customHeight="1">
      <c r="A192" s="333"/>
      <c r="B192" s="315"/>
      <c r="C192" s="315"/>
      <c r="D192" s="315"/>
      <c r="E192" s="315"/>
      <c r="F192" s="315"/>
      <c r="G192" s="315"/>
      <c r="H192" s="315"/>
      <c r="I192" s="315"/>
      <c r="J192" s="315"/>
      <c r="K192" s="315"/>
      <c r="L192" s="315"/>
      <c r="M192" s="317"/>
      <c r="N192" s="315"/>
      <c r="O192" s="317"/>
      <c r="P192" s="315"/>
      <c r="Q192" s="317"/>
      <c r="R192" s="315"/>
      <c r="S192" s="315" t="str">
        <f>IFERROR(__xludf.DUMMYFUNCTION("""COMPUTED_VALUE"""),"JHUKK-80 (розподільчий блок, клема, 80А, АСКО)")</f>
        <v>JHUKK-80 (розподільчий блок, клема, 80А, АСКО)</v>
      </c>
      <c r="T192" s="315"/>
      <c r="U192" s="315" t="s">
        <v>522</v>
      </c>
      <c r="V192" s="317"/>
    </row>
    <row r="193" ht="15.75" customHeight="1">
      <c r="A193" s="333"/>
      <c r="B193" s="315"/>
      <c r="C193" s="315"/>
      <c r="D193" s="315"/>
      <c r="E193" s="315"/>
      <c r="F193" s="315"/>
      <c r="G193" s="315"/>
      <c r="H193" s="315"/>
      <c r="I193" s="315"/>
      <c r="J193" s="315"/>
      <c r="K193" s="315"/>
      <c r="L193" s="315"/>
      <c r="M193" s="317"/>
      <c r="N193" s="315"/>
      <c r="O193" s="317"/>
      <c r="P193" s="315"/>
      <c r="Q193" s="317"/>
      <c r="R193" s="315"/>
      <c r="S193" s="315" t="str">
        <f>IFERROR(__xludf.DUMMYFUNCTION("""COMPUTED_VALUE"""),"MC4T-A1 (з'єднувачі, комплект конекторів MC4)")</f>
        <v>MC4T-A1 (з'єднувачі, комплект конекторів MC4)</v>
      </c>
      <c r="T193" s="315"/>
      <c r="U193" s="315" t="s">
        <v>523</v>
      </c>
      <c r="V193" s="317"/>
    </row>
    <row r="194" ht="15.75" customHeight="1">
      <c r="A194" s="333"/>
      <c r="B194" s="315"/>
      <c r="C194" s="315"/>
      <c r="D194" s="315"/>
      <c r="E194" s="315"/>
      <c r="F194" s="315"/>
      <c r="G194" s="315"/>
      <c r="H194" s="315"/>
      <c r="I194" s="315"/>
      <c r="J194" s="315"/>
      <c r="K194" s="315"/>
      <c r="L194" s="315"/>
      <c r="M194" s="317"/>
      <c r="N194" s="315"/>
      <c r="O194" s="317"/>
      <c r="P194" s="315"/>
      <c r="Q194" s="317"/>
      <c r="R194" s="315"/>
      <c r="S194" s="315" t="str">
        <f>IFERROR(__xludf.DUMMYFUNCTION("""COMPUTED_VALUE"""),"MC4X-B1 (штекер, гніздо, комплект конекторів MC4) --- 1515шт")</f>
        <v>MC4X-B1 (штекер, гніздо, комплект конекторів MC4) --- 1515шт</v>
      </c>
      <c r="T194" s="315"/>
      <c r="U194" s="315" t="s">
        <v>524</v>
      </c>
      <c r="V194" s="317"/>
    </row>
    <row r="195" ht="15.75" customHeight="1">
      <c r="A195" s="333"/>
      <c r="B195" s="315"/>
      <c r="C195" s="315"/>
      <c r="D195" s="315"/>
      <c r="E195" s="315"/>
      <c r="F195" s="315"/>
      <c r="G195" s="315"/>
      <c r="H195" s="315"/>
      <c r="I195" s="315"/>
      <c r="J195" s="315"/>
      <c r="K195" s="315"/>
      <c r="L195" s="315"/>
      <c r="M195" s="317"/>
      <c r="N195" s="315"/>
      <c r="O195" s="317"/>
      <c r="P195" s="315"/>
      <c r="Q195" s="317"/>
      <c r="R195" s="315"/>
      <c r="S195" s="315" t="str">
        <f>IFERROR(__xludf.DUMMYFUNCTION("""COMPUTED_VALUE"""),"MC4X-BN2 (роз'єм, комплект конекторів MC4)")</f>
        <v>MC4X-BN2 (роз'єм, комплект конекторів MC4)</v>
      </c>
      <c r="T195" s="315"/>
      <c r="U195" s="315" t="s">
        <v>525</v>
      </c>
      <c r="V195" s="317"/>
    </row>
    <row r="196" ht="15.75" customHeight="1">
      <c r="A196" s="333"/>
      <c r="B196" s="315"/>
      <c r="C196" s="315"/>
      <c r="D196" s="315"/>
      <c r="E196" s="315"/>
      <c r="F196" s="315"/>
      <c r="G196" s="315"/>
      <c r="H196" s="315"/>
      <c r="I196" s="315"/>
      <c r="J196" s="315"/>
      <c r="K196" s="315"/>
      <c r="L196" s="315"/>
      <c r="M196" s="317"/>
      <c r="N196" s="315"/>
      <c r="O196" s="317"/>
      <c r="P196" s="315"/>
      <c r="Q196" s="317"/>
      <c r="R196" s="315"/>
      <c r="S196" s="315" t="str">
        <f>IFERROR(__xludf.DUMMYFUNCTION("""COMPUTED_VALUE"""),"PG18 (сальник, герметичній ввід, АСКО) --- 50шт")</f>
        <v>PG18 (сальник, герметичній ввід, АСКО) --- 50шт</v>
      </c>
      <c r="T196" s="315"/>
      <c r="U196" s="315" t="s">
        <v>526</v>
      </c>
      <c r="V196" s="317"/>
    </row>
    <row r="197" ht="15.75" customHeight="1">
      <c r="A197" s="333"/>
      <c r="B197" s="315"/>
      <c r="C197" s="315"/>
      <c r="D197" s="315"/>
      <c r="E197" s="315"/>
      <c r="F197" s="315"/>
      <c r="G197" s="315"/>
      <c r="H197" s="315"/>
      <c r="I197" s="315"/>
      <c r="J197" s="315"/>
      <c r="K197" s="315"/>
      <c r="L197" s="315"/>
      <c r="M197" s="317"/>
      <c r="N197" s="315"/>
      <c r="O197" s="317"/>
      <c r="P197" s="315"/>
      <c r="Q197" s="317"/>
      <c r="R197" s="315"/>
      <c r="S197" s="315" t="str">
        <f>IFERROR(__xludf.DUMMYFUNCTION("""COMPUTED_VALUE"""),"PG21 (сальник, герметичній ввід, АСКО) --- 54шт")</f>
        <v>PG21 (сальник, герметичній ввід, АСКО) --- 54шт</v>
      </c>
      <c r="T197" s="315"/>
      <c r="U197" s="315" t="s">
        <v>527</v>
      </c>
      <c r="V197" s="317"/>
    </row>
    <row r="198" ht="15.75" customHeight="1">
      <c r="A198" s="333"/>
      <c r="B198" s="315"/>
      <c r="C198" s="315"/>
      <c r="D198" s="315"/>
      <c r="E198" s="315"/>
      <c r="F198" s="315"/>
      <c r="G198" s="315"/>
      <c r="H198" s="315"/>
      <c r="I198" s="315"/>
      <c r="J198" s="315"/>
      <c r="K198" s="315"/>
      <c r="L198" s="315"/>
      <c r="M198" s="317"/>
      <c r="N198" s="315"/>
      <c r="O198" s="317"/>
      <c r="P198" s="315"/>
      <c r="Q198" s="317"/>
      <c r="R198" s="315"/>
      <c r="S198" s="315" t="str">
        <f>IFERROR(__xludf.DUMMYFUNCTION("""COMPUTED_VALUE"""),"RHE-1s (розетка, 1-я, Schuko, IP54, ETI) біла кришка --- 9шт")</f>
        <v>RHE-1s (розетка, 1-я, Schuko, IP54, ETI) біла кришка --- 9шт</v>
      </c>
      <c r="T198" s="315"/>
      <c r="U198" s="315" t="s">
        <v>528</v>
      </c>
      <c r="V198" s="317"/>
    </row>
    <row r="199" ht="15.75" customHeight="1">
      <c r="A199" s="333"/>
      <c r="B199" s="315"/>
      <c r="C199" s="315"/>
      <c r="D199" s="315"/>
      <c r="E199" s="315"/>
      <c r="F199" s="315"/>
      <c r="G199" s="315"/>
      <c r="H199" s="315"/>
      <c r="I199" s="315"/>
      <c r="J199" s="315"/>
      <c r="K199" s="315"/>
      <c r="L199" s="315"/>
      <c r="M199" s="317"/>
      <c r="N199" s="315"/>
      <c r="O199" s="317"/>
      <c r="P199" s="315"/>
      <c r="Q199" s="317"/>
      <c r="R199" s="315"/>
      <c r="S199" s="315" t="str">
        <f>IFERROR(__xludf.DUMMYFUNCTION("""COMPUTED_VALUE"""),"t-2P+Z Schuko (розетка, на DIN-рейку, ETI) --- 59шт")</f>
        <v>t-2P+Z Schuko (розетка, на DIN-рейку, ETI) --- 59шт</v>
      </c>
      <c r="T199" s="315"/>
      <c r="U199" s="315" t="s">
        <v>529</v>
      </c>
      <c r="V199" s="317"/>
    </row>
    <row r="200" ht="15.75" customHeight="1">
      <c r="A200" s="333"/>
      <c r="B200" s="315"/>
      <c r="C200" s="315"/>
      <c r="D200" s="315"/>
      <c r="E200" s="315"/>
      <c r="F200" s="315"/>
      <c r="G200" s="315"/>
      <c r="H200" s="315"/>
      <c r="I200" s="315"/>
      <c r="J200" s="315"/>
      <c r="K200" s="315"/>
      <c r="L200" s="315"/>
      <c r="M200" s="317"/>
      <c r="N200" s="315"/>
      <c r="O200" s="317"/>
      <c r="P200" s="315"/>
      <c r="Q200" s="317"/>
      <c r="R200" s="315"/>
      <c r="S200" s="315" t="str">
        <f>IFERROR(__xludf.DUMMYFUNCTION("""COMPUTED_VALUE"""),"Вимикач  2х поз. (поворотний, стандартна ручка, АСКО) --- 1шт")</f>
        <v>Вимикач  2х поз. (поворотний, стандартна ручка, АСКО) --- 1шт</v>
      </c>
      <c r="T200" s="315"/>
      <c r="U200" s="315" t="s">
        <v>530</v>
      </c>
      <c r="V200" s="317"/>
    </row>
    <row r="201" ht="15.75" customHeight="1">
      <c r="A201" s="333"/>
      <c r="B201" s="315"/>
      <c r="C201" s="315"/>
      <c r="D201" s="315"/>
      <c r="E201" s="315"/>
      <c r="F201" s="315"/>
      <c r="G201" s="315"/>
      <c r="H201" s="315"/>
      <c r="I201" s="315"/>
      <c r="J201" s="315"/>
      <c r="K201" s="315"/>
      <c r="L201" s="315"/>
      <c r="M201" s="317"/>
      <c r="N201" s="315"/>
      <c r="O201" s="317"/>
      <c r="P201" s="315"/>
      <c r="Q201" s="317"/>
      <c r="R201" s="315"/>
      <c r="S201" s="315" t="str">
        <f>IFERROR(__xludf.DUMMYFUNCTION("""COMPUTED_VALUE"""),"Кнопка (з підсвіткою, без фіксації, 1НВ+1НЗ, зелена, АСКО) TB5-AW33V5 --- 5шт")</f>
        <v>Кнопка (з підсвіткою, без фіксації, 1НВ+1НЗ, зелена, АСКО) TB5-AW33V5 --- 5шт</v>
      </c>
      <c r="T201" s="315"/>
      <c r="U201" s="315" t="s">
        <v>531</v>
      </c>
      <c r="V201" s="317"/>
    </row>
    <row r="202" ht="15.75" customHeight="1">
      <c r="A202" s="315"/>
      <c r="B202" s="315"/>
      <c r="C202" s="315"/>
      <c r="D202" s="315"/>
      <c r="E202" s="315"/>
      <c r="F202" s="315"/>
      <c r="G202" s="315"/>
      <c r="H202" s="315"/>
      <c r="I202" s="315"/>
      <c r="J202" s="315"/>
      <c r="K202" s="315"/>
      <c r="L202" s="315"/>
      <c r="M202" s="317"/>
      <c r="N202" s="315"/>
      <c r="O202" s="317"/>
      <c r="P202" s="315"/>
      <c r="Q202" s="317"/>
      <c r="R202" s="315"/>
      <c r="S202" s="315" t="str">
        <f>IFERROR(__xludf.DUMMYFUNCTION("""COMPUTED_VALUE"""),"Кнопка e.pbif.din.green (з індикатором, з фіксатором, на DIN-рейку, зелена, E.NEXT) --- 1шт")</f>
        <v>Кнопка e.pbif.din.green (з індикатором, з фіксатором, на DIN-рейку, зелена, E.NEXT) --- 1шт</v>
      </c>
      <c r="T202" s="315"/>
      <c r="U202" s="315" t="s">
        <v>532</v>
      </c>
      <c r="V202" s="317"/>
    </row>
    <row r="203" ht="15.75" customHeight="1">
      <c r="A203" s="315"/>
      <c r="B203" s="315"/>
      <c r="C203" s="315"/>
      <c r="D203" s="315"/>
      <c r="E203" s="315"/>
      <c r="F203" s="315"/>
      <c r="G203" s="315"/>
      <c r="H203" s="315"/>
      <c r="I203" s="315"/>
      <c r="J203" s="315"/>
      <c r="K203" s="315"/>
      <c r="L203" s="315"/>
      <c r="M203" s="317"/>
      <c r="N203" s="315"/>
      <c r="O203" s="317"/>
      <c r="P203" s="315"/>
      <c r="Q203" s="317"/>
      <c r="R203" s="315"/>
      <c r="S203" s="315" t="str">
        <f>IFERROR(__xludf.DUMMYFUNCTION("""COMPUTED_VALUE"""),"Кнопка КМУ11 (керування, модульна, червона, зелена, на DIN-рейку, IEK) --- 4шт")</f>
        <v>Кнопка КМУ11 (керування, модульна, червона, зелена, на DIN-рейку, IEK) --- 4шт</v>
      </c>
      <c r="T203" s="315"/>
      <c r="U203" s="315" t="s">
        <v>533</v>
      </c>
      <c r="V203" s="317"/>
    </row>
    <row r="204" ht="15.75" customHeight="1">
      <c r="A204" s="315"/>
      <c r="B204" s="315"/>
      <c r="C204" s="315"/>
      <c r="D204" s="315"/>
      <c r="E204" s="315"/>
      <c r="F204" s="315"/>
      <c r="G204" s="315"/>
      <c r="H204" s="315"/>
      <c r="I204" s="315"/>
      <c r="J204" s="315"/>
      <c r="K204" s="315"/>
      <c r="L204" s="315"/>
      <c r="M204" s="317"/>
      <c r="N204" s="315"/>
      <c r="O204" s="317"/>
      <c r="P204" s="315"/>
      <c r="Q204" s="317"/>
      <c r="R204" s="315"/>
      <c r="S204" s="315" t="str">
        <f>IFERROR(__xludf.DUMMYFUNCTION("""COMPUTED_VALUE"""),"РАр10-3-ОП (розетка, з заземленням, на DIN-рейку, ІЕК) --- 6шт")</f>
        <v>РАр10-3-ОП (розетка, з заземленням, на DIN-рейку, ІЕК) --- 6шт</v>
      </c>
      <c r="T204" s="315"/>
      <c r="U204" s="315" t="s">
        <v>534</v>
      </c>
      <c r="V204" s="317"/>
    </row>
    <row r="205" ht="15.75" customHeight="1">
      <c r="A205" s="315"/>
      <c r="B205" s="315"/>
      <c r="C205" s="315"/>
      <c r="D205" s="315"/>
      <c r="E205" s="315"/>
      <c r="F205" s="315"/>
      <c r="G205" s="315"/>
      <c r="H205" s="315"/>
      <c r="I205" s="315"/>
      <c r="J205" s="315"/>
      <c r="K205" s="315"/>
      <c r="L205" s="315"/>
      <c r="M205" s="317"/>
      <c r="N205" s="315"/>
      <c r="O205" s="317"/>
      <c r="P205" s="315"/>
      <c r="Q205" s="317"/>
      <c r="R205" s="315"/>
      <c r="S205" s="315" t="str">
        <f>IFERROR(__xludf.DUMMYFUNCTION("""COMPUTED_VALUE"""),"РСб20-3-ФСр (розетка, 1м, зовнішня, IP54, ФОРС, ІЕК) --- 1шт")</f>
        <v>РСб20-3-ФСр (розетка, 1м, зовнішня, IP54, ФОРС, ІЕК) --- 1шт</v>
      </c>
      <c r="T205" s="315"/>
      <c r="U205" s="315" t="s">
        <v>535</v>
      </c>
      <c r="V205" s="317"/>
    </row>
    <row r="206" ht="15.75" customHeight="1">
      <c r="A206" s="315"/>
      <c r="B206" s="315"/>
      <c r="C206" s="315"/>
      <c r="D206" s="315"/>
      <c r="E206" s="315"/>
      <c r="F206" s="315"/>
      <c r="G206" s="315"/>
      <c r="H206" s="315"/>
      <c r="I206" s="315"/>
      <c r="J206" s="315"/>
      <c r="K206" s="315"/>
      <c r="L206" s="315"/>
      <c r="M206" s="317"/>
      <c r="N206" s="315"/>
      <c r="O206" s="317"/>
      <c r="P206" s="315"/>
      <c r="Q206" s="317"/>
      <c r="R206" s="315"/>
      <c r="S206" s="315" t="str">
        <f>IFERROR(__xludf.DUMMYFUNCTION("""COMPUTED_VALUE"""),"Тримач 25 мм (двокомпонентний, труба, ДКС)")</f>
        <v>Тримач 25 мм (двокомпонентний, труба, ДКС)</v>
      </c>
      <c r="T206" s="315"/>
      <c r="U206" s="315" t="s">
        <v>536</v>
      </c>
      <c r="V206" s="317"/>
    </row>
    <row r="207" ht="15.75" customHeight="1">
      <c r="A207" s="315"/>
      <c r="B207" s="315"/>
      <c r="C207" s="315"/>
      <c r="D207" s="315"/>
      <c r="E207" s="315"/>
      <c r="F207" s="315"/>
      <c r="G207" s="315"/>
      <c r="H207" s="315"/>
      <c r="I207" s="315"/>
      <c r="J207" s="315"/>
      <c r="K207" s="315"/>
      <c r="L207" s="315"/>
      <c r="M207" s="317"/>
      <c r="N207" s="315"/>
      <c r="O207" s="317"/>
      <c r="P207" s="315"/>
      <c r="Q207" s="317"/>
      <c r="R207" s="315"/>
      <c r="S207" s="315" t="str">
        <f>IFERROR(__xludf.DUMMYFUNCTION("""COMPUTED_VALUE"""),"Тримач 32 мм (двосторонній, цинк., труба, ДКС)")</f>
        <v>Тримач 32 мм (двосторонній, цинк., труба, ДКС)</v>
      </c>
      <c r="T207" s="315"/>
      <c r="U207" s="315" t="s">
        <v>537</v>
      </c>
      <c r="V207" s="317"/>
    </row>
    <row r="208" ht="15.75" customHeight="1">
      <c r="A208" s="315"/>
      <c r="B208" s="315"/>
      <c r="C208" s="315"/>
      <c r="D208" s="315"/>
      <c r="E208" s="315"/>
      <c r="F208" s="315"/>
      <c r="G208" s="315"/>
      <c r="H208" s="315"/>
      <c r="I208" s="315"/>
      <c r="J208" s="315"/>
      <c r="K208" s="315"/>
      <c r="L208" s="315"/>
      <c r="M208" s="317"/>
      <c r="N208" s="315"/>
      <c r="O208" s="317"/>
      <c r="P208" s="315"/>
      <c r="Q208" s="317"/>
      <c r="R208" s="315"/>
      <c r="S208" s="315" t="str">
        <f>IFERROR(__xludf.DUMMYFUNCTION("""COMPUTED_VALUE"""),"Тримач 38-40 мм (двосторонній, цинк., труба, ДКС)")</f>
        <v>Тримач 38-40 мм (двосторонній, цинк., труба, ДКС)</v>
      </c>
      <c r="T208" s="315"/>
      <c r="U208" s="315" t="s">
        <v>538</v>
      </c>
      <c r="V208" s="317"/>
    </row>
    <row r="209" ht="15.75" customHeight="1">
      <c r="A209" s="315"/>
      <c r="B209" s="315"/>
      <c r="C209" s="315"/>
      <c r="D209" s="315"/>
      <c r="E209" s="315"/>
      <c r="F209" s="315"/>
      <c r="G209" s="315"/>
      <c r="H209" s="315"/>
      <c r="I209" s="315"/>
      <c r="J209" s="315"/>
      <c r="K209" s="315"/>
      <c r="L209" s="315"/>
      <c r="M209" s="317"/>
      <c r="N209" s="315"/>
      <c r="O209" s="317"/>
      <c r="P209" s="315"/>
      <c r="Q209" s="317"/>
      <c r="R209" s="315"/>
      <c r="S209" s="315" t="str">
        <f>IFERROR(__xludf.DUMMYFUNCTION("""COMPUTED_VALUE"""),"Тримач 40 мм (з фіксатором, труба ПВТ, УФ, ДКС) --- 44шт")</f>
        <v>Тримач 40 мм (з фіксатором, труба ПВТ, УФ, ДКС) --- 44шт</v>
      </c>
      <c r="T209" s="315"/>
      <c r="U209" s="315" t="s">
        <v>539</v>
      </c>
      <c r="V209" s="317"/>
    </row>
    <row r="210" ht="15.75" customHeight="1">
      <c r="A210" s="315"/>
      <c r="B210" s="315"/>
      <c r="C210" s="315"/>
      <c r="D210" s="315"/>
      <c r="E210" s="315"/>
      <c r="F210" s="315"/>
      <c r="G210" s="315"/>
      <c r="H210" s="315"/>
      <c r="I210" s="315"/>
      <c r="J210" s="315"/>
      <c r="K210" s="315"/>
      <c r="L210" s="315"/>
      <c r="M210" s="317"/>
      <c r="N210" s="315"/>
      <c r="O210" s="317"/>
      <c r="P210" s="315"/>
      <c r="Q210" s="317"/>
      <c r="R210" s="315"/>
      <c r="S210" s="315" t="str">
        <f>IFERROR(__xludf.DUMMYFUNCTION("""COMPUTED_VALUE"""),"Тримач 48-50 мм (двосторонній, цинк., труба, ДКС)")</f>
        <v>Тримач 48-50 мм (двосторонній, цинк., труба, ДКС)</v>
      </c>
      <c r="T210" s="315"/>
      <c r="U210" s="315" t="s">
        <v>540</v>
      </c>
      <c r="V210" s="317"/>
    </row>
    <row r="211" ht="15.75" customHeight="1">
      <c r="A211" s="315"/>
      <c r="B211" s="315"/>
      <c r="C211" s="315"/>
      <c r="D211" s="315"/>
      <c r="E211" s="315"/>
      <c r="F211" s="315"/>
      <c r="G211" s="315"/>
      <c r="H211" s="315"/>
      <c r="I211" s="315"/>
      <c r="J211" s="315"/>
      <c r="K211" s="315"/>
      <c r="L211" s="315"/>
      <c r="M211" s="317"/>
      <c r="N211" s="315"/>
      <c r="O211" s="317"/>
      <c r="P211" s="315"/>
      <c r="Q211" s="317"/>
      <c r="R211" s="315"/>
      <c r="S211" s="315" t="str">
        <f>IFERROR(__xludf.DUMMYFUNCTION("""COMPUTED_VALUE"""),"Тримач 50 мм (з фіксатором, труба ПВТ, УФ, ДКС)")</f>
        <v>Тримач 50 мм (з фіксатором, труба ПВТ, УФ, ДКС)</v>
      </c>
      <c r="T211" s="315"/>
      <c r="U211" s="315" t="s">
        <v>541</v>
      </c>
      <c r="V211" s="317"/>
    </row>
    <row r="212" ht="15.75" customHeight="1">
      <c r="A212" s="315"/>
      <c r="B212" s="315"/>
      <c r="C212" s="315"/>
      <c r="D212" s="315"/>
      <c r="E212" s="315"/>
      <c r="F212" s="315"/>
      <c r="G212" s="315"/>
      <c r="H212" s="315"/>
      <c r="I212" s="315"/>
      <c r="J212" s="315"/>
      <c r="K212" s="315"/>
      <c r="L212" s="315"/>
      <c r="M212" s="317"/>
      <c r="N212" s="315"/>
      <c r="O212" s="317"/>
      <c r="P212" s="315"/>
      <c r="Q212" s="317"/>
      <c r="R212" s="315"/>
      <c r="S212" s="315" t="str">
        <f>IFERROR(__xludf.DUMMYFUNCTION("""COMPUTED_VALUE"""),"Тримач маркувальної бірки (для кнопок і перемикачів ∅22 мм, АСКО) --- 20шт")</f>
        <v>Тримач маркувальної бірки (для кнопок і перемикачів ∅22 мм, АСКО) --- 20шт</v>
      </c>
      <c r="T212" s="315"/>
      <c r="U212" s="315" t="s">
        <v>542</v>
      </c>
      <c r="V212" s="317"/>
    </row>
    <row r="213" ht="15.75" customHeight="1">
      <c r="A213" s="315"/>
      <c r="B213" s="315"/>
      <c r="C213" s="315"/>
      <c r="D213" s="315"/>
      <c r="E213" s="315"/>
      <c r="F213" s="315"/>
      <c r="G213" s="315"/>
      <c r="H213" s="315"/>
      <c r="I213" s="315"/>
      <c r="J213" s="315"/>
      <c r="K213" s="315"/>
      <c r="L213" s="315"/>
      <c r="M213" s="317"/>
      <c r="N213" s="315"/>
      <c r="O213" s="317"/>
      <c r="P213" s="315"/>
      <c r="Q213" s="317"/>
      <c r="R213" s="315"/>
      <c r="S213" s="315" t="str">
        <f>IFERROR(__xludf.DUMMYFUNCTION("""COMPUTED_VALUE"""),"Хомут 3х200 мм, e.ct.stand.200.3 (кабельна стяжка, хомут, 200х3 мм, чорний, УФ, , пак. 100шт, ENEXT)")</f>
        <v>Хомут 3х200 мм, e.ct.stand.200.3 (кабельна стяжка, хомут, 200х3 мм, чорний, УФ, , пак. 100шт, ENEXT)</v>
      </c>
      <c r="T213" s="315"/>
      <c r="U213" s="315" t="s">
        <v>543</v>
      </c>
      <c r="V213" s="317"/>
    </row>
    <row r="214" ht="15.75" customHeight="1">
      <c r="A214" s="315"/>
      <c r="B214" s="315"/>
      <c r="C214" s="315"/>
      <c r="D214" s="315"/>
      <c r="E214" s="315"/>
      <c r="F214" s="315"/>
      <c r="G214" s="315"/>
      <c r="H214" s="315"/>
      <c r="I214" s="315"/>
      <c r="J214" s="315"/>
      <c r="K214" s="315"/>
      <c r="L214" s="315"/>
      <c r="M214" s="317"/>
      <c r="N214" s="315"/>
      <c r="O214" s="317"/>
      <c r="P214" s="315"/>
      <c r="Q214" s="317"/>
      <c r="R214" s="315"/>
      <c r="S214" s="315" t="str">
        <f>IFERROR(__xludf.DUMMYFUNCTION("""COMPUTED_VALUE"""),"Хомут 4х200 мм, e.ct.stand.200.4 (кабельна стяжка, хомут, чорний, 200х4 мм, УФ, E.NEXT)")</f>
        <v>Хомут 4х200 мм, e.ct.stand.200.4 (кабельна стяжка, хомут, чорний, 200х4 мм, УФ, E.NEXT)</v>
      </c>
      <c r="T214" s="315"/>
      <c r="U214" s="315" t="s">
        <v>544</v>
      </c>
      <c r="V214" s="317"/>
    </row>
    <row r="215" ht="15.75" customHeight="1">
      <c r="A215" s="315"/>
      <c r="B215" s="315"/>
      <c r="C215" s="315"/>
      <c r="D215" s="315"/>
      <c r="E215" s="315"/>
      <c r="F215" s="315"/>
      <c r="G215" s="315"/>
      <c r="H215" s="315"/>
      <c r="I215" s="315"/>
      <c r="J215" s="315"/>
      <c r="K215" s="315"/>
      <c r="L215" s="315"/>
      <c r="M215" s="317"/>
      <c r="N215" s="315"/>
      <c r="O215" s="317"/>
      <c r="P215" s="315"/>
      <c r="Q215" s="317"/>
      <c r="R215" s="315"/>
      <c r="S215" s="315" t="str">
        <f>IFERROR(__xludf.DUMMYFUNCTION("""COMPUTED_VALUE"""),"Хомут 5х300 мм, e.ct.stand.300.5 (чорний, нейлон, пак. 100шт,  E.NEXT) --- 85пак")</f>
        <v>Хомут 5х300 мм, e.ct.stand.300.5 (чорний, нейлон, пак. 100шт,  E.NEXT) --- 85пак</v>
      </c>
      <c r="T215" s="315"/>
      <c r="U215" s="315" t="s">
        <v>545</v>
      </c>
      <c r="V215" s="317"/>
    </row>
    <row r="216" ht="15.75" customHeight="1">
      <c r="A216" s="315"/>
      <c r="B216" s="315"/>
      <c r="C216" s="315"/>
      <c r="D216" s="315"/>
      <c r="E216" s="315"/>
      <c r="F216" s="315"/>
      <c r="G216" s="315"/>
      <c r="H216" s="315"/>
      <c r="I216" s="315"/>
      <c r="J216" s="315"/>
      <c r="K216" s="315"/>
      <c r="L216" s="315"/>
      <c r="M216" s="317"/>
      <c r="N216" s="315"/>
      <c r="O216" s="317"/>
      <c r="P216" s="315"/>
      <c r="Q216" s="317"/>
      <c r="R216" s="315"/>
      <c r="S216" s="315" t="str">
        <f>IFERROR(__xludf.DUMMYFUNCTION("""COMPUTED_VALUE"""),"DL-150 (накінечник кабельний, алюм., без ізоляції, 150мм2, АСКО) --- 10шт")</f>
        <v>DL-150 (накінечник кабельний, алюм., без ізоляції, 150мм2, АСКО) --- 10шт</v>
      </c>
      <c r="T216" s="315"/>
      <c r="U216" s="315" t="s">
        <v>546</v>
      </c>
      <c r="V216" s="317"/>
    </row>
    <row r="217" ht="15.75" customHeight="1">
      <c r="A217" s="315"/>
      <c r="B217" s="315"/>
      <c r="C217" s="315"/>
      <c r="D217" s="315"/>
      <c r="E217" s="315"/>
      <c r="F217" s="315"/>
      <c r="G217" s="315"/>
      <c r="H217" s="315"/>
      <c r="I217" s="315"/>
      <c r="J217" s="315"/>
      <c r="K217" s="315"/>
      <c r="L217" s="315"/>
      <c r="M217" s="317"/>
      <c r="N217" s="315"/>
      <c r="O217" s="317"/>
      <c r="P217" s="315"/>
      <c r="Q217" s="317"/>
      <c r="R217" s="315"/>
      <c r="S217" s="315" t="str">
        <f>IFERROR(__xludf.DUMMYFUNCTION("""COMPUTED_VALUE"""),"DL-16 (накінечник кабельний, алюм., без ізоляції, 16мм2, АСКО)")</f>
        <v>DL-16 (накінечник кабельний, алюм., без ізоляції, 16мм2, АСКО)</v>
      </c>
      <c r="T217" s="315"/>
      <c r="U217" s="315" t="s">
        <v>547</v>
      </c>
      <c r="V217" s="317"/>
    </row>
    <row r="218" ht="15.75" customHeight="1">
      <c r="A218" s="315"/>
      <c r="B218" s="315"/>
      <c r="C218" s="315"/>
      <c r="D218" s="315"/>
      <c r="E218" s="315"/>
      <c r="F218" s="315"/>
      <c r="G218" s="315"/>
      <c r="H218" s="315"/>
      <c r="I218" s="315"/>
      <c r="J218" s="315"/>
      <c r="K218" s="315"/>
      <c r="L218" s="315"/>
      <c r="M218" s="317"/>
      <c r="N218" s="315"/>
      <c r="O218" s="317"/>
      <c r="P218" s="315"/>
      <c r="Q218" s="317"/>
      <c r="R218" s="315"/>
      <c r="S218" s="315" t="str">
        <f>IFERROR(__xludf.DUMMYFUNCTION("""COMPUTED_VALUE"""),"DL-185 (накінечник кабельний, алюм., без ізоляції, 185мм2, АСКО)")</f>
        <v>DL-185 (накінечник кабельний, алюм., без ізоляції, 185мм2, АСКО)</v>
      </c>
      <c r="T218" s="315"/>
      <c r="U218" s="315" t="s">
        <v>548</v>
      </c>
      <c r="V218" s="317"/>
    </row>
    <row r="219" ht="15.75" customHeight="1">
      <c r="A219" s="315"/>
      <c r="B219" s="315"/>
      <c r="C219" s="315"/>
      <c r="D219" s="315"/>
      <c r="E219" s="315"/>
      <c r="F219" s="315"/>
      <c r="G219" s="315"/>
      <c r="H219" s="315"/>
      <c r="I219" s="315"/>
      <c r="J219" s="315"/>
      <c r="K219" s="315"/>
      <c r="L219" s="315"/>
      <c r="M219" s="317"/>
      <c r="N219" s="315"/>
      <c r="O219" s="317"/>
      <c r="P219" s="315"/>
      <c r="Q219" s="317"/>
      <c r="R219" s="315"/>
      <c r="S219" s="315" t="str">
        <f>IFERROR(__xludf.DUMMYFUNCTION("""COMPUTED_VALUE"""),"DL-240 (накінечник кабельний, алюм., без ізоляції, 240мм2, АСКО)")</f>
        <v>DL-240 (накінечник кабельний, алюм., без ізоляції, 240мм2, АСКО)</v>
      </c>
      <c r="T219" s="315"/>
      <c r="U219" s="315" t="s">
        <v>549</v>
      </c>
      <c r="V219" s="317"/>
    </row>
    <row r="220" ht="15.75" customHeight="1">
      <c r="A220" s="315"/>
      <c r="B220" s="315"/>
      <c r="C220" s="315"/>
      <c r="D220" s="315"/>
      <c r="E220" s="315"/>
      <c r="F220" s="315"/>
      <c r="G220" s="315"/>
      <c r="H220" s="315"/>
      <c r="I220" s="315"/>
      <c r="J220" s="315"/>
      <c r="K220" s="315"/>
      <c r="L220" s="315"/>
      <c r="M220" s="317"/>
      <c r="N220" s="315"/>
      <c r="O220" s="317"/>
      <c r="P220" s="315"/>
      <c r="Q220" s="317"/>
      <c r="R220" s="315"/>
      <c r="S220" s="315" t="str">
        <f>IFERROR(__xludf.DUMMYFUNCTION("""COMPUTED_VALUE"""),"DL-50 (накінечник кабельний, алюм., без ізоляції, 50мм2, IEK) --- 20шт")</f>
        <v>DL-50 (накінечник кабельний, алюм., без ізоляції, 50мм2, IEK) --- 20шт</v>
      </c>
      <c r="T220" s="315"/>
      <c r="U220" s="315" t="s">
        <v>550</v>
      </c>
      <c r="V220" s="317"/>
    </row>
    <row r="221" ht="15.75" customHeight="1">
      <c r="A221" s="315"/>
      <c r="B221" s="315"/>
      <c r="C221" s="315"/>
      <c r="D221" s="315"/>
      <c r="E221" s="315"/>
      <c r="F221" s="315"/>
      <c r="G221" s="315"/>
      <c r="H221" s="315"/>
      <c r="I221" s="315"/>
      <c r="J221" s="315"/>
      <c r="K221" s="315"/>
      <c r="L221" s="315"/>
      <c r="M221" s="317"/>
      <c r="N221" s="315"/>
      <c r="O221" s="317"/>
      <c r="P221" s="315"/>
      <c r="Q221" s="317"/>
      <c r="R221" s="315"/>
      <c r="S221" s="315" t="str">
        <f>IFERROR(__xludf.DUMMYFUNCTION("""COMPUTED_VALUE"""),"DL-50 (накінечник кабельний, алюм., без ізоляції, 50мм2, АСКО)")</f>
        <v>DL-50 (накінечник кабельний, алюм., без ізоляції, 50мм2, АСКО)</v>
      </c>
      <c r="T221" s="315"/>
      <c r="U221" s="315" t="s">
        <v>551</v>
      </c>
      <c r="V221" s="317"/>
    </row>
    <row r="222" ht="15.75" customHeight="1">
      <c r="A222" s="315"/>
      <c r="B222" s="315"/>
      <c r="C222" s="315"/>
      <c r="D222" s="315"/>
      <c r="E222" s="315"/>
      <c r="F222" s="315"/>
      <c r="G222" s="315"/>
      <c r="H222" s="315"/>
      <c r="I222" s="315"/>
      <c r="J222" s="315"/>
      <c r="K222" s="315"/>
      <c r="L222" s="315"/>
      <c r="M222" s="317"/>
      <c r="N222" s="315"/>
      <c r="O222" s="317"/>
      <c r="P222" s="315"/>
      <c r="Q222" s="317"/>
      <c r="R222" s="315"/>
      <c r="S222" s="315" t="str">
        <f>IFERROR(__xludf.DUMMYFUNCTION("""COMPUTED_VALUE"""),"DL-95 (накінечник кабельний, алюм., без ізоляції, 95мм2, АСКО)")</f>
        <v>DL-95 (накінечник кабельний, алюм., без ізоляції, 95мм2, АСКО)</v>
      </c>
      <c r="T222" s="315"/>
      <c r="U222" s="315" t="s">
        <v>552</v>
      </c>
      <c r="V222" s="317"/>
    </row>
    <row r="223" ht="15.75" customHeight="1">
      <c r="A223" s="315"/>
      <c r="B223" s="315"/>
      <c r="C223" s="315"/>
      <c r="D223" s="315"/>
      <c r="E223" s="315"/>
      <c r="F223" s="315"/>
      <c r="G223" s="315"/>
      <c r="H223" s="315"/>
      <c r="I223" s="315"/>
      <c r="J223" s="315"/>
      <c r="K223" s="315"/>
      <c r="L223" s="315"/>
      <c r="M223" s="317"/>
      <c r="N223" s="315"/>
      <c r="O223" s="317"/>
      <c r="P223" s="315"/>
      <c r="Q223" s="317"/>
      <c r="R223" s="315"/>
      <c r="S223" s="315" t="str">
        <f>IFERROR(__xludf.DUMMYFUNCTION("""COMPUTED_VALUE"""),"DT-16 (накінечник кабельний, мідний, луджений, 16мм2, АСКО) --- 34шт")</f>
        <v>DT-16 (накінечник кабельний, мідний, луджений, 16мм2, АСКО) --- 34шт</v>
      </c>
      <c r="T223" s="315"/>
      <c r="U223" s="315" t="s">
        <v>553</v>
      </c>
      <c r="V223" s="317"/>
    </row>
    <row r="224" ht="15.75" customHeight="1">
      <c r="A224" s="315"/>
      <c r="B224" s="315"/>
      <c r="C224" s="315"/>
      <c r="D224" s="315"/>
      <c r="E224" s="315"/>
      <c r="F224" s="315"/>
      <c r="G224" s="315"/>
      <c r="H224" s="315"/>
      <c r="I224" s="315"/>
      <c r="J224" s="315"/>
      <c r="K224" s="315"/>
      <c r="L224" s="315"/>
      <c r="M224" s="317"/>
      <c r="N224" s="315"/>
      <c r="O224" s="317"/>
      <c r="P224" s="315"/>
      <c r="Q224" s="317"/>
      <c r="R224" s="315"/>
      <c r="S224" s="315" t="str">
        <f>IFERROR(__xludf.DUMMYFUNCTION("""COMPUTED_VALUE"""),"DT-25-8 (накінечник кабельний, мідний, луджений, 25 мм2, АСКО) --- 92шт")</f>
        <v>DT-25-8 (накінечник кабельний, мідний, луджений, 25 мм2, АСКО) --- 92шт</v>
      </c>
      <c r="T224" s="315"/>
      <c r="U224" s="315" t="s">
        <v>554</v>
      </c>
      <c r="V224" s="317"/>
    </row>
    <row r="225" ht="15.75" customHeight="1">
      <c r="A225" s="315"/>
      <c r="B225" s="315"/>
      <c r="C225" s="315"/>
      <c r="D225" s="315"/>
      <c r="E225" s="315"/>
      <c r="F225" s="315"/>
      <c r="G225" s="315"/>
      <c r="H225" s="315"/>
      <c r="I225" s="315"/>
      <c r="J225" s="315"/>
      <c r="K225" s="315"/>
      <c r="L225" s="315"/>
      <c r="M225" s="317"/>
      <c r="N225" s="315"/>
      <c r="O225" s="317"/>
      <c r="P225" s="315"/>
      <c r="Q225" s="317"/>
      <c r="R225" s="315"/>
      <c r="S225" s="315" t="str">
        <f>IFERROR(__xludf.DUMMYFUNCTION("""COMPUTED_VALUE"""),"DT-50-10 (накінечник кабельний, мідний, луджений, 50мм2, АСКО) --- 16шт")</f>
        <v>DT-50-10 (накінечник кабельний, мідний, луджений, 50мм2, АСКО) --- 16шт</v>
      </c>
      <c r="T225" s="315"/>
      <c r="U225" s="315" t="s">
        <v>555</v>
      </c>
      <c r="V225" s="317"/>
    </row>
    <row r="226" ht="15.75" customHeight="1">
      <c r="A226" s="315"/>
      <c r="B226" s="315"/>
      <c r="C226" s="315"/>
      <c r="D226" s="315"/>
      <c r="E226" s="315"/>
      <c r="F226" s="315"/>
      <c r="G226" s="315"/>
      <c r="H226" s="315"/>
      <c r="I226" s="315"/>
      <c r="J226" s="315"/>
      <c r="K226" s="315"/>
      <c r="L226" s="315"/>
      <c r="M226" s="317"/>
      <c r="N226" s="315"/>
      <c r="O226" s="317"/>
      <c r="P226" s="315"/>
      <c r="Q226" s="317"/>
      <c r="R226" s="315"/>
      <c r="S226" s="315" t="str">
        <f>IFERROR(__xludf.DUMMYFUNCTION("""COMPUTED_VALUE"""),"DT-70 (накінечник кабельний, мідний, луджений, 70мм2, АСКО) --- 4шт")</f>
        <v>DT-70 (накінечник кабельний, мідний, луджений, 70мм2, АСКО) --- 4шт</v>
      </c>
      <c r="T226" s="315"/>
      <c r="U226" s="315" t="s">
        <v>556</v>
      </c>
      <c r="V226" s="317"/>
    </row>
    <row r="227" ht="15.75" customHeight="1">
      <c r="A227" s="315"/>
      <c r="B227" s="315"/>
      <c r="C227" s="315"/>
      <c r="D227" s="315"/>
      <c r="E227" s="315"/>
      <c r="F227" s="315"/>
      <c r="G227" s="315"/>
      <c r="H227" s="315"/>
      <c r="I227" s="315"/>
      <c r="J227" s="315"/>
      <c r="K227" s="315"/>
      <c r="L227" s="315"/>
      <c r="M227" s="317"/>
      <c r="N227" s="315"/>
      <c r="O227" s="317"/>
      <c r="P227" s="315"/>
      <c r="Q227" s="317"/>
      <c r="R227" s="315"/>
      <c r="S227" s="315" t="str">
        <f>IFERROR(__xludf.DUMMYFUNCTION("""COMPUTED_VALUE"""),"EKD 80х40 (кабельний канал, короб, білий, ПВХ, 2000мм, KOPOS)")</f>
        <v>EKD 80х40 (кабельний канал, короб, білий, ПВХ, 2000мм, KOPOS)</v>
      </c>
      <c r="T227" s="315"/>
      <c r="U227" s="315" t="s">
        <v>557</v>
      </c>
      <c r="V227" s="317"/>
    </row>
    <row r="228" ht="15.75" customHeight="1">
      <c r="A228" s="315"/>
      <c r="B228" s="315"/>
      <c r="C228" s="315"/>
      <c r="D228" s="315"/>
      <c r="E228" s="315"/>
      <c r="F228" s="315"/>
      <c r="G228" s="315"/>
      <c r="H228" s="315"/>
      <c r="I228" s="315"/>
      <c r="J228" s="315"/>
      <c r="K228" s="315"/>
      <c r="L228" s="315"/>
      <c r="M228" s="317"/>
      <c r="N228" s="315"/>
      <c r="O228" s="317"/>
      <c r="P228" s="315"/>
      <c r="Q228" s="317"/>
      <c r="R228" s="315"/>
      <c r="S228" s="315" t="str">
        <f>IFERROR(__xludf.DUMMYFUNCTION("""COMPUTED_VALUE"""),"G-DT-35/10 (накінечник кабельний, мідний, луджений, 35мм2) --- 40шт")</f>
        <v>G-DT-35/10 (накінечник кабельний, мідний, луджений, 35мм2) --- 40шт</v>
      </c>
      <c r="T228" s="315"/>
      <c r="U228" s="315" t="s">
        <v>558</v>
      </c>
      <c r="V228" s="317"/>
    </row>
    <row r="229" ht="15.75" customHeight="1">
      <c r="A229" s="315"/>
      <c r="B229" s="315"/>
      <c r="C229" s="315"/>
      <c r="D229" s="315"/>
      <c r="E229" s="315"/>
      <c r="F229" s="315"/>
      <c r="G229" s="315"/>
      <c r="H229" s="315"/>
      <c r="I229" s="315"/>
      <c r="J229" s="315"/>
      <c r="K229" s="315"/>
      <c r="L229" s="315"/>
      <c r="M229" s="317"/>
      <c r="N229" s="315"/>
      <c r="O229" s="317"/>
      <c r="P229" s="315"/>
      <c r="Q229" s="317"/>
      <c r="R229" s="315"/>
      <c r="S229" s="315" t="str">
        <f>IFERROR(__xludf.DUMMYFUNCTION("""COMPUTED_VALUE"""),"HDW-211 (обмежувач, металевий, тримач, на DIN-рейку, АСКО) аналог YXD10 --- 80шт")</f>
        <v>HDW-211 (обмежувач, металевий, тримач, на DIN-рейку, АСКО) аналог YXD10 --- 80шт</v>
      </c>
      <c r="T229" s="315"/>
      <c r="U229" s="315" t="s">
        <v>559</v>
      </c>
      <c r="V229" s="317"/>
    </row>
    <row r="230" ht="15.75" customHeight="1">
      <c r="A230" s="315"/>
      <c r="B230" s="315"/>
      <c r="C230" s="315"/>
      <c r="D230" s="315"/>
      <c r="E230" s="315"/>
      <c r="F230" s="315"/>
      <c r="G230" s="315"/>
      <c r="H230" s="315"/>
      <c r="I230" s="315"/>
      <c r="J230" s="315"/>
      <c r="K230" s="315"/>
      <c r="L230" s="315"/>
      <c r="M230" s="317"/>
      <c r="N230" s="315"/>
      <c r="O230" s="317"/>
      <c r="P230" s="315"/>
      <c r="Q230" s="317"/>
      <c r="R230" s="315"/>
      <c r="S230" s="315" t="str">
        <f>IFERROR(__xludf.DUMMYFUNCTION("""COMPUTED_VALUE"""),"IZ 10/1F/54 (шина живлення, мідна, 10 мм², 1р, 1м, Fork, ETI) --- 2шт")</f>
        <v>IZ 10/1F/54 (шина живлення, мідна, 10 мм², 1р, 1м, Fork, ETI) --- 2шт</v>
      </c>
      <c r="T230" s="315"/>
      <c r="U230" s="315" t="s">
        <v>560</v>
      </c>
      <c r="V230" s="317"/>
    </row>
    <row r="231" ht="15.75" customHeight="1">
      <c r="A231" s="315"/>
      <c r="B231" s="315"/>
      <c r="C231" s="315"/>
      <c r="D231" s="315"/>
      <c r="E231" s="315"/>
      <c r="F231" s="315"/>
      <c r="G231" s="315"/>
      <c r="H231" s="315"/>
      <c r="I231" s="315"/>
      <c r="J231" s="315"/>
      <c r="K231" s="315"/>
      <c r="L231" s="315"/>
      <c r="M231" s="317"/>
      <c r="N231" s="315"/>
      <c r="O231" s="317"/>
      <c r="P231" s="315"/>
      <c r="Q231" s="317"/>
      <c r="R231" s="315"/>
      <c r="S231" s="315" t="str">
        <f>IFERROR(__xludf.DUMMYFUNCTION("""COMPUTED_VALUE"""),"JG-70 (накінечник кабельний, мідний, луджений, 70мм2, ІЕК) --- 10шт")</f>
        <v>JG-70 (накінечник кабельний, мідний, луджений, 70мм2, ІЕК) --- 10шт</v>
      </c>
      <c r="T231" s="315"/>
      <c r="U231" s="315" t="s">
        <v>561</v>
      </c>
      <c r="V231" s="317"/>
    </row>
    <row r="232" ht="15.75" customHeight="1">
      <c r="A232" s="315"/>
      <c r="B232" s="315"/>
      <c r="C232" s="315"/>
      <c r="D232" s="315"/>
      <c r="E232" s="315"/>
      <c r="F232" s="315"/>
      <c r="G232" s="315"/>
      <c r="H232" s="315"/>
      <c r="I232" s="315"/>
      <c r="J232" s="315"/>
      <c r="K232" s="315"/>
      <c r="L232" s="315"/>
      <c r="M232" s="317"/>
      <c r="N232" s="315"/>
      <c r="O232" s="317"/>
      <c r="P232" s="315"/>
      <c r="Q232" s="317"/>
      <c r="R232" s="315"/>
      <c r="S232" s="315" t="str">
        <f>IFERROR(__xludf.DUMMYFUNCTION("""COMPUTED_VALUE"""),"LHD 40х40 (кабельний канал, короб, білий, ПВХ, 2000мм, KOPOS) --- 194м")</f>
        <v>LHD 40х40 (кабельний канал, короб, білий, ПВХ, 2000мм, KOPOS) --- 194м</v>
      </c>
      <c r="T232" s="315"/>
      <c r="U232" s="315" t="s">
        <v>562</v>
      </c>
      <c r="V232" s="317"/>
    </row>
    <row r="233" ht="15.75" customHeight="1">
      <c r="A233" s="315"/>
      <c r="B233" s="315"/>
      <c r="C233" s="315"/>
      <c r="D233" s="315"/>
      <c r="E233" s="315"/>
      <c r="F233" s="315"/>
      <c r="G233" s="315"/>
      <c r="H233" s="315"/>
      <c r="I233" s="315"/>
      <c r="J233" s="315"/>
      <c r="K233" s="315"/>
      <c r="L233" s="315"/>
      <c r="M233" s="317"/>
      <c r="N233" s="315"/>
      <c r="O233" s="317"/>
      <c r="P233" s="315"/>
      <c r="Q233" s="317"/>
      <c r="R233" s="315"/>
      <c r="S233" s="315" t="str">
        <f>IFERROR(__xludf.DUMMYFUNCTION("""COMPUTED_VALUE"""),"LHD 40х40 заглушка (білий, Серія LH/LHD, ПВХ, KOPOS) 8641 --- 14шт")</f>
        <v>LHD 40х40 заглушка (білий, Серія LH/LHD, ПВХ, KOPOS) 8641 --- 14шт</v>
      </c>
      <c r="T233" s="315"/>
      <c r="U233" s="315" t="s">
        <v>563</v>
      </c>
      <c r="V233" s="317"/>
    </row>
    <row r="234" ht="15.75" customHeight="1">
      <c r="A234" s="315"/>
      <c r="B234" s="315"/>
      <c r="C234" s="315"/>
      <c r="D234" s="315"/>
      <c r="E234" s="315"/>
      <c r="F234" s="315"/>
      <c r="G234" s="315"/>
      <c r="H234" s="315"/>
      <c r="I234" s="315"/>
      <c r="J234" s="315"/>
      <c r="K234" s="315"/>
      <c r="L234" s="315"/>
      <c r="M234" s="317"/>
      <c r="N234" s="315"/>
      <c r="O234" s="317"/>
      <c r="P234" s="315"/>
      <c r="Q234" s="317"/>
      <c r="R234" s="315"/>
      <c r="S234" s="315" t="str">
        <f>IFERROR(__xludf.DUMMYFUNCTION("""COMPUTED_VALUE"""),"LHD 40х40 кут внутрішній (білий, Серія LH/LHD, ПВХ, KOPOS) 8645 --- 28шт")</f>
        <v>LHD 40х40 кут внутрішній (білий, Серія LH/LHD, ПВХ, KOPOS) 8645 --- 28шт</v>
      </c>
      <c r="T234" s="315"/>
      <c r="U234" s="315" t="s">
        <v>564</v>
      </c>
      <c r="V234" s="317"/>
    </row>
    <row r="235" ht="15.75" customHeight="1">
      <c r="A235" s="315"/>
      <c r="B235" s="315"/>
      <c r="C235" s="315"/>
      <c r="D235" s="315"/>
      <c r="E235" s="315"/>
      <c r="F235" s="315"/>
      <c r="G235" s="315"/>
      <c r="H235" s="315"/>
      <c r="I235" s="315"/>
      <c r="J235" s="315"/>
      <c r="K235" s="315"/>
      <c r="L235" s="315"/>
      <c r="M235" s="317"/>
      <c r="N235" s="315"/>
      <c r="O235" s="317"/>
      <c r="P235" s="315"/>
      <c r="Q235" s="317"/>
      <c r="R235" s="315"/>
      <c r="S235" s="315" t="str">
        <f>IFERROR(__xludf.DUMMYFUNCTION("""COMPUTED_VALUE"""),"LHD 40х40 кут зовнішній (білий, Серія LH/LHD, ПВХ, KOPOS) 8646 --- 30шт")</f>
        <v>LHD 40х40 кут зовнішній (білий, Серія LH/LHD, ПВХ, KOPOS) 8646 --- 30шт</v>
      </c>
      <c r="T235" s="315"/>
      <c r="U235" s="315" t="s">
        <v>565</v>
      </c>
      <c r="V235" s="317"/>
    </row>
    <row r="236" ht="15.75" customHeight="1">
      <c r="A236" s="315"/>
      <c r="B236" s="315"/>
      <c r="C236" s="315"/>
      <c r="D236" s="315"/>
      <c r="E236" s="315"/>
      <c r="F236" s="315"/>
      <c r="G236" s="315"/>
      <c r="H236" s="315"/>
      <c r="I236" s="315"/>
      <c r="J236" s="315"/>
      <c r="K236" s="315"/>
      <c r="L236" s="315"/>
      <c r="M236" s="317"/>
      <c r="N236" s="315"/>
      <c r="O236" s="317"/>
      <c r="P236" s="315"/>
      <c r="Q236" s="317"/>
      <c r="R236" s="315"/>
      <c r="S236" s="315" t="str">
        <f>IFERROR(__xludf.DUMMYFUNCTION("""COMPUTED_VALUE"""),"LHD 40х40 кут плаский (білий, Серія LH/LHD, ПВХ, KOPOS) 8643 --- 29шт")</f>
        <v>LHD 40х40 кут плаский (білий, Серія LH/LHD, ПВХ, KOPOS) 8643 --- 29шт</v>
      </c>
      <c r="T236" s="315"/>
      <c r="U236" s="315" t="s">
        <v>566</v>
      </c>
      <c r="V236" s="317"/>
    </row>
    <row r="237" ht="15.75" customHeight="1">
      <c r="A237" s="315"/>
      <c r="B237" s="315"/>
      <c r="C237" s="315"/>
      <c r="D237" s="315"/>
      <c r="E237" s="315"/>
      <c r="F237" s="315"/>
      <c r="G237" s="315"/>
      <c r="H237" s="315"/>
      <c r="I237" s="315"/>
      <c r="J237" s="315"/>
      <c r="K237" s="315"/>
      <c r="L237" s="315"/>
      <c r="M237" s="317"/>
      <c r="N237" s="315"/>
      <c r="O237" s="317"/>
      <c r="P237" s="315"/>
      <c r="Q237" s="317"/>
      <c r="R237" s="315"/>
      <c r="S237" s="315" t="str">
        <f>IFERROR(__xludf.DUMMYFUNCTION("""COMPUTED_VALUE"""),"LHD 40х40 кут Т-подібний, трійник  8644 (білий, Серія LH/LHD, ПВХ, KOPOS) 8644 --- 5шт")</f>
        <v>LHD 40х40 кут Т-подібний, трійник  8644 (білий, Серія LH/LHD, ПВХ, KOPOS) 8644 --- 5шт</v>
      </c>
      <c r="T237" s="315"/>
      <c r="U237" s="315" t="s">
        <v>567</v>
      </c>
      <c r="V237" s="317"/>
    </row>
    <row r="238" ht="15.75" customHeight="1">
      <c r="A238" s="315"/>
      <c r="B238" s="315"/>
      <c r="C238" s="315"/>
      <c r="D238" s="315"/>
      <c r="E238" s="315"/>
      <c r="F238" s="315"/>
      <c r="G238" s="315"/>
      <c r="H238" s="315"/>
      <c r="I238" s="315"/>
      <c r="J238" s="315"/>
      <c r="K238" s="315"/>
      <c r="L238" s="315"/>
      <c r="M238" s="317"/>
      <c r="N238" s="315"/>
      <c r="O238" s="317"/>
      <c r="P238" s="315"/>
      <c r="Q238" s="317"/>
      <c r="R238" s="315"/>
      <c r="S238" s="315" t="str">
        <f>IFERROR(__xludf.DUMMYFUNCTION("""COMPUTED_VALUE"""),"PG11 (сальник, герметичній ввід, АСКО) --- 30шт")</f>
        <v>PG11 (сальник, герметичній ввід, АСКО) --- 30шт</v>
      </c>
      <c r="T238" s="315"/>
      <c r="U238" s="315" t="s">
        <v>568</v>
      </c>
      <c r="V238" s="317"/>
    </row>
    <row r="239" ht="15.75" customHeight="1">
      <c r="A239" s="315"/>
      <c r="B239" s="315"/>
      <c r="C239" s="315"/>
      <c r="D239" s="315"/>
      <c r="E239" s="315"/>
      <c r="F239" s="315"/>
      <c r="G239" s="315"/>
      <c r="H239" s="315"/>
      <c r="I239" s="315"/>
      <c r="J239" s="315"/>
      <c r="K239" s="315"/>
      <c r="L239" s="315"/>
      <c r="M239" s="317"/>
      <c r="N239" s="315"/>
      <c r="O239" s="317"/>
      <c r="P239" s="315"/>
      <c r="Q239" s="317"/>
      <c r="R239" s="315"/>
      <c r="S239" s="315" t="str">
        <f>IFERROR(__xludf.DUMMYFUNCTION("""COMPUTED_VALUE"""),"PG29 (сальник, герметичній ввід, АСКО) --- 37шт")</f>
        <v>PG29 (сальник, герметичній ввід, АСКО) --- 37шт</v>
      </c>
      <c r="T239" s="315"/>
      <c r="U239" s="315" t="s">
        <v>569</v>
      </c>
      <c r="V239" s="317"/>
    </row>
    <row r="240" ht="15.75" customHeight="1">
      <c r="A240" s="315"/>
      <c r="B240" s="315"/>
      <c r="C240" s="315"/>
      <c r="D240" s="315"/>
      <c r="E240" s="315"/>
      <c r="F240" s="315"/>
      <c r="G240" s="315"/>
      <c r="H240" s="315"/>
      <c r="I240" s="315"/>
      <c r="J240" s="315"/>
      <c r="K240" s="315"/>
      <c r="L240" s="315"/>
      <c r="M240" s="317"/>
      <c r="N240" s="315"/>
      <c r="O240" s="317"/>
      <c r="P240" s="315"/>
      <c r="Q240" s="317"/>
      <c r="R240" s="315"/>
      <c r="S240" s="315" t="str">
        <f>IFERROR(__xludf.DUMMYFUNCTION("""COMPUTED_VALUE"""),"PV-ZH203 (штекер, гніздо, комплект конекторів MC4, трійник) --- 3шт")</f>
        <v>PV-ZH203 (штекер, гніздо, комплект конекторів MC4, трійник) --- 3шт</v>
      </c>
      <c r="T240" s="315"/>
      <c r="U240" s="315" t="s">
        <v>570</v>
      </c>
      <c r="V240" s="317"/>
    </row>
    <row r="241" ht="15.75" customHeight="1">
      <c r="A241" s="315"/>
      <c r="B241" s="315"/>
      <c r="C241" s="315"/>
      <c r="D241" s="315"/>
      <c r="E241" s="315"/>
      <c r="F241" s="315"/>
      <c r="G241" s="315"/>
      <c r="H241" s="315"/>
      <c r="I241" s="315"/>
      <c r="J241" s="315"/>
      <c r="K241" s="315"/>
      <c r="L241" s="315"/>
      <c r="M241" s="317"/>
      <c r="N241" s="315"/>
      <c r="O241" s="317"/>
      <c r="P241" s="315"/>
      <c r="Q241" s="317"/>
      <c r="R241" s="315"/>
      <c r="S241" s="315" t="str">
        <f>IFERROR(__xludf.DUMMYFUNCTION("""COMPUTED_VALUE"""),"SSV-95 (колодка клемна, розподільчий блок)")</f>
        <v>SSV-95 (колодка клемна, розподільчий блок)</v>
      </c>
      <c r="T241" s="315"/>
      <c r="U241" s="315" t="s">
        <v>571</v>
      </c>
      <c r="V241" s="317"/>
    </row>
    <row r="242" ht="15.75" customHeight="1">
      <c r="A242" s="315"/>
      <c r="B242" s="315"/>
      <c r="C242" s="315"/>
      <c r="D242" s="315"/>
      <c r="E242" s="315"/>
      <c r="F242" s="315"/>
      <c r="G242" s="315"/>
      <c r="H242" s="315"/>
      <c r="I242" s="315"/>
      <c r="J242" s="315"/>
      <c r="K242" s="315"/>
      <c r="L242" s="315"/>
      <c r="M242" s="317"/>
      <c r="N242" s="315"/>
      <c r="O242" s="317"/>
      <c r="P242" s="315"/>
      <c r="Q242" s="317"/>
      <c r="R242" s="315"/>
      <c r="S242" s="315" t="str">
        <f>IFERROR(__xludf.DUMMYFUNCTION("""COMPUTED_VALUE"""),"АД31 4х30х3000мм (шина алюмінієва, полоса) --- 3м")</f>
        <v>АД31 4х30х3000мм (шина алюмінієва, полоса) --- 3м</v>
      </c>
      <c r="T242" s="315"/>
      <c r="U242" s="315" t="s">
        <v>572</v>
      </c>
      <c r="V242" s="317"/>
    </row>
    <row r="243" ht="15.75" customHeight="1">
      <c r="A243" s="315"/>
      <c r="B243" s="315"/>
      <c r="C243" s="315"/>
      <c r="D243" s="315"/>
      <c r="E243" s="315"/>
      <c r="F243" s="315"/>
      <c r="G243" s="315"/>
      <c r="H243" s="315"/>
      <c r="I243" s="315"/>
      <c r="J243" s="315"/>
      <c r="K243" s="315"/>
      <c r="L243" s="315"/>
      <c r="M243" s="317"/>
      <c r="N243" s="315"/>
      <c r="O243" s="317"/>
      <c r="P243" s="315"/>
      <c r="Q243" s="317"/>
      <c r="R243" s="315"/>
      <c r="S243" s="315" t="str">
        <f>IFERROR(__xludf.DUMMYFUNCTION("""COMPUTED_VALUE"""),"АД31 4х40х3000мм (шина алюмінієва, полоса) --- 5,3м")</f>
        <v>АД31 4х40х3000мм (шина алюмінієва, полоса) --- 5,3м</v>
      </c>
      <c r="T243" s="315"/>
      <c r="U243" s="315" t="s">
        <v>573</v>
      </c>
      <c r="V243" s="317"/>
    </row>
    <row r="244" ht="15.75" customHeight="1">
      <c r="A244" s="315"/>
      <c r="B244" s="315"/>
      <c r="C244" s="315"/>
      <c r="D244" s="315"/>
      <c r="E244" s="315"/>
      <c r="F244" s="315"/>
      <c r="G244" s="315"/>
      <c r="H244" s="315"/>
      <c r="I244" s="315"/>
      <c r="J244" s="315"/>
      <c r="K244" s="315"/>
      <c r="L244" s="315"/>
      <c r="M244" s="317"/>
      <c r="N244" s="315"/>
      <c r="O244" s="317"/>
      <c r="P244" s="315"/>
      <c r="Q244" s="317"/>
      <c r="R244" s="315"/>
      <c r="S244" s="315" t="str">
        <f>IFERROR(__xludf.DUMMYFUNCTION("""COMPUTED_VALUE"""),"Блок розподільчий e.sn.pro.125 (125 А) на DIN-рейку, E.NEXT")</f>
        <v>Блок розподільчий e.sn.pro.125 (125 А) на DIN-рейку, E.NEXT</v>
      </c>
      <c r="T244" s="315"/>
      <c r="U244" s="315" t="s">
        <v>574</v>
      </c>
      <c r="V244" s="317"/>
    </row>
    <row r="245" ht="15.75" customHeight="1">
      <c r="A245" s="315"/>
      <c r="B245" s="315"/>
      <c r="C245" s="315"/>
      <c r="D245" s="315"/>
      <c r="E245" s="315"/>
      <c r="F245" s="315"/>
      <c r="G245" s="315"/>
      <c r="H245" s="315"/>
      <c r="I245" s="315"/>
      <c r="J245" s="315"/>
      <c r="K245" s="315"/>
      <c r="L245" s="315"/>
      <c r="M245" s="317"/>
      <c r="N245" s="315"/>
      <c r="O245" s="317"/>
      <c r="P245" s="315"/>
      <c r="Q245" s="317"/>
      <c r="R245" s="315"/>
      <c r="S245" s="315" t="str">
        <f>IFERROR(__xludf.DUMMYFUNCTION("""COMPUTED_VALUE"""),"Блок розподільчий e.sn.pro.400 (400 А) на DIN-рейку, E.NEXT --- 4шт")</f>
        <v>Блок розподільчий e.sn.pro.400 (400 А) на DIN-рейку, E.NEXT --- 4шт</v>
      </c>
      <c r="T245" s="315"/>
      <c r="U245" s="315" t="s">
        <v>575</v>
      </c>
      <c r="V245" s="317"/>
    </row>
    <row r="246" ht="15.75" customHeight="1">
      <c r="A246" s="315"/>
      <c r="B246" s="315"/>
      <c r="C246" s="315"/>
      <c r="D246" s="315"/>
      <c r="E246" s="315"/>
      <c r="F246" s="315"/>
      <c r="G246" s="315"/>
      <c r="H246" s="315"/>
      <c r="I246" s="315"/>
      <c r="J246" s="315"/>
      <c r="K246" s="315"/>
      <c r="L246" s="315"/>
      <c r="M246" s="317"/>
      <c r="N246" s="315"/>
      <c r="O246" s="317"/>
      <c r="P246" s="315"/>
      <c r="Q246" s="317"/>
      <c r="R246" s="315"/>
      <c r="S246" s="315" t="str">
        <f>IFERROR(__xludf.DUMMYFUNCTION("""COMPUTED_VALUE"""),"Вимикач з фіксацією (2 положення, 1НВ, зелений, EMAS) --- 1шт")</f>
        <v>Вимикач з фіксацією (2 положення, 1НВ, зелений, EMAS) --- 1шт</v>
      </c>
      <c r="T246" s="315"/>
      <c r="U246" s="315" t="s">
        <v>576</v>
      </c>
      <c r="V246" s="317"/>
    </row>
    <row r="247" ht="15.75" customHeight="1">
      <c r="A247" s="315"/>
      <c r="B247" s="315"/>
      <c r="C247" s="315"/>
      <c r="D247" s="315"/>
      <c r="E247" s="315"/>
      <c r="F247" s="315"/>
      <c r="G247" s="315"/>
      <c r="H247" s="315"/>
      <c r="I247" s="315"/>
      <c r="J247" s="315"/>
      <c r="K247" s="315"/>
      <c r="L247" s="315"/>
      <c r="M247" s="317"/>
      <c r="N247" s="315"/>
      <c r="O247" s="317"/>
      <c r="P247" s="315"/>
      <c r="Q247" s="317"/>
      <c r="R247" s="315"/>
      <c r="S247" s="315" t="str">
        <f>IFERROR(__xludf.DUMMYFUNCTION("""COMPUTED_VALUE"""),"Гак універсальний сталевий для СІП (KBU-16, КБУ-16) --- 26шт")</f>
        <v>Гак універсальний сталевий для СІП (KBU-16, КБУ-16) --- 26шт</v>
      </c>
      <c r="T247" s="315"/>
      <c r="U247" s="315" t="s">
        <v>577</v>
      </c>
      <c r="V247" s="317"/>
    </row>
    <row r="248" ht="15.75" customHeight="1">
      <c r="A248" s="315"/>
      <c r="B248" s="315"/>
      <c r="C248" s="315"/>
      <c r="D248" s="315"/>
      <c r="E248" s="315"/>
      <c r="F248" s="315"/>
      <c r="G248" s="315"/>
      <c r="H248" s="315"/>
      <c r="I248" s="315"/>
      <c r="J248" s="315"/>
      <c r="K248" s="315"/>
      <c r="L248" s="315"/>
      <c r="M248" s="317"/>
      <c r="N248" s="315"/>
      <c r="O248" s="317"/>
      <c r="P248" s="315"/>
      <c r="Q248" s="317"/>
      <c r="R248" s="315"/>
      <c r="S248" s="315" t="str">
        <f>IFERROR(__xludf.DUMMYFUNCTION("""COMPUTED_VALUE"""),"Дротяний лоток GRM 55х100х3050, G (2,5-10 мкм), OBO")</f>
        <v>Дротяний лоток GRM 55х100х3050, G (2,5-10 мкм), OBO</v>
      </c>
      <c r="T248" s="315"/>
      <c r="U248" s="315" t="s">
        <v>578</v>
      </c>
      <c r="V248" s="317"/>
    </row>
    <row r="249" ht="15.75" customHeight="1">
      <c r="A249" s="315"/>
      <c r="B249" s="315"/>
      <c r="C249" s="315"/>
      <c r="D249" s="315"/>
      <c r="E249" s="315"/>
      <c r="F249" s="315"/>
      <c r="G249" s="315"/>
      <c r="H249" s="315"/>
      <c r="I249" s="315"/>
      <c r="J249" s="315"/>
      <c r="K249" s="315"/>
      <c r="L249" s="315"/>
      <c r="M249" s="317"/>
      <c r="N249" s="315"/>
      <c r="O249" s="317"/>
      <c r="P249" s="315"/>
      <c r="Q249" s="317"/>
      <c r="R249" s="315"/>
      <c r="S249" s="315" t="str">
        <f>IFERROR(__xludf.DUMMYFUNCTION("""COMPUTED_VALUE"""),"Дротяний лоток GRM 55х150х3050, G (2,5-10 мкм), OBO")</f>
        <v>Дротяний лоток GRM 55х150х3050, G (2,5-10 мкм), OBO</v>
      </c>
      <c r="T249" s="315"/>
      <c r="U249" s="315" t="s">
        <v>579</v>
      </c>
      <c r="V249" s="317"/>
    </row>
    <row r="250" ht="15.75" customHeight="1">
      <c r="A250" s="315"/>
      <c r="B250" s="315"/>
      <c r="C250" s="315"/>
      <c r="D250" s="315"/>
      <c r="E250" s="315"/>
      <c r="F250" s="315"/>
      <c r="G250" s="315"/>
      <c r="H250" s="315"/>
      <c r="I250" s="315"/>
      <c r="J250" s="315"/>
      <c r="K250" s="315"/>
      <c r="L250" s="315"/>
      <c r="M250" s="317"/>
      <c r="N250" s="315"/>
      <c r="O250" s="317"/>
      <c r="P250" s="315"/>
      <c r="Q250" s="317"/>
      <c r="R250" s="315"/>
      <c r="S250" s="315" t="str">
        <f>IFERROR(__xludf.DUMMYFUNCTION("""COMPUTED_VALUE"""),"Дротяний лоток GRM 55х200х3050, G (2,5-10 мкм), OBO")</f>
        <v>Дротяний лоток GRM 55х200х3050, G (2,5-10 мкм), OBO</v>
      </c>
      <c r="T250" s="315"/>
      <c r="U250" s="315" t="s">
        <v>580</v>
      </c>
      <c r="V250" s="317"/>
    </row>
    <row r="251" ht="15.75" customHeight="1">
      <c r="A251" s="315"/>
      <c r="B251" s="315"/>
      <c r="C251" s="315"/>
      <c r="D251" s="315"/>
      <c r="E251" s="315"/>
      <c r="F251" s="315"/>
      <c r="G251" s="315"/>
      <c r="H251" s="315"/>
      <c r="I251" s="315"/>
      <c r="J251" s="315"/>
      <c r="K251" s="315"/>
      <c r="L251" s="315"/>
      <c r="M251" s="317"/>
      <c r="N251" s="315"/>
      <c r="O251" s="317"/>
      <c r="P251" s="315"/>
      <c r="Q251" s="317"/>
      <c r="R251" s="315"/>
      <c r="S251" s="315" t="str">
        <f>IFERROR(__xludf.DUMMYFUNCTION("""COMPUTED_VALUE"""),"Дротяний лоток GRM 55х300х3050, G (2,5-10 мкм), OBO")</f>
        <v>Дротяний лоток GRM 55х300х3050, G (2,5-10 мкм), OBO</v>
      </c>
      <c r="T251" s="315"/>
      <c r="U251" s="315" t="s">
        <v>581</v>
      </c>
      <c r="V251" s="317"/>
    </row>
    <row r="252" ht="15.75" customHeight="1">
      <c r="A252" s="315"/>
      <c r="B252" s="315"/>
      <c r="C252" s="315"/>
      <c r="D252" s="315"/>
      <c r="E252" s="315"/>
      <c r="F252" s="315"/>
      <c r="G252" s="315"/>
      <c r="H252" s="315"/>
      <c r="I252" s="315"/>
      <c r="J252" s="315"/>
      <c r="K252" s="315"/>
      <c r="L252" s="315"/>
      <c r="M252" s="317"/>
      <c r="N252" s="315"/>
      <c r="O252" s="317"/>
      <c r="P252" s="315"/>
      <c r="Q252" s="317"/>
      <c r="R252" s="315"/>
      <c r="S252" s="315" t="str">
        <f>IFERROR(__xludf.DUMMYFUNCTION("""COMPUTED_VALUE"""),"Дротяний лоток GRM 55х50х3050, G (2,5-10 мкм), OBO")</f>
        <v>Дротяний лоток GRM 55х50х3050, G (2,5-10 мкм), OBO</v>
      </c>
      <c r="T252" s="315"/>
      <c r="U252" s="315" t="s">
        <v>582</v>
      </c>
      <c r="V252" s="317"/>
    </row>
    <row r="253" ht="15.75" customHeight="1">
      <c r="A253" s="315"/>
      <c r="B253" s="315"/>
      <c r="C253" s="315"/>
      <c r="D253" s="315"/>
      <c r="E253" s="315"/>
      <c r="F253" s="315"/>
      <c r="G253" s="315"/>
      <c r="H253" s="315"/>
      <c r="I253" s="315"/>
      <c r="J253" s="315"/>
      <c r="K253" s="315"/>
      <c r="L253" s="315"/>
      <c r="M253" s="317"/>
      <c r="N253" s="315"/>
      <c r="O253" s="317"/>
      <c r="P253" s="315"/>
      <c r="Q253" s="317"/>
      <c r="R253" s="315"/>
      <c r="S253" s="315" t="str">
        <f>IFERROR(__xludf.DUMMYFUNCTION("""COMPUTED_VALUE"""),"З'єднувач дротяного лотка, G (2,5-10 мкм), OBO --- 16шт")</f>
        <v>З'єднувач дротяного лотка, G (2,5-10 мкм), OBO --- 16шт</v>
      </c>
      <c r="T253" s="315"/>
      <c r="U253" s="315" t="s">
        <v>583</v>
      </c>
      <c r="V253" s="317"/>
    </row>
    <row r="254" ht="15.75" customHeight="1">
      <c r="A254" s="315"/>
      <c r="B254" s="315"/>
      <c r="C254" s="315"/>
      <c r="D254" s="315"/>
      <c r="E254" s="315"/>
      <c r="F254" s="315"/>
      <c r="G254" s="315"/>
      <c r="H254" s="315"/>
      <c r="I254" s="315"/>
      <c r="J254" s="315"/>
      <c r="K254" s="315"/>
      <c r="L254" s="315"/>
      <c r="M254" s="317"/>
      <c r="N254" s="315"/>
      <c r="O254" s="317"/>
      <c r="P254" s="315"/>
      <c r="Q254" s="317"/>
      <c r="R254" s="315"/>
      <c r="S254" s="315" t="str">
        <f>IFERROR(__xludf.DUMMYFUNCTION("""COMPUTED_VALUE"""),"Затискач анкерний двохпластинчатий для СІП 4х35-50 (ЗА-3.2)")</f>
        <v>Затискач анкерний двохпластинчатий для СІП 4х35-50 (ЗА-3.2)</v>
      </c>
      <c r="T254" s="315"/>
      <c r="U254" s="315" t="s">
        <v>584</v>
      </c>
      <c r="V254" s="317"/>
    </row>
    <row r="255" ht="15.75" customHeight="1">
      <c r="A255" s="315"/>
      <c r="B255" s="315"/>
      <c r="C255" s="315"/>
      <c r="D255" s="315"/>
      <c r="E255" s="315"/>
      <c r="F255" s="315"/>
      <c r="G255" s="315"/>
      <c r="H255" s="315"/>
      <c r="I255" s="315"/>
      <c r="J255" s="315"/>
      <c r="K255" s="315"/>
      <c r="L255" s="315"/>
      <c r="M255" s="317"/>
      <c r="N255" s="315"/>
      <c r="O255" s="317"/>
      <c r="P255" s="315"/>
      <c r="Q255" s="317"/>
      <c r="R255" s="315"/>
      <c r="S255" s="315" t="str">
        <f>IFERROR(__xludf.DUMMYFUNCTION("""COMPUTED_VALUE"""),"Затискач анкерний дротяний для СІП 4х16-25 (ЗА-1.2)")</f>
        <v>Затискач анкерний дротяний для СІП 4х16-25 (ЗА-1.2)</v>
      </c>
      <c r="T255" s="315"/>
      <c r="U255" s="315" t="s">
        <v>585</v>
      </c>
      <c r="V255" s="317"/>
    </row>
    <row r="256" ht="15.75" customHeight="1">
      <c r="A256" s="315"/>
      <c r="B256" s="315"/>
      <c r="C256" s="315"/>
      <c r="D256" s="315"/>
      <c r="E256" s="315"/>
      <c r="F256" s="315"/>
      <c r="G256" s="315"/>
      <c r="H256" s="315"/>
      <c r="I256" s="315"/>
      <c r="J256" s="315"/>
      <c r="K256" s="315"/>
      <c r="L256" s="315"/>
      <c r="M256" s="317"/>
      <c r="N256" s="315"/>
      <c r="O256" s="317"/>
      <c r="P256" s="315"/>
      <c r="Q256" s="317"/>
      <c r="R256" s="315"/>
      <c r="S256" s="315" t="str">
        <f>IFERROR(__xludf.DUMMYFUNCTION("""COMPUTED_VALUE"""),"Затискач підтримуючий прохідний універсальний для СІП (ЗПУ 2-4х10-120, ZPU) --- 4шт")</f>
        <v>Затискач підтримуючий прохідний універсальний для СІП (ЗПУ 2-4х10-120, ZPU) --- 4шт</v>
      </c>
      <c r="T256" s="315"/>
      <c r="U256" s="315" t="s">
        <v>586</v>
      </c>
      <c r="V256" s="317"/>
    </row>
    <row r="257" ht="15.75" customHeight="1">
      <c r="A257" s="315"/>
      <c r="B257" s="315"/>
      <c r="C257" s="315"/>
      <c r="D257" s="315"/>
      <c r="E257" s="315"/>
      <c r="F257" s="315"/>
      <c r="G257" s="315"/>
      <c r="H257" s="315"/>
      <c r="I257" s="315"/>
      <c r="J257" s="315"/>
      <c r="K257" s="315"/>
      <c r="L257" s="315"/>
      <c r="M257" s="317"/>
      <c r="N257" s="315"/>
      <c r="O257" s="317"/>
      <c r="P257" s="315"/>
      <c r="Q257" s="317"/>
      <c r="R257" s="315"/>
      <c r="S257" s="315" t="str">
        <f>IFERROR(__xludf.DUMMYFUNCTION("""COMPUTED_VALUE"""),"Захисна кришка ZP 200 для клеми VSU, ETI")</f>
        <v>Захисна кришка ZP 200 для клеми VSU, ETI</v>
      </c>
      <c r="T257" s="315"/>
      <c r="U257" s="315" t="s">
        <v>587</v>
      </c>
      <c r="V257" s="317"/>
    </row>
    <row r="258" ht="15.75" customHeight="1">
      <c r="A258" s="315"/>
      <c r="B258" s="315"/>
      <c r="C258" s="315"/>
      <c r="D258" s="315"/>
      <c r="E258" s="315"/>
      <c r="F258" s="315"/>
      <c r="G258" s="315"/>
      <c r="H258" s="315"/>
      <c r="I258" s="315"/>
      <c r="J258" s="315"/>
      <c r="K258" s="315"/>
      <c r="L258" s="315"/>
      <c r="M258" s="317"/>
      <c r="N258" s="315"/>
      <c r="O258" s="317"/>
      <c r="P258" s="315"/>
      <c r="Q258" s="317"/>
      <c r="R258" s="315"/>
      <c r="S258" s="315" t="str">
        <f>IFERROR(__xludf.DUMMYFUNCTION("""COMPUTED_VALUE"""),"Зумер на DIN-рейку BE 220, ETI --- 1шт")</f>
        <v>Зумер на DIN-рейку BE 220, ETI --- 1шт</v>
      </c>
      <c r="T258" s="315"/>
      <c r="U258" s="315" t="s">
        <v>588</v>
      </c>
      <c r="V258" s="317"/>
    </row>
    <row r="259" ht="15.75" customHeight="1">
      <c r="A259" s="315"/>
      <c r="B259" s="315"/>
      <c r="C259" s="315"/>
      <c r="D259" s="315"/>
      <c r="E259" s="315"/>
      <c r="F259" s="315"/>
      <c r="G259" s="315"/>
      <c r="H259" s="315"/>
      <c r="I259" s="315"/>
      <c r="J259" s="315"/>
      <c r="K259" s="315"/>
      <c r="L259" s="315"/>
      <c r="M259" s="317"/>
      <c r="N259" s="315"/>
      <c r="O259" s="317"/>
      <c r="P259" s="315"/>
      <c r="Q259" s="317"/>
      <c r="R259" s="315"/>
      <c r="S259" s="315" t="str">
        <f>IFERROR(__xludf.DUMMYFUNCTION("""COMPUTED_VALUE"""),"Ізолятор ступінчастий e.step.ct4-30 450A силовий без болтів, E.NEXT --- 2шт")</f>
        <v>Ізолятор ступінчастий e.step.ct4-30 450A силовий без болтів, E.NEXT --- 2шт</v>
      </c>
      <c r="T259" s="315"/>
      <c r="U259" s="315" t="s">
        <v>589</v>
      </c>
      <c r="V259" s="317"/>
    </row>
    <row r="260" ht="15.75" customHeight="1">
      <c r="A260" s="315"/>
      <c r="B260" s="315"/>
      <c r="C260" s="315"/>
      <c r="D260" s="315"/>
      <c r="E260" s="315"/>
      <c r="F260" s="315"/>
      <c r="G260" s="315"/>
      <c r="H260" s="315"/>
      <c r="I260" s="315"/>
      <c r="J260" s="315"/>
      <c r="K260" s="315"/>
      <c r="L260" s="315"/>
      <c r="M260" s="317"/>
      <c r="N260" s="315"/>
      <c r="O260" s="317"/>
      <c r="P260" s="315"/>
      <c r="Q260" s="317"/>
      <c r="R260" s="315"/>
      <c r="S260" s="315" t="str">
        <f>IFERROR(__xludf.DUMMYFUNCTION("""COMPUTED_VALUE"""),"Кабельний ввід (D20мм IP55, DKC) --- 20шт")</f>
        <v>Кабельний ввід (D20мм IP55, DKC) --- 20шт</v>
      </c>
      <c r="T260" s="315"/>
      <c r="U260" s="315" t="s">
        <v>590</v>
      </c>
      <c r="V260" s="317"/>
    </row>
    <row r="261" ht="15.75" customHeight="1">
      <c r="A261" s="315"/>
      <c r="B261" s="315"/>
      <c r="C261" s="315"/>
      <c r="D261" s="315"/>
      <c r="E261" s="315"/>
      <c r="F261" s="315"/>
      <c r="G261" s="315"/>
      <c r="H261" s="315"/>
      <c r="I261" s="315"/>
      <c r="J261" s="315"/>
      <c r="K261" s="315"/>
      <c r="L261" s="315"/>
      <c r="M261" s="317"/>
      <c r="N261" s="315"/>
      <c r="O261" s="317"/>
      <c r="P261" s="315"/>
      <c r="Q261" s="317"/>
      <c r="R261" s="315"/>
      <c r="S261" s="315" t="str">
        <f>IFERROR(__xludf.DUMMYFUNCTION("""COMPUTED_VALUE"""),"Кабельний ввід (D32мм IP55, DKC)")</f>
        <v>Кабельний ввід (D32мм IP55, DKC)</v>
      </c>
      <c r="T261" s="315"/>
      <c r="U261" s="315" t="s">
        <v>591</v>
      </c>
      <c r="V261" s="317"/>
    </row>
    <row r="262" ht="15.75" customHeight="1">
      <c r="A262" s="315"/>
      <c r="B262" s="315"/>
      <c r="C262" s="315"/>
      <c r="D262" s="315"/>
      <c r="E262" s="315"/>
      <c r="F262" s="315"/>
      <c r="G262" s="315"/>
      <c r="H262" s="315"/>
      <c r="I262" s="315"/>
      <c r="J262" s="315"/>
      <c r="K262" s="315"/>
      <c r="L262" s="315"/>
      <c r="M262" s="317"/>
      <c r="N262" s="315"/>
      <c r="O262" s="317"/>
      <c r="P262" s="315"/>
      <c r="Q262" s="317"/>
      <c r="R262" s="315"/>
      <c r="S262" s="315" t="str">
        <f>IFERROR(__xludf.DUMMYFUNCTION("""COMPUTED_VALUE"""),"Кабельний ввід (D40мм IP55, DKC) --- 20шт")</f>
        <v>Кабельний ввід (D40мм IP55, DKC) --- 20шт</v>
      </c>
      <c r="T262" s="315"/>
      <c r="U262" s="315" t="s">
        <v>592</v>
      </c>
      <c r="V262" s="317"/>
    </row>
    <row r="263" ht="15.75" customHeight="1">
      <c r="A263" s="315"/>
      <c r="B263" s="315"/>
      <c r="C263" s="315"/>
      <c r="D263" s="315"/>
      <c r="E263" s="315"/>
      <c r="F263" s="315"/>
      <c r="G263" s="315"/>
      <c r="H263" s="315"/>
      <c r="I263" s="315"/>
      <c r="J263" s="315"/>
      <c r="K263" s="315"/>
      <c r="L263" s="315"/>
      <c r="M263" s="317"/>
      <c r="N263" s="315"/>
      <c r="O263" s="317"/>
      <c r="P263" s="315"/>
      <c r="Q263" s="317"/>
      <c r="R263" s="315"/>
      <c r="S263" s="315" t="str">
        <f>IFERROR(__xludf.DUMMYFUNCTION("""COMPUTED_VALUE"""),"Кабельний ввід e.pg.stand.21 --- 10шт")</f>
        <v>Кабельний ввід e.pg.stand.21 --- 10шт</v>
      </c>
      <c r="T263" s="315"/>
      <c r="U263" s="315" t="s">
        <v>593</v>
      </c>
      <c r="V263" s="317"/>
    </row>
    <row r="264" ht="15.75" customHeight="1">
      <c r="A264" s="315"/>
      <c r="B264" s="315"/>
      <c r="C264" s="315"/>
      <c r="D264" s="315"/>
      <c r="E264" s="315"/>
      <c r="F264" s="315"/>
      <c r="G264" s="315"/>
      <c r="H264" s="315"/>
      <c r="I264" s="315"/>
      <c r="J264" s="315"/>
      <c r="K264" s="315"/>
      <c r="L264" s="315"/>
      <c r="M264" s="317"/>
      <c r="N264" s="315"/>
      <c r="O264" s="317"/>
      <c r="P264" s="315"/>
      <c r="Q264" s="317"/>
      <c r="R264" s="315"/>
      <c r="S264" s="315" t="str">
        <f>IFERROR(__xludf.DUMMYFUNCTION("""COMPUTED_VALUE"""),"Кабельний ввід e.pg.stand.29 --- 11шт")</f>
        <v>Кабельний ввід e.pg.stand.29 --- 11шт</v>
      </c>
      <c r="T264" s="315"/>
      <c r="U264" s="315" t="s">
        <v>594</v>
      </c>
      <c r="V264" s="317"/>
    </row>
    <row r="265" ht="15.75" customHeight="1">
      <c r="A265" s="315"/>
      <c r="B265" s="315"/>
      <c r="C265" s="315"/>
      <c r="D265" s="315"/>
      <c r="E265" s="315"/>
      <c r="F265" s="315"/>
      <c r="G265" s="315"/>
      <c r="H265" s="315"/>
      <c r="I265" s="315"/>
      <c r="J265" s="315"/>
      <c r="K265" s="315"/>
      <c r="L265" s="315"/>
      <c r="M265" s="317"/>
      <c r="N265" s="315"/>
      <c r="O265" s="317"/>
      <c r="P265" s="315"/>
      <c r="Q265" s="317"/>
      <c r="R265" s="315"/>
      <c r="S265" s="315" t="str">
        <f>IFERROR(__xludf.DUMMYFUNCTION("""COMPUTED_VALUE"""),"Кабельний ввід e.pg.stand.9 --- 10шт")</f>
        <v>Кабельний ввід e.pg.stand.9 --- 10шт</v>
      </c>
      <c r="T265" s="315"/>
      <c r="U265" s="315" t="s">
        <v>595</v>
      </c>
      <c r="V265" s="317"/>
    </row>
    <row r="266" ht="15.75" customHeight="1">
      <c r="A266" s="315"/>
      <c r="B266" s="315"/>
      <c r="C266" s="315"/>
      <c r="D266" s="315"/>
      <c r="E266" s="315"/>
      <c r="F266" s="315"/>
      <c r="G266" s="315"/>
      <c r="H266" s="315"/>
      <c r="I266" s="315"/>
      <c r="J266" s="315"/>
      <c r="K266" s="315"/>
      <c r="L266" s="315"/>
      <c r="M266" s="317"/>
      <c r="N266" s="315"/>
      <c r="O266" s="317"/>
      <c r="P266" s="315"/>
      <c r="Q266" s="317"/>
      <c r="R266" s="315"/>
      <c r="S266" s="315" t="str">
        <f>IFERROR(__xludf.DUMMYFUNCTION("""COMPUTED_VALUE"""),"Кабельний ввід e.pgl.stand.36, з подовженою різьбою і ущільнювачем --- 6шт")</f>
        <v>Кабельний ввід e.pgl.stand.36, з подовженою різьбою і ущільнювачем --- 6шт</v>
      </c>
      <c r="T266" s="315"/>
      <c r="U266" s="315" t="s">
        <v>596</v>
      </c>
      <c r="V266" s="317"/>
    </row>
    <row r="267" ht="15.75" customHeight="1">
      <c r="A267" s="315"/>
      <c r="B267" s="315"/>
      <c r="C267" s="315"/>
      <c r="D267" s="315"/>
      <c r="E267" s="315"/>
      <c r="F267" s="315"/>
      <c r="G267" s="315"/>
      <c r="H267" s="315"/>
      <c r="I267" s="315"/>
      <c r="J267" s="315"/>
      <c r="K267" s="315"/>
      <c r="L267" s="315"/>
      <c r="M267" s="317"/>
      <c r="N267" s="315"/>
      <c r="O267" s="317"/>
      <c r="P267" s="315"/>
      <c r="Q267" s="317"/>
      <c r="R267" s="315"/>
      <c r="S267" s="315" t="str">
        <f>IFERROR(__xludf.DUMMYFUNCTION("""COMPUTED_VALUE"""),"Клема заземлення G (2.5-10 мкм), OBO --- 23шт")</f>
        <v>Клема заземлення G (2.5-10 мкм), OBO --- 23шт</v>
      </c>
      <c r="T267" s="315"/>
      <c r="U267" s="315" t="s">
        <v>597</v>
      </c>
      <c r="V267" s="317"/>
    </row>
    <row r="268" ht="15.75" customHeight="1">
      <c r="A268" s="315"/>
      <c r="B268" s="315"/>
      <c r="C268" s="315"/>
      <c r="D268" s="315"/>
      <c r="E268" s="315"/>
      <c r="F268" s="315"/>
      <c r="G268" s="315"/>
      <c r="H268" s="315"/>
      <c r="I268" s="315"/>
      <c r="J268" s="315"/>
      <c r="K268" s="315"/>
      <c r="L268" s="315"/>
      <c r="M268" s="317"/>
      <c r="N268" s="315"/>
      <c r="O268" s="317"/>
      <c r="P268" s="315"/>
      <c r="Q268" s="317"/>
      <c r="R268" s="315"/>
      <c r="S268" s="315" t="str">
        <f>IFERROR(__xludf.DUMMYFUNCTION("""COMPUTED_VALUE"""),"Клема силова VSU 120 (120 mm2_бежева) --- 7шт")</f>
        <v>Клема силова VSU 120 (120 mm2_бежева) --- 7шт</v>
      </c>
      <c r="T268" s="315"/>
      <c r="U268" s="315" t="s">
        <v>598</v>
      </c>
      <c r="V268" s="317"/>
    </row>
    <row r="269" ht="15.75" customHeight="1">
      <c r="A269" s="315"/>
      <c r="B269" s="315"/>
      <c r="C269" s="315"/>
      <c r="D269" s="315"/>
      <c r="E269" s="315"/>
      <c r="F269" s="315"/>
      <c r="G269" s="315"/>
      <c r="H269" s="315"/>
      <c r="I269" s="315"/>
      <c r="J269" s="315"/>
      <c r="K269" s="315"/>
      <c r="L269" s="315"/>
      <c r="M269" s="317"/>
      <c r="N269" s="315"/>
      <c r="O269" s="317"/>
      <c r="P269" s="315"/>
      <c r="Q269" s="317"/>
      <c r="R269" s="315"/>
      <c r="S269" s="315" t="str">
        <f>IFERROR(__xludf.DUMMYFUNCTION("""COMPUTED_VALUE"""),"Клемна колодка ділима, 12групп e.tc.stand.12.10, 10 А")</f>
        <v>Клемна колодка ділима, 12групп e.tc.stand.12.10, 10 А</v>
      </c>
      <c r="T269" s="315"/>
      <c r="U269" s="315" t="s">
        <v>599</v>
      </c>
      <c r="V269" s="317"/>
    </row>
    <row r="270" ht="15.75" customHeight="1">
      <c r="A270" s="315"/>
      <c r="B270" s="315"/>
      <c r="C270" s="315"/>
      <c r="D270" s="315"/>
      <c r="E270" s="315"/>
      <c r="F270" s="315"/>
      <c r="G270" s="315"/>
      <c r="H270" s="315"/>
      <c r="I270" s="315"/>
      <c r="J270" s="315"/>
      <c r="K270" s="315"/>
      <c r="L270" s="315"/>
      <c r="M270" s="317"/>
      <c r="N270" s="315"/>
      <c r="O270" s="317"/>
      <c r="P270" s="315"/>
      <c r="Q270" s="317"/>
      <c r="R270" s="315"/>
      <c r="S270" s="315" t="str">
        <f>IFERROR(__xludf.DUMMYFUNCTION("""COMPUTED_VALUE"""),"Клемна колодка ділима, 12групп e.tc.stand.12.16, 30 А --- 5шт")</f>
        <v>Клемна колодка ділима, 12групп e.tc.stand.12.16, 30 А --- 5шт</v>
      </c>
      <c r="T270" s="315"/>
      <c r="U270" s="315" t="s">
        <v>600</v>
      </c>
      <c r="V270" s="317"/>
    </row>
    <row r="271" ht="15.75" customHeight="1">
      <c r="A271" s="315"/>
      <c r="B271" s="315"/>
      <c r="C271" s="315"/>
      <c r="D271" s="315"/>
      <c r="E271" s="315"/>
      <c r="F271" s="315"/>
      <c r="G271" s="315"/>
      <c r="H271" s="315"/>
      <c r="I271" s="315"/>
      <c r="J271" s="315"/>
      <c r="K271" s="315"/>
      <c r="L271" s="315"/>
      <c r="M271" s="317"/>
      <c r="N271" s="315"/>
      <c r="O271" s="317"/>
      <c r="P271" s="315"/>
      <c r="Q271" s="317"/>
      <c r="R271" s="315"/>
      <c r="S271" s="315" t="str">
        <f>IFERROR(__xludf.DUMMYFUNCTION("""COMPUTED_VALUE"""),"Консоль DW основа 300 мм ( оцинкована сталь, ДКС)")</f>
        <v>Консоль DW основа 300 мм ( оцинкована сталь, ДКС)</v>
      </c>
      <c r="T271" s="315"/>
      <c r="U271" s="315" t="s">
        <v>601</v>
      </c>
      <c r="V271" s="317"/>
    </row>
    <row r="272" ht="15.75" customHeight="1">
      <c r="A272" s="315"/>
      <c r="B272" s="315"/>
      <c r="C272" s="315"/>
      <c r="D272" s="315"/>
      <c r="E272" s="315"/>
      <c r="F272" s="315"/>
      <c r="G272" s="315"/>
      <c r="H272" s="315"/>
      <c r="I272" s="315"/>
      <c r="J272" s="315"/>
      <c r="K272" s="315"/>
      <c r="L272" s="315"/>
      <c r="M272" s="317"/>
      <c r="N272" s="315"/>
      <c r="O272" s="317"/>
      <c r="P272" s="315"/>
      <c r="Q272" s="317"/>
      <c r="R272" s="315"/>
      <c r="S272" s="315" t="str">
        <f>IFERROR(__xludf.DUMMYFUNCTION("""COMPUTED_VALUE"""),"Кришка CD90, на кут вертикальний зовнішній 90°, основа 300мм (оцинкована сталь., ДКС) --- 1шт")</f>
        <v>Кришка CD90, на кут вертикальний зовнішній 90°, основа 300мм (оцинкована сталь., ДКС) --- 1шт</v>
      </c>
      <c r="T272" s="315"/>
      <c r="U272" s="315" t="s">
        <v>602</v>
      </c>
      <c r="V272" s="317"/>
    </row>
    <row r="273" ht="15.75" customHeight="1">
      <c r="A273" s="315"/>
      <c r="B273" s="315"/>
      <c r="C273" s="315"/>
      <c r="D273" s="315"/>
      <c r="E273" s="315"/>
      <c r="F273" s="315"/>
      <c r="G273" s="315"/>
      <c r="H273" s="315"/>
      <c r="I273" s="315"/>
      <c r="J273" s="315"/>
      <c r="K273" s="315"/>
      <c r="L273" s="315"/>
      <c r="M273" s="317"/>
      <c r="N273" s="315"/>
      <c r="O273" s="317"/>
      <c r="P273" s="315"/>
      <c r="Q273" s="317"/>
      <c r="R273" s="315"/>
      <c r="S273" s="315" t="str">
        <f>IFERROR(__xludf.DUMMYFUNCTION("""COMPUTED_VALUE"""),"Кришка CPO90, на кут горизонтальний 90°, основа 200мм (оцинкована сталь., ДКС)")</f>
        <v>Кришка CPO90, на кут горизонтальний 90°, основа 200мм (оцинкована сталь., ДКС)</v>
      </c>
      <c r="T273" s="315"/>
      <c r="U273" s="315" t="s">
        <v>603</v>
      </c>
      <c r="V273" s="317"/>
    </row>
    <row r="274" ht="15.75" customHeight="1">
      <c r="A274" s="315"/>
      <c r="B274" s="315"/>
      <c r="C274" s="315"/>
      <c r="D274" s="315"/>
      <c r="E274" s="315"/>
      <c r="F274" s="315"/>
      <c r="G274" s="315"/>
      <c r="H274" s="315"/>
      <c r="I274" s="315"/>
      <c r="J274" s="315"/>
      <c r="K274" s="315"/>
      <c r="L274" s="315"/>
      <c r="M274" s="317"/>
      <c r="N274" s="315"/>
      <c r="O274" s="317"/>
      <c r="P274" s="315"/>
      <c r="Q274" s="317"/>
      <c r="R274" s="315"/>
      <c r="S274" s="315" t="str">
        <f>IFERROR(__xludf.DUMMYFUNCTION("""COMPUTED_VALUE"""),"Кришка CPO90, на кут горизонтальний 90°, основа 300мм (оцинкована сталь., ДКС) --- 1шт")</f>
        <v>Кришка CPO90, на кут горизонтальний 90°, основа 300мм (оцинкована сталь., ДКС) --- 1шт</v>
      </c>
      <c r="T274" s="315"/>
      <c r="U274" s="315" t="s">
        <v>604</v>
      </c>
      <c r="V274" s="317"/>
    </row>
    <row r="275" ht="15.75" customHeight="1">
      <c r="A275" s="315"/>
      <c r="B275" s="315"/>
      <c r="C275" s="315"/>
      <c r="D275" s="315"/>
      <c r="E275" s="315"/>
      <c r="F275" s="315"/>
      <c r="G275" s="315"/>
      <c r="H275" s="315"/>
      <c r="I275" s="315"/>
      <c r="J275" s="315"/>
      <c r="K275" s="315"/>
      <c r="L275" s="315"/>
      <c r="M275" s="317"/>
      <c r="N275" s="315"/>
      <c r="O275" s="317"/>
      <c r="P275" s="315"/>
      <c r="Q275" s="317"/>
      <c r="R275" s="315"/>
      <c r="S275" s="315" t="str">
        <f>IFERROR(__xludf.DUMMYFUNCTION("""COMPUTED_VALUE"""),"Кришка на лоток 100 мм (із заземленням, оцинкована сталь., 3000 мм, ДКС)")</f>
        <v>Кришка на лоток 100 мм (із заземленням, оцинкована сталь., 3000 мм, ДКС)</v>
      </c>
      <c r="T275" s="315"/>
      <c r="U275" s="315" t="s">
        <v>605</v>
      </c>
      <c r="V275" s="317"/>
    </row>
    <row r="276" ht="15.75" customHeight="1">
      <c r="A276" s="315"/>
      <c r="B276" s="315"/>
      <c r="C276" s="315"/>
      <c r="D276" s="315"/>
      <c r="E276" s="315"/>
      <c r="F276" s="315"/>
      <c r="G276" s="315"/>
      <c r="H276" s="315"/>
      <c r="I276" s="315"/>
      <c r="J276" s="315"/>
      <c r="K276" s="315"/>
      <c r="L276" s="315"/>
      <c r="M276" s="317"/>
      <c r="N276" s="315"/>
      <c r="O276" s="317"/>
      <c r="P276" s="315"/>
      <c r="Q276" s="317"/>
      <c r="R276" s="315"/>
      <c r="S276" s="315" t="str">
        <f>IFERROR(__xludf.DUMMYFUNCTION("""COMPUTED_VALUE"""),"Кришка на лоток 200 мм (із заземленням, оцинкована сталь., 3000 мм, ДКС) --- 4,5м")</f>
        <v>Кришка на лоток 200 мм (із заземленням, оцинкована сталь., 3000 мм, ДКС) --- 4,5м</v>
      </c>
      <c r="T276" s="315"/>
      <c r="U276" s="315" t="s">
        <v>606</v>
      </c>
      <c r="V276" s="317"/>
    </row>
    <row r="277" ht="15.75" customHeight="1">
      <c r="A277" s="315"/>
      <c r="B277" s="315"/>
      <c r="C277" s="315"/>
      <c r="D277" s="315"/>
      <c r="E277" s="315"/>
      <c r="F277" s="315"/>
      <c r="G277" s="315"/>
      <c r="H277" s="315"/>
      <c r="I277" s="315"/>
      <c r="J277" s="315"/>
      <c r="K277" s="315"/>
      <c r="L277" s="315"/>
      <c r="M277" s="317"/>
      <c r="N277" s="315"/>
      <c r="O277" s="317"/>
      <c r="P277" s="315"/>
      <c r="Q277" s="317"/>
      <c r="R277" s="315"/>
      <c r="S277" s="315" t="str">
        <f>IFERROR(__xludf.DUMMYFUNCTION("""COMPUTED_VALUE"""),"Кришка на лоток 300 мм (із заземленням, оцинкована сталь., 3000 мм, ДКС) --- 6м")</f>
        <v>Кришка на лоток 300 мм (із заземленням, оцинкована сталь., 3000 мм, ДКС) --- 6м</v>
      </c>
      <c r="T277" s="315"/>
      <c r="U277" s="315" t="s">
        <v>607</v>
      </c>
      <c r="V277" s="317"/>
    </row>
    <row r="278" ht="15.75" customHeight="1">
      <c r="A278" s="315"/>
      <c r="B278" s="315"/>
      <c r="C278" s="315"/>
      <c r="D278" s="315"/>
      <c r="E278" s="315"/>
      <c r="F278" s="315"/>
      <c r="G278" s="315"/>
      <c r="H278" s="315"/>
      <c r="I278" s="315"/>
      <c r="J278" s="315"/>
      <c r="K278" s="315"/>
      <c r="L278" s="315"/>
      <c r="M278" s="317"/>
      <c r="N278" s="315"/>
      <c r="O278" s="317"/>
      <c r="P278" s="315"/>
      <c r="Q278" s="317"/>
      <c r="R278" s="315"/>
      <c r="S278" s="315" t="str">
        <f>IFERROR(__xludf.DUMMYFUNCTION("""COMPUTED_VALUE"""),"Кришка на лоток 500 мм (із заземленням, оцинкована сталь., 3000 мм, ДКС)")</f>
        <v>Кришка на лоток 500 мм (із заземленням, оцинкована сталь., 3000 мм, ДКС)</v>
      </c>
      <c r="T278" s="315"/>
      <c r="U278" s="315" t="s">
        <v>608</v>
      </c>
      <c r="V278" s="317"/>
    </row>
    <row r="279" ht="15.75" customHeight="1">
      <c r="A279" s="315"/>
      <c r="B279" s="315"/>
      <c r="C279" s="315"/>
      <c r="D279" s="315"/>
      <c r="E279" s="315"/>
      <c r="F279" s="315"/>
      <c r="G279" s="315"/>
      <c r="H279" s="315"/>
      <c r="I279" s="315"/>
      <c r="J279" s="315"/>
      <c r="K279" s="315"/>
      <c r="L279" s="315"/>
      <c r="M279" s="317"/>
      <c r="N279" s="315"/>
      <c r="O279" s="317"/>
      <c r="P279" s="315"/>
      <c r="Q279" s="317"/>
      <c r="R279" s="315"/>
      <c r="S279" s="315" t="str">
        <f>IFERROR(__xludf.DUMMYFUNCTION("""COMPUTED_VALUE"""),"Кріплення до стіни ТМ 200 для вертикального монтажу осн.200 (30692) --- 10шт")</f>
        <v>Кріплення до стіни ТМ 200 для вертикального монтажу осн.200 (30692) --- 10шт</v>
      </c>
      <c r="T279" s="315"/>
      <c r="U279" s="315" t="s">
        <v>609</v>
      </c>
      <c r="V279" s="317"/>
    </row>
    <row r="280" ht="15.75" customHeight="1">
      <c r="A280" s="315"/>
      <c r="B280" s="315"/>
      <c r="C280" s="315"/>
      <c r="D280" s="315"/>
      <c r="E280" s="315"/>
      <c r="F280" s="315"/>
      <c r="G280" s="315"/>
      <c r="H280" s="315"/>
      <c r="I280" s="315"/>
      <c r="J280" s="315"/>
      <c r="K280" s="315"/>
      <c r="L280" s="315"/>
      <c r="M280" s="317"/>
      <c r="N280" s="315"/>
      <c r="O280" s="317"/>
      <c r="P280" s="315"/>
      <c r="Q280" s="317"/>
      <c r="R280" s="315"/>
      <c r="S280" s="315" t="str">
        <f>IFERROR(__xludf.DUMMYFUNCTION("""COMPUTED_VALUE"""),"Кріплення дротяного лотка під шпильку/болт М6, FS (18-22 мкм), OBO --- 35шт")</f>
        <v>Кріплення дротяного лотка під шпильку/болт М6, FS (18-22 мкм), OBO --- 35шт</v>
      </c>
      <c r="T280" s="315"/>
      <c r="U280" s="315" t="s">
        <v>610</v>
      </c>
      <c r="V280" s="317"/>
    </row>
    <row r="281" ht="15.75" customHeight="1">
      <c r="A281" s="315"/>
      <c r="B281" s="315"/>
      <c r="C281" s="315"/>
      <c r="D281" s="315"/>
      <c r="E281" s="315"/>
      <c r="F281" s="315"/>
      <c r="G281" s="315"/>
      <c r="H281" s="315"/>
      <c r="I281" s="315"/>
      <c r="J281" s="315"/>
      <c r="K281" s="315"/>
      <c r="L281" s="315"/>
      <c r="M281" s="317"/>
      <c r="N281" s="315"/>
      <c r="O281" s="317"/>
      <c r="P281" s="315"/>
      <c r="Q281" s="317"/>
      <c r="R281" s="315"/>
      <c r="S281" s="315" t="str">
        <f>IFERROR(__xludf.DUMMYFUNCTION("""COMPUTED_VALUE"""),"Кут CD90 вертикальний зовнішній 90°, 300х100 (оцинкована сталь, ДКС) --- 1шт")</f>
        <v>Кут CD90 вертикальний зовнішній 90°, 300х100 (оцинкована сталь, ДКС) --- 1шт</v>
      </c>
      <c r="T281" s="315"/>
      <c r="U281" s="315" t="s">
        <v>611</v>
      </c>
      <c r="V281" s="317"/>
    </row>
    <row r="282" ht="15.75" customHeight="1">
      <c r="A282" s="315"/>
      <c r="B282" s="315"/>
      <c r="C282" s="315"/>
      <c r="D282" s="315"/>
      <c r="E282" s="315"/>
      <c r="F282" s="315"/>
      <c r="G282" s="315"/>
      <c r="H282" s="315"/>
      <c r="I282" s="315"/>
      <c r="J282" s="315"/>
      <c r="K282" s="315"/>
      <c r="L282" s="315"/>
      <c r="M282" s="317"/>
      <c r="N282" s="315"/>
      <c r="O282" s="317"/>
      <c r="P282" s="315"/>
      <c r="Q282" s="317"/>
      <c r="R282" s="315"/>
      <c r="S282" s="315" t="str">
        <f>IFERROR(__xludf.DUMMYFUNCTION("""COMPUTED_VALUE"""),"Кут CPO90 горизонтальний 90°, 200х50 (оцинкована сталь, ДКС)")</f>
        <v>Кут CPO90 горизонтальний 90°, 200х50 (оцинкована сталь, ДКС)</v>
      </c>
      <c r="T282" s="315"/>
      <c r="U282" s="315" t="s">
        <v>612</v>
      </c>
      <c r="V282" s="317"/>
    </row>
    <row r="283" ht="15.75" customHeight="1">
      <c r="A283" s="315"/>
      <c r="B283" s="315"/>
      <c r="C283" s="315"/>
      <c r="D283" s="315"/>
      <c r="E283" s="315"/>
      <c r="F283" s="315"/>
      <c r="G283" s="315"/>
      <c r="H283" s="315"/>
      <c r="I283" s="315"/>
      <c r="J283" s="315"/>
      <c r="K283" s="315"/>
      <c r="L283" s="315"/>
      <c r="M283" s="317"/>
      <c r="N283" s="315"/>
      <c r="O283" s="317"/>
      <c r="P283" s="315"/>
      <c r="Q283" s="317"/>
      <c r="R283" s="315"/>
      <c r="S283" s="315" t="str">
        <f>IFERROR(__xludf.DUMMYFUNCTION("""COMPUTED_VALUE"""),"Кут CPO90 горизонтальний 90°, 300х100 (оцинкована сталь, ДКС) --- 1шт")</f>
        <v>Кут CPO90 горизонтальний 90°, 300х100 (оцинкована сталь, ДКС) --- 1шт</v>
      </c>
      <c r="T283" s="315"/>
      <c r="U283" s="315" t="s">
        <v>613</v>
      </c>
      <c r="V283" s="317"/>
    </row>
    <row r="284" ht="15.75" customHeight="1">
      <c r="A284" s="315"/>
      <c r="B284" s="315"/>
      <c r="C284" s="315"/>
      <c r="D284" s="315"/>
      <c r="E284" s="315"/>
      <c r="F284" s="315"/>
      <c r="G284" s="315"/>
      <c r="H284" s="315"/>
      <c r="I284" s="315"/>
      <c r="J284" s="315"/>
      <c r="K284" s="315"/>
      <c r="L284" s="315"/>
      <c r="M284" s="317"/>
      <c r="N284" s="315"/>
      <c r="O284" s="317"/>
      <c r="P284" s="315"/>
      <c r="Q284" s="317"/>
      <c r="R284" s="315"/>
      <c r="S284" s="315" t="str">
        <f>IFERROR(__xludf.DUMMYFUNCTION("""COMPUTED_VALUE"""),"Лоток 100х80 мм (лоток, перфорований, оцинкована сталь., 3000 мм, ДКС)")</f>
        <v>Лоток 100х80 мм (лоток, перфорований, оцинкована сталь., 3000 мм, ДКС)</v>
      </c>
      <c r="T284" s="315"/>
      <c r="U284" s="315" t="s">
        <v>614</v>
      </c>
      <c r="V284" s="317"/>
    </row>
    <row r="285" ht="15.75" customHeight="1">
      <c r="A285" s="315"/>
      <c r="B285" s="315"/>
      <c r="C285" s="315"/>
      <c r="D285" s="315"/>
      <c r="E285" s="315"/>
      <c r="F285" s="315"/>
      <c r="G285" s="315"/>
      <c r="H285" s="315"/>
      <c r="I285" s="315"/>
      <c r="J285" s="315"/>
      <c r="K285" s="315"/>
      <c r="L285" s="315"/>
      <c r="M285" s="317"/>
      <c r="N285" s="315"/>
      <c r="O285" s="317"/>
      <c r="P285" s="315"/>
      <c r="Q285" s="317"/>
      <c r="R285" s="315"/>
      <c r="S285" s="315" t="str">
        <f>IFERROR(__xludf.DUMMYFUNCTION("""COMPUTED_VALUE"""),"Лоток 105х200 мм (дротовий, оцинкована сталь., 3000 мм, ДКС)")</f>
        <v>Лоток 105х200 мм (дротовий, оцинкована сталь., 3000 мм, ДКС)</v>
      </c>
      <c r="T285" s="315"/>
      <c r="U285" s="315" t="s">
        <v>615</v>
      </c>
      <c r="V285" s="317"/>
    </row>
    <row r="286" ht="15.75" customHeight="1">
      <c r="A286" s="315"/>
      <c r="B286" s="315"/>
      <c r="C286" s="315"/>
      <c r="D286" s="315"/>
      <c r="E286" s="315"/>
      <c r="F286" s="315"/>
      <c r="G286" s="315"/>
      <c r="H286" s="315"/>
      <c r="I286" s="315"/>
      <c r="J286" s="315"/>
      <c r="K286" s="315"/>
      <c r="L286" s="315"/>
      <c r="M286" s="317"/>
      <c r="N286" s="315"/>
      <c r="O286" s="317"/>
      <c r="P286" s="315"/>
      <c r="Q286" s="317"/>
      <c r="R286" s="315"/>
      <c r="S286" s="315" t="str">
        <f>IFERROR(__xludf.DUMMYFUNCTION("""COMPUTED_VALUE"""),"Лоток 105х300 мм (дротовий, оцинкована сталь., 3000 мм, ДКС)")</f>
        <v>Лоток 105х300 мм (дротовий, оцинкована сталь., 3000 мм, ДКС)</v>
      </c>
      <c r="T286" s="315"/>
      <c r="U286" s="315" t="s">
        <v>616</v>
      </c>
      <c r="V286" s="317"/>
    </row>
    <row r="287" ht="15.75" customHeight="1">
      <c r="A287" s="315"/>
      <c r="B287" s="315"/>
      <c r="C287" s="315"/>
      <c r="D287" s="315"/>
      <c r="E287" s="315"/>
      <c r="F287" s="315"/>
      <c r="G287" s="315"/>
      <c r="H287" s="315"/>
      <c r="I287" s="315"/>
      <c r="J287" s="315"/>
      <c r="K287" s="315"/>
      <c r="L287" s="315"/>
      <c r="M287" s="317"/>
      <c r="N287" s="315"/>
      <c r="O287" s="317"/>
      <c r="P287" s="315"/>
      <c r="Q287" s="317"/>
      <c r="R287" s="315"/>
      <c r="S287" s="315" t="str">
        <f>IFERROR(__xludf.DUMMYFUNCTION("""COMPUTED_VALUE"""),"Лоток 105х400 мм (дротовий, оцинкована сталь., 3000 мм, ДКС)")</f>
        <v>Лоток 105х400 мм (дротовий, оцинкована сталь., 3000 мм, ДКС)</v>
      </c>
      <c r="T287" s="315"/>
      <c r="U287" s="315" t="s">
        <v>617</v>
      </c>
      <c r="V287" s="317"/>
    </row>
    <row r="288" ht="15.75" customHeight="1">
      <c r="A288" s="315"/>
      <c r="B288" s="315"/>
      <c r="C288" s="315"/>
      <c r="D288" s="315"/>
      <c r="E288" s="315"/>
      <c r="F288" s="315"/>
      <c r="G288" s="315"/>
      <c r="H288" s="315"/>
      <c r="I288" s="315"/>
      <c r="J288" s="315"/>
      <c r="K288" s="315"/>
      <c r="L288" s="315"/>
      <c r="M288" s="317"/>
      <c r="N288" s="315"/>
      <c r="O288" s="317"/>
      <c r="P288" s="315"/>
      <c r="Q288" s="317"/>
      <c r="R288" s="315"/>
      <c r="S288" s="315" t="str">
        <f>IFERROR(__xludf.DUMMYFUNCTION("""COMPUTED_VALUE"""),"Лоток 200х100 мм (лоток, перфорований, оцинкована сталь., 3000 мм, ДКС)")</f>
        <v>Лоток 200х100 мм (лоток, перфорований, оцинкована сталь., 3000 мм, ДКС)</v>
      </c>
      <c r="T288" s="315"/>
      <c r="U288" s="315" t="s">
        <v>618</v>
      </c>
      <c r="V288" s="317"/>
    </row>
    <row r="289" ht="15.75" customHeight="1">
      <c r="A289" s="315"/>
      <c r="B289" s="315"/>
      <c r="C289" s="315"/>
      <c r="D289" s="315"/>
      <c r="E289" s="315"/>
      <c r="F289" s="315"/>
      <c r="G289" s="315"/>
      <c r="H289" s="315"/>
      <c r="I289" s="315"/>
      <c r="J289" s="315"/>
      <c r="K289" s="315"/>
      <c r="L289" s="315"/>
      <c r="M289" s="317"/>
      <c r="N289" s="315"/>
      <c r="O289" s="317"/>
      <c r="P289" s="315"/>
      <c r="Q289" s="317"/>
      <c r="R289" s="315"/>
      <c r="S289" s="315" t="str">
        <f>IFERROR(__xludf.DUMMYFUNCTION("""COMPUTED_VALUE"""),"Лоток 200х50 мм (лоток, перфорований, оцинкована сталь., 3000 мм, ДКС) --- 4,5м")</f>
        <v>Лоток 200х50 мм (лоток, перфорований, оцинкована сталь., 3000 мм, ДКС) --- 4,5м</v>
      </c>
      <c r="T289" s="315"/>
      <c r="U289" s="315" t="s">
        <v>619</v>
      </c>
      <c r="V289" s="317"/>
    </row>
    <row r="290" ht="15.75" customHeight="1">
      <c r="A290" s="315"/>
      <c r="B290" s="315"/>
      <c r="C290" s="315"/>
      <c r="D290" s="315"/>
      <c r="E290" s="315"/>
      <c r="F290" s="315"/>
      <c r="G290" s="315"/>
      <c r="H290" s="315"/>
      <c r="I290" s="315"/>
      <c r="J290" s="315"/>
      <c r="K290" s="315"/>
      <c r="L290" s="315"/>
      <c r="M290" s="317"/>
      <c r="N290" s="315"/>
      <c r="O290" s="317"/>
      <c r="P290" s="315"/>
      <c r="Q290" s="317"/>
      <c r="R290" s="315"/>
      <c r="S290" s="315" t="str">
        <f>IFERROR(__xludf.DUMMYFUNCTION("""COMPUTED_VALUE"""),"Лоток 300х100 мм (лоток, перфорований, оцинкована сталь., 3000 мм, ДКС) --- 6м")</f>
        <v>Лоток 300х100 мм (лоток, перфорований, оцинкована сталь., 3000 мм, ДКС) --- 6м</v>
      </c>
      <c r="T290" s="315"/>
      <c r="U290" s="315" t="s">
        <v>620</v>
      </c>
      <c r="V290" s="317"/>
    </row>
    <row r="291" ht="15.75" customHeight="1">
      <c r="A291" s="315"/>
      <c r="B291" s="315"/>
      <c r="C291" s="315"/>
      <c r="D291" s="315"/>
      <c r="E291" s="315"/>
      <c r="F291" s="315"/>
      <c r="G291" s="315"/>
      <c r="H291" s="315"/>
      <c r="I291" s="315"/>
      <c r="J291" s="315"/>
      <c r="K291" s="315"/>
      <c r="L291" s="315"/>
      <c r="M291" s="317"/>
      <c r="N291" s="315"/>
      <c r="O291" s="317"/>
      <c r="P291" s="315"/>
      <c r="Q291" s="317"/>
      <c r="R291" s="315"/>
      <c r="S291" s="315" t="str">
        <f>IFERROR(__xludf.DUMMYFUNCTION("""COMPUTED_VALUE"""),"Лоток 500х100 мм (лоток, перфорований, оцинкована сталь., 3000 мм, ДКС)")</f>
        <v>Лоток 500х100 мм (лоток, перфорований, оцинкована сталь., 3000 мм, ДКС)</v>
      </c>
      <c r="T291" s="315"/>
      <c r="U291" s="315" t="s">
        <v>621</v>
      </c>
      <c r="V291" s="317"/>
    </row>
    <row r="292" ht="15.75" customHeight="1">
      <c r="A292" s="315"/>
      <c r="B292" s="315"/>
      <c r="C292" s="315"/>
      <c r="D292" s="315"/>
      <c r="E292" s="315"/>
      <c r="F292" s="315"/>
      <c r="G292" s="315"/>
      <c r="H292" s="315"/>
      <c r="I292" s="315"/>
      <c r="J292" s="315"/>
      <c r="K292" s="315"/>
      <c r="L292" s="315"/>
      <c r="M292" s="317"/>
      <c r="N292" s="315"/>
      <c r="O292" s="317"/>
      <c r="P292" s="315"/>
      <c r="Q292" s="317"/>
      <c r="R292" s="315"/>
      <c r="S292" s="315" t="str">
        <f>IFERROR(__xludf.DUMMYFUNCTION("""COMPUTED_VALUE"""),"Лоток 55х100 мм (дротовий, оцинкована сталь., 3000 мм, ДКС)")</f>
        <v>Лоток 55х100 мм (дротовий, оцинкована сталь., 3000 мм, ДКС)</v>
      </c>
      <c r="T292" s="315"/>
      <c r="U292" s="315" t="s">
        <v>622</v>
      </c>
      <c r="V292" s="317"/>
    </row>
    <row r="293" ht="15.75" customHeight="1">
      <c r="A293" s="315"/>
      <c r="B293" s="315"/>
      <c r="C293" s="315"/>
      <c r="D293" s="315"/>
      <c r="E293" s="315"/>
      <c r="F293" s="315"/>
      <c r="G293" s="315"/>
      <c r="H293" s="315"/>
      <c r="I293" s="315"/>
      <c r="J293" s="315"/>
      <c r="K293" s="315"/>
      <c r="L293" s="315"/>
      <c r="M293" s="317"/>
      <c r="N293" s="315"/>
      <c r="O293" s="317"/>
      <c r="P293" s="315"/>
      <c r="Q293" s="317"/>
      <c r="R293" s="315"/>
      <c r="S293" s="315" t="str">
        <f>IFERROR(__xludf.DUMMYFUNCTION("""COMPUTED_VALUE"""),"Лоток 55х50 мм (дротовий, оцинкована сталь., 3000 мм, ДКС)")</f>
        <v>Лоток 55х50 мм (дротовий, оцинкована сталь., 3000 мм, ДКС)</v>
      </c>
      <c r="T293" s="315"/>
      <c r="U293" s="315" t="s">
        <v>623</v>
      </c>
      <c r="V293" s="317"/>
    </row>
    <row r="294" ht="15.75" customHeight="1">
      <c r="A294" s="315"/>
      <c r="B294" s="315"/>
      <c r="C294" s="315"/>
      <c r="D294" s="315"/>
      <c r="E294" s="315"/>
      <c r="F294" s="315"/>
      <c r="G294" s="315"/>
      <c r="H294" s="315"/>
      <c r="I294" s="315"/>
      <c r="J294" s="315"/>
      <c r="K294" s="315"/>
      <c r="L294" s="315"/>
      <c r="M294" s="317"/>
      <c r="N294" s="315"/>
      <c r="O294" s="317"/>
      <c r="P294" s="315"/>
      <c r="Q294" s="317"/>
      <c r="R294" s="315"/>
      <c r="S294" s="315" t="str">
        <f>IFERROR(__xludf.DUMMYFUNCTION("""COMPUTED_VALUE"""),"МС4 EVO-2  (штекер, гніздо, комплект конекторів MC4, Stäubli)")</f>
        <v>МС4 EVO-2  (штекер, гніздо, комплект конекторів MC4, Stäubli)</v>
      </c>
      <c r="T294" s="315"/>
      <c r="U294" s="315" t="s">
        <v>624</v>
      </c>
      <c r="V294" s="317"/>
    </row>
    <row r="295" ht="15.75" customHeight="1">
      <c r="A295" s="315"/>
      <c r="B295" s="315"/>
      <c r="C295" s="315"/>
      <c r="D295" s="315"/>
      <c r="E295" s="315"/>
      <c r="F295" s="315"/>
      <c r="G295" s="315"/>
      <c r="H295" s="315"/>
      <c r="I295" s="315"/>
      <c r="J295" s="315"/>
      <c r="K295" s="315"/>
      <c r="L295" s="315"/>
      <c r="M295" s="317"/>
      <c r="N295" s="315"/>
      <c r="O295" s="317"/>
      <c r="P295" s="315"/>
      <c r="Q295" s="317"/>
      <c r="R295" s="315"/>
      <c r="S295" s="315" t="str">
        <f>IFERROR(__xludf.DUMMYFUNCTION("""COMPUTED_VALUE"""),"МС4 PV-KBT 4/6II-UR (штекер, гніздо, комплект конекторів MC4, Stäubli)")</f>
        <v>МС4 PV-KBT 4/6II-UR (штекер, гніздо, комплект конекторів MC4, Stäubli)</v>
      </c>
      <c r="T295" s="315"/>
      <c r="U295" s="315" t="s">
        <v>625</v>
      </c>
      <c r="V295" s="317"/>
    </row>
    <row r="296" ht="15.75" customHeight="1">
      <c r="A296" s="315"/>
      <c r="B296" s="315"/>
      <c r="C296" s="315"/>
      <c r="D296" s="315"/>
      <c r="E296" s="315"/>
      <c r="F296" s="315"/>
      <c r="G296" s="315"/>
      <c r="H296" s="315"/>
      <c r="I296" s="315"/>
      <c r="J296" s="315"/>
      <c r="K296" s="315"/>
      <c r="L296" s="315"/>
      <c r="M296" s="317"/>
      <c r="N296" s="315"/>
      <c r="O296" s="317"/>
      <c r="P296" s="315"/>
      <c r="Q296" s="317"/>
      <c r="R296" s="315"/>
      <c r="S296" s="315" t="str">
        <f>IFERROR(__xludf.DUMMYFUNCTION("""COMPUTED_VALUE"""),"Перемикач ANC-22-2 (2 фіксованих положення, 1НВ+1НЗ, зелений, ІЕК)")</f>
        <v>Перемикач ANC-22-2 (2 фіксованих положення, 1НВ+1НЗ, зелений, ІЕК)</v>
      </c>
      <c r="T296" s="315"/>
      <c r="U296" s="315" t="s">
        <v>626</v>
      </c>
      <c r="V296" s="317"/>
    </row>
    <row r="297" ht="15.75" customHeight="1">
      <c r="A297" s="315"/>
      <c r="B297" s="315"/>
      <c r="C297" s="315"/>
      <c r="D297" s="315"/>
      <c r="E297" s="315"/>
      <c r="F297" s="315"/>
      <c r="G297" s="315"/>
      <c r="H297" s="315"/>
      <c r="I297" s="315"/>
      <c r="J297" s="315"/>
      <c r="K297" s="315"/>
      <c r="L297" s="315"/>
      <c r="M297" s="317"/>
      <c r="N297" s="315"/>
      <c r="O297" s="317"/>
      <c r="P297" s="315"/>
      <c r="Q297" s="317"/>
      <c r="R297" s="315"/>
      <c r="S297" s="315" t="str">
        <f>IFERROR(__xludf.DUMMYFUNCTION("""COMPUTED_VALUE"""),"Прохідний елемент Solar Classic (сірий) --- 1шт")</f>
        <v>Прохідний елемент Solar Classic (сірий) --- 1шт</v>
      </c>
      <c r="T297" s="315"/>
      <c r="U297" s="315" t="s">
        <v>627</v>
      </c>
      <c r="V297" s="317"/>
    </row>
    <row r="298" ht="15.75" customHeight="1">
      <c r="A298" s="315"/>
      <c r="B298" s="315"/>
      <c r="C298" s="315"/>
      <c r="D298" s="315"/>
      <c r="E298" s="315"/>
      <c r="F298" s="315"/>
      <c r="G298" s="315"/>
      <c r="H298" s="315"/>
      <c r="I298" s="315"/>
      <c r="J298" s="315"/>
      <c r="K298" s="315"/>
      <c r="L298" s="315"/>
      <c r="M298" s="317"/>
      <c r="N298" s="315"/>
      <c r="O298" s="317"/>
      <c r="P298" s="315"/>
      <c r="Q298" s="317"/>
      <c r="R298" s="315"/>
      <c r="S298" s="315" t="str">
        <f>IFERROR(__xludf.DUMMYFUNCTION("""COMPUTED_VALUE"""),"РБД-80А (розподільчий блок, клема, 80А, TNSy) --- 3шт")</f>
        <v>РБД-80А (розподільчий блок, клема, 80А, TNSy) --- 3шт</v>
      </c>
      <c r="T298" s="315"/>
      <c r="U298" s="315" t="s">
        <v>628</v>
      </c>
      <c r="V298" s="317"/>
    </row>
    <row r="299" ht="15.75" customHeight="1">
      <c r="A299" s="315"/>
      <c r="B299" s="315"/>
      <c r="C299" s="315"/>
      <c r="D299" s="315"/>
      <c r="E299" s="315"/>
      <c r="F299" s="315"/>
      <c r="G299" s="315"/>
      <c r="H299" s="315"/>
      <c r="I299" s="315"/>
      <c r="J299" s="315"/>
      <c r="K299" s="315"/>
      <c r="L299" s="315"/>
      <c r="M299" s="317"/>
      <c r="N299" s="315"/>
      <c r="O299" s="317"/>
      <c r="P299" s="315"/>
      <c r="Q299" s="317"/>
      <c r="R299" s="315"/>
      <c r="S299" s="315" t="str">
        <f>IFERROR(__xludf.DUMMYFUNCTION("""COMPUTED_VALUE"""),"Реле напруги, перекосу та послідовності фаз RNPP-311M, Novatek --- 1шт")</f>
        <v>Реле напруги, перекосу та послідовності фаз RNPP-311M, Novatek --- 1шт</v>
      </c>
      <c r="T299" s="315"/>
      <c r="U299" s="315" t="s">
        <v>629</v>
      </c>
      <c r="V299" s="317"/>
    </row>
    <row r="300" ht="15.75" customHeight="1">
      <c r="A300" s="315"/>
      <c r="B300" s="315"/>
      <c r="C300" s="315"/>
      <c r="D300" s="315"/>
      <c r="E300" s="315"/>
      <c r="F300" s="315"/>
      <c r="G300" s="315"/>
      <c r="H300" s="315"/>
      <c r="I300" s="315"/>
      <c r="J300" s="315"/>
      <c r="K300" s="315"/>
      <c r="L300" s="315"/>
      <c r="M300" s="317"/>
      <c r="N300" s="315"/>
      <c r="O300" s="317"/>
      <c r="P300" s="315"/>
      <c r="Q300" s="317"/>
      <c r="R300" s="315"/>
      <c r="S300" s="315" t="str">
        <f>IFERROR(__xludf.DUMMYFUNCTION("""COMPUTED_VALUE"""),"Реле напруги, перекосу та послідовності фаз RNPP-312, Novatek")</f>
        <v>Реле напруги, перекосу та послідовності фаз RNPP-312, Novatek</v>
      </c>
      <c r="T300" s="315"/>
      <c r="U300" s="315" t="s">
        <v>630</v>
      </c>
      <c r="V300" s="317"/>
    </row>
    <row r="301" ht="15.75" customHeight="1">
      <c r="A301" s="315"/>
      <c r="B301" s="315"/>
      <c r="C301" s="315"/>
      <c r="D301" s="315"/>
      <c r="E301" s="315"/>
      <c r="F301" s="315"/>
      <c r="G301" s="315"/>
      <c r="H301" s="315"/>
      <c r="I301" s="315"/>
      <c r="J301" s="315"/>
      <c r="K301" s="315"/>
      <c r="L301" s="315"/>
      <c r="M301" s="317"/>
      <c r="N301" s="315"/>
      <c r="O301" s="317"/>
      <c r="P301" s="315"/>
      <c r="Q301" s="317"/>
      <c r="R301" s="315"/>
      <c r="S301" s="315" t="str">
        <f>IFERROR(__xludf.DUMMYFUNCTION("""COMPUTED_VALUE"""),"Скрепа для СІП (CF-20 SICAME)")</f>
        <v>Скрепа для СІП (CF-20 SICAME)</v>
      </c>
      <c r="T301" s="315"/>
      <c r="U301" s="315" t="s">
        <v>631</v>
      </c>
      <c r="V301" s="317"/>
    </row>
    <row r="302" ht="15.75" customHeight="1">
      <c r="A302" s="315"/>
      <c r="B302" s="315"/>
      <c r="C302" s="315"/>
      <c r="D302" s="315"/>
      <c r="E302" s="315"/>
      <c r="F302" s="315"/>
      <c r="G302" s="315"/>
      <c r="H302" s="315"/>
      <c r="I302" s="315"/>
      <c r="J302" s="315"/>
      <c r="K302" s="315"/>
      <c r="L302" s="315"/>
      <c r="M302" s="317"/>
      <c r="N302" s="315"/>
      <c r="O302" s="317"/>
      <c r="P302" s="315"/>
      <c r="Q302" s="317"/>
      <c r="R302" s="315"/>
      <c r="S302" s="315" t="str">
        <f>IFERROR(__xludf.DUMMYFUNCTION("""COMPUTED_VALUE"""),"Стрічка бандажна для СІП (SS-201-2В-0,7х19мм, 50м)")</f>
        <v>Стрічка бандажна для СІП (SS-201-2В-0,7х19мм, 50м)</v>
      </c>
      <c r="T302" s="315"/>
      <c r="U302" s="315" t="s">
        <v>632</v>
      </c>
      <c r="V302" s="317"/>
    </row>
    <row r="303" ht="15.75" customHeight="1">
      <c r="A303" s="315"/>
      <c r="B303" s="315"/>
      <c r="C303" s="315"/>
      <c r="D303" s="315"/>
      <c r="E303" s="315"/>
      <c r="F303" s="315"/>
      <c r="G303" s="315"/>
      <c r="H303" s="315"/>
      <c r="I303" s="315"/>
      <c r="J303" s="315"/>
      <c r="K303" s="315"/>
      <c r="L303" s="315"/>
      <c r="M303" s="317"/>
      <c r="N303" s="315"/>
      <c r="O303" s="317"/>
      <c r="P303" s="315"/>
      <c r="Q303" s="317"/>
      <c r="R303" s="315"/>
      <c r="S303" s="315" t="str">
        <f>IFERROR(__xludf.DUMMYFUNCTION("""COMPUTED_VALUE"""),"Труба 63/52мм (гофрована двостінна, e.kor.tube.black.63.52, чорна, ENEXT)")</f>
        <v>Труба 63/52мм (гофрована двостінна, e.kor.tube.black.63.52, чорна, ENEXT)</v>
      </c>
      <c r="T303" s="315"/>
      <c r="U303" s="315" t="s">
        <v>633</v>
      </c>
      <c r="V303" s="317"/>
    </row>
    <row r="304" ht="15.75" customHeight="1">
      <c r="A304" s="315"/>
      <c r="B304" s="315"/>
      <c r="C304" s="315"/>
      <c r="D304" s="315"/>
      <c r="E304" s="315"/>
      <c r="F304" s="315"/>
      <c r="G304" s="315"/>
      <c r="H304" s="315"/>
      <c r="I304" s="315"/>
      <c r="J304" s="315"/>
      <c r="K304" s="315"/>
      <c r="L304" s="315"/>
      <c r="M304" s="317"/>
      <c r="N304" s="315"/>
      <c r="O304" s="317"/>
      <c r="P304" s="315"/>
      <c r="Q304" s="317"/>
      <c r="R304" s="315"/>
      <c r="S304" s="315" t="str">
        <f>IFERROR(__xludf.DUMMYFUNCTION("""COMPUTED_VALUE"""),"Труба д.25 мм (поліетиленова, чорна)")</f>
        <v>Труба д.25 мм (поліетиленова, чорна)</v>
      </c>
      <c r="T304" s="315"/>
      <c r="U304" s="315" t="s">
        <v>634</v>
      </c>
      <c r="V304" s="317"/>
    </row>
    <row r="305" ht="15.75" customHeight="1">
      <c r="A305" s="315"/>
      <c r="B305" s="315"/>
      <c r="C305" s="315"/>
      <c r="D305" s="315"/>
      <c r="E305" s="315"/>
      <c r="F305" s="315"/>
      <c r="G305" s="315"/>
      <c r="H305" s="315"/>
      <c r="I305" s="315"/>
      <c r="J305" s="315"/>
      <c r="K305" s="315"/>
      <c r="L305" s="315"/>
      <c r="M305" s="317"/>
      <c r="N305" s="315"/>
      <c r="O305" s="317"/>
      <c r="P305" s="315"/>
      <c r="Q305" s="317"/>
      <c r="R305" s="315"/>
      <c r="S305" s="315" t="str">
        <f>IFERROR(__xludf.DUMMYFUNCTION("""COMPUTED_VALUE"""),"Труба ПВХ 16 мм (гофрована, УФ, чорна, KOPOS)")</f>
        <v>Труба ПВХ 16 мм (гофрована, УФ, чорна, KOPOS)</v>
      </c>
      <c r="T305" s="315"/>
      <c r="U305" s="315" t="s">
        <v>635</v>
      </c>
      <c r="V305" s="317"/>
    </row>
    <row r="306" ht="15.75" customHeight="1">
      <c r="A306" s="315"/>
      <c r="B306" s="315"/>
      <c r="C306" s="315"/>
      <c r="D306" s="315"/>
      <c r="E306" s="315"/>
      <c r="F306" s="315"/>
      <c r="G306" s="315"/>
      <c r="H306" s="315"/>
      <c r="I306" s="315"/>
      <c r="J306" s="315"/>
      <c r="K306" s="315"/>
      <c r="L306" s="315"/>
      <c r="M306" s="317"/>
      <c r="N306" s="315"/>
      <c r="O306" s="317"/>
      <c r="P306" s="315"/>
      <c r="Q306" s="317"/>
      <c r="R306" s="315"/>
      <c r="S306" s="315" t="str">
        <f>IFERROR(__xludf.DUMMYFUNCTION("""COMPUTED_VALUE"""),"Труба ПВХ 32 мм (гофрована, сіра, ДКС) --- 50м")</f>
        <v>Труба ПВХ 32 мм (гофрована, сіра, ДКС) --- 50м</v>
      </c>
      <c r="T306" s="315"/>
      <c r="U306" s="315" t="s">
        <v>636</v>
      </c>
      <c r="V306" s="317"/>
    </row>
    <row r="307" ht="15.75" customHeight="1">
      <c r="A307" s="315"/>
      <c r="B307" s="315"/>
      <c r="C307" s="315"/>
      <c r="D307" s="315"/>
      <c r="E307" s="315"/>
      <c r="F307" s="315"/>
      <c r="G307" s="315"/>
      <c r="H307" s="315"/>
      <c r="I307" s="315"/>
      <c r="J307" s="315"/>
      <c r="K307" s="315"/>
      <c r="L307" s="315"/>
      <c r="M307" s="317"/>
      <c r="N307" s="315"/>
      <c r="O307" s="317"/>
      <c r="P307" s="315"/>
      <c r="Q307" s="317"/>
      <c r="R307" s="315"/>
      <c r="S307" s="315" t="str">
        <f>IFERROR(__xludf.DUMMYFUNCTION("""COMPUTED_VALUE"""),"Труба ПВХ д.32 мм (жорстка, гладка, 32/29.2, 3 м, сіра)")</f>
        <v>Труба ПВХ д.32 мм (жорстка, гладка, 32/29.2, 3 м, сіра)</v>
      </c>
      <c r="T307" s="315"/>
      <c r="U307" s="315" t="s">
        <v>637</v>
      </c>
      <c r="V307" s="317"/>
    </row>
    <row r="308" ht="15.75" customHeight="1">
      <c r="A308" s="315"/>
      <c r="B308" s="315"/>
      <c r="C308" s="315"/>
      <c r="D308" s="315"/>
      <c r="E308" s="315"/>
      <c r="F308" s="315"/>
      <c r="G308" s="315"/>
      <c r="H308" s="315"/>
      <c r="I308" s="315"/>
      <c r="J308" s="315"/>
      <c r="K308" s="315"/>
      <c r="L308" s="315"/>
      <c r="M308" s="317"/>
      <c r="N308" s="315"/>
      <c r="O308" s="317"/>
      <c r="P308" s="315"/>
      <c r="Q308" s="317"/>
      <c r="R308" s="315"/>
      <c r="S308" s="315" t="str">
        <f>IFERROR(__xludf.DUMMYFUNCTION("""COMPUTED_VALUE"""),"ТС-1004 (колодка клемна, розподільчий блок, 100А, 4р, АСКО)")</f>
        <v>ТС-1004 (колодка клемна, розподільчий блок, 100А, 4р, АСКО)</v>
      </c>
      <c r="T308" s="315"/>
      <c r="U308" s="315" t="s">
        <v>638</v>
      </c>
      <c r="V308" s="317"/>
    </row>
    <row r="309" ht="15.75" customHeight="1">
      <c r="A309" s="315"/>
      <c r="B309" s="315"/>
      <c r="C309" s="315"/>
      <c r="D309" s="315"/>
      <c r="E309" s="315"/>
      <c r="F309" s="315"/>
      <c r="G309" s="315"/>
      <c r="H309" s="315"/>
      <c r="I309" s="315"/>
      <c r="J309" s="315"/>
      <c r="K309" s="315"/>
      <c r="L309" s="315"/>
      <c r="M309" s="317"/>
      <c r="N309" s="315"/>
      <c r="O309" s="317"/>
      <c r="P309" s="315"/>
      <c r="Q309" s="317"/>
      <c r="R309" s="315"/>
      <c r="S309" s="315" t="str">
        <f>IFERROR(__xludf.DUMMYFUNCTION("""COMPUTED_VALUE"""),"ТС-2004 (колодка клемна, розподільчий блок, 200А, 4р, АСКО)")</f>
        <v>ТС-2004 (колодка клемна, розподільчий блок, 200А, 4р, АСКО)</v>
      </c>
      <c r="T309" s="315"/>
      <c r="U309" s="315" t="s">
        <v>639</v>
      </c>
      <c r="V309" s="317"/>
    </row>
    <row r="310" ht="15.75" customHeight="1">
      <c r="A310" s="315"/>
      <c r="B310" s="315"/>
      <c r="C310" s="315"/>
      <c r="D310" s="315"/>
      <c r="E310" s="315"/>
      <c r="F310" s="315"/>
      <c r="G310" s="315"/>
      <c r="H310" s="315"/>
      <c r="I310" s="315"/>
      <c r="J310" s="315"/>
      <c r="K310" s="315"/>
      <c r="L310" s="315"/>
      <c r="M310" s="317"/>
      <c r="N310" s="315"/>
      <c r="O310" s="317"/>
      <c r="P310" s="315"/>
      <c r="Q310" s="317"/>
      <c r="R310" s="315"/>
      <c r="S310" s="315" t="str">
        <f>IFERROR(__xludf.DUMMYFUNCTION("""COMPUTED_VALUE"""),"ШМТ 3х20 мм (шина мідна, полоса)")</f>
        <v>ШМТ 3х20 мм (шина мідна, полоса)</v>
      </c>
      <c r="T310" s="315"/>
      <c r="U310" s="315" t="s">
        <v>640</v>
      </c>
      <c r="V310" s="317"/>
    </row>
    <row r="311" ht="15.75" customHeight="1">
      <c r="A311" s="315"/>
      <c r="B311" s="315"/>
      <c r="C311" s="315"/>
      <c r="D311" s="315"/>
      <c r="E311" s="315"/>
      <c r="F311" s="315"/>
      <c r="G311" s="315"/>
      <c r="H311" s="315"/>
      <c r="I311" s="315"/>
      <c r="J311" s="315"/>
      <c r="K311" s="315"/>
      <c r="L311" s="315"/>
      <c r="M311" s="317"/>
      <c r="N311" s="315"/>
      <c r="O311" s="317"/>
      <c r="P311" s="315"/>
      <c r="Q311" s="317"/>
      <c r="R311" s="315"/>
      <c r="S311" s="315"/>
      <c r="T311" s="315"/>
      <c r="U311" s="315" t="s">
        <v>641</v>
      </c>
      <c r="V311" s="317"/>
    </row>
    <row r="312" ht="15.75" customHeight="1">
      <c r="A312" s="315"/>
      <c r="B312" s="315"/>
      <c r="C312" s="315"/>
      <c r="D312" s="315"/>
      <c r="E312" s="315"/>
      <c r="F312" s="315"/>
      <c r="G312" s="315"/>
      <c r="H312" s="315"/>
      <c r="I312" s="315"/>
      <c r="J312" s="315"/>
      <c r="K312" s="315"/>
      <c r="L312" s="315"/>
      <c r="M312" s="317"/>
      <c r="N312" s="315"/>
      <c r="O312" s="317"/>
      <c r="P312" s="315"/>
      <c r="Q312" s="317"/>
      <c r="R312" s="315"/>
      <c r="S312" s="315"/>
      <c r="T312" s="315"/>
      <c r="U312" s="315" t="s">
        <v>642</v>
      </c>
      <c r="V312" s="317"/>
    </row>
    <row r="313" ht="15.75" customHeight="1">
      <c r="A313" s="315"/>
      <c r="B313" s="315"/>
      <c r="C313" s="315"/>
      <c r="D313" s="315"/>
      <c r="E313" s="315"/>
      <c r="F313" s="315"/>
      <c r="G313" s="315"/>
      <c r="H313" s="315"/>
      <c r="I313" s="315"/>
      <c r="J313" s="315"/>
      <c r="K313" s="315"/>
      <c r="L313" s="315"/>
      <c r="M313" s="317"/>
      <c r="N313" s="315"/>
      <c r="O313" s="317"/>
      <c r="P313" s="315"/>
      <c r="Q313" s="317"/>
      <c r="R313" s="315"/>
      <c r="S313" s="315"/>
      <c r="T313" s="315"/>
      <c r="U313" s="315" t="s">
        <v>643</v>
      </c>
      <c r="V313" s="317"/>
    </row>
    <row r="314" ht="15.75" customHeight="1">
      <c r="A314" s="315"/>
      <c r="B314" s="315"/>
      <c r="C314" s="315"/>
      <c r="D314" s="315"/>
      <c r="E314" s="315"/>
      <c r="F314" s="315"/>
      <c r="G314" s="315"/>
      <c r="H314" s="315"/>
      <c r="I314" s="315"/>
      <c r="J314" s="315"/>
      <c r="K314" s="315"/>
      <c r="L314" s="315"/>
      <c r="M314" s="317"/>
      <c r="N314" s="315"/>
      <c r="O314" s="317"/>
      <c r="P314" s="315"/>
      <c r="Q314" s="317"/>
      <c r="R314" s="315"/>
      <c r="S314" s="315"/>
      <c r="T314" s="315"/>
      <c r="U314" s="315" t="s">
        <v>644</v>
      </c>
      <c r="V314" s="317"/>
    </row>
    <row r="315" ht="15.75" customHeight="1">
      <c r="A315" s="315"/>
      <c r="B315" s="315"/>
      <c r="C315" s="315"/>
      <c r="D315" s="315"/>
      <c r="E315" s="315"/>
      <c r="F315" s="315"/>
      <c r="G315" s="315"/>
      <c r="H315" s="315"/>
      <c r="I315" s="315"/>
      <c r="J315" s="315"/>
      <c r="K315" s="315"/>
      <c r="L315" s="315"/>
      <c r="M315" s="317"/>
      <c r="N315" s="315"/>
      <c r="O315" s="317"/>
      <c r="P315" s="315"/>
      <c r="Q315" s="317"/>
      <c r="R315" s="315"/>
      <c r="S315" s="315"/>
      <c r="T315" s="315"/>
      <c r="U315" s="315" t="s">
        <v>645</v>
      </c>
      <c r="V315" s="317"/>
    </row>
    <row r="316" ht="15.75" customHeight="1">
      <c r="A316" s="315"/>
      <c r="B316" s="315"/>
      <c r="C316" s="315"/>
      <c r="D316" s="315"/>
      <c r="E316" s="315"/>
      <c r="F316" s="315"/>
      <c r="G316" s="315"/>
      <c r="H316" s="315"/>
      <c r="I316" s="315"/>
      <c r="J316" s="315"/>
      <c r="K316" s="315"/>
      <c r="L316" s="315"/>
      <c r="M316" s="317"/>
      <c r="N316" s="315"/>
      <c r="O316" s="317"/>
      <c r="P316" s="315"/>
      <c r="Q316" s="317"/>
      <c r="R316" s="315"/>
      <c r="S316" s="315"/>
      <c r="T316" s="315"/>
      <c r="U316" s="315" t="s">
        <v>646</v>
      </c>
      <c r="V316" s="317"/>
    </row>
    <row r="317" ht="15.75" customHeight="1">
      <c r="A317" s="315"/>
      <c r="B317" s="315"/>
      <c r="C317" s="315"/>
      <c r="D317" s="315"/>
      <c r="E317" s="315"/>
      <c r="F317" s="315"/>
      <c r="G317" s="315"/>
      <c r="H317" s="315"/>
      <c r="I317" s="315"/>
      <c r="J317" s="315"/>
      <c r="K317" s="315"/>
      <c r="L317" s="315"/>
      <c r="M317" s="317"/>
      <c r="N317" s="315"/>
      <c r="O317" s="317"/>
      <c r="P317" s="315"/>
      <c r="Q317" s="317"/>
      <c r="R317" s="315"/>
      <c r="S317" s="315"/>
      <c r="T317" s="315"/>
      <c r="U317" s="315" t="s">
        <v>647</v>
      </c>
      <c r="V317" s="317"/>
    </row>
    <row r="318" ht="15.75" customHeight="1">
      <c r="A318" s="315"/>
      <c r="B318" s="315"/>
      <c r="C318" s="315"/>
      <c r="D318" s="315"/>
      <c r="E318" s="315"/>
      <c r="F318" s="315"/>
      <c r="G318" s="315"/>
      <c r="H318" s="315"/>
      <c r="I318" s="315"/>
      <c r="J318" s="315"/>
      <c r="K318" s="315"/>
      <c r="L318" s="315"/>
      <c r="M318" s="317"/>
      <c r="N318" s="315"/>
      <c r="O318" s="317"/>
      <c r="P318" s="315"/>
      <c r="Q318" s="317"/>
      <c r="R318" s="315"/>
      <c r="S318" s="315"/>
      <c r="T318" s="315"/>
      <c r="U318" s="315" t="s">
        <v>648</v>
      </c>
      <c r="V318" s="317"/>
    </row>
    <row r="319" ht="15.75" customHeight="1">
      <c r="A319" s="315"/>
      <c r="B319" s="315"/>
      <c r="C319" s="315"/>
      <c r="D319" s="315"/>
      <c r="E319" s="315"/>
      <c r="F319" s="315"/>
      <c r="G319" s="315"/>
      <c r="H319" s="315"/>
      <c r="I319" s="315"/>
      <c r="J319" s="315"/>
      <c r="K319" s="315"/>
      <c r="L319" s="315"/>
      <c r="M319" s="317"/>
      <c r="N319" s="315"/>
      <c r="O319" s="317"/>
      <c r="P319" s="315"/>
      <c r="Q319" s="317"/>
      <c r="R319" s="315"/>
      <c r="S319" s="315"/>
      <c r="T319" s="315"/>
      <c r="U319" s="315" t="s">
        <v>649</v>
      </c>
      <c r="V319" s="317"/>
    </row>
    <row r="320" ht="15.75" customHeight="1">
      <c r="A320" s="315"/>
      <c r="B320" s="315"/>
      <c r="C320" s="315"/>
      <c r="D320" s="315"/>
      <c r="E320" s="315"/>
      <c r="F320" s="315"/>
      <c r="G320" s="315"/>
      <c r="H320" s="315"/>
      <c r="I320" s="315"/>
      <c r="J320" s="315"/>
      <c r="K320" s="315"/>
      <c r="L320" s="315"/>
      <c r="M320" s="317"/>
      <c r="N320" s="315"/>
      <c r="O320" s="317"/>
      <c r="P320" s="315"/>
      <c r="Q320" s="317"/>
      <c r="R320" s="315"/>
      <c r="S320" s="315"/>
      <c r="T320" s="315"/>
      <c r="U320" s="315" t="s">
        <v>650</v>
      </c>
      <c r="V320" s="317"/>
    </row>
    <row r="321" ht="15.75" customHeight="1">
      <c r="A321" s="315"/>
      <c r="B321" s="315"/>
      <c r="C321" s="315"/>
      <c r="D321" s="315"/>
      <c r="E321" s="315"/>
      <c r="F321" s="315"/>
      <c r="G321" s="315"/>
      <c r="H321" s="315"/>
      <c r="I321" s="315"/>
      <c r="J321" s="315"/>
      <c r="K321" s="315"/>
      <c r="L321" s="315"/>
      <c r="M321" s="317"/>
      <c r="N321" s="315"/>
      <c r="O321" s="317"/>
      <c r="P321" s="315"/>
      <c r="Q321" s="317"/>
      <c r="R321" s="315"/>
      <c r="S321" s="315"/>
      <c r="T321" s="315"/>
      <c r="U321" s="315" t="s">
        <v>651</v>
      </c>
      <c r="V321" s="317"/>
    </row>
    <row r="322" ht="15.75" customHeight="1">
      <c r="A322" s="315"/>
      <c r="B322" s="315"/>
      <c r="C322" s="315"/>
      <c r="D322" s="315"/>
      <c r="E322" s="315"/>
      <c r="F322" s="315"/>
      <c r="G322" s="315"/>
      <c r="H322" s="315"/>
      <c r="I322" s="315"/>
      <c r="J322" s="315"/>
      <c r="K322" s="315"/>
      <c r="L322" s="315"/>
      <c r="M322" s="317"/>
      <c r="N322" s="315"/>
      <c r="O322" s="317"/>
      <c r="P322" s="315"/>
      <c r="Q322" s="317"/>
      <c r="R322" s="315"/>
      <c r="S322" s="315"/>
      <c r="T322" s="315"/>
      <c r="U322" s="315" t="s">
        <v>652</v>
      </c>
      <c r="V322" s="317"/>
    </row>
    <row r="323" ht="15.75" customHeight="1">
      <c r="A323" s="315"/>
      <c r="B323" s="315"/>
      <c r="C323" s="315"/>
      <c r="D323" s="315"/>
      <c r="E323" s="315"/>
      <c r="F323" s="315"/>
      <c r="G323" s="315"/>
      <c r="H323" s="315"/>
      <c r="I323" s="315"/>
      <c r="J323" s="315"/>
      <c r="K323" s="315"/>
      <c r="L323" s="315"/>
      <c r="M323" s="317"/>
      <c r="N323" s="315"/>
      <c r="O323" s="317"/>
      <c r="P323" s="315"/>
      <c r="Q323" s="317"/>
      <c r="R323" s="315"/>
      <c r="S323" s="315"/>
      <c r="T323" s="315"/>
      <c r="U323" s="315" t="s">
        <v>653</v>
      </c>
      <c r="V323" s="317"/>
    </row>
    <row r="324" ht="15.75" customHeight="1">
      <c r="A324" s="315"/>
      <c r="B324" s="315"/>
      <c r="C324" s="315"/>
      <c r="D324" s="315"/>
      <c r="E324" s="315"/>
      <c r="F324" s="315"/>
      <c r="G324" s="315"/>
      <c r="H324" s="315"/>
      <c r="I324" s="315"/>
      <c r="J324" s="315"/>
      <c r="K324" s="315"/>
      <c r="L324" s="315"/>
      <c r="M324" s="317"/>
      <c r="N324" s="315"/>
      <c r="O324" s="317"/>
      <c r="P324" s="315"/>
      <c r="Q324" s="317"/>
      <c r="R324" s="315"/>
      <c r="S324" s="315"/>
      <c r="T324" s="315"/>
      <c r="U324" s="315" t="s">
        <v>654</v>
      </c>
      <c r="V324" s="317"/>
    </row>
    <row r="325" ht="15.75" customHeight="1">
      <c r="A325" s="315"/>
      <c r="B325" s="315"/>
      <c r="C325" s="315"/>
      <c r="D325" s="315"/>
      <c r="E325" s="315"/>
      <c r="F325" s="315"/>
      <c r="G325" s="315"/>
      <c r="H325" s="315"/>
      <c r="I325" s="315"/>
      <c r="J325" s="315"/>
      <c r="K325" s="315"/>
      <c r="L325" s="315"/>
      <c r="M325" s="317"/>
      <c r="N325" s="315"/>
      <c r="O325" s="317"/>
      <c r="P325" s="315"/>
      <c r="Q325" s="317"/>
      <c r="R325" s="315"/>
      <c r="S325" s="315"/>
      <c r="T325" s="315"/>
      <c r="U325" s="315" t="s">
        <v>655</v>
      </c>
      <c r="V325" s="317"/>
    </row>
    <row r="326" ht="15.75" customHeight="1">
      <c r="A326" s="315"/>
      <c r="B326" s="315"/>
      <c r="C326" s="315"/>
      <c r="D326" s="315"/>
      <c r="E326" s="315"/>
      <c r="F326" s="315"/>
      <c r="G326" s="315"/>
      <c r="H326" s="315"/>
      <c r="I326" s="315"/>
      <c r="J326" s="315"/>
      <c r="K326" s="315"/>
      <c r="L326" s="315"/>
      <c r="M326" s="317"/>
      <c r="N326" s="315"/>
      <c r="O326" s="317"/>
      <c r="P326" s="315"/>
      <c r="Q326" s="317"/>
      <c r="R326" s="315"/>
      <c r="S326" s="315"/>
      <c r="T326" s="315"/>
      <c r="U326" s="315" t="s">
        <v>656</v>
      </c>
      <c r="V326" s="317"/>
    </row>
    <row r="327" ht="15.75" customHeight="1">
      <c r="A327" s="315"/>
      <c r="B327" s="315"/>
      <c r="C327" s="315"/>
      <c r="D327" s="315"/>
      <c r="E327" s="315"/>
      <c r="F327" s="315"/>
      <c r="G327" s="315"/>
      <c r="H327" s="315"/>
      <c r="I327" s="315"/>
      <c r="J327" s="315"/>
      <c r="K327" s="315"/>
      <c r="L327" s="315"/>
      <c r="M327" s="317"/>
      <c r="N327" s="315"/>
      <c r="O327" s="317"/>
      <c r="P327" s="315"/>
      <c r="Q327" s="317"/>
      <c r="R327" s="315"/>
      <c r="S327" s="315"/>
      <c r="T327" s="315"/>
      <c r="U327" s="315" t="s">
        <v>657</v>
      </c>
      <c r="V327" s="317"/>
    </row>
    <row r="328" ht="15.75" customHeight="1">
      <c r="A328" s="315"/>
      <c r="B328" s="315"/>
      <c r="C328" s="315"/>
      <c r="D328" s="315"/>
      <c r="E328" s="315"/>
      <c r="F328" s="315"/>
      <c r="G328" s="315"/>
      <c r="H328" s="315"/>
      <c r="I328" s="315"/>
      <c r="J328" s="315"/>
      <c r="K328" s="315"/>
      <c r="L328" s="315"/>
      <c r="M328" s="317"/>
      <c r="N328" s="315"/>
      <c r="O328" s="317"/>
      <c r="P328" s="315"/>
      <c r="Q328" s="317"/>
      <c r="R328" s="315"/>
      <c r="S328" s="315"/>
      <c r="T328" s="315"/>
      <c r="U328" s="315" t="s">
        <v>658</v>
      </c>
      <c r="V328" s="317"/>
    </row>
    <row r="329" ht="15.75" customHeight="1">
      <c r="A329" s="315"/>
      <c r="B329" s="315"/>
      <c r="C329" s="315"/>
      <c r="D329" s="315"/>
      <c r="E329" s="315"/>
      <c r="F329" s="315"/>
      <c r="G329" s="315"/>
      <c r="H329" s="315"/>
      <c r="I329" s="315"/>
      <c r="J329" s="315"/>
      <c r="K329" s="315"/>
      <c r="L329" s="315"/>
      <c r="M329" s="317"/>
      <c r="N329" s="315"/>
      <c r="O329" s="317"/>
      <c r="P329" s="315"/>
      <c r="Q329" s="317"/>
      <c r="R329" s="315"/>
      <c r="S329" s="315"/>
      <c r="T329" s="315"/>
      <c r="U329" s="315" t="s">
        <v>659</v>
      </c>
      <c r="V329" s="317"/>
    </row>
    <row r="330" ht="15.75" customHeight="1">
      <c r="A330" s="315"/>
      <c r="B330" s="315"/>
      <c r="C330" s="315"/>
      <c r="D330" s="315"/>
      <c r="E330" s="315"/>
      <c r="F330" s="315"/>
      <c r="G330" s="315"/>
      <c r="H330" s="315"/>
      <c r="I330" s="315"/>
      <c r="J330" s="315"/>
      <c r="K330" s="315"/>
      <c r="L330" s="315"/>
      <c r="M330" s="317"/>
      <c r="N330" s="315"/>
      <c r="O330" s="317"/>
      <c r="P330" s="315"/>
      <c r="Q330" s="317"/>
      <c r="R330" s="315"/>
      <c r="S330" s="315"/>
      <c r="T330" s="315"/>
      <c r="U330" s="315" t="s">
        <v>660</v>
      </c>
      <c r="V330" s="317"/>
    </row>
    <row r="331" ht="15.75" customHeight="1">
      <c r="A331" s="315"/>
      <c r="B331" s="315"/>
      <c r="C331" s="315"/>
      <c r="D331" s="315"/>
      <c r="E331" s="315"/>
      <c r="F331" s="315"/>
      <c r="G331" s="315"/>
      <c r="H331" s="315"/>
      <c r="I331" s="315"/>
      <c r="J331" s="315"/>
      <c r="K331" s="315"/>
      <c r="L331" s="315"/>
      <c r="M331" s="317"/>
      <c r="N331" s="315"/>
      <c r="O331" s="317"/>
      <c r="P331" s="315"/>
      <c r="Q331" s="317"/>
      <c r="R331" s="315"/>
      <c r="S331" s="315"/>
      <c r="T331" s="315"/>
      <c r="U331" s="315" t="s">
        <v>661</v>
      </c>
      <c r="V331" s="317"/>
    </row>
    <row r="332" ht="15.75" customHeight="1">
      <c r="A332" s="315"/>
      <c r="B332" s="315"/>
      <c r="C332" s="315"/>
      <c r="D332" s="315"/>
      <c r="E332" s="315"/>
      <c r="F332" s="315"/>
      <c r="G332" s="315"/>
      <c r="H332" s="315"/>
      <c r="I332" s="315"/>
      <c r="J332" s="315"/>
      <c r="K332" s="315"/>
      <c r="L332" s="315"/>
      <c r="M332" s="317"/>
      <c r="N332" s="315"/>
      <c r="O332" s="317"/>
      <c r="P332" s="315"/>
      <c r="Q332" s="317"/>
      <c r="R332" s="315"/>
      <c r="S332" s="315"/>
      <c r="T332" s="315"/>
      <c r="U332" s="315" t="s">
        <v>662</v>
      </c>
      <c r="V332" s="317"/>
    </row>
    <row r="333" ht="15.75" customHeight="1">
      <c r="A333" s="315"/>
      <c r="B333" s="315"/>
      <c r="C333" s="315"/>
      <c r="D333" s="315"/>
      <c r="E333" s="315"/>
      <c r="F333" s="315"/>
      <c r="G333" s="315"/>
      <c r="H333" s="315"/>
      <c r="I333" s="315"/>
      <c r="J333" s="315"/>
      <c r="K333" s="315"/>
      <c r="L333" s="315"/>
      <c r="M333" s="317"/>
      <c r="N333" s="315"/>
      <c r="O333" s="317"/>
      <c r="P333" s="315"/>
      <c r="Q333" s="317"/>
      <c r="R333" s="315"/>
      <c r="S333" s="315"/>
      <c r="T333" s="315"/>
      <c r="U333" s="315" t="s">
        <v>663</v>
      </c>
      <c r="V333" s="317"/>
    </row>
    <row r="334" ht="15.75" customHeight="1">
      <c r="A334" s="315"/>
      <c r="B334" s="315"/>
      <c r="C334" s="315"/>
      <c r="D334" s="315"/>
      <c r="E334" s="315"/>
      <c r="F334" s="315"/>
      <c r="G334" s="315"/>
      <c r="H334" s="315"/>
      <c r="I334" s="315"/>
      <c r="J334" s="315"/>
      <c r="K334" s="315"/>
      <c r="L334" s="315"/>
      <c r="M334" s="317"/>
      <c r="N334" s="315"/>
      <c r="O334" s="317"/>
      <c r="P334" s="315"/>
      <c r="Q334" s="317"/>
      <c r="R334" s="315"/>
      <c r="S334" s="315"/>
      <c r="T334" s="315"/>
      <c r="U334" s="315" t="s">
        <v>664</v>
      </c>
      <c r="V334" s="317"/>
    </row>
    <row r="335" ht="15.75" customHeight="1">
      <c r="A335" s="315"/>
      <c r="B335" s="315"/>
      <c r="C335" s="315"/>
      <c r="D335" s="315"/>
      <c r="E335" s="315"/>
      <c r="F335" s="315"/>
      <c r="G335" s="315"/>
      <c r="H335" s="315"/>
      <c r="I335" s="315"/>
      <c r="J335" s="315"/>
      <c r="K335" s="315"/>
      <c r="L335" s="315"/>
      <c r="M335" s="317"/>
      <c r="N335" s="315"/>
      <c r="O335" s="317"/>
      <c r="P335" s="315"/>
      <c r="Q335" s="317"/>
      <c r="R335" s="315"/>
      <c r="S335" s="315"/>
      <c r="T335" s="315"/>
      <c r="U335" s="315" t="s">
        <v>665</v>
      </c>
      <c r="V335" s="317"/>
    </row>
    <row r="336" ht="15.75" customHeight="1">
      <c r="A336" s="315"/>
      <c r="B336" s="315"/>
      <c r="C336" s="315"/>
      <c r="D336" s="315"/>
      <c r="E336" s="315"/>
      <c r="F336" s="315"/>
      <c r="G336" s="315"/>
      <c r="H336" s="315"/>
      <c r="I336" s="315"/>
      <c r="J336" s="315"/>
      <c r="K336" s="315"/>
      <c r="L336" s="315"/>
      <c r="M336" s="317"/>
      <c r="N336" s="315"/>
      <c r="O336" s="317"/>
      <c r="P336" s="315"/>
      <c r="Q336" s="317"/>
      <c r="R336" s="315"/>
      <c r="S336" s="315"/>
      <c r="T336" s="315"/>
      <c r="U336" s="315" t="s">
        <v>666</v>
      </c>
      <c r="V336" s="317"/>
    </row>
    <row r="337" ht="15.75" customHeight="1">
      <c r="A337" s="315"/>
      <c r="B337" s="315"/>
      <c r="C337" s="315"/>
      <c r="D337" s="315"/>
      <c r="E337" s="315"/>
      <c r="F337" s="315"/>
      <c r="G337" s="315"/>
      <c r="H337" s="315"/>
      <c r="I337" s="315"/>
      <c r="J337" s="315"/>
      <c r="K337" s="315"/>
      <c r="L337" s="315"/>
      <c r="M337" s="317"/>
      <c r="N337" s="315"/>
      <c r="O337" s="317"/>
      <c r="P337" s="315"/>
      <c r="Q337" s="317"/>
      <c r="R337" s="315"/>
      <c r="S337" s="315"/>
      <c r="T337" s="315"/>
      <c r="U337" s="315" t="s">
        <v>667</v>
      </c>
      <c r="V337" s="317"/>
    </row>
    <row r="338" ht="15.75" customHeight="1">
      <c r="A338" s="315"/>
      <c r="B338" s="315"/>
      <c r="C338" s="315"/>
      <c r="D338" s="315"/>
      <c r="E338" s="315"/>
      <c r="F338" s="315"/>
      <c r="G338" s="315"/>
      <c r="H338" s="315"/>
      <c r="I338" s="315"/>
      <c r="J338" s="315"/>
      <c r="K338" s="315"/>
      <c r="L338" s="315"/>
      <c r="M338" s="317"/>
      <c r="N338" s="315"/>
      <c r="O338" s="317"/>
      <c r="P338" s="315"/>
      <c r="Q338" s="317"/>
      <c r="R338" s="315"/>
      <c r="S338" s="315"/>
      <c r="T338" s="315"/>
      <c r="U338" s="315" t="s">
        <v>668</v>
      </c>
      <c r="V338" s="317"/>
    </row>
    <row r="339" ht="15.75" customHeight="1">
      <c r="A339" s="315"/>
      <c r="B339" s="315"/>
      <c r="C339" s="315"/>
      <c r="D339" s="315"/>
      <c r="E339" s="315"/>
      <c r="F339" s="315"/>
      <c r="G339" s="315"/>
      <c r="H339" s="315"/>
      <c r="I339" s="315"/>
      <c r="J339" s="315"/>
      <c r="K339" s="315"/>
      <c r="L339" s="315"/>
      <c r="M339" s="317"/>
      <c r="N339" s="315"/>
      <c r="O339" s="317"/>
      <c r="P339" s="315"/>
      <c r="Q339" s="317"/>
      <c r="R339" s="315"/>
      <c r="S339" s="315"/>
      <c r="T339" s="315"/>
      <c r="U339" s="315" t="s">
        <v>669</v>
      </c>
      <c r="V339" s="317"/>
    </row>
    <row r="340" ht="15.75" customHeight="1">
      <c r="A340" s="315"/>
      <c r="B340" s="315"/>
      <c r="C340" s="315"/>
      <c r="D340" s="315"/>
      <c r="E340" s="315"/>
      <c r="F340" s="315"/>
      <c r="G340" s="315"/>
      <c r="H340" s="315"/>
      <c r="I340" s="315"/>
      <c r="J340" s="315"/>
      <c r="K340" s="315"/>
      <c r="L340" s="315"/>
      <c r="M340" s="317"/>
      <c r="N340" s="315"/>
      <c r="O340" s="317"/>
      <c r="P340" s="315"/>
      <c r="Q340" s="317"/>
      <c r="R340" s="315"/>
      <c r="S340" s="315"/>
      <c r="T340" s="315"/>
      <c r="U340" s="315" t="s">
        <v>670</v>
      </c>
      <c r="V340" s="317"/>
    </row>
    <row r="341" ht="15.75" customHeight="1">
      <c r="A341" s="315"/>
      <c r="B341" s="315"/>
      <c r="C341" s="315"/>
      <c r="D341" s="315"/>
      <c r="E341" s="315"/>
      <c r="F341" s="315"/>
      <c r="G341" s="315"/>
      <c r="H341" s="315"/>
      <c r="I341" s="315"/>
      <c r="J341" s="315"/>
      <c r="K341" s="315"/>
      <c r="L341" s="315"/>
      <c r="M341" s="317"/>
      <c r="N341" s="315"/>
      <c r="O341" s="317"/>
      <c r="P341" s="315"/>
      <c r="Q341" s="317"/>
      <c r="R341" s="315"/>
      <c r="S341" s="315"/>
      <c r="T341" s="315"/>
      <c r="U341" s="315" t="s">
        <v>671</v>
      </c>
      <c r="V341" s="317"/>
    </row>
    <row r="342" ht="15.75" customHeight="1">
      <c r="A342" s="315"/>
      <c r="B342" s="315"/>
      <c r="C342" s="315"/>
      <c r="D342" s="315"/>
      <c r="E342" s="315"/>
      <c r="F342" s="315"/>
      <c r="G342" s="315"/>
      <c r="H342" s="315"/>
      <c r="I342" s="315"/>
      <c r="J342" s="315"/>
      <c r="K342" s="315"/>
      <c r="L342" s="315"/>
      <c r="M342" s="317"/>
      <c r="N342" s="315"/>
      <c r="O342" s="317"/>
      <c r="P342" s="315"/>
      <c r="Q342" s="317"/>
      <c r="R342" s="315"/>
      <c r="S342" s="315"/>
      <c r="T342" s="315"/>
      <c r="U342" s="315" t="s">
        <v>672</v>
      </c>
      <c r="V342" s="317"/>
    </row>
    <row r="343" ht="15.75" customHeight="1">
      <c r="A343" s="315"/>
      <c r="B343" s="315"/>
      <c r="C343" s="315"/>
      <c r="D343" s="315"/>
      <c r="E343" s="315"/>
      <c r="F343" s="315"/>
      <c r="G343" s="315"/>
      <c r="H343" s="315"/>
      <c r="I343" s="315"/>
      <c r="J343" s="315"/>
      <c r="K343" s="315"/>
      <c r="L343" s="315"/>
      <c r="M343" s="317"/>
      <c r="N343" s="315"/>
      <c r="O343" s="317"/>
      <c r="P343" s="315"/>
      <c r="Q343" s="317"/>
      <c r="R343" s="315"/>
      <c r="S343" s="315"/>
      <c r="T343" s="315"/>
      <c r="U343" s="315" t="s">
        <v>673</v>
      </c>
      <c r="V343" s="317"/>
    </row>
    <row r="344" ht="15.75" customHeight="1">
      <c r="A344" s="315"/>
      <c r="B344" s="315"/>
      <c r="C344" s="315"/>
      <c r="D344" s="315"/>
      <c r="E344" s="315"/>
      <c r="F344" s="315"/>
      <c r="G344" s="315"/>
      <c r="H344" s="315"/>
      <c r="I344" s="315"/>
      <c r="J344" s="315"/>
      <c r="K344" s="315"/>
      <c r="L344" s="315"/>
      <c r="M344" s="317"/>
      <c r="N344" s="315"/>
      <c r="O344" s="317"/>
      <c r="P344" s="315"/>
      <c r="Q344" s="317"/>
      <c r="R344" s="315"/>
      <c r="S344" s="315"/>
      <c r="T344" s="315"/>
      <c r="U344" s="315" t="s">
        <v>674</v>
      </c>
      <c r="V344" s="317"/>
    </row>
    <row r="345" ht="15.75" customHeight="1">
      <c r="A345" s="315"/>
      <c r="B345" s="315"/>
      <c r="C345" s="315"/>
      <c r="D345" s="315"/>
      <c r="E345" s="315"/>
      <c r="F345" s="315"/>
      <c r="G345" s="315"/>
      <c r="H345" s="315"/>
      <c r="I345" s="315"/>
      <c r="J345" s="315"/>
      <c r="K345" s="315"/>
      <c r="L345" s="315"/>
      <c r="M345" s="317"/>
      <c r="N345" s="315"/>
      <c r="O345" s="317"/>
      <c r="P345" s="315"/>
      <c r="Q345" s="317"/>
      <c r="R345" s="315"/>
      <c r="S345" s="315"/>
      <c r="T345" s="315"/>
      <c r="U345" s="315" t="s">
        <v>675</v>
      </c>
      <c r="V345" s="317"/>
    </row>
    <row r="346" ht="15.75" customHeight="1">
      <c r="A346" s="315"/>
      <c r="B346" s="315"/>
      <c r="C346" s="315"/>
      <c r="D346" s="315"/>
      <c r="E346" s="315"/>
      <c r="F346" s="315"/>
      <c r="G346" s="315"/>
      <c r="H346" s="315"/>
      <c r="I346" s="315"/>
      <c r="J346" s="315"/>
      <c r="K346" s="315"/>
      <c r="L346" s="315"/>
      <c r="M346" s="317"/>
      <c r="N346" s="315"/>
      <c r="O346" s="317"/>
      <c r="P346" s="315"/>
      <c r="Q346" s="317"/>
      <c r="R346" s="315"/>
      <c r="S346" s="315"/>
      <c r="T346" s="315"/>
      <c r="U346" s="315" t="s">
        <v>676</v>
      </c>
      <c r="V346" s="317"/>
    </row>
    <row r="347" ht="15.75" customHeight="1">
      <c r="A347" s="315"/>
      <c r="B347" s="315"/>
      <c r="C347" s="315"/>
      <c r="D347" s="315"/>
      <c r="E347" s="315"/>
      <c r="F347" s="315"/>
      <c r="G347" s="315"/>
      <c r="H347" s="315"/>
      <c r="I347" s="315"/>
      <c r="J347" s="315"/>
      <c r="K347" s="315"/>
      <c r="L347" s="315"/>
      <c r="M347" s="317"/>
      <c r="N347" s="315"/>
      <c r="O347" s="317"/>
      <c r="P347" s="315"/>
      <c r="Q347" s="317"/>
      <c r="R347" s="315"/>
      <c r="S347" s="315"/>
      <c r="T347" s="315"/>
      <c r="U347" s="315" t="s">
        <v>677</v>
      </c>
      <c r="V347" s="317"/>
    </row>
    <row r="348" ht="15.75" customHeight="1">
      <c r="A348" s="315"/>
      <c r="B348" s="315"/>
      <c r="C348" s="315"/>
      <c r="D348" s="315"/>
      <c r="E348" s="315"/>
      <c r="F348" s="315"/>
      <c r="G348" s="315"/>
      <c r="H348" s="315"/>
      <c r="I348" s="315"/>
      <c r="J348" s="315"/>
      <c r="K348" s="315"/>
      <c r="L348" s="315"/>
      <c r="M348" s="317"/>
      <c r="N348" s="315"/>
      <c r="O348" s="317"/>
      <c r="P348" s="315"/>
      <c r="Q348" s="317"/>
      <c r="R348" s="315"/>
      <c r="S348" s="315"/>
      <c r="T348" s="315"/>
      <c r="U348" s="315" t="s">
        <v>678</v>
      </c>
      <c r="V348" s="317"/>
    </row>
    <row r="349" ht="15.75" customHeight="1">
      <c r="A349" s="315"/>
      <c r="B349" s="315"/>
      <c r="C349" s="315"/>
      <c r="D349" s="315"/>
      <c r="E349" s="315"/>
      <c r="F349" s="315"/>
      <c r="G349" s="315"/>
      <c r="H349" s="315"/>
      <c r="I349" s="315"/>
      <c r="J349" s="315"/>
      <c r="K349" s="315"/>
      <c r="L349" s="315"/>
      <c r="M349" s="317"/>
      <c r="N349" s="315"/>
      <c r="O349" s="317"/>
      <c r="P349" s="315"/>
      <c r="Q349" s="317"/>
      <c r="R349" s="315"/>
      <c r="S349" s="315"/>
      <c r="T349" s="315"/>
      <c r="U349" s="315" t="s">
        <v>679</v>
      </c>
      <c r="V349" s="317"/>
    </row>
    <row r="350" ht="15.75" customHeight="1">
      <c r="A350" s="315"/>
      <c r="B350" s="315"/>
      <c r="C350" s="315"/>
      <c r="D350" s="315"/>
      <c r="E350" s="315"/>
      <c r="F350" s="315"/>
      <c r="G350" s="315"/>
      <c r="H350" s="315"/>
      <c r="I350" s="315"/>
      <c r="J350" s="315"/>
      <c r="K350" s="315"/>
      <c r="L350" s="315"/>
      <c r="M350" s="317"/>
      <c r="N350" s="315"/>
      <c r="O350" s="317"/>
      <c r="P350" s="315"/>
      <c r="Q350" s="317"/>
      <c r="R350" s="315"/>
      <c r="S350" s="315"/>
      <c r="T350" s="315"/>
      <c r="U350" s="315" t="s">
        <v>680</v>
      </c>
      <c r="V350" s="317"/>
    </row>
    <row r="351" ht="15.75" customHeight="1">
      <c r="A351" s="315"/>
      <c r="B351" s="315"/>
      <c r="C351" s="315"/>
      <c r="D351" s="315"/>
      <c r="E351" s="315"/>
      <c r="F351" s="315"/>
      <c r="G351" s="315"/>
      <c r="H351" s="315"/>
      <c r="I351" s="315"/>
      <c r="J351" s="315"/>
      <c r="K351" s="315"/>
      <c r="L351" s="315"/>
      <c r="M351" s="317"/>
      <c r="N351" s="315"/>
      <c r="O351" s="317"/>
      <c r="P351" s="315"/>
      <c r="Q351" s="317"/>
      <c r="R351" s="315"/>
      <c r="S351" s="315"/>
      <c r="T351" s="315"/>
      <c r="U351" s="315" t="s">
        <v>681</v>
      </c>
      <c r="V351" s="317"/>
    </row>
    <row r="352" ht="15.75" customHeight="1">
      <c r="A352" s="315"/>
      <c r="B352" s="315"/>
      <c r="C352" s="315"/>
      <c r="D352" s="315"/>
      <c r="E352" s="315"/>
      <c r="F352" s="315"/>
      <c r="G352" s="315"/>
      <c r="H352" s="315"/>
      <c r="I352" s="315"/>
      <c r="J352" s="315"/>
      <c r="K352" s="315"/>
      <c r="L352" s="315"/>
      <c r="M352" s="317"/>
      <c r="N352" s="315"/>
      <c r="O352" s="317"/>
      <c r="P352" s="315"/>
      <c r="Q352" s="317"/>
      <c r="R352" s="315"/>
      <c r="S352" s="315"/>
      <c r="T352" s="315"/>
      <c r="U352" s="315" t="s">
        <v>682</v>
      </c>
      <c r="V352" s="317"/>
    </row>
    <row r="353" ht="15.75" customHeight="1">
      <c r="A353" s="315"/>
      <c r="B353" s="315"/>
      <c r="C353" s="315"/>
      <c r="D353" s="315"/>
      <c r="E353" s="315"/>
      <c r="F353" s="315"/>
      <c r="G353" s="315"/>
      <c r="H353" s="315"/>
      <c r="I353" s="315"/>
      <c r="J353" s="315"/>
      <c r="K353" s="315"/>
      <c r="L353" s="315"/>
      <c r="M353" s="317"/>
      <c r="N353" s="315"/>
      <c r="O353" s="317"/>
      <c r="P353" s="315"/>
      <c r="Q353" s="317"/>
      <c r="R353" s="315"/>
      <c r="S353" s="315"/>
      <c r="T353" s="315"/>
      <c r="U353" s="315" t="s">
        <v>683</v>
      </c>
      <c r="V353" s="317"/>
    </row>
    <row r="354" ht="15.75" customHeight="1">
      <c r="A354" s="315"/>
      <c r="B354" s="315"/>
      <c r="C354" s="315"/>
      <c r="D354" s="315"/>
      <c r="E354" s="315"/>
      <c r="F354" s="315"/>
      <c r="G354" s="315"/>
      <c r="H354" s="315"/>
      <c r="I354" s="315"/>
      <c r="J354" s="315"/>
      <c r="K354" s="315"/>
      <c r="L354" s="315"/>
      <c r="M354" s="317"/>
      <c r="N354" s="315"/>
      <c r="O354" s="317"/>
      <c r="P354" s="315"/>
      <c r="Q354" s="317"/>
      <c r="R354" s="315"/>
      <c r="S354" s="315"/>
      <c r="T354" s="315"/>
      <c r="U354" s="315" t="s">
        <v>684</v>
      </c>
      <c r="V354" s="317"/>
    </row>
    <row r="355" ht="15.75" customHeight="1">
      <c r="A355" s="315"/>
      <c r="B355" s="315"/>
      <c r="C355" s="315"/>
      <c r="D355" s="315"/>
      <c r="E355" s="315"/>
      <c r="F355" s="315"/>
      <c r="G355" s="315"/>
      <c r="H355" s="315"/>
      <c r="I355" s="315"/>
      <c r="J355" s="315"/>
      <c r="K355" s="315"/>
      <c r="L355" s="315"/>
      <c r="M355" s="317"/>
      <c r="N355" s="315"/>
      <c r="O355" s="317"/>
      <c r="P355" s="315"/>
      <c r="Q355" s="317"/>
      <c r="R355" s="315"/>
      <c r="S355" s="315"/>
      <c r="T355" s="315"/>
      <c r="U355" s="315" t="s">
        <v>685</v>
      </c>
      <c r="V355" s="317"/>
    </row>
    <row r="356" ht="15.75" customHeight="1">
      <c r="A356" s="315"/>
      <c r="B356" s="315"/>
      <c r="C356" s="315"/>
      <c r="D356" s="315"/>
      <c r="E356" s="315"/>
      <c r="F356" s="315"/>
      <c r="G356" s="315"/>
      <c r="H356" s="315"/>
      <c r="I356" s="315"/>
      <c r="J356" s="315"/>
      <c r="K356" s="315"/>
      <c r="L356" s="315"/>
      <c r="M356" s="317"/>
      <c r="N356" s="315"/>
      <c r="O356" s="317"/>
      <c r="P356" s="315"/>
      <c r="Q356" s="317"/>
      <c r="R356" s="315"/>
      <c r="S356" s="315"/>
      <c r="T356" s="315"/>
      <c r="U356" s="315" t="s">
        <v>686</v>
      </c>
      <c r="V356" s="317"/>
    </row>
    <row r="357" ht="15.75" customHeight="1">
      <c r="A357" s="315"/>
      <c r="B357" s="315"/>
      <c r="C357" s="315"/>
      <c r="D357" s="315"/>
      <c r="E357" s="315"/>
      <c r="F357" s="315"/>
      <c r="G357" s="315"/>
      <c r="H357" s="315"/>
      <c r="I357" s="315"/>
      <c r="J357" s="315"/>
      <c r="K357" s="315"/>
      <c r="L357" s="315"/>
      <c r="M357" s="317"/>
      <c r="N357" s="315"/>
      <c r="O357" s="317"/>
      <c r="P357" s="315"/>
      <c r="Q357" s="317"/>
      <c r="R357" s="315"/>
      <c r="S357" s="315"/>
      <c r="T357" s="315"/>
      <c r="U357" s="315" t="s">
        <v>687</v>
      </c>
      <c r="V357" s="317"/>
    </row>
    <row r="358" ht="15.75" customHeight="1">
      <c r="A358" s="315"/>
      <c r="B358" s="315"/>
      <c r="C358" s="315"/>
      <c r="D358" s="315"/>
      <c r="E358" s="315"/>
      <c r="F358" s="315"/>
      <c r="G358" s="315"/>
      <c r="H358" s="315"/>
      <c r="I358" s="315"/>
      <c r="J358" s="315"/>
      <c r="K358" s="315"/>
      <c r="L358" s="315"/>
      <c r="M358" s="317"/>
      <c r="N358" s="315"/>
      <c r="O358" s="317"/>
      <c r="P358" s="315"/>
      <c r="Q358" s="317"/>
      <c r="R358" s="315"/>
      <c r="S358" s="315"/>
      <c r="T358" s="315"/>
      <c r="U358" s="315" t="s">
        <v>688</v>
      </c>
      <c r="V358" s="317"/>
    </row>
    <row r="359" ht="15.75" customHeight="1">
      <c r="A359" s="315"/>
      <c r="B359" s="315"/>
      <c r="C359" s="315"/>
      <c r="D359" s="315"/>
      <c r="E359" s="315"/>
      <c r="F359" s="315"/>
      <c r="G359" s="315"/>
      <c r="H359" s="315"/>
      <c r="I359" s="315"/>
      <c r="J359" s="315"/>
      <c r="K359" s="315"/>
      <c r="L359" s="315"/>
      <c r="M359" s="317"/>
      <c r="N359" s="315"/>
      <c r="O359" s="317"/>
      <c r="P359" s="315"/>
      <c r="Q359" s="317"/>
      <c r="R359" s="315"/>
      <c r="S359" s="315"/>
      <c r="T359" s="315"/>
      <c r="U359" s="315" t="s">
        <v>689</v>
      </c>
      <c r="V359" s="317"/>
    </row>
    <row r="360" ht="15.75" customHeight="1">
      <c r="A360" s="315"/>
      <c r="B360" s="315"/>
      <c r="C360" s="315"/>
      <c r="D360" s="315"/>
      <c r="E360" s="315"/>
      <c r="F360" s="315"/>
      <c r="G360" s="315"/>
      <c r="H360" s="315"/>
      <c r="I360" s="315"/>
      <c r="J360" s="315"/>
      <c r="K360" s="315"/>
      <c r="L360" s="315"/>
      <c r="M360" s="317"/>
      <c r="N360" s="315"/>
      <c r="O360" s="317"/>
      <c r="P360" s="315"/>
      <c r="Q360" s="317"/>
      <c r="R360" s="315"/>
      <c r="S360" s="315"/>
      <c r="T360" s="315"/>
      <c r="U360" s="315" t="s">
        <v>690</v>
      </c>
      <c r="V360" s="317"/>
    </row>
    <row r="361" ht="15.75" customHeight="1">
      <c r="A361" s="315"/>
      <c r="B361" s="315"/>
      <c r="C361" s="315"/>
      <c r="D361" s="315"/>
      <c r="E361" s="315"/>
      <c r="F361" s="315"/>
      <c r="G361" s="315"/>
      <c r="H361" s="315"/>
      <c r="I361" s="315"/>
      <c r="J361" s="315"/>
      <c r="K361" s="315"/>
      <c r="L361" s="315"/>
      <c r="M361" s="317"/>
      <c r="N361" s="315"/>
      <c r="O361" s="317"/>
      <c r="P361" s="315"/>
      <c r="Q361" s="317"/>
      <c r="R361" s="315"/>
      <c r="S361" s="315"/>
      <c r="T361" s="315"/>
      <c r="U361" s="315" t="s">
        <v>691</v>
      </c>
      <c r="V361" s="317"/>
    </row>
    <row r="362" ht="15.75" customHeight="1">
      <c r="A362" s="315"/>
      <c r="B362" s="315"/>
      <c r="C362" s="315"/>
      <c r="D362" s="315"/>
      <c r="E362" s="315"/>
      <c r="F362" s="315"/>
      <c r="G362" s="315"/>
      <c r="H362" s="315"/>
      <c r="I362" s="315"/>
      <c r="J362" s="315"/>
      <c r="K362" s="315"/>
      <c r="L362" s="315"/>
      <c r="M362" s="317"/>
      <c r="N362" s="315"/>
      <c r="O362" s="317"/>
      <c r="P362" s="315"/>
      <c r="Q362" s="317"/>
      <c r="R362" s="315"/>
      <c r="S362" s="315"/>
      <c r="T362" s="315"/>
      <c r="U362" s="315" t="s">
        <v>692</v>
      </c>
      <c r="V362" s="317"/>
    </row>
    <row r="363" ht="15.75" customHeight="1">
      <c r="A363" s="315"/>
      <c r="B363" s="315"/>
      <c r="C363" s="315"/>
      <c r="D363" s="315"/>
      <c r="E363" s="315"/>
      <c r="F363" s="315"/>
      <c r="G363" s="315"/>
      <c r="H363" s="315"/>
      <c r="I363" s="315"/>
      <c r="J363" s="315"/>
      <c r="K363" s="315"/>
      <c r="L363" s="315"/>
      <c r="M363" s="317"/>
      <c r="N363" s="315"/>
      <c r="O363" s="317"/>
      <c r="P363" s="315"/>
      <c r="Q363" s="317"/>
      <c r="R363" s="315"/>
      <c r="S363" s="315"/>
      <c r="T363" s="315"/>
      <c r="U363" s="315" t="s">
        <v>693</v>
      </c>
      <c r="V363" s="317"/>
    </row>
    <row r="364" ht="15.75" customHeight="1">
      <c r="A364" s="315"/>
      <c r="B364" s="315"/>
      <c r="C364" s="315"/>
      <c r="D364" s="315"/>
      <c r="E364" s="315"/>
      <c r="F364" s="315"/>
      <c r="G364" s="315"/>
      <c r="H364" s="315"/>
      <c r="I364" s="315"/>
      <c r="J364" s="315"/>
      <c r="K364" s="315"/>
      <c r="L364" s="315"/>
      <c r="M364" s="317"/>
      <c r="N364" s="315"/>
      <c r="O364" s="317"/>
      <c r="P364" s="315"/>
      <c r="Q364" s="317"/>
      <c r="R364" s="315"/>
      <c r="S364" s="315"/>
      <c r="T364" s="315"/>
      <c r="U364" s="315" t="s">
        <v>694</v>
      </c>
      <c r="V364" s="317"/>
    </row>
    <row r="365" ht="15.75" customHeight="1">
      <c r="A365" s="315"/>
      <c r="B365" s="315"/>
      <c r="C365" s="315"/>
      <c r="D365" s="315"/>
      <c r="E365" s="315"/>
      <c r="F365" s="315"/>
      <c r="G365" s="315"/>
      <c r="H365" s="315"/>
      <c r="I365" s="315"/>
      <c r="J365" s="315"/>
      <c r="K365" s="315"/>
      <c r="L365" s="315"/>
      <c r="M365" s="317"/>
      <c r="N365" s="315"/>
      <c r="O365" s="317"/>
      <c r="P365" s="315"/>
      <c r="Q365" s="317"/>
      <c r="R365" s="315"/>
      <c r="S365" s="315"/>
      <c r="T365" s="315"/>
      <c r="U365" s="315" t="s">
        <v>695</v>
      </c>
      <c r="V365" s="317"/>
    </row>
    <row r="366" ht="15.75" customHeight="1">
      <c r="A366" s="315"/>
      <c r="B366" s="315"/>
      <c r="C366" s="315"/>
      <c r="D366" s="315"/>
      <c r="E366" s="315"/>
      <c r="F366" s="315"/>
      <c r="G366" s="315"/>
      <c r="H366" s="315"/>
      <c r="I366" s="315"/>
      <c r="J366" s="315"/>
      <c r="K366" s="315"/>
      <c r="L366" s="315"/>
      <c r="M366" s="317"/>
      <c r="N366" s="315"/>
      <c r="O366" s="317"/>
      <c r="P366" s="315"/>
      <c r="Q366" s="317"/>
      <c r="R366" s="315"/>
      <c r="S366" s="315"/>
      <c r="T366" s="315"/>
      <c r="U366" s="315" t="s">
        <v>696</v>
      </c>
      <c r="V366" s="317"/>
    </row>
    <row r="367" ht="15.75" customHeight="1">
      <c r="A367" s="315"/>
      <c r="B367" s="315"/>
      <c r="C367" s="315"/>
      <c r="D367" s="315"/>
      <c r="E367" s="315"/>
      <c r="F367" s="315"/>
      <c r="G367" s="315"/>
      <c r="H367" s="315"/>
      <c r="I367" s="315"/>
      <c r="J367" s="315"/>
      <c r="K367" s="315"/>
      <c r="L367" s="315"/>
      <c r="M367" s="317"/>
      <c r="N367" s="315"/>
      <c r="O367" s="317"/>
      <c r="P367" s="315"/>
      <c r="Q367" s="317"/>
      <c r="R367" s="315"/>
      <c r="S367" s="315"/>
      <c r="T367" s="315"/>
      <c r="U367" s="315" t="s">
        <v>697</v>
      </c>
      <c r="V367" s="317"/>
    </row>
    <row r="368" ht="15.75" customHeight="1">
      <c r="A368" s="315"/>
      <c r="B368" s="315"/>
      <c r="C368" s="315"/>
      <c r="D368" s="315"/>
      <c r="E368" s="315"/>
      <c r="F368" s="315"/>
      <c r="G368" s="315"/>
      <c r="H368" s="315"/>
      <c r="I368" s="315"/>
      <c r="J368" s="315"/>
      <c r="K368" s="315"/>
      <c r="L368" s="315"/>
      <c r="M368" s="317"/>
      <c r="N368" s="315"/>
      <c r="O368" s="317"/>
      <c r="P368" s="315"/>
      <c r="Q368" s="317"/>
      <c r="R368" s="315"/>
      <c r="S368" s="315"/>
      <c r="T368" s="315"/>
      <c r="U368" s="315" t="s">
        <v>698</v>
      </c>
      <c r="V368" s="317"/>
    </row>
    <row r="369" ht="15.75" customHeight="1">
      <c r="A369" s="315"/>
      <c r="B369" s="315"/>
      <c r="C369" s="315"/>
      <c r="D369" s="315"/>
      <c r="E369" s="315"/>
      <c r="F369" s="315"/>
      <c r="G369" s="315"/>
      <c r="H369" s="315"/>
      <c r="I369" s="315"/>
      <c r="J369" s="315"/>
      <c r="K369" s="315"/>
      <c r="L369" s="315"/>
      <c r="M369" s="317"/>
      <c r="N369" s="315"/>
      <c r="O369" s="317"/>
      <c r="P369" s="315"/>
      <c r="Q369" s="317"/>
      <c r="R369" s="315"/>
      <c r="S369" s="315"/>
      <c r="T369" s="315"/>
      <c r="U369" s="315" t="s">
        <v>699</v>
      </c>
      <c r="V369" s="317"/>
    </row>
    <row r="370" ht="15.75" customHeight="1">
      <c r="A370" s="315"/>
      <c r="B370" s="315"/>
      <c r="C370" s="315"/>
      <c r="D370" s="315"/>
      <c r="E370" s="315"/>
      <c r="F370" s="315"/>
      <c r="G370" s="315"/>
      <c r="H370" s="315"/>
      <c r="I370" s="315"/>
      <c r="J370" s="315"/>
      <c r="K370" s="315"/>
      <c r="L370" s="315"/>
      <c r="M370" s="317"/>
      <c r="N370" s="315"/>
      <c r="O370" s="317"/>
      <c r="P370" s="315"/>
      <c r="Q370" s="317"/>
      <c r="R370" s="315"/>
      <c r="S370" s="315"/>
      <c r="T370" s="315"/>
      <c r="U370" s="315" t="s">
        <v>700</v>
      </c>
      <c r="V370" s="317"/>
    </row>
    <row r="371" ht="15.75" customHeight="1">
      <c r="A371" s="315"/>
      <c r="B371" s="315"/>
      <c r="C371" s="315"/>
      <c r="D371" s="315"/>
      <c r="E371" s="315"/>
      <c r="F371" s="315"/>
      <c r="G371" s="315"/>
      <c r="H371" s="315"/>
      <c r="I371" s="315"/>
      <c r="J371" s="315"/>
      <c r="K371" s="315"/>
      <c r="L371" s="315"/>
      <c r="M371" s="317"/>
      <c r="N371" s="315"/>
      <c r="O371" s="317"/>
      <c r="P371" s="315"/>
      <c r="Q371" s="317"/>
      <c r="R371" s="315"/>
      <c r="S371" s="315"/>
      <c r="T371" s="315"/>
      <c r="U371" s="315" t="s">
        <v>701</v>
      </c>
      <c r="V371" s="317"/>
    </row>
    <row r="372" ht="15.75" customHeight="1">
      <c r="A372" s="315"/>
      <c r="B372" s="315"/>
      <c r="C372" s="315"/>
      <c r="D372" s="315"/>
      <c r="E372" s="315"/>
      <c r="F372" s="315"/>
      <c r="G372" s="315"/>
      <c r="H372" s="315"/>
      <c r="I372" s="315"/>
      <c r="J372" s="315"/>
      <c r="K372" s="315"/>
      <c r="L372" s="315"/>
      <c r="M372" s="317"/>
      <c r="N372" s="315"/>
      <c r="O372" s="317"/>
      <c r="P372" s="315"/>
      <c r="Q372" s="317"/>
      <c r="R372" s="315"/>
      <c r="S372" s="315"/>
      <c r="T372" s="315"/>
      <c r="U372" s="315" t="s">
        <v>702</v>
      </c>
      <c r="V372" s="317"/>
    </row>
    <row r="373" ht="15.75" customHeight="1">
      <c r="A373" s="315"/>
      <c r="B373" s="315"/>
      <c r="C373" s="315"/>
      <c r="D373" s="315"/>
      <c r="E373" s="315"/>
      <c r="F373" s="315"/>
      <c r="G373" s="315"/>
      <c r="H373" s="315"/>
      <c r="I373" s="315"/>
      <c r="J373" s="315"/>
      <c r="K373" s="315"/>
      <c r="L373" s="315"/>
      <c r="M373" s="317"/>
      <c r="N373" s="315"/>
      <c r="O373" s="317"/>
      <c r="P373" s="315"/>
      <c r="Q373" s="317"/>
      <c r="R373" s="315"/>
      <c r="S373" s="315"/>
      <c r="T373" s="315"/>
      <c r="U373" s="315" t="s">
        <v>703</v>
      </c>
      <c r="V373" s="317"/>
    </row>
    <row r="374" ht="15.75" customHeight="1">
      <c r="A374" s="315"/>
      <c r="B374" s="315"/>
      <c r="C374" s="315"/>
      <c r="D374" s="315"/>
      <c r="E374" s="315"/>
      <c r="F374" s="315"/>
      <c r="G374" s="315"/>
      <c r="H374" s="315"/>
      <c r="I374" s="315"/>
      <c r="J374" s="315"/>
      <c r="K374" s="315"/>
      <c r="L374" s="315"/>
      <c r="M374" s="317"/>
      <c r="N374" s="315"/>
      <c r="O374" s="317"/>
      <c r="P374" s="315"/>
      <c r="Q374" s="317"/>
      <c r="R374" s="315"/>
      <c r="S374" s="315"/>
      <c r="T374" s="315"/>
      <c r="U374" s="315" t="s">
        <v>704</v>
      </c>
      <c r="V374" s="317"/>
    </row>
    <row r="375" ht="15.75" customHeight="1">
      <c r="A375" s="315"/>
      <c r="B375" s="315"/>
      <c r="C375" s="315"/>
      <c r="D375" s="315"/>
      <c r="E375" s="315"/>
      <c r="F375" s="315"/>
      <c r="G375" s="315"/>
      <c r="H375" s="315"/>
      <c r="I375" s="315"/>
      <c r="J375" s="315"/>
      <c r="K375" s="315"/>
      <c r="L375" s="315"/>
      <c r="M375" s="317"/>
      <c r="N375" s="315"/>
      <c r="O375" s="317"/>
      <c r="P375" s="315"/>
      <c r="Q375" s="317"/>
      <c r="R375" s="315"/>
      <c r="S375" s="315"/>
      <c r="T375" s="315"/>
      <c r="U375" s="315" t="s">
        <v>705</v>
      </c>
      <c r="V375" s="317"/>
    </row>
    <row r="376" ht="15.75" customHeight="1">
      <c r="A376" s="315"/>
      <c r="B376" s="315"/>
      <c r="C376" s="315"/>
      <c r="D376" s="315"/>
      <c r="E376" s="315"/>
      <c r="F376" s="315"/>
      <c r="G376" s="315"/>
      <c r="H376" s="315"/>
      <c r="I376" s="315"/>
      <c r="J376" s="315"/>
      <c r="K376" s="315"/>
      <c r="L376" s="315"/>
      <c r="M376" s="317"/>
      <c r="N376" s="315"/>
      <c r="O376" s="317"/>
      <c r="P376" s="315"/>
      <c r="Q376" s="317"/>
      <c r="R376" s="315"/>
      <c r="S376" s="315"/>
      <c r="T376" s="315"/>
      <c r="U376" s="315" t="s">
        <v>706</v>
      </c>
      <c r="V376" s="317"/>
    </row>
    <row r="377" ht="15.75" customHeight="1">
      <c r="A377" s="315"/>
      <c r="B377" s="315"/>
      <c r="C377" s="315"/>
      <c r="D377" s="315"/>
      <c r="E377" s="315"/>
      <c r="F377" s="315"/>
      <c r="G377" s="315"/>
      <c r="H377" s="315"/>
      <c r="I377" s="315"/>
      <c r="J377" s="315"/>
      <c r="K377" s="315"/>
      <c r="L377" s="315"/>
      <c r="M377" s="317"/>
      <c r="N377" s="315"/>
      <c r="O377" s="317"/>
      <c r="P377" s="315"/>
      <c r="Q377" s="317"/>
      <c r="R377" s="315"/>
      <c r="S377" s="315"/>
      <c r="T377" s="315"/>
      <c r="U377" s="315" t="s">
        <v>707</v>
      </c>
      <c r="V377" s="317"/>
    </row>
    <row r="378" ht="15.75" customHeight="1">
      <c r="A378" s="315"/>
      <c r="B378" s="315"/>
      <c r="C378" s="315"/>
      <c r="D378" s="315"/>
      <c r="E378" s="315"/>
      <c r="F378" s="315"/>
      <c r="G378" s="315"/>
      <c r="H378" s="315"/>
      <c r="I378" s="315"/>
      <c r="J378" s="315"/>
      <c r="K378" s="315"/>
      <c r="L378" s="315"/>
      <c r="M378" s="317"/>
      <c r="N378" s="315"/>
      <c r="O378" s="317"/>
      <c r="P378" s="315"/>
      <c r="Q378" s="317"/>
      <c r="R378" s="315"/>
      <c r="S378" s="315"/>
      <c r="T378" s="315"/>
      <c r="U378" s="315" t="s">
        <v>708</v>
      </c>
      <c r="V378" s="317"/>
    </row>
    <row r="379" ht="15.75" customHeight="1">
      <c r="A379" s="315"/>
      <c r="B379" s="315"/>
      <c r="C379" s="315"/>
      <c r="D379" s="315"/>
      <c r="E379" s="315"/>
      <c r="F379" s="315"/>
      <c r="G379" s="315"/>
      <c r="H379" s="315"/>
      <c r="I379" s="315"/>
      <c r="J379" s="315"/>
      <c r="K379" s="315"/>
      <c r="L379" s="315"/>
      <c r="M379" s="317"/>
      <c r="N379" s="315"/>
      <c r="O379" s="317"/>
      <c r="P379" s="315"/>
      <c r="Q379" s="317"/>
      <c r="R379" s="315"/>
      <c r="S379" s="315"/>
      <c r="T379" s="315"/>
      <c r="U379" s="315" t="s">
        <v>709</v>
      </c>
      <c r="V379" s="317"/>
    </row>
    <row r="380" ht="15.75" customHeight="1">
      <c r="A380" s="315"/>
      <c r="B380" s="315"/>
      <c r="C380" s="315"/>
      <c r="D380" s="315"/>
      <c r="E380" s="315"/>
      <c r="F380" s="315"/>
      <c r="G380" s="315"/>
      <c r="H380" s="315"/>
      <c r="I380" s="315"/>
      <c r="J380" s="315"/>
      <c r="K380" s="315"/>
      <c r="L380" s="315"/>
      <c r="M380" s="317"/>
      <c r="N380" s="315"/>
      <c r="O380" s="317"/>
      <c r="P380" s="315"/>
      <c r="Q380" s="317"/>
      <c r="R380" s="315"/>
      <c r="S380" s="315"/>
      <c r="T380" s="315"/>
      <c r="U380" s="315" t="s">
        <v>710</v>
      </c>
      <c r="V380" s="317"/>
    </row>
    <row r="381" ht="15.75" customHeight="1">
      <c r="A381" s="315"/>
      <c r="B381" s="315"/>
      <c r="C381" s="315"/>
      <c r="D381" s="315"/>
      <c r="E381" s="315"/>
      <c r="F381" s="315"/>
      <c r="G381" s="315"/>
      <c r="H381" s="315"/>
      <c r="I381" s="315"/>
      <c r="J381" s="315"/>
      <c r="K381" s="315"/>
      <c r="L381" s="315"/>
      <c r="M381" s="317"/>
      <c r="N381" s="315"/>
      <c r="O381" s="317"/>
      <c r="P381" s="315"/>
      <c r="Q381" s="317"/>
      <c r="R381" s="315"/>
      <c r="S381" s="315"/>
      <c r="T381" s="315"/>
      <c r="U381" s="315" t="s">
        <v>711</v>
      </c>
      <c r="V381" s="317"/>
    </row>
    <row r="382" ht="15.75" customHeight="1">
      <c r="A382" s="315"/>
      <c r="B382" s="315"/>
      <c r="C382" s="315"/>
      <c r="D382" s="315"/>
      <c r="E382" s="315"/>
      <c r="F382" s="315"/>
      <c r="G382" s="315"/>
      <c r="H382" s="315"/>
      <c r="I382" s="315"/>
      <c r="J382" s="315"/>
      <c r="K382" s="315"/>
      <c r="L382" s="315"/>
      <c r="M382" s="317"/>
      <c r="N382" s="315"/>
      <c r="O382" s="317"/>
      <c r="P382" s="315"/>
      <c r="Q382" s="317"/>
      <c r="R382" s="315"/>
      <c r="S382" s="315"/>
      <c r="T382" s="315"/>
      <c r="U382" s="315" t="s">
        <v>712</v>
      </c>
      <c r="V382" s="317"/>
    </row>
    <row r="383" ht="15.75" customHeight="1">
      <c r="A383" s="315"/>
      <c r="B383" s="315"/>
      <c r="C383" s="315"/>
      <c r="D383" s="315"/>
      <c r="E383" s="315"/>
      <c r="F383" s="315"/>
      <c r="G383" s="315"/>
      <c r="H383" s="315"/>
      <c r="I383" s="315"/>
      <c r="J383" s="315"/>
      <c r="K383" s="315"/>
      <c r="L383" s="315"/>
      <c r="M383" s="317"/>
      <c r="N383" s="315"/>
      <c r="O383" s="317"/>
      <c r="P383" s="315"/>
      <c r="Q383" s="317"/>
      <c r="R383" s="315"/>
      <c r="S383" s="315"/>
      <c r="T383" s="315"/>
      <c r="U383" s="315" t="s">
        <v>713</v>
      </c>
      <c r="V383" s="317"/>
    </row>
    <row r="384" ht="15.75" customHeight="1">
      <c r="A384" s="315"/>
      <c r="B384" s="315"/>
      <c r="C384" s="315"/>
      <c r="D384" s="315"/>
      <c r="E384" s="315"/>
      <c r="F384" s="315"/>
      <c r="G384" s="315"/>
      <c r="H384" s="315"/>
      <c r="I384" s="315"/>
      <c r="J384" s="315"/>
      <c r="K384" s="315"/>
      <c r="L384" s="315"/>
      <c r="M384" s="317"/>
      <c r="N384" s="315"/>
      <c r="O384" s="317"/>
      <c r="P384" s="315"/>
      <c r="Q384" s="317"/>
      <c r="R384" s="315"/>
      <c r="S384" s="315"/>
      <c r="T384" s="315"/>
      <c r="U384" s="315" t="s">
        <v>714</v>
      </c>
      <c r="V384" s="317"/>
    </row>
    <row r="385" ht="15.75" customHeight="1">
      <c r="A385" s="315"/>
      <c r="B385" s="315"/>
      <c r="C385" s="315"/>
      <c r="D385" s="315"/>
      <c r="E385" s="315"/>
      <c r="F385" s="315"/>
      <c r="G385" s="315"/>
      <c r="H385" s="315"/>
      <c r="I385" s="315"/>
      <c r="J385" s="315"/>
      <c r="K385" s="315"/>
      <c r="L385" s="315"/>
      <c r="M385" s="317"/>
      <c r="N385" s="315"/>
      <c r="O385" s="317"/>
      <c r="P385" s="315"/>
      <c r="Q385" s="317"/>
      <c r="R385" s="315"/>
      <c r="S385" s="315"/>
      <c r="T385" s="315"/>
      <c r="U385" s="315" t="s">
        <v>715</v>
      </c>
      <c r="V385" s="317"/>
    </row>
    <row r="386" ht="15.75" customHeight="1">
      <c r="A386" s="315"/>
      <c r="B386" s="315"/>
      <c r="C386" s="315"/>
      <c r="D386" s="315"/>
      <c r="E386" s="315"/>
      <c r="F386" s="315"/>
      <c r="G386" s="315"/>
      <c r="H386" s="315"/>
      <c r="I386" s="315"/>
      <c r="J386" s="315"/>
      <c r="K386" s="315"/>
      <c r="L386" s="315"/>
      <c r="M386" s="317"/>
      <c r="N386" s="315"/>
      <c r="O386" s="317"/>
      <c r="P386" s="315"/>
      <c r="Q386" s="317"/>
      <c r="R386" s="315"/>
      <c r="S386" s="315"/>
      <c r="T386" s="315"/>
      <c r="U386" s="315" t="s">
        <v>716</v>
      </c>
      <c r="V386" s="317"/>
    </row>
    <row r="387" ht="15.75" customHeight="1">
      <c r="A387" s="315"/>
      <c r="B387" s="315"/>
      <c r="C387" s="315"/>
      <c r="D387" s="315"/>
      <c r="E387" s="315"/>
      <c r="F387" s="315"/>
      <c r="G387" s="315"/>
      <c r="H387" s="315"/>
      <c r="I387" s="315"/>
      <c r="J387" s="315"/>
      <c r="K387" s="315"/>
      <c r="L387" s="315"/>
      <c r="M387" s="317"/>
      <c r="N387" s="315"/>
      <c r="O387" s="317"/>
      <c r="P387" s="315"/>
      <c r="Q387" s="317"/>
      <c r="R387" s="315"/>
      <c r="S387" s="315"/>
      <c r="T387" s="315"/>
      <c r="U387" s="315" t="s">
        <v>717</v>
      </c>
      <c r="V387" s="317"/>
    </row>
    <row r="388" ht="15.75" customHeight="1">
      <c r="A388" s="315"/>
      <c r="B388" s="315"/>
      <c r="C388" s="315"/>
      <c r="D388" s="315"/>
      <c r="E388" s="315"/>
      <c r="F388" s="315"/>
      <c r="G388" s="315"/>
      <c r="H388" s="315"/>
      <c r="I388" s="315"/>
      <c r="J388" s="315"/>
      <c r="K388" s="315"/>
      <c r="L388" s="315"/>
      <c r="M388" s="317"/>
      <c r="N388" s="315"/>
      <c r="O388" s="317"/>
      <c r="P388" s="315"/>
      <c r="Q388" s="317"/>
      <c r="R388" s="315"/>
      <c r="S388" s="315"/>
      <c r="T388" s="315"/>
      <c r="U388" s="315" t="s">
        <v>718</v>
      </c>
      <c r="V388" s="317"/>
    </row>
    <row r="389" ht="15.75" customHeight="1">
      <c r="A389" s="315"/>
      <c r="B389" s="315"/>
      <c r="C389" s="315"/>
      <c r="D389" s="315"/>
      <c r="E389" s="315"/>
      <c r="F389" s="315"/>
      <c r="G389" s="315"/>
      <c r="H389" s="315"/>
      <c r="I389" s="315"/>
      <c r="J389" s="315"/>
      <c r="K389" s="315"/>
      <c r="L389" s="315"/>
      <c r="M389" s="317"/>
      <c r="N389" s="315"/>
      <c r="O389" s="317"/>
      <c r="P389" s="315"/>
      <c r="Q389" s="317"/>
      <c r="R389" s="315"/>
      <c r="S389" s="315"/>
      <c r="T389" s="315"/>
      <c r="U389" s="315" t="s">
        <v>719</v>
      </c>
      <c r="V389" s="317"/>
    </row>
    <row r="390" ht="15.75" customHeight="1">
      <c r="A390" s="315"/>
      <c r="B390" s="315"/>
      <c r="C390" s="315"/>
      <c r="D390" s="315"/>
      <c r="E390" s="315"/>
      <c r="F390" s="315"/>
      <c r="G390" s="315"/>
      <c r="H390" s="315"/>
      <c r="I390" s="315"/>
      <c r="J390" s="315"/>
      <c r="K390" s="315"/>
      <c r="L390" s="315"/>
      <c r="M390" s="317"/>
      <c r="N390" s="315"/>
      <c r="O390" s="317"/>
      <c r="P390" s="315"/>
      <c r="Q390" s="317"/>
      <c r="R390" s="315"/>
      <c r="S390" s="315"/>
      <c r="T390" s="315"/>
      <c r="U390" s="315" t="s">
        <v>720</v>
      </c>
      <c r="V390" s="317"/>
    </row>
    <row r="391" ht="15.75" customHeight="1">
      <c r="A391" s="315"/>
      <c r="B391" s="315"/>
      <c r="C391" s="315"/>
      <c r="D391" s="315"/>
      <c r="E391" s="315"/>
      <c r="F391" s="315"/>
      <c r="G391" s="315"/>
      <c r="H391" s="315"/>
      <c r="I391" s="315"/>
      <c r="J391" s="315"/>
      <c r="K391" s="315"/>
      <c r="L391" s="315"/>
      <c r="M391" s="317"/>
      <c r="N391" s="315"/>
      <c r="O391" s="317"/>
      <c r="P391" s="315"/>
      <c r="Q391" s="317"/>
      <c r="R391" s="315"/>
      <c r="S391" s="315"/>
      <c r="T391" s="315"/>
      <c r="U391" s="315" t="s">
        <v>721</v>
      </c>
      <c r="V391" s="317"/>
    </row>
    <row r="392" ht="15.75" customHeight="1">
      <c r="A392" s="315"/>
      <c r="B392" s="315"/>
      <c r="C392" s="315"/>
      <c r="D392" s="315"/>
      <c r="E392" s="315"/>
      <c r="F392" s="315"/>
      <c r="G392" s="315"/>
      <c r="H392" s="315"/>
      <c r="I392" s="315"/>
      <c r="J392" s="315"/>
      <c r="K392" s="315"/>
      <c r="L392" s="315"/>
      <c r="M392" s="317"/>
      <c r="N392" s="315"/>
      <c r="O392" s="317"/>
      <c r="P392" s="315"/>
      <c r="Q392" s="317"/>
      <c r="R392" s="315"/>
      <c r="S392" s="315"/>
      <c r="T392" s="315"/>
      <c r="U392" s="315" t="s">
        <v>722</v>
      </c>
      <c r="V392" s="317"/>
    </row>
    <row r="393" ht="15.75" customHeight="1">
      <c r="A393" s="315"/>
      <c r="B393" s="315"/>
      <c r="C393" s="315"/>
      <c r="D393" s="315"/>
      <c r="E393" s="315"/>
      <c r="F393" s="315"/>
      <c r="G393" s="315"/>
      <c r="H393" s="315"/>
      <c r="I393" s="315"/>
      <c r="J393" s="315"/>
      <c r="K393" s="315"/>
      <c r="L393" s="315"/>
      <c r="M393" s="317"/>
      <c r="N393" s="315"/>
      <c r="O393" s="317"/>
      <c r="P393" s="315"/>
      <c r="Q393" s="317"/>
      <c r="R393" s="315"/>
      <c r="S393" s="315"/>
      <c r="T393" s="315"/>
      <c r="U393" s="315" t="s">
        <v>723</v>
      </c>
      <c r="V393" s="317"/>
    </row>
    <row r="394" ht="15.75" customHeight="1">
      <c r="A394" s="315"/>
      <c r="B394" s="315"/>
      <c r="C394" s="315"/>
      <c r="D394" s="315"/>
      <c r="E394" s="315"/>
      <c r="F394" s="315"/>
      <c r="G394" s="315"/>
      <c r="H394" s="315"/>
      <c r="I394" s="315"/>
      <c r="J394" s="315"/>
      <c r="K394" s="315"/>
      <c r="L394" s="315"/>
      <c r="M394" s="317"/>
      <c r="N394" s="315"/>
      <c r="O394" s="317"/>
      <c r="P394" s="315"/>
      <c r="Q394" s="317"/>
      <c r="R394" s="315"/>
      <c r="S394" s="315"/>
      <c r="T394" s="315"/>
      <c r="U394" s="315" t="s">
        <v>724</v>
      </c>
      <c r="V394" s="317"/>
    </row>
    <row r="395" ht="15.75" customHeight="1">
      <c r="A395" s="315"/>
      <c r="B395" s="315"/>
      <c r="C395" s="315"/>
      <c r="D395" s="315"/>
      <c r="E395" s="315"/>
      <c r="F395" s="315"/>
      <c r="G395" s="315"/>
      <c r="H395" s="315"/>
      <c r="I395" s="315"/>
      <c r="J395" s="315"/>
      <c r="K395" s="315"/>
      <c r="L395" s="315"/>
      <c r="M395" s="317"/>
      <c r="N395" s="315"/>
      <c r="O395" s="317"/>
      <c r="P395" s="315"/>
      <c r="Q395" s="317"/>
      <c r="R395" s="315"/>
      <c r="S395" s="315"/>
      <c r="T395" s="315"/>
      <c r="U395" s="315" t="s">
        <v>725</v>
      </c>
      <c r="V395" s="317"/>
    </row>
    <row r="396" ht="15.75" customHeight="1">
      <c r="A396" s="315"/>
      <c r="B396" s="315"/>
      <c r="C396" s="315"/>
      <c r="D396" s="315"/>
      <c r="E396" s="315"/>
      <c r="F396" s="315"/>
      <c r="G396" s="315"/>
      <c r="H396" s="315"/>
      <c r="I396" s="315"/>
      <c r="J396" s="315"/>
      <c r="K396" s="315"/>
      <c r="L396" s="315"/>
      <c r="M396" s="317"/>
      <c r="N396" s="315"/>
      <c r="O396" s="317"/>
      <c r="P396" s="315"/>
      <c r="Q396" s="317"/>
      <c r="R396" s="315"/>
      <c r="S396" s="315"/>
      <c r="T396" s="315"/>
      <c r="U396" s="315" t="s">
        <v>726</v>
      </c>
      <c r="V396" s="317"/>
    </row>
    <row r="397" ht="15.75" customHeight="1">
      <c r="A397" s="315"/>
      <c r="B397" s="315"/>
      <c r="C397" s="315"/>
      <c r="D397" s="315"/>
      <c r="E397" s="315"/>
      <c r="F397" s="315"/>
      <c r="G397" s="315"/>
      <c r="H397" s="315"/>
      <c r="I397" s="315"/>
      <c r="J397" s="315"/>
      <c r="K397" s="315"/>
      <c r="L397" s="315"/>
      <c r="M397" s="317"/>
      <c r="N397" s="315"/>
      <c r="O397" s="317"/>
      <c r="P397" s="315"/>
      <c r="Q397" s="317"/>
      <c r="R397" s="315"/>
      <c r="S397" s="315"/>
      <c r="T397" s="315"/>
      <c r="U397" s="315" t="s">
        <v>727</v>
      </c>
      <c r="V397" s="317"/>
    </row>
    <row r="398" ht="15.75" customHeight="1">
      <c r="A398" s="315"/>
      <c r="B398" s="315"/>
      <c r="C398" s="315"/>
      <c r="D398" s="315"/>
      <c r="E398" s="315"/>
      <c r="F398" s="315"/>
      <c r="G398" s="315"/>
      <c r="H398" s="315"/>
      <c r="I398" s="315"/>
      <c r="J398" s="315"/>
      <c r="K398" s="315"/>
      <c r="L398" s="315"/>
      <c r="M398" s="317"/>
      <c r="N398" s="315"/>
      <c r="O398" s="317"/>
      <c r="P398" s="315"/>
      <c r="Q398" s="317"/>
      <c r="R398" s="315"/>
      <c r="S398" s="315"/>
      <c r="T398" s="315"/>
      <c r="U398" s="315" t="s">
        <v>728</v>
      </c>
      <c r="V398" s="317"/>
    </row>
    <row r="399" ht="15.75" customHeight="1">
      <c r="A399" s="315"/>
      <c r="B399" s="315"/>
      <c r="C399" s="315"/>
      <c r="D399" s="315"/>
      <c r="E399" s="315"/>
      <c r="F399" s="315"/>
      <c r="G399" s="315"/>
      <c r="H399" s="315"/>
      <c r="I399" s="315"/>
      <c r="J399" s="315"/>
      <c r="K399" s="315"/>
      <c r="L399" s="315"/>
      <c r="M399" s="317"/>
      <c r="N399" s="315"/>
      <c r="O399" s="317"/>
      <c r="P399" s="315"/>
      <c r="Q399" s="317"/>
      <c r="R399" s="315"/>
      <c r="S399" s="315"/>
      <c r="T399" s="315"/>
      <c r="U399" s="315" t="s">
        <v>729</v>
      </c>
      <c r="V399" s="317"/>
    </row>
    <row r="400" ht="15.75" customHeight="1">
      <c r="A400" s="315"/>
      <c r="B400" s="315"/>
      <c r="C400" s="315"/>
      <c r="D400" s="315"/>
      <c r="E400" s="315"/>
      <c r="F400" s="315"/>
      <c r="G400" s="315"/>
      <c r="H400" s="315"/>
      <c r="I400" s="315"/>
      <c r="J400" s="315"/>
      <c r="K400" s="315"/>
      <c r="L400" s="315"/>
      <c r="M400" s="317"/>
      <c r="N400" s="315"/>
      <c r="O400" s="317"/>
      <c r="P400" s="315"/>
      <c r="Q400" s="317"/>
      <c r="R400" s="315"/>
      <c r="S400" s="315"/>
      <c r="T400" s="315"/>
      <c r="U400" s="315" t="s">
        <v>730</v>
      </c>
      <c r="V400" s="317"/>
    </row>
    <row r="401" ht="15.75" customHeight="1">
      <c r="A401" s="315"/>
      <c r="B401" s="315"/>
      <c r="C401" s="315"/>
      <c r="D401" s="315"/>
      <c r="E401" s="315"/>
      <c r="F401" s="315"/>
      <c r="G401" s="315"/>
      <c r="H401" s="315"/>
      <c r="I401" s="315"/>
      <c r="J401" s="315"/>
      <c r="K401" s="315"/>
      <c r="L401" s="315"/>
      <c r="M401" s="317"/>
      <c r="N401" s="315"/>
      <c r="O401" s="317"/>
      <c r="P401" s="315"/>
      <c r="Q401" s="317"/>
      <c r="R401" s="315"/>
      <c r="S401" s="315"/>
      <c r="T401" s="315"/>
      <c r="U401" s="315" t="s">
        <v>731</v>
      </c>
      <c r="V401" s="317"/>
    </row>
    <row r="402" ht="15.75" customHeight="1">
      <c r="A402" s="315"/>
      <c r="B402" s="315"/>
      <c r="C402" s="315"/>
      <c r="D402" s="315"/>
      <c r="E402" s="315"/>
      <c r="F402" s="315"/>
      <c r="G402" s="315"/>
      <c r="H402" s="315"/>
      <c r="I402" s="315"/>
      <c r="J402" s="315"/>
      <c r="K402" s="315"/>
      <c r="L402" s="315"/>
      <c r="M402" s="317"/>
      <c r="N402" s="315"/>
      <c r="O402" s="317"/>
      <c r="P402" s="315"/>
      <c r="Q402" s="317"/>
      <c r="R402" s="315"/>
      <c r="S402" s="315"/>
      <c r="T402" s="315"/>
      <c r="U402" s="315" t="s">
        <v>732</v>
      </c>
      <c r="V402" s="317"/>
    </row>
    <row r="403" ht="15.75" customHeight="1">
      <c r="A403" s="315"/>
      <c r="B403" s="315"/>
      <c r="C403" s="315"/>
      <c r="D403" s="315"/>
      <c r="E403" s="315"/>
      <c r="F403" s="315"/>
      <c r="G403" s="315"/>
      <c r="H403" s="315"/>
      <c r="I403" s="315"/>
      <c r="J403" s="315"/>
      <c r="K403" s="315"/>
      <c r="L403" s="315"/>
      <c r="M403" s="317"/>
      <c r="N403" s="315"/>
      <c r="O403" s="317"/>
      <c r="P403" s="315"/>
      <c r="Q403" s="317"/>
      <c r="R403" s="315"/>
      <c r="S403" s="315"/>
      <c r="T403" s="315"/>
      <c r="U403" s="315" t="s">
        <v>733</v>
      </c>
      <c r="V403" s="317"/>
    </row>
    <row r="404" ht="15.75" customHeight="1">
      <c r="A404" s="315"/>
      <c r="B404" s="315"/>
      <c r="C404" s="315"/>
      <c r="D404" s="315"/>
      <c r="E404" s="315"/>
      <c r="F404" s="315"/>
      <c r="G404" s="315"/>
      <c r="H404" s="315"/>
      <c r="I404" s="315"/>
      <c r="J404" s="315"/>
      <c r="K404" s="315"/>
      <c r="L404" s="315"/>
      <c r="M404" s="317"/>
      <c r="N404" s="315"/>
      <c r="O404" s="317"/>
      <c r="P404" s="315"/>
      <c r="Q404" s="317"/>
      <c r="R404" s="315"/>
      <c r="S404" s="315"/>
      <c r="T404" s="315"/>
      <c r="U404" s="315" t="s">
        <v>734</v>
      </c>
      <c r="V404" s="317"/>
    </row>
    <row r="405" ht="15.75" customHeight="1">
      <c r="A405" s="315"/>
      <c r="B405" s="315"/>
      <c r="C405" s="315"/>
      <c r="D405" s="315"/>
      <c r="E405" s="315"/>
      <c r="F405" s="315"/>
      <c r="G405" s="315"/>
      <c r="H405" s="315"/>
      <c r="I405" s="315"/>
      <c r="J405" s="315"/>
      <c r="K405" s="315"/>
      <c r="L405" s="315"/>
      <c r="M405" s="317"/>
      <c r="N405" s="315"/>
      <c r="O405" s="317"/>
      <c r="P405" s="315"/>
      <c r="Q405" s="317"/>
      <c r="R405" s="315"/>
      <c r="S405" s="315"/>
      <c r="T405" s="315"/>
      <c r="U405" s="315" t="s">
        <v>735</v>
      </c>
      <c r="V405" s="317"/>
    </row>
    <row r="406" ht="15.75" customHeight="1">
      <c r="A406" s="315"/>
      <c r="B406" s="315"/>
      <c r="C406" s="315"/>
      <c r="D406" s="315"/>
      <c r="E406" s="315"/>
      <c r="F406" s="315"/>
      <c r="G406" s="315"/>
      <c r="H406" s="315"/>
      <c r="I406" s="315"/>
      <c r="J406" s="315"/>
      <c r="K406" s="315"/>
      <c r="L406" s="315"/>
      <c r="M406" s="317"/>
      <c r="N406" s="315"/>
      <c r="O406" s="317"/>
      <c r="P406" s="315"/>
      <c r="Q406" s="317"/>
      <c r="R406" s="315"/>
      <c r="S406" s="315"/>
      <c r="T406" s="315"/>
      <c r="U406" s="315" t="s">
        <v>736</v>
      </c>
      <c r="V406" s="317"/>
    </row>
    <row r="407" ht="15.75" customHeight="1">
      <c r="A407" s="315"/>
      <c r="B407" s="315"/>
      <c r="C407" s="315"/>
      <c r="D407" s="315"/>
      <c r="E407" s="315"/>
      <c r="F407" s="315"/>
      <c r="G407" s="315"/>
      <c r="H407" s="315"/>
      <c r="I407" s="315"/>
      <c r="J407" s="315"/>
      <c r="K407" s="315"/>
      <c r="L407" s="315"/>
      <c r="M407" s="317"/>
      <c r="N407" s="315"/>
      <c r="O407" s="317"/>
      <c r="P407" s="315"/>
      <c r="Q407" s="317"/>
      <c r="R407" s="315"/>
      <c r="S407" s="315"/>
      <c r="T407" s="315"/>
      <c r="U407" s="315" t="s">
        <v>737</v>
      </c>
      <c r="V407" s="317"/>
    </row>
    <row r="408" ht="15.75" customHeight="1">
      <c r="A408" s="315"/>
      <c r="B408" s="315"/>
      <c r="C408" s="315"/>
      <c r="D408" s="315"/>
      <c r="E408" s="315"/>
      <c r="F408" s="315"/>
      <c r="G408" s="315"/>
      <c r="H408" s="315"/>
      <c r="I408" s="315"/>
      <c r="J408" s="315"/>
      <c r="K408" s="315"/>
      <c r="L408" s="315"/>
      <c r="M408" s="317"/>
      <c r="N408" s="315"/>
      <c r="O408" s="317"/>
      <c r="P408" s="315"/>
      <c r="Q408" s="317"/>
      <c r="R408" s="315"/>
      <c r="S408" s="315"/>
      <c r="T408" s="315"/>
      <c r="U408" s="315" t="s">
        <v>738</v>
      </c>
      <c r="V408" s="317"/>
    </row>
    <row r="409" ht="15.75" customHeight="1">
      <c r="A409" s="315"/>
      <c r="B409" s="315"/>
      <c r="C409" s="315"/>
      <c r="D409" s="315"/>
      <c r="E409" s="315"/>
      <c r="F409" s="315"/>
      <c r="G409" s="315"/>
      <c r="H409" s="315"/>
      <c r="I409" s="315"/>
      <c r="J409" s="315"/>
      <c r="K409" s="315"/>
      <c r="L409" s="315"/>
      <c r="M409" s="317"/>
      <c r="N409" s="315"/>
      <c r="O409" s="317"/>
      <c r="P409" s="315"/>
      <c r="Q409" s="317"/>
      <c r="R409" s="315"/>
      <c r="S409" s="315"/>
      <c r="T409" s="315"/>
      <c r="U409" s="315" t="s">
        <v>739</v>
      </c>
      <c r="V409" s="317"/>
    </row>
    <row r="410" ht="15.75" customHeight="1">
      <c r="A410" s="315"/>
      <c r="B410" s="315"/>
      <c r="C410" s="315"/>
      <c r="D410" s="315"/>
      <c r="E410" s="315"/>
      <c r="F410" s="315"/>
      <c r="G410" s="315"/>
      <c r="H410" s="315"/>
      <c r="I410" s="315"/>
      <c r="J410" s="315"/>
      <c r="K410" s="315"/>
      <c r="L410" s="315"/>
      <c r="M410" s="317"/>
      <c r="N410" s="315"/>
      <c r="O410" s="317"/>
      <c r="P410" s="315"/>
      <c r="Q410" s="317"/>
      <c r="R410" s="315"/>
      <c r="S410" s="315"/>
      <c r="T410" s="315"/>
      <c r="U410" s="315" t="s">
        <v>740</v>
      </c>
      <c r="V410" s="317"/>
    </row>
    <row r="411" ht="15.75" customHeight="1">
      <c r="A411" s="315"/>
      <c r="B411" s="315"/>
      <c r="C411" s="315"/>
      <c r="D411" s="315"/>
      <c r="E411" s="315"/>
      <c r="F411" s="315"/>
      <c r="G411" s="315"/>
      <c r="H411" s="315"/>
      <c r="I411" s="315"/>
      <c r="J411" s="315"/>
      <c r="K411" s="315"/>
      <c r="L411" s="315"/>
      <c r="M411" s="317"/>
      <c r="N411" s="315"/>
      <c r="O411" s="317"/>
      <c r="P411" s="315"/>
      <c r="Q411" s="317"/>
      <c r="R411" s="315"/>
      <c r="S411" s="315"/>
      <c r="T411" s="315"/>
      <c r="U411" s="315" t="s">
        <v>741</v>
      </c>
      <c r="V411" s="317"/>
    </row>
    <row r="412" ht="15.75" customHeight="1">
      <c r="A412" s="315"/>
      <c r="B412" s="315"/>
      <c r="C412" s="315"/>
      <c r="D412" s="315"/>
      <c r="E412" s="315"/>
      <c r="F412" s="315"/>
      <c r="G412" s="315"/>
      <c r="H412" s="315"/>
      <c r="I412" s="315"/>
      <c r="J412" s="315"/>
      <c r="K412" s="315"/>
      <c r="L412" s="315"/>
      <c r="M412" s="317"/>
      <c r="N412" s="315"/>
      <c r="O412" s="317"/>
      <c r="P412" s="315"/>
      <c r="Q412" s="317"/>
      <c r="R412" s="315"/>
      <c r="S412" s="315"/>
      <c r="T412" s="315"/>
      <c r="U412" s="315" t="s">
        <v>742</v>
      </c>
      <c r="V412" s="317"/>
    </row>
    <row r="413" ht="15.75" customHeight="1">
      <c r="A413" s="315"/>
      <c r="B413" s="315"/>
      <c r="C413" s="315"/>
      <c r="D413" s="315"/>
      <c r="E413" s="315"/>
      <c r="F413" s="315"/>
      <c r="G413" s="315"/>
      <c r="H413" s="315"/>
      <c r="I413" s="315"/>
      <c r="J413" s="315"/>
      <c r="K413" s="315"/>
      <c r="L413" s="315"/>
      <c r="M413" s="317"/>
      <c r="N413" s="315"/>
      <c r="O413" s="317"/>
      <c r="P413" s="315"/>
      <c r="Q413" s="317"/>
      <c r="R413" s="315"/>
      <c r="S413" s="315"/>
      <c r="T413" s="315"/>
      <c r="U413" s="315" t="s">
        <v>743</v>
      </c>
      <c r="V413" s="317"/>
    </row>
    <row r="414" ht="15.75" customHeight="1">
      <c r="A414" s="315"/>
      <c r="B414" s="315"/>
      <c r="C414" s="315"/>
      <c r="D414" s="315"/>
      <c r="E414" s="315"/>
      <c r="F414" s="315"/>
      <c r="G414" s="315"/>
      <c r="H414" s="315"/>
      <c r="I414" s="315"/>
      <c r="J414" s="315"/>
      <c r="K414" s="315"/>
      <c r="L414" s="315"/>
      <c r="M414" s="317"/>
      <c r="N414" s="315"/>
      <c r="O414" s="317"/>
      <c r="P414" s="315"/>
      <c r="Q414" s="317"/>
      <c r="R414" s="315"/>
      <c r="S414" s="315"/>
      <c r="T414" s="315"/>
      <c r="U414" s="315" t="s">
        <v>744</v>
      </c>
      <c r="V414" s="317"/>
    </row>
    <row r="415" ht="15.75" customHeight="1">
      <c r="A415" s="315"/>
      <c r="B415" s="315"/>
      <c r="C415" s="315"/>
      <c r="D415" s="315"/>
      <c r="E415" s="315"/>
      <c r="F415" s="315"/>
      <c r="G415" s="315"/>
      <c r="H415" s="315"/>
      <c r="I415" s="315"/>
      <c r="J415" s="315"/>
      <c r="K415" s="315"/>
      <c r="L415" s="315"/>
      <c r="M415" s="317"/>
      <c r="N415" s="315"/>
      <c r="O415" s="317"/>
      <c r="P415" s="315"/>
      <c r="Q415" s="317"/>
      <c r="R415" s="315"/>
      <c r="S415" s="315"/>
      <c r="T415" s="315"/>
      <c r="U415" s="315" t="s">
        <v>745</v>
      </c>
      <c r="V415" s="317"/>
    </row>
    <row r="416" ht="15.75" customHeight="1">
      <c r="A416" s="315"/>
      <c r="B416" s="315"/>
      <c r="C416" s="315"/>
      <c r="D416" s="315"/>
      <c r="E416" s="315"/>
      <c r="F416" s="315"/>
      <c r="G416" s="315"/>
      <c r="H416" s="315"/>
      <c r="I416" s="315"/>
      <c r="J416" s="315"/>
      <c r="K416" s="315"/>
      <c r="L416" s="315"/>
      <c r="M416" s="317"/>
      <c r="N416" s="315"/>
      <c r="O416" s="317"/>
      <c r="P416" s="315"/>
      <c r="Q416" s="317"/>
      <c r="R416" s="315"/>
      <c r="S416" s="315"/>
      <c r="T416" s="315"/>
      <c r="U416" s="315" t="s">
        <v>746</v>
      </c>
      <c r="V416" s="317"/>
    </row>
    <row r="417" ht="15.75" customHeight="1">
      <c r="A417" s="315"/>
      <c r="B417" s="315"/>
      <c r="C417" s="315"/>
      <c r="D417" s="315"/>
      <c r="E417" s="315"/>
      <c r="F417" s="315"/>
      <c r="G417" s="315"/>
      <c r="H417" s="315"/>
      <c r="I417" s="315"/>
      <c r="J417" s="315"/>
      <c r="K417" s="315"/>
      <c r="L417" s="315"/>
      <c r="M417" s="317"/>
      <c r="N417" s="315"/>
      <c r="O417" s="317"/>
      <c r="P417" s="315"/>
      <c r="Q417" s="317"/>
      <c r="R417" s="315"/>
      <c r="S417" s="315"/>
      <c r="T417" s="315"/>
      <c r="U417" s="315" t="s">
        <v>747</v>
      </c>
      <c r="V417" s="317"/>
    </row>
    <row r="418" ht="15.75" customHeight="1">
      <c r="A418" s="315"/>
      <c r="B418" s="315"/>
      <c r="C418" s="315"/>
      <c r="D418" s="315"/>
      <c r="E418" s="315"/>
      <c r="F418" s="315"/>
      <c r="G418" s="315"/>
      <c r="H418" s="315"/>
      <c r="I418" s="315"/>
      <c r="J418" s="315"/>
      <c r="K418" s="315"/>
      <c r="L418" s="315"/>
      <c r="M418" s="317"/>
      <c r="N418" s="315"/>
      <c r="O418" s="317"/>
      <c r="P418" s="315"/>
      <c r="Q418" s="317"/>
      <c r="R418" s="315"/>
      <c r="S418" s="315"/>
      <c r="T418" s="315"/>
      <c r="U418" s="315" t="s">
        <v>748</v>
      </c>
      <c r="V418" s="317"/>
    </row>
    <row r="419" ht="15.75" customHeight="1">
      <c r="A419" s="315"/>
      <c r="B419" s="315"/>
      <c r="C419" s="315"/>
      <c r="D419" s="315"/>
      <c r="E419" s="315"/>
      <c r="F419" s="315"/>
      <c r="G419" s="315"/>
      <c r="H419" s="315"/>
      <c r="I419" s="315"/>
      <c r="J419" s="315"/>
      <c r="K419" s="315"/>
      <c r="L419" s="315"/>
      <c r="M419" s="317"/>
      <c r="N419" s="315"/>
      <c r="O419" s="317"/>
      <c r="P419" s="315"/>
      <c r="Q419" s="317"/>
      <c r="R419" s="315"/>
      <c r="S419" s="315"/>
      <c r="T419" s="315"/>
      <c r="U419" s="315" t="s">
        <v>749</v>
      </c>
      <c r="V419" s="317"/>
    </row>
    <row r="420" ht="15.75" customHeight="1">
      <c r="A420" s="315"/>
      <c r="B420" s="315"/>
      <c r="C420" s="315"/>
      <c r="D420" s="315"/>
      <c r="E420" s="315"/>
      <c r="F420" s="315"/>
      <c r="G420" s="315"/>
      <c r="H420" s="315"/>
      <c r="I420" s="315"/>
      <c r="J420" s="315"/>
      <c r="K420" s="315"/>
      <c r="L420" s="315"/>
      <c r="M420" s="317"/>
      <c r="N420" s="315"/>
      <c r="O420" s="317"/>
      <c r="P420" s="315"/>
      <c r="Q420" s="317"/>
      <c r="R420" s="315"/>
      <c r="S420" s="315"/>
      <c r="T420" s="315"/>
      <c r="U420" s="315" t="s">
        <v>750</v>
      </c>
      <c r="V420" s="317"/>
    </row>
    <row r="421" ht="15.75" customHeight="1">
      <c r="A421" s="315"/>
      <c r="B421" s="315"/>
      <c r="C421" s="315"/>
      <c r="D421" s="315"/>
      <c r="E421" s="315"/>
      <c r="F421" s="315"/>
      <c r="G421" s="315"/>
      <c r="H421" s="315"/>
      <c r="I421" s="315"/>
      <c r="J421" s="315"/>
      <c r="K421" s="315"/>
      <c r="L421" s="315"/>
      <c r="M421" s="317"/>
      <c r="N421" s="315"/>
      <c r="O421" s="317"/>
      <c r="P421" s="315"/>
      <c r="Q421" s="317"/>
      <c r="R421" s="315"/>
      <c r="S421" s="315"/>
      <c r="T421" s="315"/>
      <c r="U421" s="315" t="s">
        <v>751</v>
      </c>
      <c r="V421" s="317"/>
    </row>
    <row r="422" ht="15.75" customHeight="1">
      <c r="A422" s="315"/>
      <c r="B422" s="315"/>
      <c r="C422" s="315"/>
      <c r="D422" s="315"/>
      <c r="E422" s="315"/>
      <c r="F422" s="315"/>
      <c r="G422" s="315"/>
      <c r="H422" s="315"/>
      <c r="I422" s="315"/>
      <c r="J422" s="315"/>
      <c r="K422" s="315"/>
      <c r="L422" s="315"/>
      <c r="M422" s="317"/>
      <c r="N422" s="315"/>
      <c r="O422" s="317"/>
      <c r="P422" s="315"/>
      <c r="Q422" s="317"/>
      <c r="R422" s="315"/>
      <c r="S422" s="315"/>
      <c r="T422" s="315"/>
      <c r="U422" s="315" t="s">
        <v>268</v>
      </c>
      <c r="V422" s="317"/>
    </row>
    <row r="423" ht="15.75" customHeight="1">
      <c r="A423" s="315"/>
      <c r="B423" s="315"/>
      <c r="C423" s="315"/>
      <c r="D423" s="315"/>
      <c r="E423" s="315"/>
      <c r="F423" s="315"/>
      <c r="G423" s="315"/>
      <c r="H423" s="315"/>
      <c r="I423" s="315"/>
      <c r="J423" s="315"/>
      <c r="K423" s="315"/>
      <c r="L423" s="315"/>
      <c r="M423" s="317"/>
      <c r="N423" s="315"/>
      <c r="O423" s="317"/>
      <c r="P423" s="315"/>
      <c r="Q423" s="317"/>
      <c r="R423" s="315"/>
      <c r="S423" s="315"/>
      <c r="T423" s="315"/>
      <c r="U423" s="315" t="s">
        <v>752</v>
      </c>
      <c r="V423" s="317"/>
    </row>
    <row r="424" ht="15.75" customHeight="1">
      <c r="A424" s="315"/>
      <c r="B424" s="315"/>
      <c r="C424" s="315"/>
      <c r="D424" s="315"/>
      <c r="E424" s="315"/>
      <c r="F424" s="315"/>
      <c r="G424" s="315"/>
      <c r="H424" s="315"/>
      <c r="I424" s="315"/>
      <c r="J424" s="315"/>
      <c r="K424" s="315"/>
      <c r="L424" s="315"/>
      <c r="M424" s="317"/>
      <c r="N424" s="315"/>
      <c r="O424" s="317"/>
      <c r="P424" s="315"/>
      <c r="Q424" s="317"/>
      <c r="R424" s="315"/>
      <c r="S424" s="315"/>
      <c r="T424" s="315"/>
      <c r="U424" s="315" t="s">
        <v>753</v>
      </c>
      <c r="V424" s="317"/>
    </row>
    <row r="425" ht="15.75" customHeight="1">
      <c r="A425" s="315"/>
      <c r="B425" s="315"/>
      <c r="C425" s="315"/>
      <c r="D425" s="315"/>
      <c r="E425" s="315"/>
      <c r="F425" s="315"/>
      <c r="G425" s="315"/>
      <c r="H425" s="315"/>
      <c r="I425" s="315"/>
      <c r="J425" s="315"/>
      <c r="K425" s="315"/>
      <c r="L425" s="315"/>
      <c r="M425" s="317"/>
      <c r="N425" s="315"/>
      <c r="O425" s="317"/>
      <c r="P425" s="315"/>
      <c r="Q425" s="317"/>
      <c r="R425" s="315"/>
      <c r="S425" s="315"/>
      <c r="T425" s="315"/>
      <c r="U425" s="315" t="s">
        <v>754</v>
      </c>
      <c r="V425" s="317"/>
    </row>
    <row r="426" ht="15.75" customHeight="1">
      <c r="A426" s="315"/>
      <c r="B426" s="315"/>
      <c r="C426" s="315"/>
      <c r="D426" s="315"/>
      <c r="E426" s="315"/>
      <c r="F426" s="315"/>
      <c r="G426" s="315"/>
      <c r="H426" s="315"/>
      <c r="I426" s="315"/>
      <c r="J426" s="315"/>
      <c r="K426" s="315"/>
      <c r="L426" s="315"/>
      <c r="M426" s="317"/>
      <c r="N426" s="315"/>
      <c r="O426" s="317"/>
      <c r="P426" s="315"/>
      <c r="Q426" s="317"/>
      <c r="R426" s="315"/>
      <c r="S426" s="315"/>
      <c r="T426" s="315"/>
      <c r="U426" s="315" t="s">
        <v>755</v>
      </c>
      <c r="V426" s="317"/>
    </row>
    <row r="427" ht="15.75" customHeight="1">
      <c r="A427" s="315"/>
      <c r="B427" s="315"/>
      <c r="C427" s="315"/>
      <c r="D427" s="315"/>
      <c r="E427" s="315"/>
      <c r="F427" s="315"/>
      <c r="G427" s="315"/>
      <c r="H427" s="315"/>
      <c r="I427" s="315"/>
      <c r="J427" s="315"/>
      <c r="K427" s="315"/>
      <c r="L427" s="315"/>
      <c r="M427" s="317"/>
      <c r="N427" s="315"/>
      <c r="O427" s="317"/>
      <c r="P427" s="315"/>
      <c r="Q427" s="317"/>
      <c r="R427" s="315"/>
      <c r="S427" s="315"/>
      <c r="T427" s="315"/>
      <c r="U427" s="315" t="s">
        <v>756</v>
      </c>
      <c r="V427" s="317"/>
    </row>
    <row r="428" ht="15.75" customHeight="1">
      <c r="A428" s="315"/>
      <c r="B428" s="315"/>
      <c r="C428" s="315"/>
      <c r="D428" s="315"/>
      <c r="E428" s="315"/>
      <c r="F428" s="315"/>
      <c r="G428" s="315"/>
      <c r="H428" s="315"/>
      <c r="I428" s="315"/>
      <c r="J428" s="315"/>
      <c r="K428" s="315"/>
      <c r="L428" s="315"/>
      <c r="M428" s="317"/>
      <c r="N428" s="315"/>
      <c r="O428" s="317"/>
      <c r="P428" s="315"/>
      <c r="Q428" s="317"/>
      <c r="R428" s="315"/>
      <c r="S428" s="315"/>
      <c r="T428" s="315"/>
      <c r="U428" s="315" t="s">
        <v>757</v>
      </c>
      <c r="V428" s="317"/>
    </row>
    <row r="429" ht="15.75" customHeight="1">
      <c r="A429" s="315"/>
      <c r="B429" s="315"/>
      <c r="C429" s="315"/>
      <c r="D429" s="315"/>
      <c r="E429" s="315"/>
      <c r="F429" s="315"/>
      <c r="G429" s="315"/>
      <c r="H429" s="315"/>
      <c r="I429" s="315"/>
      <c r="J429" s="315"/>
      <c r="K429" s="315"/>
      <c r="L429" s="315"/>
      <c r="M429" s="317"/>
      <c r="N429" s="315"/>
      <c r="O429" s="317"/>
      <c r="P429" s="315"/>
      <c r="Q429" s="317"/>
      <c r="R429" s="315"/>
      <c r="S429" s="315"/>
      <c r="T429" s="315"/>
      <c r="U429" s="315" t="s">
        <v>758</v>
      </c>
      <c r="V429" s="317"/>
    </row>
    <row r="430" ht="15.75" customHeight="1">
      <c r="A430" s="315"/>
      <c r="B430" s="315"/>
      <c r="C430" s="315"/>
      <c r="D430" s="315"/>
      <c r="E430" s="315"/>
      <c r="F430" s="315"/>
      <c r="G430" s="315"/>
      <c r="H430" s="315"/>
      <c r="I430" s="315"/>
      <c r="J430" s="315"/>
      <c r="K430" s="315"/>
      <c r="L430" s="315"/>
      <c r="M430" s="317"/>
      <c r="N430" s="315"/>
      <c r="O430" s="317"/>
      <c r="P430" s="315"/>
      <c r="Q430" s="317"/>
      <c r="R430" s="315"/>
      <c r="S430" s="315"/>
      <c r="T430" s="315"/>
      <c r="U430" s="315" t="s">
        <v>759</v>
      </c>
      <c r="V430" s="317"/>
    </row>
    <row r="431" ht="15.75" customHeight="1">
      <c r="A431" s="315"/>
      <c r="B431" s="315"/>
      <c r="C431" s="315"/>
      <c r="D431" s="315"/>
      <c r="E431" s="315"/>
      <c r="F431" s="315"/>
      <c r="G431" s="315"/>
      <c r="H431" s="315"/>
      <c r="I431" s="315"/>
      <c r="J431" s="315"/>
      <c r="K431" s="315"/>
      <c r="L431" s="315"/>
      <c r="M431" s="317"/>
      <c r="N431" s="315"/>
      <c r="O431" s="317"/>
      <c r="P431" s="315"/>
      <c r="Q431" s="317"/>
      <c r="R431" s="315"/>
      <c r="S431" s="315"/>
      <c r="T431" s="315"/>
      <c r="U431" s="315" t="s">
        <v>760</v>
      </c>
      <c r="V431" s="317"/>
    </row>
    <row r="432" ht="15.75" customHeight="1">
      <c r="A432" s="315"/>
      <c r="B432" s="315"/>
      <c r="C432" s="315"/>
      <c r="D432" s="315"/>
      <c r="E432" s="315"/>
      <c r="F432" s="315"/>
      <c r="G432" s="315"/>
      <c r="H432" s="315"/>
      <c r="I432" s="315"/>
      <c r="J432" s="315"/>
      <c r="K432" s="315"/>
      <c r="L432" s="315"/>
      <c r="M432" s="317"/>
      <c r="N432" s="315"/>
      <c r="O432" s="317"/>
      <c r="P432" s="315"/>
      <c r="Q432" s="317"/>
      <c r="R432" s="315"/>
      <c r="S432" s="315"/>
      <c r="T432" s="315"/>
      <c r="U432" s="315" t="s">
        <v>761</v>
      </c>
      <c r="V432" s="317"/>
    </row>
    <row r="433" ht="15.75" customHeight="1">
      <c r="A433" s="315"/>
      <c r="B433" s="315"/>
      <c r="C433" s="315"/>
      <c r="D433" s="315"/>
      <c r="E433" s="315"/>
      <c r="F433" s="315"/>
      <c r="G433" s="315"/>
      <c r="H433" s="315"/>
      <c r="I433" s="315"/>
      <c r="J433" s="315"/>
      <c r="K433" s="315"/>
      <c r="L433" s="315"/>
      <c r="M433" s="317"/>
      <c r="N433" s="315"/>
      <c r="O433" s="317"/>
      <c r="P433" s="315"/>
      <c r="Q433" s="317"/>
      <c r="R433" s="315"/>
      <c r="S433" s="315"/>
      <c r="T433" s="315"/>
      <c r="U433" s="315" t="s">
        <v>762</v>
      </c>
      <c r="V433" s="317"/>
    </row>
    <row r="434" ht="15.75" customHeight="1">
      <c r="A434" s="315"/>
      <c r="B434" s="315"/>
      <c r="C434" s="315"/>
      <c r="D434" s="315"/>
      <c r="E434" s="315"/>
      <c r="F434" s="315"/>
      <c r="G434" s="315"/>
      <c r="H434" s="315"/>
      <c r="I434" s="315"/>
      <c r="J434" s="315"/>
      <c r="K434" s="315"/>
      <c r="L434" s="315"/>
      <c r="M434" s="317"/>
      <c r="N434" s="315"/>
      <c r="O434" s="317"/>
      <c r="P434" s="315"/>
      <c r="Q434" s="317"/>
      <c r="R434" s="315"/>
      <c r="S434" s="315"/>
      <c r="T434" s="315"/>
      <c r="U434" s="315" t="s">
        <v>763</v>
      </c>
      <c r="V434" s="317"/>
    </row>
    <row r="435" ht="15.75" customHeight="1">
      <c r="A435" s="315"/>
      <c r="B435" s="315"/>
      <c r="C435" s="315"/>
      <c r="D435" s="315"/>
      <c r="E435" s="315"/>
      <c r="F435" s="315"/>
      <c r="G435" s="315"/>
      <c r="H435" s="315"/>
      <c r="I435" s="315"/>
      <c r="J435" s="315"/>
      <c r="K435" s="315"/>
      <c r="L435" s="315"/>
      <c r="M435" s="317"/>
      <c r="N435" s="315"/>
      <c r="O435" s="317"/>
      <c r="P435" s="315"/>
      <c r="Q435" s="317"/>
      <c r="R435" s="315"/>
      <c r="S435" s="315"/>
      <c r="T435" s="315"/>
      <c r="U435" s="315" t="s">
        <v>764</v>
      </c>
      <c r="V435" s="317"/>
    </row>
    <row r="436" ht="15.75" customHeight="1">
      <c r="A436" s="315"/>
      <c r="B436" s="315"/>
      <c r="C436" s="315"/>
      <c r="D436" s="315"/>
      <c r="E436" s="315"/>
      <c r="F436" s="315"/>
      <c r="G436" s="315"/>
      <c r="H436" s="315"/>
      <c r="I436" s="315"/>
      <c r="J436" s="315"/>
      <c r="K436" s="315"/>
      <c r="L436" s="315"/>
      <c r="M436" s="317"/>
      <c r="N436" s="315"/>
      <c r="O436" s="317"/>
      <c r="P436" s="315"/>
      <c r="Q436" s="317"/>
      <c r="R436" s="315"/>
      <c r="S436" s="315"/>
      <c r="T436" s="315"/>
      <c r="U436" s="315" t="s">
        <v>765</v>
      </c>
      <c r="V436" s="317"/>
    </row>
    <row r="437" ht="15.75" customHeight="1">
      <c r="A437" s="315"/>
      <c r="B437" s="315"/>
      <c r="C437" s="315"/>
      <c r="D437" s="315"/>
      <c r="E437" s="315"/>
      <c r="F437" s="315"/>
      <c r="G437" s="315"/>
      <c r="H437" s="315"/>
      <c r="I437" s="315"/>
      <c r="J437" s="315"/>
      <c r="K437" s="315"/>
      <c r="L437" s="315"/>
      <c r="M437" s="317"/>
      <c r="N437" s="315"/>
      <c r="O437" s="317"/>
      <c r="P437" s="315"/>
      <c r="Q437" s="317"/>
      <c r="R437" s="315"/>
      <c r="S437" s="315"/>
      <c r="T437" s="315"/>
      <c r="U437" s="315" t="s">
        <v>766</v>
      </c>
      <c r="V437" s="317"/>
    </row>
    <row r="438" ht="15.75" customHeight="1">
      <c r="A438" s="315"/>
      <c r="B438" s="315"/>
      <c r="C438" s="315"/>
      <c r="D438" s="315"/>
      <c r="E438" s="315"/>
      <c r="F438" s="315"/>
      <c r="G438" s="315"/>
      <c r="H438" s="315"/>
      <c r="I438" s="315"/>
      <c r="J438" s="315"/>
      <c r="K438" s="315"/>
      <c r="L438" s="315"/>
      <c r="M438" s="317"/>
      <c r="N438" s="315"/>
      <c r="O438" s="317"/>
      <c r="P438" s="315"/>
      <c r="Q438" s="317"/>
      <c r="R438" s="315"/>
      <c r="S438" s="315"/>
      <c r="T438" s="315"/>
      <c r="U438" s="315" t="s">
        <v>767</v>
      </c>
      <c r="V438" s="317"/>
    </row>
    <row r="439" ht="15.75" customHeight="1">
      <c r="A439" s="315"/>
      <c r="B439" s="315"/>
      <c r="C439" s="315"/>
      <c r="D439" s="315"/>
      <c r="E439" s="315"/>
      <c r="F439" s="315"/>
      <c r="G439" s="315"/>
      <c r="H439" s="315"/>
      <c r="I439" s="315"/>
      <c r="J439" s="315"/>
      <c r="K439" s="315"/>
      <c r="L439" s="315"/>
      <c r="M439" s="317"/>
      <c r="N439" s="315"/>
      <c r="O439" s="317"/>
      <c r="P439" s="315"/>
      <c r="Q439" s="317"/>
      <c r="R439" s="315"/>
      <c r="S439" s="315"/>
      <c r="T439" s="315"/>
      <c r="U439" s="315" t="s">
        <v>768</v>
      </c>
      <c r="V439" s="317"/>
    </row>
    <row r="440" ht="15.75" customHeight="1">
      <c r="A440" s="315"/>
      <c r="B440" s="315"/>
      <c r="C440" s="315"/>
      <c r="D440" s="315"/>
      <c r="E440" s="315"/>
      <c r="F440" s="315"/>
      <c r="G440" s="315"/>
      <c r="H440" s="315"/>
      <c r="I440" s="315"/>
      <c r="J440" s="315"/>
      <c r="K440" s="315"/>
      <c r="L440" s="315"/>
      <c r="M440" s="317"/>
      <c r="N440" s="315"/>
      <c r="O440" s="317"/>
      <c r="P440" s="315"/>
      <c r="Q440" s="317"/>
      <c r="R440" s="315"/>
      <c r="S440" s="315"/>
      <c r="T440" s="315"/>
      <c r="U440" s="315" t="s">
        <v>769</v>
      </c>
      <c r="V440" s="317"/>
    </row>
    <row r="441" ht="15.75" customHeight="1">
      <c r="A441" s="315"/>
      <c r="B441" s="315"/>
      <c r="C441" s="315"/>
      <c r="D441" s="315"/>
      <c r="E441" s="315"/>
      <c r="F441" s="315"/>
      <c r="G441" s="315"/>
      <c r="H441" s="315"/>
      <c r="I441" s="315"/>
      <c r="J441" s="315"/>
      <c r="K441" s="315"/>
      <c r="L441" s="315"/>
      <c r="M441" s="317"/>
      <c r="N441" s="315"/>
      <c r="O441" s="317"/>
      <c r="P441" s="315"/>
      <c r="Q441" s="317"/>
      <c r="R441" s="315"/>
      <c r="S441" s="315"/>
      <c r="T441" s="315"/>
      <c r="U441" s="315" t="s">
        <v>770</v>
      </c>
      <c r="V441" s="317"/>
    </row>
    <row r="442" ht="15.75" customHeight="1">
      <c r="A442" s="315"/>
      <c r="B442" s="315"/>
      <c r="C442" s="315"/>
      <c r="D442" s="315"/>
      <c r="E442" s="315"/>
      <c r="F442" s="315"/>
      <c r="G442" s="315"/>
      <c r="H442" s="315"/>
      <c r="I442" s="315"/>
      <c r="J442" s="315"/>
      <c r="K442" s="315"/>
      <c r="L442" s="315"/>
      <c r="M442" s="317"/>
      <c r="N442" s="315"/>
      <c r="O442" s="317"/>
      <c r="P442" s="315"/>
      <c r="Q442" s="317"/>
      <c r="R442" s="315"/>
      <c r="S442" s="315"/>
      <c r="T442" s="315"/>
      <c r="U442" s="315" t="s">
        <v>771</v>
      </c>
      <c r="V442" s="317"/>
    </row>
    <row r="443" ht="15.75" customHeight="1">
      <c r="A443" s="315"/>
      <c r="B443" s="315"/>
      <c r="C443" s="315"/>
      <c r="D443" s="315"/>
      <c r="E443" s="315"/>
      <c r="F443" s="315"/>
      <c r="G443" s="315"/>
      <c r="H443" s="315"/>
      <c r="I443" s="315"/>
      <c r="J443" s="315"/>
      <c r="K443" s="315"/>
      <c r="L443" s="315"/>
      <c r="M443" s="317"/>
      <c r="N443" s="315"/>
      <c r="O443" s="317"/>
      <c r="P443" s="315"/>
      <c r="Q443" s="317"/>
      <c r="R443" s="315"/>
      <c r="S443" s="315"/>
      <c r="T443" s="315"/>
      <c r="U443" s="315" t="s">
        <v>772</v>
      </c>
      <c r="V443" s="317"/>
    </row>
    <row r="444" ht="15.75" customHeight="1">
      <c r="A444" s="315"/>
      <c r="B444" s="315"/>
      <c r="C444" s="315"/>
      <c r="D444" s="315"/>
      <c r="E444" s="315"/>
      <c r="F444" s="315"/>
      <c r="G444" s="315"/>
      <c r="H444" s="315"/>
      <c r="I444" s="315"/>
      <c r="J444" s="315"/>
      <c r="K444" s="315"/>
      <c r="L444" s="315"/>
      <c r="M444" s="317"/>
      <c r="N444" s="315"/>
      <c r="O444" s="317"/>
      <c r="P444" s="315"/>
      <c r="Q444" s="317"/>
      <c r="R444" s="315"/>
      <c r="S444" s="315"/>
      <c r="T444" s="315"/>
      <c r="U444" s="315" t="s">
        <v>773</v>
      </c>
      <c r="V444" s="317"/>
    </row>
    <row r="445" ht="15.75" customHeight="1">
      <c r="A445" s="315"/>
      <c r="B445" s="315"/>
      <c r="C445" s="315"/>
      <c r="D445" s="315"/>
      <c r="E445" s="315"/>
      <c r="F445" s="315"/>
      <c r="G445" s="315"/>
      <c r="H445" s="315"/>
      <c r="I445" s="315"/>
      <c r="J445" s="315"/>
      <c r="K445" s="315"/>
      <c r="L445" s="315"/>
      <c r="M445" s="317"/>
      <c r="N445" s="315"/>
      <c r="O445" s="317"/>
      <c r="P445" s="315"/>
      <c r="Q445" s="317"/>
      <c r="R445" s="315"/>
      <c r="S445" s="315"/>
      <c r="T445" s="315"/>
      <c r="U445" s="315" t="s">
        <v>774</v>
      </c>
      <c r="V445" s="317"/>
    </row>
    <row r="446" ht="15.75" customHeight="1">
      <c r="A446" s="315"/>
      <c r="B446" s="315"/>
      <c r="C446" s="315"/>
      <c r="D446" s="315"/>
      <c r="E446" s="315"/>
      <c r="F446" s="315"/>
      <c r="G446" s="315"/>
      <c r="H446" s="315"/>
      <c r="I446" s="315"/>
      <c r="J446" s="315"/>
      <c r="K446" s="315"/>
      <c r="L446" s="315"/>
      <c r="M446" s="317"/>
      <c r="N446" s="315"/>
      <c r="O446" s="317"/>
      <c r="P446" s="315"/>
      <c r="Q446" s="317"/>
      <c r="R446" s="315"/>
      <c r="S446" s="315"/>
      <c r="T446" s="315"/>
      <c r="U446" s="315" t="s">
        <v>775</v>
      </c>
      <c r="V446" s="317"/>
    </row>
    <row r="447" ht="15.75" customHeight="1">
      <c r="A447" s="315"/>
      <c r="B447" s="315"/>
      <c r="C447" s="315"/>
      <c r="D447" s="315"/>
      <c r="E447" s="315"/>
      <c r="F447" s="315"/>
      <c r="G447" s="315"/>
      <c r="H447" s="315"/>
      <c r="I447" s="315"/>
      <c r="J447" s="315"/>
      <c r="K447" s="315"/>
      <c r="L447" s="315"/>
      <c r="M447" s="317"/>
      <c r="N447" s="315"/>
      <c r="O447" s="317"/>
      <c r="P447" s="315"/>
      <c r="Q447" s="317"/>
      <c r="R447" s="315"/>
      <c r="S447" s="315"/>
      <c r="T447" s="315"/>
      <c r="U447" s="315" t="s">
        <v>776</v>
      </c>
      <c r="V447" s="317"/>
    </row>
    <row r="448" ht="15.75" customHeight="1">
      <c r="A448" s="315"/>
      <c r="B448" s="315"/>
      <c r="C448" s="315"/>
      <c r="D448" s="315"/>
      <c r="E448" s="315"/>
      <c r="F448" s="315"/>
      <c r="G448" s="315"/>
      <c r="H448" s="315"/>
      <c r="I448" s="315"/>
      <c r="J448" s="315"/>
      <c r="K448" s="315"/>
      <c r="L448" s="315"/>
      <c r="M448" s="317"/>
      <c r="N448" s="315"/>
      <c r="O448" s="317"/>
      <c r="P448" s="315"/>
      <c r="Q448" s="317"/>
      <c r="R448" s="315"/>
      <c r="S448" s="315"/>
      <c r="T448" s="315"/>
      <c r="U448" s="315" t="s">
        <v>777</v>
      </c>
      <c r="V448" s="317"/>
    </row>
    <row r="449" ht="15.75" customHeight="1">
      <c r="A449" s="315"/>
      <c r="B449" s="315"/>
      <c r="C449" s="315"/>
      <c r="D449" s="315"/>
      <c r="E449" s="315"/>
      <c r="F449" s="315"/>
      <c r="G449" s="315"/>
      <c r="H449" s="315"/>
      <c r="I449" s="315"/>
      <c r="J449" s="315"/>
      <c r="K449" s="315"/>
      <c r="L449" s="315"/>
      <c r="M449" s="317"/>
      <c r="N449" s="315"/>
      <c r="O449" s="317"/>
      <c r="P449" s="315"/>
      <c r="Q449" s="317"/>
      <c r="R449" s="315"/>
      <c r="S449" s="315"/>
      <c r="T449" s="315"/>
      <c r="U449" s="315" t="s">
        <v>778</v>
      </c>
      <c r="V449" s="317"/>
    </row>
    <row r="450" ht="15.75" customHeight="1">
      <c r="A450" s="315"/>
      <c r="B450" s="315"/>
      <c r="C450" s="315"/>
      <c r="D450" s="315"/>
      <c r="E450" s="315"/>
      <c r="F450" s="315"/>
      <c r="G450" s="315"/>
      <c r="H450" s="315"/>
      <c r="I450" s="315"/>
      <c r="J450" s="315"/>
      <c r="K450" s="315"/>
      <c r="L450" s="315"/>
      <c r="M450" s="317"/>
      <c r="N450" s="315"/>
      <c r="O450" s="317"/>
      <c r="P450" s="315"/>
      <c r="Q450" s="317"/>
      <c r="R450" s="315"/>
      <c r="S450" s="315"/>
      <c r="T450" s="315"/>
      <c r="U450" s="315" t="s">
        <v>779</v>
      </c>
      <c r="V450" s="317"/>
    </row>
    <row r="451" ht="15.75" customHeight="1">
      <c r="A451" s="315"/>
      <c r="B451" s="315"/>
      <c r="C451" s="315"/>
      <c r="D451" s="315"/>
      <c r="E451" s="315"/>
      <c r="F451" s="315"/>
      <c r="G451" s="315"/>
      <c r="H451" s="315"/>
      <c r="I451" s="315"/>
      <c r="J451" s="315"/>
      <c r="K451" s="315"/>
      <c r="L451" s="315"/>
      <c r="M451" s="317"/>
      <c r="N451" s="315"/>
      <c r="O451" s="317"/>
      <c r="P451" s="315"/>
      <c r="Q451" s="317"/>
      <c r="R451" s="315"/>
      <c r="S451" s="315"/>
      <c r="T451" s="315"/>
      <c r="U451" s="315" t="s">
        <v>780</v>
      </c>
      <c r="V451" s="317"/>
    </row>
    <row r="452" ht="15.75" customHeight="1">
      <c r="A452" s="315"/>
      <c r="B452" s="315"/>
      <c r="C452" s="315"/>
      <c r="D452" s="315"/>
      <c r="E452" s="315"/>
      <c r="F452" s="315"/>
      <c r="G452" s="315"/>
      <c r="H452" s="315"/>
      <c r="I452" s="315"/>
      <c r="J452" s="315"/>
      <c r="K452" s="315"/>
      <c r="L452" s="315"/>
      <c r="M452" s="317"/>
      <c r="N452" s="315"/>
      <c r="O452" s="317"/>
      <c r="P452" s="315"/>
      <c r="Q452" s="317"/>
      <c r="R452" s="315"/>
      <c r="S452" s="315"/>
      <c r="T452" s="315"/>
      <c r="U452" s="315" t="s">
        <v>781</v>
      </c>
      <c r="V452" s="317"/>
    </row>
    <row r="453" ht="15.75" customHeight="1">
      <c r="A453" s="315"/>
      <c r="B453" s="315"/>
      <c r="C453" s="315"/>
      <c r="D453" s="315"/>
      <c r="E453" s="315"/>
      <c r="F453" s="315"/>
      <c r="G453" s="315"/>
      <c r="H453" s="315"/>
      <c r="I453" s="315"/>
      <c r="J453" s="315"/>
      <c r="K453" s="315"/>
      <c r="L453" s="315"/>
      <c r="M453" s="317"/>
      <c r="N453" s="315"/>
      <c r="O453" s="317"/>
      <c r="P453" s="315"/>
      <c r="Q453" s="317"/>
      <c r="R453" s="315"/>
      <c r="S453" s="315"/>
      <c r="T453" s="315"/>
      <c r="U453" s="315" t="s">
        <v>782</v>
      </c>
      <c r="V453" s="317"/>
    </row>
    <row r="454" ht="15.75" customHeight="1">
      <c r="A454" s="315"/>
      <c r="B454" s="315"/>
      <c r="C454" s="315"/>
      <c r="D454" s="315"/>
      <c r="E454" s="315"/>
      <c r="F454" s="315"/>
      <c r="G454" s="315"/>
      <c r="H454" s="315"/>
      <c r="I454" s="315"/>
      <c r="J454" s="315"/>
      <c r="K454" s="315"/>
      <c r="L454" s="315"/>
      <c r="M454" s="317"/>
      <c r="N454" s="315"/>
      <c r="O454" s="317"/>
      <c r="P454" s="315"/>
      <c r="Q454" s="317"/>
      <c r="R454" s="315"/>
      <c r="S454" s="315"/>
      <c r="T454" s="315"/>
      <c r="U454" s="315" t="s">
        <v>783</v>
      </c>
      <c r="V454" s="317"/>
    </row>
    <row r="455" ht="15.75" customHeight="1">
      <c r="A455" s="315"/>
      <c r="B455" s="315"/>
      <c r="C455" s="315"/>
      <c r="D455" s="315"/>
      <c r="E455" s="315"/>
      <c r="F455" s="315"/>
      <c r="G455" s="315"/>
      <c r="H455" s="315"/>
      <c r="I455" s="315"/>
      <c r="J455" s="315"/>
      <c r="K455" s="315"/>
      <c r="L455" s="315"/>
      <c r="M455" s="317"/>
      <c r="N455" s="315"/>
      <c r="O455" s="317"/>
      <c r="P455" s="315"/>
      <c r="Q455" s="317"/>
      <c r="R455" s="315"/>
      <c r="S455" s="315"/>
      <c r="T455" s="315"/>
      <c r="U455" s="315" t="s">
        <v>784</v>
      </c>
      <c r="V455" s="317"/>
    </row>
    <row r="456" ht="15.75" customHeight="1">
      <c r="A456" s="315"/>
      <c r="B456" s="315"/>
      <c r="C456" s="315"/>
      <c r="D456" s="315"/>
      <c r="E456" s="315"/>
      <c r="F456" s="315"/>
      <c r="G456" s="315"/>
      <c r="H456" s="315"/>
      <c r="I456" s="315"/>
      <c r="J456" s="315"/>
      <c r="K456" s="315"/>
      <c r="L456" s="315"/>
      <c r="M456" s="317"/>
      <c r="N456" s="315"/>
      <c r="O456" s="317"/>
      <c r="P456" s="315"/>
      <c r="Q456" s="317"/>
      <c r="R456" s="315"/>
      <c r="S456" s="315"/>
      <c r="T456" s="315"/>
      <c r="U456" s="315" t="s">
        <v>785</v>
      </c>
      <c r="V456" s="317"/>
    </row>
    <row r="457" ht="15.75" customHeight="1">
      <c r="A457" s="315"/>
      <c r="B457" s="315"/>
      <c r="C457" s="315"/>
      <c r="D457" s="315"/>
      <c r="E457" s="315"/>
      <c r="F457" s="315"/>
      <c r="G457" s="315"/>
      <c r="H457" s="315"/>
      <c r="I457" s="315"/>
      <c r="J457" s="315"/>
      <c r="K457" s="315"/>
      <c r="L457" s="315"/>
      <c r="M457" s="317"/>
      <c r="N457" s="315"/>
      <c r="O457" s="317"/>
      <c r="P457" s="315"/>
      <c r="Q457" s="317"/>
      <c r="R457" s="315"/>
      <c r="S457" s="315"/>
      <c r="T457" s="315"/>
      <c r="U457" s="315" t="s">
        <v>786</v>
      </c>
      <c r="V457" s="317"/>
    </row>
    <row r="458" ht="15.75" customHeight="1">
      <c r="A458" s="315"/>
      <c r="B458" s="315"/>
      <c r="C458" s="315"/>
      <c r="D458" s="315"/>
      <c r="E458" s="315"/>
      <c r="F458" s="315"/>
      <c r="G458" s="315"/>
      <c r="H458" s="315"/>
      <c r="I458" s="315"/>
      <c r="J458" s="315"/>
      <c r="K458" s="315"/>
      <c r="L458" s="315"/>
      <c r="M458" s="317"/>
      <c r="N458" s="315"/>
      <c r="O458" s="317"/>
      <c r="P458" s="315"/>
      <c r="Q458" s="317"/>
      <c r="R458" s="315"/>
      <c r="S458" s="315"/>
      <c r="T458" s="315"/>
      <c r="U458" s="315" t="s">
        <v>787</v>
      </c>
      <c r="V458" s="317"/>
    </row>
    <row r="459" ht="15.75" customHeight="1">
      <c r="A459" s="315"/>
      <c r="B459" s="315"/>
      <c r="C459" s="315"/>
      <c r="D459" s="315"/>
      <c r="E459" s="315"/>
      <c r="F459" s="315"/>
      <c r="G459" s="315"/>
      <c r="H459" s="315"/>
      <c r="I459" s="315"/>
      <c r="J459" s="315"/>
      <c r="K459" s="315"/>
      <c r="L459" s="315"/>
      <c r="M459" s="317"/>
      <c r="N459" s="315"/>
      <c r="O459" s="317"/>
      <c r="P459" s="315"/>
      <c r="Q459" s="317"/>
      <c r="R459" s="315"/>
      <c r="S459" s="315"/>
      <c r="T459" s="315"/>
      <c r="U459" s="315" t="s">
        <v>788</v>
      </c>
      <c r="V459" s="317"/>
    </row>
    <row r="460" ht="15.75" customHeight="1">
      <c r="A460" s="315"/>
      <c r="B460" s="315"/>
      <c r="C460" s="315"/>
      <c r="D460" s="315"/>
      <c r="E460" s="315"/>
      <c r="F460" s="315"/>
      <c r="G460" s="315"/>
      <c r="H460" s="315"/>
      <c r="I460" s="315"/>
      <c r="J460" s="315"/>
      <c r="K460" s="315"/>
      <c r="L460" s="315"/>
      <c r="M460" s="317"/>
      <c r="N460" s="315"/>
      <c r="O460" s="317"/>
      <c r="P460" s="315"/>
      <c r="Q460" s="317"/>
      <c r="R460" s="315"/>
      <c r="S460" s="315"/>
      <c r="T460" s="315"/>
      <c r="U460" s="315" t="s">
        <v>789</v>
      </c>
      <c r="V460" s="317"/>
    </row>
    <row r="461" ht="15.75" customHeight="1">
      <c r="A461" s="315"/>
      <c r="B461" s="315"/>
      <c r="C461" s="315"/>
      <c r="D461" s="315"/>
      <c r="E461" s="315"/>
      <c r="F461" s="315"/>
      <c r="G461" s="315"/>
      <c r="H461" s="315"/>
      <c r="I461" s="315"/>
      <c r="J461" s="315"/>
      <c r="K461" s="315"/>
      <c r="L461" s="315"/>
      <c r="M461" s="317"/>
      <c r="N461" s="315"/>
      <c r="O461" s="317"/>
      <c r="P461" s="315"/>
      <c r="Q461" s="317"/>
      <c r="R461" s="315"/>
      <c r="S461" s="315"/>
      <c r="T461" s="315"/>
      <c r="U461" s="315" t="s">
        <v>790</v>
      </c>
      <c r="V461" s="317"/>
    </row>
    <row r="462" ht="15.75" customHeight="1">
      <c r="A462" s="315"/>
      <c r="B462" s="315"/>
      <c r="C462" s="315"/>
      <c r="D462" s="315"/>
      <c r="E462" s="315"/>
      <c r="F462" s="315"/>
      <c r="G462" s="315"/>
      <c r="H462" s="315"/>
      <c r="I462" s="315"/>
      <c r="J462" s="315"/>
      <c r="K462" s="315"/>
      <c r="L462" s="315"/>
      <c r="M462" s="317"/>
      <c r="N462" s="315"/>
      <c r="O462" s="317"/>
      <c r="P462" s="315"/>
      <c r="Q462" s="317"/>
      <c r="R462" s="315"/>
      <c r="S462" s="315"/>
      <c r="T462" s="315"/>
      <c r="U462" s="315" t="s">
        <v>791</v>
      </c>
      <c r="V462" s="317"/>
    </row>
    <row r="463" ht="15.75" customHeight="1">
      <c r="A463" s="315"/>
      <c r="B463" s="315"/>
      <c r="C463" s="315"/>
      <c r="D463" s="315"/>
      <c r="E463" s="315"/>
      <c r="F463" s="315"/>
      <c r="G463" s="315"/>
      <c r="H463" s="315"/>
      <c r="I463" s="315"/>
      <c r="J463" s="315"/>
      <c r="K463" s="315"/>
      <c r="L463" s="315"/>
      <c r="M463" s="317"/>
      <c r="N463" s="315"/>
      <c r="O463" s="317"/>
      <c r="P463" s="315"/>
      <c r="Q463" s="317"/>
      <c r="R463" s="315"/>
      <c r="S463" s="315"/>
      <c r="T463" s="315"/>
      <c r="U463" s="315" t="s">
        <v>792</v>
      </c>
      <c r="V463" s="317"/>
    </row>
    <row r="464" ht="15.75" customHeight="1">
      <c r="A464" s="315"/>
      <c r="B464" s="315"/>
      <c r="C464" s="315"/>
      <c r="D464" s="315"/>
      <c r="E464" s="315"/>
      <c r="F464" s="315"/>
      <c r="G464" s="315"/>
      <c r="H464" s="315"/>
      <c r="I464" s="315"/>
      <c r="J464" s="315"/>
      <c r="K464" s="315"/>
      <c r="L464" s="315"/>
      <c r="M464" s="317"/>
      <c r="N464" s="315"/>
      <c r="O464" s="317"/>
      <c r="P464" s="315"/>
      <c r="Q464" s="317"/>
      <c r="R464" s="315"/>
      <c r="S464" s="315"/>
      <c r="T464" s="315"/>
      <c r="U464" s="315" t="s">
        <v>793</v>
      </c>
      <c r="V464" s="317"/>
    </row>
    <row r="465" ht="15.75" customHeight="1">
      <c r="A465" s="315"/>
      <c r="B465" s="315"/>
      <c r="C465" s="315"/>
      <c r="D465" s="315"/>
      <c r="E465" s="315"/>
      <c r="F465" s="315"/>
      <c r="G465" s="315"/>
      <c r="H465" s="315"/>
      <c r="I465" s="315"/>
      <c r="J465" s="315"/>
      <c r="K465" s="315"/>
      <c r="L465" s="315"/>
      <c r="M465" s="317"/>
      <c r="N465" s="315"/>
      <c r="O465" s="317"/>
      <c r="P465" s="315"/>
      <c r="Q465" s="317"/>
      <c r="R465" s="315"/>
      <c r="S465" s="315"/>
      <c r="T465" s="315"/>
      <c r="U465" s="315" t="s">
        <v>794</v>
      </c>
      <c r="V465" s="317"/>
    </row>
    <row r="466" ht="15.75" customHeight="1">
      <c r="A466" s="315"/>
      <c r="B466" s="315"/>
      <c r="C466" s="315"/>
      <c r="D466" s="315"/>
      <c r="E466" s="315"/>
      <c r="F466" s="315"/>
      <c r="G466" s="315"/>
      <c r="H466" s="315"/>
      <c r="I466" s="315"/>
      <c r="J466" s="315"/>
      <c r="K466" s="315"/>
      <c r="L466" s="315"/>
      <c r="M466" s="317"/>
      <c r="N466" s="315"/>
      <c r="O466" s="317"/>
      <c r="P466" s="315"/>
      <c r="Q466" s="317"/>
      <c r="R466" s="315"/>
      <c r="S466" s="315"/>
      <c r="T466" s="315"/>
      <c r="U466" s="315" t="s">
        <v>795</v>
      </c>
      <c r="V466" s="317"/>
    </row>
    <row r="467" ht="15.75" customHeight="1">
      <c r="A467" s="315"/>
      <c r="B467" s="315"/>
      <c r="C467" s="315"/>
      <c r="D467" s="315"/>
      <c r="E467" s="315"/>
      <c r="F467" s="315"/>
      <c r="G467" s="315"/>
      <c r="H467" s="315"/>
      <c r="I467" s="315"/>
      <c r="J467" s="315"/>
      <c r="K467" s="315"/>
      <c r="L467" s="315"/>
      <c r="M467" s="317"/>
      <c r="N467" s="315"/>
      <c r="O467" s="317"/>
      <c r="P467" s="315"/>
      <c r="Q467" s="317"/>
      <c r="R467" s="315"/>
      <c r="S467" s="315"/>
      <c r="T467" s="315"/>
      <c r="U467" s="315" t="s">
        <v>796</v>
      </c>
      <c r="V467" s="317"/>
    </row>
    <row r="468" ht="15.75" customHeight="1">
      <c r="A468" s="315"/>
      <c r="B468" s="315"/>
      <c r="C468" s="315"/>
      <c r="D468" s="315"/>
      <c r="E468" s="315"/>
      <c r="F468" s="315"/>
      <c r="G468" s="315"/>
      <c r="H468" s="315"/>
      <c r="I468" s="315"/>
      <c r="J468" s="315"/>
      <c r="K468" s="315"/>
      <c r="L468" s="315"/>
      <c r="M468" s="317"/>
      <c r="N468" s="315"/>
      <c r="O468" s="317"/>
      <c r="P468" s="315"/>
      <c r="Q468" s="317"/>
      <c r="R468" s="315"/>
      <c r="S468" s="315"/>
      <c r="T468" s="315"/>
      <c r="U468" s="315" t="s">
        <v>797</v>
      </c>
      <c r="V468" s="317"/>
    </row>
    <row r="469" ht="15.75" customHeight="1">
      <c r="A469" s="315"/>
      <c r="B469" s="315"/>
      <c r="C469" s="315"/>
      <c r="D469" s="315"/>
      <c r="E469" s="315"/>
      <c r="F469" s="315"/>
      <c r="G469" s="315"/>
      <c r="H469" s="315"/>
      <c r="I469" s="315"/>
      <c r="J469" s="315"/>
      <c r="K469" s="315"/>
      <c r="L469" s="315"/>
      <c r="M469" s="317"/>
      <c r="N469" s="315"/>
      <c r="O469" s="317"/>
      <c r="P469" s="315"/>
      <c r="Q469" s="317"/>
      <c r="R469" s="315"/>
      <c r="S469" s="315"/>
      <c r="T469" s="315"/>
      <c r="U469" s="315" t="s">
        <v>798</v>
      </c>
      <c r="V469" s="317"/>
    </row>
    <row r="470" ht="15.75" customHeight="1">
      <c r="A470" s="315"/>
      <c r="B470" s="315"/>
      <c r="C470" s="315"/>
      <c r="D470" s="315"/>
      <c r="E470" s="315"/>
      <c r="F470" s="315"/>
      <c r="G470" s="315"/>
      <c r="H470" s="315"/>
      <c r="I470" s="315"/>
      <c r="J470" s="315"/>
      <c r="K470" s="315"/>
      <c r="L470" s="315"/>
      <c r="M470" s="317"/>
      <c r="N470" s="315"/>
      <c r="O470" s="317"/>
      <c r="P470" s="315"/>
      <c r="Q470" s="317"/>
      <c r="R470" s="315"/>
      <c r="S470" s="315"/>
      <c r="T470" s="315"/>
      <c r="U470" s="315" t="s">
        <v>799</v>
      </c>
      <c r="V470" s="317"/>
    </row>
    <row r="471" ht="15.75" customHeight="1">
      <c r="A471" s="315"/>
      <c r="B471" s="315"/>
      <c r="C471" s="315"/>
      <c r="D471" s="315"/>
      <c r="E471" s="315"/>
      <c r="F471" s="315"/>
      <c r="G471" s="315"/>
      <c r="H471" s="315"/>
      <c r="I471" s="315"/>
      <c r="J471" s="315"/>
      <c r="K471" s="315"/>
      <c r="L471" s="315"/>
      <c r="M471" s="317"/>
      <c r="N471" s="315"/>
      <c r="O471" s="317"/>
      <c r="P471" s="315"/>
      <c r="Q471" s="317"/>
      <c r="R471" s="315"/>
      <c r="S471" s="315"/>
      <c r="T471" s="315"/>
      <c r="U471" s="315" t="s">
        <v>800</v>
      </c>
      <c r="V471" s="317"/>
    </row>
    <row r="472" ht="15.75" customHeight="1">
      <c r="A472" s="315"/>
      <c r="B472" s="315"/>
      <c r="C472" s="315"/>
      <c r="D472" s="315"/>
      <c r="E472" s="315"/>
      <c r="F472" s="315"/>
      <c r="G472" s="315"/>
      <c r="H472" s="315"/>
      <c r="I472" s="315"/>
      <c r="J472" s="315"/>
      <c r="K472" s="315"/>
      <c r="L472" s="315"/>
      <c r="M472" s="317"/>
      <c r="N472" s="315"/>
      <c r="O472" s="317"/>
      <c r="P472" s="315"/>
      <c r="Q472" s="317"/>
      <c r="R472" s="315"/>
      <c r="S472" s="315"/>
      <c r="T472" s="315"/>
      <c r="U472" s="315" t="s">
        <v>801</v>
      </c>
      <c r="V472" s="317"/>
    </row>
    <row r="473" ht="15.75" customHeight="1">
      <c r="A473" s="315"/>
      <c r="B473" s="315"/>
      <c r="C473" s="315"/>
      <c r="D473" s="315"/>
      <c r="E473" s="315"/>
      <c r="F473" s="315"/>
      <c r="G473" s="315"/>
      <c r="H473" s="315"/>
      <c r="I473" s="315"/>
      <c r="J473" s="315"/>
      <c r="K473" s="315"/>
      <c r="L473" s="315"/>
      <c r="M473" s="317"/>
      <c r="N473" s="315"/>
      <c r="O473" s="317"/>
      <c r="P473" s="315"/>
      <c r="Q473" s="317"/>
      <c r="R473" s="315"/>
      <c r="S473" s="315"/>
      <c r="T473" s="315"/>
      <c r="U473" s="315" t="s">
        <v>802</v>
      </c>
      <c r="V473" s="317"/>
    </row>
    <row r="474" ht="15.75" customHeight="1">
      <c r="A474" s="315"/>
      <c r="B474" s="315"/>
      <c r="C474" s="315"/>
      <c r="D474" s="315"/>
      <c r="E474" s="315"/>
      <c r="F474" s="315"/>
      <c r="G474" s="315"/>
      <c r="H474" s="315"/>
      <c r="I474" s="315"/>
      <c r="J474" s="315"/>
      <c r="K474" s="315"/>
      <c r="L474" s="315"/>
      <c r="M474" s="317"/>
      <c r="N474" s="315"/>
      <c r="O474" s="317"/>
      <c r="P474" s="315"/>
      <c r="Q474" s="317"/>
      <c r="R474" s="315"/>
      <c r="S474" s="315"/>
      <c r="T474" s="315"/>
      <c r="U474" s="315" t="s">
        <v>803</v>
      </c>
      <c r="V474" s="317"/>
    </row>
    <row r="475" ht="15.75" customHeight="1">
      <c r="A475" s="315"/>
      <c r="B475" s="315"/>
      <c r="C475" s="315"/>
      <c r="D475" s="315"/>
      <c r="E475" s="315"/>
      <c r="F475" s="315"/>
      <c r="G475" s="315"/>
      <c r="H475" s="315"/>
      <c r="I475" s="315"/>
      <c r="J475" s="315"/>
      <c r="K475" s="315"/>
      <c r="L475" s="315"/>
      <c r="M475" s="317"/>
      <c r="N475" s="315"/>
      <c r="O475" s="317"/>
      <c r="P475" s="315"/>
      <c r="Q475" s="317"/>
      <c r="R475" s="315"/>
      <c r="S475" s="315"/>
      <c r="T475" s="315"/>
      <c r="U475" s="315" t="s">
        <v>804</v>
      </c>
      <c r="V475" s="317"/>
    </row>
    <row r="476" ht="15.75" customHeight="1">
      <c r="A476" s="315"/>
      <c r="B476" s="315"/>
      <c r="C476" s="315"/>
      <c r="D476" s="315"/>
      <c r="E476" s="315"/>
      <c r="F476" s="315"/>
      <c r="G476" s="315"/>
      <c r="H476" s="315"/>
      <c r="I476" s="315"/>
      <c r="J476" s="315"/>
      <c r="K476" s="315"/>
      <c r="L476" s="315"/>
      <c r="M476" s="317"/>
      <c r="N476" s="315"/>
      <c r="O476" s="317"/>
      <c r="P476" s="315"/>
      <c r="Q476" s="317"/>
      <c r="R476" s="315"/>
      <c r="S476" s="315"/>
      <c r="T476" s="315"/>
      <c r="U476" s="315" t="s">
        <v>805</v>
      </c>
      <c r="V476" s="317"/>
    </row>
    <row r="477" ht="15.75" customHeight="1">
      <c r="A477" s="315"/>
      <c r="B477" s="315"/>
      <c r="C477" s="315"/>
      <c r="D477" s="315"/>
      <c r="E477" s="315"/>
      <c r="F477" s="315"/>
      <c r="G477" s="315"/>
      <c r="H477" s="315"/>
      <c r="I477" s="315"/>
      <c r="J477" s="315"/>
      <c r="K477" s="315"/>
      <c r="L477" s="315"/>
      <c r="M477" s="317"/>
      <c r="N477" s="315"/>
      <c r="O477" s="317"/>
      <c r="P477" s="315"/>
      <c r="Q477" s="317"/>
      <c r="R477" s="315"/>
      <c r="S477" s="315"/>
      <c r="T477" s="315"/>
      <c r="U477" s="315" t="s">
        <v>806</v>
      </c>
      <c r="V477" s="317"/>
    </row>
    <row r="478" ht="15.75" customHeight="1">
      <c r="A478" s="315"/>
      <c r="B478" s="315"/>
      <c r="C478" s="315"/>
      <c r="D478" s="315"/>
      <c r="E478" s="315"/>
      <c r="F478" s="315"/>
      <c r="G478" s="315"/>
      <c r="H478" s="315"/>
      <c r="I478" s="315"/>
      <c r="J478" s="315"/>
      <c r="K478" s="315"/>
      <c r="L478" s="315"/>
      <c r="M478" s="317"/>
      <c r="N478" s="315"/>
      <c r="O478" s="317"/>
      <c r="P478" s="315"/>
      <c r="Q478" s="317"/>
      <c r="R478" s="315"/>
      <c r="S478" s="315"/>
      <c r="T478" s="315"/>
      <c r="U478" s="315" t="s">
        <v>807</v>
      </c>
      <c r="V478" s="317"/>
    </row>
    <row r="479" ht="15.75" customHeight="1">
      <c r="A479" s="315"/>
      <c r="B479" s="315"/>
      <c r="C479" s="315"/>
      <c r="D479" s="315"/>
      <c r="E479" s="315"/>
      <c r="F479" s="315"/>
      <c r="G479" s="315"/>
      <c r="H479" s="315"/>
      <c r="I479" s="315"/>
      <c r="J479" s="315"/>
      <c r="K479" s="315"/>
      <c r="L479" s="315"/>
      <c r="M479" s="317"/>
      <c r="N479" s="315"/>
      <c r="O479" s="317"/>
      <c r="P479" s="315"/>
      <c r="Q479" s="317"/>
      <c r="R479" s="315"/>
      <c r="S479" s="315"/>
      <c r="T479" s="315"/>
      <c r="U479" s="315" t="s">
        <v>808</v>
      </c>
      <c r="V479" s="317"/>
    </row>
    <row r="480" ht="15.75" customHeight="1">
      <c r="A480" s="315"/>
      <c r="B480" s="315"/>
      <c r="C480" s="315"/>
      <c r="D480" s="315"/>
      <c r="E480" s="315"/>
      <c r="F480" s="315"/>
      <c r="G480" s="315"/>
      <c r="H480" s="315"/>
      <c r="I480" s="315"/>
      <c r="J480" s="315"/>
      <c r="K480" s="315"/>
      <c r="L480" s="315"/>
      <c r="M480" s="317"/>
      <c r="N480" s="315"/>
      <c r="O480" s="317"/>
      <c r="P480" s="315"/>
      <c r="Q480" s="317"/>
      <c r="R480" s="315"/>
      <c r="S480" s="315"/>
      <c r="T480" s="315"/>
      <c r="U480" s="315" t="s">
        <v>95</v>
      </c>
      <c r="V480" s="317"/>
    </row>
    <row r="481" ht="15.75" customHeight="1">
      <c r="A481" s="315"/>
      <c r="B481" s="315"/>
      <c r="C481" s="315"/>
      <c r="D481" s="315"/>
      <c r="E481" s="315"/>
      <c r="F481" s="315"/>
      <c r="G481" s="315"/>
      <c r="H481" s="315"/>
      <c r="I481" s="315"/>
      <c r="J481" s="315"/>
      <c r="K481" s="315"/>
      <c r="L481" s="315"/>
      <c r="M481" s="317"/>
      <c r="N481" s="315"/>
      <c r="O481" s="317"/>
      <c r="P481" s="315"/>
      <c r="Q481" s="317"/>
      <c r="R481" s="315"/>
      <c r="S481" s="315"/>
      <c r="T481" s="315"/>
      <c r="U481" s="315" t="s">
        <v>809</v>
      </c>
      <c r="V481" s="317"/>
    </row>
    <row r="482" ht="15.75" customHeight="1">
      <c r="A482" s="315"/>
      <c r="B482" s="315"/>
      <c r="C482" s="315"/>
      <c r="D482" s="315"/>
      <c r="E482" s="315"/>
      <c r="F482" s="315"/>
      <c r="G482" s="315"/>
      <c r="H482" s="315"/>
      <c r="I482" s="315"/>
      <c r="J482" s="315"/>
      <c r="K482" s="315"/>
      <c r="L482" s="315"/>
      <c r="M482" s="317"/>
      <c r="N482" s="315"/>
      <c r="O482" s="317"/>
      <c r="P482" s="315"/>
      <c r="Q482" s="317"/>
      <c r="R482" s="315"/>
      <c r="S482" s="315"/>
      <c r="T482" s="315"/>
      <c r="U482" s="315" t="s">
        <v>810</v>
      </c>
      <c r="V482" s="317"/>
    </row>
    <row r="483" ht="15.75" customHeight="1">
      <c r="A483" s="315"/>
      <c r="B483" s="315"/>
      <c r="C483" s="315"/>
      <c r="D483" s="315"/>
      <c r="E483" s="315"/>
      <c r="F483" s="315"/>
      <c r="G483" s="315"/>
      <c r="H483" s="315"/>
      <c r="I483" s="315"/>
      <c r="J483" s="315"/>
      <c r="K483" s="315"/>
      <c r="L483" s="315"/>
      <c r="M483" s="317"/>
      <c r="N483" s="315"/>
      <c r="O483" s="317"/>
      <c r="P483" s="315"/>
      <c r="Q483" s="317"/>
      <c r="R483" s="315"/>
      <c r="S483" s="315"/>
      <c r="T483" s="315"/>
      <c r="U483" s="315" t="s">
        <v>811</v>
      </c>
      <c r="V483" s="317"/>
    </row>
    <row r="484" ht="15.75" customHeight="1">
      <c r="A484" s="315"/>
      <c r="B484" s="315"/>
      <c r="C484" s="315"/>
      <c r="D484" s="315"/>
      <c r="E484" s="315"/>
      <c r="F484" s="315"/>
      <c r="G484" s="315"/>
      <c r="H484" s="315"/>
      <c r="I484" s="315"/>
      <c r="J484" s="315"/>
      <c r="K484" s="315"/>
      <c r="L484" s="315"/>
      <c r="M484" s="317"/>
      <c r="N484" s="315"/>
      <c r="O484" s="317"/>
      <c r="P484" s="315"/>
      <c r="Q484" s="317"/>
      <c r="R484" s="315"/>
      <c r="S484" s="315"/>
      <c r="T484" s="315"/>
      <c r="U484" s="315" t="s">
        <v>812</v>
      </c>
      <c r="V484" s="317"/>
    </row>
    <row r="485" ht="15.75" customHeight="1">
      <c r="A485" s="315"/>
      <c r="B485" s="315"/>
      <c r="C485" s="315"/>
      <c r="D485" s="315"/>
      <c r="E485" s="315"/>
      <c r="F485" s="315"/>
      <c r="G485" s="315"/>
      <c r="H485" s="315"/>
      <c r="I485" s="315"/>
      <c r="J485" s="315"/>
      <c r="K485" s="315"/>
      <c r="L485" s="315"/>
      <c r="M485" s="317"/>
      <c r="N485" s="315"/>
      <c r="O485" s="317"/>
      <c r="P485" s="315"/>
      <c r="Q485" s="317"/>
      <c r="R485" s="315"/>
      <c r="S485" s="315"/>
      <c r="T485" s="315"/>
      <c r="U485" s="315" t="s">
        <v>813</v>
      </c>
      <c r="V485" s="317"/>
    </row>
    <row r="486" ht="15.75" customHeight="1">
      <c r="A486" s="315"/>
      <c r="B486" s="315"/>
      <c r="C486" s="315"/>
      <c r="D486" s="315"/>
      <c r="E486" s="315"/>
      <c r="F486" s="315"/>
      <c r="G486" s="315"/>
      <c r="H486" s="315"/>
      <c r="I486" s="315"/>
      <c r="J486" s="315"/>
      <c r="K486" s="315"/>
      <c r="L486" s="315"/>
      <c r="M486" s="317"/>
      <c r="N486" s="315"/>
      <c r="O486" s="317"/>
      <c r="P486" s="315"/>
      <c r="Q486" s="317"/>
      <c r="R486" s="315"/>
      <c r="S486" s="315"/>
      <c r="T486" s="315"/>
      <c r="U486" s="315" t="s">
        <v>814</v>
      </c>
      <c r="V486" s="317"/>
    </row>
    <row r="487" ht="15.75" customHeight="1">
      <c r="A487" s="336"/>
      <c r="B487" s="336"/>
      <c r="C487" s="336"/>
      <c r="D487" s="336"/>
      <c r="E487" s="336"/>
      <c r="F487" s="336"/>
      <c r="G487" s="336"/>
      <c r="H487" s="336"/>
      <c r="I487" s="336"/>
      <c r="J487" s="336"/>
      <c r="K487" s="336"/>
      <c r="L487" s="336"/>
      <c r="M487" s="336"/>
      <c r="N487" s="336"/>
      <c r="O487" s="336"/>
      <c r="P487" s="336"/>
      <c r="Q487" s="336"/>
      <c r="R487" s="336"/>
      <c r="S487" s="336"/>
      <c r="T487" s="336"/>
      <c r="U487" s="337" t="s">
        <v>815</v>
      </c>
      <c r="V487" s="336"/>
    </row>
    <row r="488" ht="15.75" customHeight="1">
      <c r="A488" s="336"/>
      <c r="B488" s="336"/>
      <c r="C488" s="336"/>
      <c r="D488" s="336"/>
      <c r="E488" s="336"/>
      <c r="F488" s="336"/>
      <c r="G488" s="336"/>
      <c r="H488" s="336"/>
      <c r="I488" s="336"/>
      <c r="J488" s="336"/>
      <c r="K488" s="336"/>
      <c r="L488" s="336"/>
      <c r="M488" s="336"/>
      <c r="N488" s="336"/>
      <c r="O488" s="336"/>
      <c r="P488" s="336"/>
      <c r="Q488" s="336"/>
      <c r="R488" s="336"/>
      <c r="S488" s="336"/>
      <c r="T488" s="336"/>
      <c r="U488" s="337" t="s">
        <v>816</v>
      </c>
      <c r="V488" s="336"/>
    </row>
    <row r="489" ht="15.75" customHeight="1">
      <c r="A489" s="336"/>
      <c r="B489" s="336"/>
      <c r="C489" s="336"/>
      <c r="D489" s="336"/>
      <c r="E489" s="336"/>
      <c r="F489" s="336"/>
      <c r="G489" s="336"/>
      <c r="H489" s="336"/>
      <c r="I489" s="336"/>
      <c r="J489" s="336"/>
      <c r="K489" s="336"/>
      <c r="L489" s="336"/>
      <c r="M489" s="336"/>
      <c r="N489" s="336"/>
      <c r="O489" s="336"/>
      <c r="P489" s="336"/>
      <c r="Q489" s="336"/>
      <c r="R489" s="336"/>
      <c r="S489" s="336"/>
      <c r="T489" s="336"/>
      <c r="U489" s="337" t="s">
        <v>817</v>
      </c>
      <c r="V489" s="336"/>
    </row>
    <row r="490" ht="15.75" customHeight="1">
      <c r="A490" s="336"/>
      <c r="B490" s="336"/>
      <c r="C490" s="336"/>
      <c r="D490" s="336"/>
      <c r="E490" s="336"/>
      <c r="F490" s="336"/>
      <c r="G490" s="336"/>
      <c r="H490" s="336"/>
      <c r="I490" s="336"/>
      <c r="J490" s="336"/>
      <c r="K490" s="336"/>
      <c r="L490" s="336"/>
      <c r="M490" s="336"/>
      <c r="N490" s="336"/>
      <c r="O490" s="336"/>
      <c r="P490" s="336"/>
      <c r="Q490" s="336"/>
      <c r="R490" s="336"/>
      <c r="S490" s="336"/>
      <c r="T490" s="336"/>
      <c r="U490" s="337" t="s">
        <v>818</v>
      </c>
      <c r="V490" s="336"/>
    </row>
    <row r="491" ht="15.75" customHeight="1">
      <c r="A491" s="336"/>
      <c r="B491" s="336"/>
      <c r="C491" s="336"/>
      <c r="D491" s="336"/>
      <c r="E491" s="336"/>
      <c r="F491" s="336"/>
      <c r="G491" s="336"/>
      <c r="H491" s="336"/>
      <c r="I491" s="336"/>
      <c r="J491" s="336"/>
      <c r="K491" s="336"/>
      <c r="L491" s="336"/>
      <c r="M491" s="336"/>
      <c r="N491" s="336"/>
      <c r="O491" s="336"/>
      <c r="P491" s="336"/>
      <c r="Q491" s="336"/>
      <c r="R491" s="336"/>
      <c r="S491" s="336"/>
      <c r="T491" s="336"/>
      <c r="U491" s="337" t="s">
        <v>819</v>
      </c>
      <c r="V491" s="336"/>
    </row>
    <row r="492" ht="15.75" customHeight="1">
      <c r="A492" s="336"/>
      <c r="B492" s="336"/>
      <c r="C492" s="336"/>
      <c r="D492" s="336"/>
      <c r="E492" s="336"/>
      <c r="F492" s="336"/>
      <c r="G492" s="336"/>
      <c r="H492" s="336"/>
      <c r="I492" s="336"/>
      <c r="J492" s="336"/>
      <c r="K492" s="336"/>
      <c r="L492" s="336"/>
      <c r="M492" s="336"/>
      <c r="N492" s="336"/>
      <c r="O492" s="336"/>
      <c r="P492" s="336"/>
      <c r="Q492" s="336"/>
      <c r="R492" s="336"/>
      <c r="S492" s="336"/>
      <c r="T492" s="336"/>
      <c r="U492" s="337" t="s">
        <v>820</v>
      </c>
      <c r="V492" s="336"/>
    </row>
    <row r="493" ht="15.75" customHeight="1">
      <c r="A493" s="336"/>
      <c r="B493" s="336"/>
      <c r="C493" s="336"/>
      <c r="D493" s="336"/>
      <c r="E493" s="336"/>
      <c r="F493" s="336"/>
      <c r="G493" s="336"/>
      <c r="H493" s="336"/>
      <c r="I493" s="336"/>
      <c r="J493" s="336"/>
      <c r="K493" s="336"/>
      <c r="L493" s="336"/>
      <c r="M493" s="336"/>
      <c r="N493" s="336"/>
      <c r="O493" s="336"/>
      <c r="P493" s="336"/>
      <c r="Q493" s="336"/>
      <c r="R493" s="336"/>
      <c r="S493" s="336"/>
      <c r="T493" s="336"/>
      <c r="U493" s="337" t="s">
        <v>821</v>
      </c>
      <c r="V493" s="336"/>
    </row>
    <row r="494" ht="15.75" customHeight="1">
      <c r="A494" s="336"/>
      <c r="B494" s="336"/>
      <c r="C494" s="336"/>
      <c r="D494" s="336"/>
      <c r="E494" s="336"/>
      <c r="F494" s="336"/>
      <c r="G494" s="336"/>
      <c r="H494" s="336"/>
      <c r="I494" s="336"/>
      <c r="J494" s="336"/>
      <c r="K494" s="336"/>
      <c r="L494" s="336"/>
      <c r="M494" s="336"/>
      <c r="N494" s="336"/>
      <c r="O494" s="336"/>
      <c r="P494" s="336"/>
      <c r="Q494" s="336"/>
      <c r="R494" s="336"/>
      <c r="S494" s="336"/>
      <c r="T494" s="336"/>
      <c r="U494" s="337" t="s">
        <v>822</v>
      </c>
      <c r="V494" s="336"/>
    </row>
    <row r="495" ht="15.75" customHeight="1">
      <c r="A495" s="336"/>
      <c r="B495" s="336"/>
      <c r="C495" s="336"/>
      <c r="D495" s="336"/>
      <c r="E495" s="336"/>
      <c r="F495" s="336"/>
      <c r="G495" s="336"/>
      <c r="H495" s="336"/>
      <c r="I495" s="336"/>
      <c r="J495" s="336"/>
      <c r="K495" s="336"/>
      <c r="L495" s="336"/>
      <c r="M495" s="336"/>
      <c r="N495" s="336"/>
      <c r="O495" s="336"/>
      <c r="P495" s="336"/>
      <c r="Q495" s="336"/>
      <c r="R495" s="336"/>
      <c r="S495" s="336"/>
      <c r="T495" s="336"/>
      <c r="U495" s="337" t="s">
        <v>823</v>
      </c>
      <c r="V495" s="336"/>
    </row>
    <row r="496" ht="15.75" customHeight="1">
      <c r="A496" s="336"/>
      <c r="B496" s="336"/>
      <c r="C496" s="336"/>
      <c r="D496" s="336"/>
      <c r="E496" s="336"/>
      <c r="F496" s="336"/>
      <c r="G496" s="336"/>
      <c r="H496" s="336"/>
      <c r="I496" s="336"/>
      <c r="J496" s="336"/>
      <c r="K496" s="336"/>
      <c r="L496" s="336"/>
      <c r="M496" s="336"/>
      <c r="N496" s="336"/>
      <c r="O496" s="336"/>
      <c r="P496" s="336"/>
      <c r="Q496" s="336"/>
      <c r="R496" s="336"/>
      <c r="S496" s="336"/>
      <c r="T496" s="336"/>
      <c r="U496" s="337" t="s">
        <v>824</v>
      </c>
      <c r="V496" s="336"/>
    </row>
    <row r="497" ht="15.75" customHeight="1">
      <c r="A497" s="336"/>
      <c r="B497" s="336"/>
      <c r="C497" s="336"/>
      <c r="D497" s="336"/>
      <c r="E497" s="336"/>
      <c r="F497" s="336"/>
      <c r="G497" s="336"/>
      <c r="H497" s="336"/>
      <c r="I497" s="336"/>
      <c r="J497" s="336"/>
      <c r="K497" s="336"/>
      <c r="L497" s="336"/>
      <c r="M497" s="336"/>
      <c r="N497" s="336"/>
      <c r="O497" s="336"/>
      <c r="P497" s="336"/>
      <c r="Q497" s="336"/>
      <c r="R497" s="336"/>
      <c r="S497" s="336"/>
      <c r="T497" s="336"/>
      <c r="U497" s="337" t="s">
        <v>825</v>
      </c>
      <c r="V497" s="336"/>
    </row>
    <row r="498" ht="15.75" customHeight="1">
      <c r="A498" s="336"/>
      <c r="B498" s="336"/>
      <c r="C498" s="336"/>
      <c r="D498" s="336"/>
      <c r="E498" s="336"/>
      <c r="F498" s="336"/>
      <c r="G498" s="336"/>
      <c r="H498" s="336"/>
      <c r="I498" s="336"/>
      <c r="J498" s="336"/>
      <c r="K498" s="336"/>
      <c r="L498" s="336"/>
      <c r="M498" s="336"/>
      <c r="N498" s="336"/>
      <c r="O498" s="336"/>
      <c r="P498" s="336"/>
      <c r="Q498" s="336"/>
      <c r="R498" s="336"/>
      <c r="S498" s="336"/>
      <c r="T498" s="336"/>
      <c r="U498" s="337" t="s">
        <v>826</v>
      </c>
      <c r="V498" s="336"/>
    </row>
    <row r="499" ht="15.75" customHeight="1">
      <c r="A499" s="336"/>
      <c r="B499" s="336"/>
      <c r="C499" s="336"/>
      <c r="D499" s="336"/>
      <c r="E499" s="336"/>
      <c r="F499" s="336"/>
      <c r="G499" s="336"/>
      <c r="H499" s="336"/>
      <c r="I499" s="336"/>
      <c r="J499" s="336"/>
      <c r="K499" s="336"/>
      <c r="L499" s="336"/>
      <c r="M499" s="336"/>
      <c r="N499" s="336"/>
      <c r="O499" s="336"/>
      <c r="P499" s="336"/>
      <c r="Q499" s="336"/>
      <c r="R499" s="336"/>
      <c r="S499" s="336"/>
      <c r="T499" s="336"/>
      <c r="U499" s="337" t="s">
        <v>827</v>
      </c>
      <c r="V499" s="336"/>
    </row>
    <row r="500" ht="15.75" customHeight="1">
      <c r="A500" s="336"/>
      <c r="B500" s="336"/>
      <c r="C500" s="336"/>
      <c r="D500" s="336"/>
      <c r="E500" s="336"/>
      <c r="F500" s="336"/>
      <c r="G500" s="336"/>
      <c r="H500" s="336"/>
      <c r="I500" s="336"/>
      <c r="J500" s="336"/>
      <c r="K500" s="336"/>
      <c r="L500" s="336"/>
      <c r="M500" s="336"/>
      <c r="N500" s="336"/>
      <c r="O500" s="336"/>
      <c r="P500" s="336"/>
      <c r="Q500" s="336"/>
      <c r="R500" s="336"/>
      <c r="S500" s="336"/>
      <c r="T500" s="336"/>
      <c r="U500" s="337" t="s">
        <v>828</v>
      </c>
      <c r="V500" s="336"/>
    </row>
    <row r="501" ht="15.75" customHeight="1">
      <c r="A501" s="336"/>
      <c r="B501" s="336"/>
      <c r="C501" s="336"/>
      <c r="D501" s="336"/>
      <c r="E501" s="336"/>
      <c r="F501" s="336"/>
      <c r="G501" s="336"/>
      <c r="H501" s="336"/>
      <c r="I501" s="336"/>
      <c r="J501" s="336"/>
      <c r="K501" s="336"/>
      <c r="L501" s="336"/>
      <c r="M501" s="336"/>
      <c r="N501" s="336"/>
      <c r="O501" s="336"/>
      <c r="P501" s="336"/>
      <c r="Q501" s="336"/>
      <c r="R501" s="336"/>
      <c r="S501" s="336"/>
      <c r="T501" s="336"/>
      <c r="U501" s="337" t="s">
        <v>829</v>
      </c>
      <c r="V501" s="336"/>
    </row>
    <row r="502" ht="15.75" customHeight="1">
      <c r="A502" s="336"/>
      <c r="B502" s="336"/>
      <c r="C502" s="336"/>
      <c r="D502" s="336"/>
      <c r="E502" s="336"/>
      <c r="F502" s="336"/>
      <c r="G502" s="336"/>
      <c r="H502" s="336"/>
      <c r="I502" s="336"/>
      <c r="J502" s="336"/>
      <c r="K502" s="336"/>
      <c r="L502" s="336"/>
      <c r="M502" s="336"/>
      <c r="N502" s="336"/>
      <c r="O502" s="336"/>
      <c r="P502" s="336"/>
      <c r="Q502" s="336"/>
      <c r="R502" s="336"/>
      <c r="S502" s="336"/>
      <c r="T502" s="336"/>
      <c r="U502" s="337" t="s">
        <v>830</v>
      </c>
      <c r="V502" s="336"/>
    </row>
    <row r="503" ht="15.75" customHeight="1">
      <c r="A503" s="336"/>
      <c r="B503" s="336"/>
      <c r="C503" s="336"/>
      <c r="D503" s="336"/>
      <c r="E503" s="336"/>
      <c r="F503" s="336"/>
      <c r="G503" s="336"/>
      <c r="H503" s="336"/>
      <c r="I503" s="336"/>
      <c r="J503" s="336"/>
      <c r="K503" s="336"/>
      <c r="L503" s="336"/>
      <c r="M503" s="336"/>
      <c r="N503" s="336"/>
      <c r="O503" s="336"/>
      <c r="P503" s="336"/>
      <c r="Q503" s="336"/>
      <c r="R503" s="336"/>
      <c r="S503" s="336"/>
      <c r="T503" s="336"/>
      <c r="U503" s="337" t="s">
        <v>831</v>
      </c>
      <c r="V503" s="336"/>
    </row>
    <row r="504" ht="15.75" customHeight="1">
      <c r="A504" s="336"/>
      <c r="B504" s="336"/>
      <c r="C504" s="336"/>
      <c r="D504" s="336"/>
      <c r="E504" s="336"/>
      <c r="F504" s="336"/>
      <c r="G504" s="336"/>
      <c r="H504" s="336"/>
      <c r="I504" s="336"/>
      <c r="J504" s="336"/>
      <c r="K504" s="336"/>
      <c r="L504" s="336"/>
      <c r="M504" s="336"/>
      <c r="N504" s="336"/>
      <c r="O504" s="336"/>
      <c r="P504" s="336"/>
      <c r="Q504" s="336"/>
      <c r="R504" s="336"/>
      <c r="S504" s="336"/>
      <c r="T504" s="336"/>
      <c r="U504" s="337" t="s">
        <v>832</v>
      </c>
      <c r="V504" s="336"/>
    </row>
    <row r="505" ht="15.75" customHeight="1">
      <c r="A505" s="336"/>
      <c r="B505" s="336"/>
      <c r="C505" s="336"/>
      <c r="D505" s="336"/>
      <c r="E505" s="336"/>
      <c r="F505" s="336"/>
      <c r="G505" s="336"/>
      <c r="H505" s="336"/>
      <c r="I505" s="336"/>
      <c r="J505" s="336"/>
      <c r="K505" s="336"/>
      <c r="L505" s="336"/>
      <c r="M505" s="336"/>
      <c r="N505" s="336"/>
      <c r="O505" s="336"/>
      <c r="P505" s="336"/>
      <c r="Q505" s="336"/>
      <c r="R505" s="336"/>
      <c r="S505" s="336"/>
      <c r="T505" s="336"/>
      <c r="U505" s="337" t="s">
        <v>833</v>
      </c>
      <c r="V505" s="336"/>
    </row>
    <row r="506" ht="15.75" customHeight="1">
      <c r="A506" s="336"/>
      <c r="B506" s="336"/>
      <c r="C506" s="336"/>
      <c r="D506" s="336"/>
      <c r="E506" s="336"/>
      <c r="F506" s="336"/>
      <c r="G506" s="336"/>
      <c r="H506" s="336"/>
      <c r="I506" s="336"/>
      <c r="J506" s="336"/>
      <c r="K506" s="336"/>
      <c r="L506" s="336"/>
      <c r="M506" s="336"/>
      <c r="N506" s="336"/>
      <c r="O506" s="336"/>
      <c r="P506" s="336"/>
      <c r="Q506" s="336"/>
      <c r="R506" s="336"/>
      <c r="S506" s="336"/>
      <c r="T506" s="336"/>
      <c r="U506" s="337" t="s">
        <v>834</v>
      </c>
      <c r="V506" s="336"/>
    </row>
    <row r="507" ht="15.75" customHeight="1">
      <c r="A507" s="336"/>
      <c r="B507" s="336"/>
      <c r="C507" s="336"/>
      <c r="D507" s="336"/>
      <c r="E507" s="336"/>
      <c r="F507" s="336"/>
      <c r="G507" s="336"/>
      <c r="H507" s="336"/>
      <c r="I507" s="336"/>
      <c r="J507" s="336"/>
      <c r="K507" s="336"/>
      <c r="L507" s="336"/>
      <c r="M507" s="336"/>
      <c r="N507" s="336"/>
      <c r="O507" s="336"/>
      <c r="P507" s="336"/>
      <c r="Q507" s="336"/>
      <c r="R507" s="336"/>
      <c r="S507" s="336"/>
      <c r="T507" s="336"/>
      <c r="U507" s="337" t="s">
        <v>835</v>
      </c>
      <c r="V507" s="336"/>
    </row>
    <row r="508" ht="15.75" customHeight="1">
      <c r="A508" s="336"/>
      <c r="B508" s="336"/>
      <c r="C508" s="336"/>
      <c r="D508" s="336"/>
      <c r="E508" s="336"/>
      <c r="F508" s="336"/>
      <c r="G508" s="336"/>
      <c r="H508" s="336"/>
      <c r="I508" s="336"/>
      <c r="J508" s="336"/>
      <c r="K508" s="336"/>
      <c r="L508" s="336"/>
      <c r="M508" s="336"/>
      <c r="N508" s="336"/>
      <c r="O508" s="336"/>
      <c r="P508" s="336"/>
      <c r="Q508" s="336"/>
      <c r="R508" s="336"/>
      <c r="S508" s="336"/>
      <c r="T508" s="336"/>
      <c r="U508" s="337" t="s">
        <v>836</v>
      </c>
      <c r="V508" s="336"/>
    </row>
    <row r="509" ht="15.75" customHeight="1">
      <c r="A509" s="336"/>
      <c r="B509" s="336"/>
      <c r="C509" s="336"/>
      <c r="D509" s="336"/>
      <c r="E509" s="336"/>
      <c r="F509" s="336"/>
      <c r="G509" s="336"/>
      <c r="H509" s="336"/>
      <c r="I509" s="336"/>
      <c r="J509" s="336"/>
      <c r="K509" s="336"/>
      <c r="L509" s="336"/>
      <c r="M509" s="336"/>
      <c r="N509" s="336"/>
      <c r="O509" s="336"/>
      <c r="P509" s="336"/>
      <c r="Q509" s="336"/>
      <c r="R509" s="336"/>
      <c r="S509" s="336"/>
      <c r="T509" s="336"/>
      <c r="U509" s="337" t="s">
        <v>837</v>
      </c>
      <c r="V509" s="336"/>
    </row>
    <row r="510" ht="15.75" customHeight="1">
      <c r="A510" s="336"/>
      <c r="B510" s="336"/>
      <c r="C510" s="336"/>
      <c r="D510" s="336"/>
      <c r="E510" s="336"/>
      <c r="F510" s="336"/>
      <c r="G510" s="336"/>
      <c r="H510" s="336"/>
      <c r="I510" s="336"/>
      <c r="J510" s="336"/>
      <c r="K510" s="336"/>
      <c r="L510" s="336"/>
      <c r="M510" s="336"/>
      <c r="N510" s="336"/>
      <c r="O510" s="336"/>
      <c r="P510" s="336"/>
      <c r="Q510" s="336"/>
      <c r="R510" s="336"/>
      <c r="S510" s="336"/>
      <c r="T510" s="336"/>
      <c r="U510" s="337" t="s">
        <v>838</v>
      </c>
      <c r="V510" s="336"/>
    </row>
    <row r="511" ht="15.75" customHeight="1">
      <c r="A511" s="336"/>
      <c r="B511" s="336"/>
      <c r="C511" s="336"/>
      <c r="D511" s="336"/>
      <c r="E511" s="336"/>
      <c r="F511" s="336"/>
      <c r="G511" s="336"/>
      <c r="H511" s="336"/>
      <c r="I511" s="336"/>
      <c r="J511" s="336"/>
      <c r="K511" s="336"/>
      <c r="L511" s="336"/>
      <c r="M511" s="336"/>
      <c r="N511" s="336"/>
      <c r="O511" s="336"/>
      <c r="P511" s="336"/>
      <c r="Q511" s="336"/>
      <c r="R511" s="336"/>
      <c r="S511" s="336"/>
      <c r="T511" s="336"/>
      <c r="U511" s="337" t="s">
        <v>839</v>
      </c>
      <c r="V511" s="336"/>
    </row>
    <row r="512" ht="15.75" customHeight="1">
      <c r="A512" s="336"/>
      <c r="B512" s="336"/>
      <c r="C512" s="336"/>
      <c r="D512" s="336"/>
      <c r="E512" s="336"/>
      <c r="F512" s="336"/>
      <c r="G512" s="336"/>
      <c r="H512" s="336"/>
      <c r="I512" s="336"/>
      <c r="J512" s="336"/>
      <c r="K512" s="336"/>
      <c r="L512" s="336"/>
      <c r="M512" s="336"/>
      <c r="N512" s="336"/>
      <c r="O512" s="336"/>
      <c r="P512" s="336"/>
      <c r="Q512" s="336"/>
      <c r="R512" s="336"/>
      <c r="S512" s="336"/>
      <c r="T512" s="336"/>
      <c r="U512" s="337" t="s">
        <v>840</v>
      </c>
      <c r="V512" s="336"/>
    </row>
    <row r="513" ht="15.75" customHeight="1">
      <c r="A513" s="336"/>
      <c r="B513" s="336"/>
      <c r="C513" s="336"/>
      <c r="D513" s="336"/>
      <c r="E513" s="336"/>
      <c r="F513" s="336"/>
      <c r="G513" s="336"/>
      <c r="H513" s="336"/>
      <c r="I513" s="336"/>
      <c r="J513" s="336"/>
      <c r="K513" s="336"/>
      <c r="L513" s="336"/>
      <c r="M513" s="336"/>
      <c r="N513" s="336"/>
      <c r="O513" s="336"/>
      <c r="P513" s="336"/>
      <c r="Q513" s="336"/>
      <c r="R513" s="336"/>
      <c r="S513" s="336"/>
      <c r="T513" s="336"/>
      <c r="U513" s="337" t="s">
        <v>841</v>
      </c>
      <c r="V513" s="336"/>
    </row>
    <row r="514" ht="15.75" customHeight="1">
      <c r="A514" s="336"/>
      <c r="B514" s="336"/>
      <c r="C514" s="336"/>
      <c r="D514" s="336"/>
      <c r="E514" s="336"/>
      <c r="F514" s="336"/>
      <c r="G514" s="336"/>
      <c r="H514" s="336"/>
      <c r="I514" s="336"/>
      <c r="J514" s="336"/>
      <c r="K514" s="336"/>
      <c r="L514" s="336"/>
      <c r="M514" s="336"/>
      <c r="N514" s="336"/>
      <c r="O514" s="336"/>
      <c r="P514" s="336"/>
      <c r="Q514" s="336"/>
      <c r="R514" s="336"/>
      <c r="S514" s="336"/>
      <c r="T514" s="336"/>
      <c r="U514" s="337" t="s">
        <v>842</v>
      </c>
      <c r="V514" s="336"/>
    </row>
    <row r="515" ht="15.75" customHeight="1">
      <c r="A515" s="336"/>
      <c r="B515" s="336"/>
      <c r="C515" s="336"/>
      <c r="D515" s="336"/>
      <c r="E515" s="336"/>
      <c r="F515" s="336"/>
      <c r="G515" s="336"/>
      <c r="H515" s="336"/>
      <c r="I515" s="336"/>
      <c r="J515" s="336"/>
      <c r="K515" s="336"/>
      <c r="L515" s="336"/>
      <c r="M515" s="336"/>
      <c r="N515" s="336"/>
      <c r="O515" s="336"/>
      <c r="P515" s="336"/>
      <c r="Q515" s="336"/>
      <c r="R515" s="336"/>
      <c r="S515" s="336"/>
      <c r="T515" s="336"/>
      <c r="U515" s="337" t="s">
        <v>843</v>
      </c>
      <c r="V515" s="336"/>
    </row>
    <row r="516" ht="15.75" customHeight="1">
      <c r="A516" s="336"/>
      <c r="B516" s="336"/>
      <c r="C516" s="336"/>
      <c r="D516" s="336"/>
      <c r="E516" s="336"/>
      <c r="F516" s="336"/>
      <c r="G516" s="336"/>
      <c r="H516" s="336"/>
      <c r="I516" s="336"/>
      <c r="J516" s="336"/>
      <c r="K516" s="336"/>
      <c r="L516" s="336"/>
      <c r="M516" s="336"/>
      <c r="N516" s="336"/>
      <c r="O516" s="336"/>
      <c r="P516" s="336"/>
      <c r="Q516" s="336"/>
      <c r="R516" s="336"/>
      <c r="S516" s="336"/>
      <c r="T516" s="336"/>
      <c r="U516" s="337" t="s">
        <v>844</v>
      </c>
      <c r="V516" s="336"/>
    </row>
    <row r="517" ht="15.75" customHeight="1">
      <c r="A517" s="336"/>
      <c r="B517" s="336"/>
      <c r="C517" s="336"/>
      <c r="D517" s="336"/>
      <c r="E517" s="336"/>
      <c r="F517" s="336"/>
      <c r="G517" s="336"/>
      <c r="H517" s="336"/>
      <c r="I517" s="336"/>
      <c r="J517" s="336"/>
      <c r="K517" s="336"/>
      <c r="L517" s="336"/>
      <c r="M517" s="336"/>
      <c r="N517" s="336"/>
      <c r="O517" s="336"/>
      <c r="P517" s="336"/>
      <c r="Q517" s="336"/>
      <c r="R517" s="336"/>
      <c r="S517" s="336"/>
      <c r="T517" s="336"/>
      <c r="U517" s="337" t="s">
        <v>845</v>
      </c>
      <c r="V517" s="336"/>
    </row>
    <row r="518" ht="15.75" customHeight="1">
      <c r="A518" s="336"/>
      <c r="B518" s="336"/>
      <c r="C518" s="336"/>
      <c r="D518" s="336"/>
      <c r="E518" s="336"/>
      <c r="F518" s="336"/>
      <c r="G518" s="336"/>
      <c r="H518" s="336"/>
      <c r="I518" s="336"/>
      <c r="J518" s="336"/>
      <c r="K518" s="336"/>
      <c r="L518" s="336"/>
      <c r="M518" s="336"/>
      <c r="N518" s="336"/>
      <c r="O518" s="336"/>
      <c r="P518" s="336"/>
      <c r="Q518" s="336"/>
      <c r="R518" s="336"/>
      <c r="S518" s="336"/>
      <c r="T518" s="336"/>
      <c r="U518" s="337" t="s">
        <v>846</v>
      </c>
      <c r="V518" s="336"/>
    </row>
    <row r="519" ht="15.75" customHeight="1">
      <c r="A519" s="336"/>
      <c r="B519" s="336"/>
      <c r="C519" s="336"/>
      <c r="D519" s="336"/>
      <c r="E519" s="336"/>
      <c r="F519" s="336"/>
      <c r="G519" s="336"/>
      <c r="H519" s="336"/>
      <c r="I519" s="336"/>
      <c r="J519" s="336"/>
      <c r="K519" s="336"/>
      <c r="L519" s="336"/>
      <c r="M519" s="336"/>
      <c r="N519" s="336"/>
      <c r="O519" s="336"/>
      <c r="P519" s="336"/>
      <c r="Q519" s="336"/>
      <c r="R519" s="336"/>
      <c r="S519" s="336"/>
      <c r="T519" s="336"/>
      <c r="U519" s="337" t="s">
        <v>847</v>
      </c>
      <c r="V519" s="336"/>
    </row>
    <row r="520" ht="15.75" customHeight="1">
      <c r="A520" s="336"/>
      <c r="B520" s="336"/>
      <c r="C520" s="336"/>
      <c r="D520" s="336"/>
      <c r="E520" s="336"/>
      <c r="F520" s="336"/>
      <c r="G520" s="336"/>
      <c r="H520" s="336"/>
      <c r="I520" s="336"/>
      <c r="J520" s="336"/>
      <c r="K520" s="336"/>
      <c r="L520" s="336"/>
      <c r="M520" s="336"/>
      <c r="N520" s="336"/>
      <c r="O520" s="336"/>
      <c r="P520" s="336"/>
      <c r="Q520" s="336"/>
      <c r="R520" s="336"/>
      <c r="S520" s="336"/>
      <c r="T520" s="336"/>
      <c r="U520" s="337" t="s">
        <v>848</v>
      </c>
      <c r="V520" s="336"/>
    </row>
    <row r="521" ht="15.75" customHeight="1">
      <c r="A521" s="336"/>
      <c r="B521" s="336"/>
      <c r="C521" s="336"/>
      <c r="D521" s="336"/>
      <c r="E521" s="336"/>
      <c r="F521" s="336"/>
      <c r="G521" s="336"/>
      <c r="H521" s="336"/>
      <c r="I521" s="336"/>
      <c r="J521" s="336"/>
      <c r="K521" s="336"/>
      <c r="L521" s="336"/>
      <c r="M521" s="336"/>
      <c r="N521" s="336"/>
      <c r="O521" s="336"/>
      <c r="P521" s="336"/>
      <c r="Q521" s="336"/>
      <c r="R521" s="336"/>
      <c r="S521" s="336"/>
      <c r="T521" s="336"/>
      <c r="U521" s="337" t="s">
        <v>849</v>
      </c>
      <c r="V521" s="336"/>
    </row>
    <row r="522" ht="15.75" customHeight="1">
      <c r="A522" s="336"/>
      <c r="B522" s="336"/>
      <c r="C522" s="336"/>
      <c r="D522" s="336"/>
      <c r="E522" s="336"/>
      <c r="F522" s="336"/>
      <c r="G522" s="336"/>
      <c r="H522" s="336"/>
      <c r="I522" s="336"/>
      <c r="J522" s="336"/>
      <c r="K522" s="336"/>
      <c r="L522" s="336"/>
      <c r="M522" s="336"/>
      <c r="N522" s="336"/>
      <c r="O522" s="336"/>
      <c r="P522" s="336"/>
      <c r="Q522" s="336"/>
      <c r="R522" s="336"/>
      <c r="S522" s="336"/>
      <c r="T522" s="336"/>
      <c r="U522" s="337" t="s">
        <v>850</v>
      </c>
      <c r="V522" s="336"/>
    </row>
    <row r="523" ht="15.75" customHeight="1">
      <c r="A523" s="336"/>
      <c r="B523" s="336"/>
      <c r="C523" s="336"/>
      <c r="D523" s="336"/>
      <c r="E523" s="336"/>
      <c r="F523" s="336"/>
      <c r="G523" s="336"/>
      <c r="H523" s="336"/>
      <c r="I523" s="336"/>
      <c r="J523" s="336"/>
      <c r="K523" s="336"/>
      <c r="L523" s="336"/>
      <c r="M523" s="336"/>
      <c r="N523" s="336"/>
      <c r="O523" s="336"/>
      <c r="P523" s="336"/>
      <c r="Q523" s="336"/>
      <c r="R523" s="336"/>
      <c r="S523" s="336"/>
      <c r="T523" s="336"/>
      <c r="U523" s="337" t="s">
        <v>851</v>
      </c>
      <c r="V523" s="336"/>
    </row>
    <row r="524" ht="15.75" customHeight="1">
      <c r="A524" s="336"/>
      <c r="B524" s="336"/>
      <c r="C524" s="336"/>
      <c r="D524" s="336"/>
      <c r="E524" s="336"/>
      <c r="F524" s="336"/>
      <c r="G524" s="336"/>
      <c r="H524" s="336"/>
      <c r="I524" s="336"/>
      <c r="J524" s="336"/>
      <c r="K524" s="336"/>
      <c r="L524" s="336"/>
      <c r="M524" s="336"/>
      <c r="N524" s="336"/>
      <c r="O524" s="336"/>
      <c r="P524" s="336"/>
      <c r="Q524" s="336"/>
      <c r="R524" s="336"/>
      <c r="S524" s="336"/>
      <c r="T524" s="336"/>
      <c r="U524" s="337" t="s">
        <v>852</v>
      </c>
      <c r="V524" s="336"/>
    </row>
    <row r="525" ht="15.75" customHeight="1">
      <c r="A525" s="336"/>
      <c r="B525" s="336"/>
      <c r="C525" s="336"/>
      <c r="D525" s="336"/>
      <c r="E525" s="336"/>
      <c r="F525" s="336"/>
      <c r="G525" s="336"/>
      <c r="H525" s="336"/>
      <c r="I525" s="336"/>
      <c r="J525" s="336"/>
      <c r="K525" s="336"/>
      <c r="L525" s="336"/>
      <c r="M525" s="336"/>
      <c r="N525" s="336"/>
      <c r="O525" s="336"/>
      <c r="P525" s="336"/>
      <c r="Q525" s="336"/>
      <c r="R525" s="336"/>
      <c r="S525" s="336"/>
      <c r="T525" s="336"/>
      <c r="U525" s="337" t="s">
        <v>853</v>
      </c>
      <c r="V525" s="336"/>
    </row>
    <row r="526" ht="15.75" customHeight="1">
      <c r="A526" s="336"/>
      <c r="B526" s="336"/>
      <c r="C526" s="336"/>
      <c r="D526" s="336"/>
      <c r="E526" s="336"/>
      <c r="F526" s="336"/>
      <c r="G526" s="336"/>
      <c r="H526" s="336"/>
      <c r="I526" s="336"/>
      <c r="J526" s="336"/>
      <c r="K526" s="336"/>
      <c r="L526" s="336"/>
      <c r="M526" s="336"/>
      <c r="N526" s="336"/>
      <c r="O526" s="336"/>
      <c r="P526" s="336"/>
      <c r="Q526" s="336"/>
      <c r="R526" s="336"/>
      <c r="S526" s="336"/>
      <c r="T526" s="336"/>
      <c r="U526" s="337" t="s">
        <v>854</v>
      </c>
      <c r="V526" s="336"/>
    </row>
    <row r="527" ht="15.75" customHeight="1">
      <c r="A527" s="336"/>
      <c r="B527" s="336"/>
      <c r="C527" s="336"/>
      <c r="D527" s="336"/>
      <c r="E527" s="336"/>
      <c r="F527" s="336"/>
      <c r="G527" s="336"/>
      <c r="H527" s="336"/>
      <c r="I527" s="336"/>
      <c r="J527" s="336"/>
      <c r="K527" s="336"/>
      <c r="L527" s="336"/>
      <c r="M527" s="336"/>
      <c r="N527" s="336"/>
      <c r="O527" s="336"/>
      <c r="P527" s="336"/>
      <c r="Q527" s="336"/>
      <c r="R527" s="336"/>
      <c r="S527" s="336"/>
      <c r="T527" s="336"/>
      <c r="U527" s="337" t="s">
        <v>855</v>
      </c>
      <c r="V527" s="336"/>
    </row>
    <row r="528" ht="15.75" customHeight="1">
      <c r="A528" s="336"/>
      <c r="B528" s="336"/>
      <c r="C528" s="336"/>
      <c r="D528" s="336"/>
      <c r="E528" s="336"/>
      <c r="F528" s="336"/>
      <c r="G528" s="336"/>
      <c r="H528" s="336"/>
      <c r="I528" s="336"/>
      <c r="J528" s="336"/>
      <c r="K528" s="336"/>
      <c r="L528" s="336"/>
      <c r="M528" s="336"/>
      <c r="N528" s="336"/>
      <c r="O528" s="336"/>
      <c r="P528" s="336"/>
      <c r="Q528" s="336"/>
      <c r="R528" s="336"/>
      <c r="S528" s="336"/>
      <c r="T528" s="336"/>
      <c r="U528" s="337" t="s">
        <v>856</v>
      </c>
      <c r="V528" s="336"/>
    </row>
    <row r="529" ht="15.75" customHeight="1">
      <c r="A529" s="336"/>
      <c r="B529" s="336"/>
      <c r="C529" s="336"/>
      <c r="D529" s="336"/>
      <c r="E529" s="336"/>
      <c r="F529" s="336"/>
      <c r="G529" s="336"/>
      <c r="H529" s="336"/>
      <c r="I529" s="336"/>
      <c r="J529" s="336"/>
      <c r="K529" s="336"/>
      <c r="L529" s="336"/>
      <c r="M529" s="336"/>
      <c r="N529" s="336"/>
      <c r="O529" s="336"/>
      <c r="P529" s="336"/>
      <c r="Q529" s="336"/>
      <c r="R529" s="336"/>
      <c r="S529" s="336"/>
      <c r="T529" s="336"/>
      <c r="U529" s="337" t="s">
        <v>857</v>
      </c>
      <c r="V529" s="336"/>
    </row>
    <row r="530" ht="15.75" customHeight="1">
      <c r="A530" s="336"/>
      <c r="B530" s="336"/>
      <c r="C530" s="336"/>
      <c r="D530" s="336"/>
      <c r="E530" s="336"/>
      <c r="F530" s="336"/>
      <c r="G530" s="336"/>
      <c r="H530" s="336"/>
      <c r="I530" s="336"/>
      <c r="J530" s="336"/>
      <c r="K530" s="336"/>
      <c r="L530" s="336"/>
      <c r="M530" s="336"/>
      <c r="N530" s="336"/>
      <c r="O530" s="336"/>
      <c r="P530" s="336"/>
      <c r="Q530" s="336"/>
      <c r="R530" s="336"/>
      <c r="S530" s="336"/>
      <c r="T530" s="336"/>
      <c r="U530" s="337" t="s">
        <v>858</v>
      </c>
      <c r="V530" s="336"/>
    </row>
    <row r="531" ht="15.75" customHeight="1">
      <c r="A531" s="336"/>
      <c r="B531" s="336"/>
      <c r="C531" s="336"/>
      <c r="D531" s="336"/>
      <c r="E531" s="336"/>
      <c r="F531" s="336"/>
      <c r="G531" s="336"/>
      <c r="H531" s="336"/>
      <c r="I531" s="336"/>
      <c r="J531" s="336"/>
      <c r="K531" s="336"/>
      <c r="L531" s="336"/>
      <c r="M531" s="336"/>
      <c r="N531" s="336"/>
      <c r="O531" s="336"/>
      <c r="P531" s="336"/>
      <c r="Q531" s="336"/>
      <c r="R531" s="336"/>
      <c r="S531" s="336"/>
      <c r="T531" s="336"/>
      <c r="U531" s="337" t="s">
        <v>859</v>
      </c>
      <c r="V531" s="336"/>
    </row>
    <row r="532" ht="15.75" customHeight="1">
      <c r="A532" s="336"/>
      <c r="B532" s="336"/>
      <c r="C532" s="336"/>
      <c r="D532" s="336"/>
      <c r="E532" s="336"/>
      <c r="F532" s="336"/>
      <c r="G532" s="336"/>
      <c r="H532" s="336"/>
      <c r="I532" s="336"/>
      <c r="J532" s="336"/>
      <c r="K532" s="336"/>
      <c r="L532" s="336"/>
      <c r="M532" s="336"/>
      <c r="N532" s="336"/>
      <c r="O532" s="336"/>
      <c r="P532" s="336"/>
      <c r="Q532" s="336"/>
      <c r="R532" s="336"/>
      <c r="S532" s="336"/>
      <c r="T532" s="336"/>
      <c r="U532" s="337" t="s">
        <v>860</v>
      </c>
      <c r="V532" s="336"/>
    </row>
    <row r="533" ht="15.75" customHeight="1">
      <c r="A533" s="336"/>
      <c r="B533" s="336"/>
      <c r="C533" s="336"/>
      <c r="D533" s="336"/>
      <c r="E533" s="336"/>
      <c r="F533" s="336"/>
      <c r="G533" s="336"/>
      <c r="H533" s="336"/>
      <c r="I533" s="336"/>
      <c r="J533" s="336"/>
      <c r="K533" s="336"/>
      <c r="L533" s="336"/>
      <c r="M533" s="336"/>
      <c r="N533" s="336"/>
      <c r="O533" s="336"/>
      <c r="P533" s="336"/>
      <c r="Q533" s="336"/>
      <c r="R533" s="336"/>
      <c r="S533" s="336"/>
      <c r="T533" s="336"/>
      <c r="U533" s="337" t="s">
        <v>861</v>
      </c>
      <c r="V533" s="336"/>
    </row>
    <row r="534" ht="15.75" customHeight="1">
      <c r="A534" s="336"/>
      <c r="B534" s="336"/>
      <c r="C534" s="336"/>
      <c r="D534" s="336"/>
      <c r="E534" s="336"/>
      <c r="F534" s="336"/>
      <c r="G534" s="336"/>
      <c r="H534" s="336"/>
      <c r="I534" s="336"/>
      <c r="J534" s="336"/>
      <c r="K534" s="336"/>
      <c r="L534" s="336"/>
      <c r="M534" s="336"/>
      <c r="N534" s="336"/>
      <c r="O534" s="336"/>
      <c r="P534" s="336"/>
      <c r="Q534" s="336"/>
      <c r="R534" s="336"/>
      <c r="S534" s="336"/>
      <c r="T534" s="336"/>
      <c r="U534" s="337" t="s">
        <v>862</v>
      </c>
      <c r="V534" s="336"/>
    </row>
    <row r="535" ht="15.75" customHeight="1">
      <c r="A535" s="336"/>
      <c r="B535" s="336"/>
      <c r="C535" s="336"/>
      <c r="D535" s="336"/>
      <c r="E535" s="336"/>
      <c r="F535" s="336"/>
      <c r="G535" s="336"/>
      <c r="H535" s="336"/>
      <c r="I535" s="336"/>
      <c r="J535" s="336"/>
      <c r="K535" s="336"/>
      <c r="L535" s="336"/>
      <c r="M535" s="336"/>
      <c r="N535" s="336"/>
      <c r="O535" s="336"/>
      <c r="P535" s="336"/>
      <c r="Q535" s="336"/>
      <c r="R535" s="336"/>
      <c r="S535" s="336"/>
      <c r="T535" s="336"/>
      <c r="U535" s="337" t="s">
        <v>863</v>
      </c>
      <c r="V535" s="336"/>
    </row>
    <row r="536" ht="15.75" customHeight="1">
      <c r="A536" s="336"/>
      <c r="B536" s="336"/>
      <c r="C536" s="336"/>
      <c r="D536" s="336"/>
      <c r="E536" s="336"/>
      <c r="F536" s="336"/>
      <c r="G536" s="336"/>
      <c r="H536" s="336"/>
      <c r="I536" s="336"/>
      <c r="J536" s="336"/>
      <c r="K536" s="336"/>
      <c r="L536" s="336"/>
      <c r="M536" s="336"/>
      <c r="N536" s="336"/>
      <c r="O536" s="336"/>
      <c r="P536" s="336"/>
      <c r="Q536" s="336"/>
      <c r="R536" s="336"/>
      <c r="S536" s="336"/>
      <c r="T536" s="336"/>
      <c r="U536" s="337" t="s">
        <v>864</v>
      </c>
      <c r="V536" s="336"/>
    </row>
    <row r="537" ht="15.75" customHeight="1">
      <c r="A537" s="336"/>
      <c r="B537" s="336"/>
      <c r="C537" s="336"/>
      <c r="D537" s="336"/>
      <c r="E537" s="336"/>
      <c r="F537" s="336"/>
      <c r="G537" s="336"/>
      <c r="H537" s="336"/>
      <c r="I537" s="336"/>
      <c r="J537" s="336"/>
      <c r="K537" s="336"/>
      <c r="L537" s="336"/>
      <c r="M537" s="336"/>
      <c r="N537" s="336"/>
      <c r="O537" s="336"/>
      <c r="P537" s="336"/>
      <c r="Q537" s="336"/>
      <c r="R537" s="336"/>
      <c r="S537" s="336"/>
      <c r="T537" s="336"/>
      <c r="U537" s="337" t="s">
        <v>865</v>
      </c>
      <c r="V537" s="336"/>
    </row>
    <row r="538" ht="15.75" customHeight="1">
      <c r="A538" s="336"/>
      <c r="B538" s="336"/>
      <c r="C538" s="336"/>
      <c r="D538" s="336"/>
      <c r="E538" s="336"/>
      <c r="F538" s="336"/>
      <c r="G538" s="336"/>
      <c r="H538" s="336"/>
      <c r="I538" s="336"/>
      <c r="J538" s="336"/>
      <c r="K538" s="336"/>
      <c r="L538" s="336"/>
      <c r="M538" s="336"/>
      <c r="N538" s="336"/>
      <c r="O538" s="336"/>
      <c r="P538" s="336"/>
      <c r="Q538" s="336"/>
      <c r="R538" s="336"/>
      <c r="S538" s="336"/>
      <c r="T538" s="336"/>
      <c r="U538" s="337" t="s">
        <v>866</v>
      </c>
      <c r="V538" s="336"/>
    </row>
    <row r="539" ht="15.75" customHeight="1">
      <c r="A539" s="336"/>
      <c r="B539" s="336"/>
      <c r="C539" s="336"/>
      <c r="D539" s="336"/>
      <c r="E539" s="336"/>
      <c r="F539" s="336"/>
      <c r="G539" s="336"/>
      <c r="H539" s="336"/>
      <c r="I539" s="336"/>
      <c r="J539" s="336"/>
      <c r="K539" s="336"/>
      <c r="L539" s="336"/>
      <c r="M539" s="336"/>
      <c r="N539" s="336"/>
      <c r="O539" s="336"/>
      <c r="P539" s="336"/>
      <c r="Q539" s="336"/>
      <c r="R539" s="336"/>
      <c r="S539" s="336"/>
      <c r="T539" s="336"/>
      <c r="U539" s="337" t="s">
        <v>867</v>
      </c>
      <c r="V539" s="336"/>
    </row>
    <row r="540" ht="15.75" customHeight="1">
      <c r="A540" s="336"/>
      <c r="B540" s="336"/>
      <c r="C540" s="336"/>
      <c r="D540" s="336"/>
      <c r="E540" s="336"/>
      <c r="F540" s="336"/>
      <c r="G540" s="336"/>
      <c r="H540" s="336"/>
      <c r="I540" s="336"/>
      <c r="J540" s="336"/>
      <c r="K540" s="336"/>
      <c r="L540" s="336"/>
      <c r="M540" s="336"/>
      <c r="N540" s="336"/>
      <c r="O540" s="336"/>
      <c r="P540" s="336"/>
      <c r="Q540" s="336"/>
      <c r="R540" s="336"/>
      <c r="S540" s="336"/>
      <c r="T540" s="336"/>
      <c r="U540" s="337" t="s">
        <v>868</v>
      </c>
      <c r="V540" s="336"/>
    </row>
    <row r="541" ht="15.75" customHeight="1">
      <c r="A541" s="336"/>
      <c r="B541" s="336"/>
      <c r="C541" s="336"/>
      <c r="D541" s="336"/>
      <c r="E541" s="336"/>
      <c r="F541" s="336"/>
      <c r="G541" s="336"/>
      <c r="H541" s="336"/>
      <c r="I541" s="336"/>
      <c r="J541" s="336"/>
      <c r="K541" s="336"/>
      <c r="L541" s="336"/>
      <c r="M541" s="336"/>
      <c r="N541" s="336"/>
      <c r="O541" s="336"/>
      <c r="P541" s="336"/>
      <c r="Q541" s="336"/>
      <c r="R541" s="336"/>
      <c r="S541" s="336"/>
      <c r="T541" s="336"/>
      <c r="U541" s="337" t="s">
        <v>869</v>
      </c>
      <c r="V541" s="336"/>
    </row>
    <row r="542" ht="15.75" customHeight="1">
      <c r="A542" s="336"/>
      <c r="B542" s="336"/>
      <c r="C542" s="336"/>
      <c r="D542" s="336"/>
      <c r="E542" s="336"/>
      <c r="F542" s="336"/>
      <c r="G542" s="336"/>
      <c r="H542" s="336"/>
      <c r="I542" s="336"/>
      <c r="J542" s="336"/>
      <c r="K542" s="336"/>
      <c r="L542" s="336"/>
      <c r="M542" s="336"/>
      <c r="N542" s="336"/>
      <c r="O542" s="336"/>
      <c r="P542" s="336"/>
      <c r="Q542" s="336"/>
      <c r="R542" s="336"/>
      <c r="S542" s="336"/>
      <c r="T542" s="336"/>
      <c r="U542" s="337" t="s">
        <v>870</v>
      </c>
      <c r="V542" s="336"/>
    </row>
    <row r="543" ht="15.75" customHeight="1">
      <c r="A543" s="336"/>
      <c r="B543" s="336"/>
      <c r="C543" s="336"/>
      <c r="D543" s="336"/>
      <c r="E543" s="336"/>
      <c r="F543" s="336"/>
      <c r="G543" s="336"/>
      <c r="H543" s="336"/>
      <c r="I543" s="336"/>
      <c r="J543" s="336"/>
      <c r="K543" s="336"/>
      <c r="L543" s="336"/>
      <c r="M543" s="336"/>
      <c r="N543" s="336"/>
      <c r="O543" s="336"/>
      <c r="P543" s="336"/>
      <c r="Q543" s="336"/>
      <c r="R543" s="336"/>
      <c r="S543" s="336"/>
      <c r="T543" s="336"/>
      <c r="U543" s="337" t="s">
        <v>871</v>
      </c>
      <c r="V543" s="336"/>
    </row>
    <row r="544" ht="15.75" customHeight="1">
      <c r="A544" s="336"/>
      <c r="B544" s="336"/>
      <c r="C544" s="336"/>
      <c r="D544" s="336"/>
      <c r="E544" s="336"/>
      <c r="F544" s="336"/>
      <c r="G544" s="336"/>
      <c r="H544" s="336"/>
      <c r="I544" s="336"/>
      <c r="J544" s="336"/>
      <c r="K544" s="336"/>
      <c r="L544" s="336"/>
      <c r="M544" s="336"/>
      <c r="N544" s="336"/>
      <c r="O544" s="336"/>
      <c r="P544" s="336"/>
      <c r="Q544" s="336"/>
      <c r="R544" s="336"/>
      <c r="S544" s="336"/>
      <c r="T544" s="336"/>
      <c r="U544" s="337" t="s">
        <v>872</v>
      </c>
      <c r="V544" s="336"/>
    </row>
    <row r="545" ht="15.75" customHeight="1">
      <c r="A545" s="336"/>
      <c r="B545" s="336"/>
      <c r="C545" s="336"/>
      <c r="D545" s="336"/>
      <c r="E545" s="336"/>
      <c r="F545" s="336"/>
      <c r="G545" s="336"/>
      <c r="H545" s="336"/>
      <c r="I545" s="336"/>
      <c r="J545" s="336"/>
      <c r="K545" s="336"/>
      <c r="L545" s="336"/>
      <c r="M545" s="336"/>
      <c r="N545" s="336"/>
      <c r="O545" s="336"/>
      <c r="P545" s="336"/>
      <c r="Q545" s="336"/>
      <c r="R545" s="336"/>
      <c r="S545" s="336"/>
      <c r="T545" s="336"/>
      <c r="U545" s="337" t="s">
        <v>873</v>
      </c>
      <c r="V545" s="336"/>
    </row>
    <row r="546" ht="15.75" customHeight="1">
      <c r="A546" s="336"/>
      <c r="B546" s="336"/>
      <c r="C546" s="336"/>
      <c r="D546" s="336"/>
      <c r="E546" s="336"/>
      <c r="F546" s="336"/>
      <c r="G546" s="336"/>
      <c r="H546" s="336"/>
      <c r="I546" s="336"/>
      <c r="J546" s="336"/>
      <c r="K546" s="336"/>
      <c r="L546" s="336"/>
      <c r="M546" s="336"/>
      <c r="N546" s="336"/>
      <c r="O546" s="336"/>
      <c r="P546" s="336"/>
      <c r="Q546" s="336"/>
      <c r="R546" s="336"/>
      <c r="S546" s="336"/>
      <c r="T546" s="336"/>
      <c r="U546" s="337" t="s">
        <v>874</v>
      </c>
      <c r="V546" s="336"/>
    </row>
    <row r="547" ht="15.75" customHeight="1">
      <c r="A547" s="336"/>
      <c r="B547" s="336"/>
      <c r="C547" s="336"/>
      <c r="D547" s="336"/>
      <c r="E547" s="336"/>
      <c r="F547" s="336"/>
      <c r="G547" s="336"/>
      <c r="H547" s="336"/>
      <c r="I547" s="336"/>
      <c r="J547" s="336"/>
      <c r="K547" s="336"/>
      <c r="L547" s="336"/>
      <c r="M547" s="336"/>
      <c r="N547" s="336"/>
      <c r="O547" s="336"/>
      <c r="P547" s="336"/>
      <c r="Q547" s="336"/>
      <c r="R547" s="336"/>
      <c r="S547" s="336"/>
      <c r="T547" s="336"/>
      <c r="U547" s="337" t="s">
        <v>875</v>
      </c>
      <c r="V547" s="336"/>
    </row>
    <row r="548" ht="15.75" customHeight="1">
      <c r="A548" s="336"/>
      <c r="B548" s="336"/>
      <c r="C548" s="336"/>
      <c r="D548" s="336"/>
      <c r="E548" s="336"/>
      <c r="F548" s="336"/>
      <c r="G548" s="336"/>
      <c r="H548" s="336"/>
      <c r="I548" s="336"/>
      <c r="J548" s="336"/>
      <c r="K548" s="336"/>
      <c r="L548" s="336"/>
      <c r="M548" s="336"/>
      <c r="N548" s="336"/>
      <c r="O548" s="336"/>
      <c r="P548" s="336"/>
      <c r="Q548" s="336"/>
      <c r="R548" s="336"/>
      <c r="S548" s="336"/>
      <c r="T548" s="336"/>
      <c r="U548" s="337" t="s">
        <v>876</v>
      </c>
      <c r="V548" s="336"/>
    </row>
    <row r="549" ht="15.75" customHeight="1">
      <c r="A549" s="336"/>
      <c r="B549" s="336"/>
      <c r="C549" s="336"/>
      <c r="D549" s="336"/>
      <c r="E549" s="336"/>
      <c r="F549" s="336"/>
      <c r="G549" s="336"/>
      <c r="H549" s="336"/>
      <c r="I549" s="336"/>
      <c r="J549" s="336"/>
      <c r="K549" s="336"/>
      <c r="L549" s="336"/>
      <c r="M549" s="336"/>
      <c r="N549" s="336"/>
      <c r="O549" s="336"/>
      <c r="P549" s="336"/>
      <c r="Q549" s="336"/>
      <c r="R549" s="336"/>
      <c r="S549" s="336"/>
      <c r="T549" s="336"/>
      <c r="U549" s="337" t="s">
        <v>877</v>
      </c>
      <c r="V549" s="336"/>
    </row>
    <row r="550" ht="15.75" customHeight="1">
      <c r="A550" s="336"/>
      <c r="B550" s="336"/>
      <c r="C550" s="336"/>
      <c r="D550" s="336"/>
      <c r="E550" s="336"/>
      <c r="F550" s="336"/>
      <c r="G550" s="336"/>
      <c r="H550" s="336"/>
      <c r="I550" s="336"/>
      <c r="J550" s="336"/>
      <c r="K550" s="336"/>
      <c r="L550" s="336"/>
      <c r="M550" s="336"/>
      <c r="N550" s="336"/>
      <c r="O550" s="336"/>
      <c r="P550" s="336"/>
      <c r="Q550" s="336"/>
      <c r="R550" s="336"/>
      <c r="S550" s="336"/>
      <c r="T550" s="336"/>
      <c r="U550" s="337" t="s">
        <v>878</v>
      </c>
      <c r="V550" s="336"/>
    </row>
    <row r="551" ht="15.75" customHeight="1">
      <c r="A551" s="336"/>
      <c r="B551" s="336"/>
      <c r="C551" s="336"/>
      <c r="D551" s="336"/>
      <c r="E551" s="336"/>
      <c r="F551" s="336"/>
      <c r="G551" s="336"/>
      <c r="H551" s="336"/>
      <c r="I551" s="336"/>
      <c r="J551" s="336"/>
      <c r="K551" s="336"/>
      <c r="L551" s="336"/>
      <c r="M551" s="336"/>
      <c r="N551" s="336"/>
      <c r="O551" s="336"/>
      <c r="P551" s="336"/>
      <c r="Q551" s="336"/>
      <c r="R551" s="336"/>
      <c r="S551" s="336"/>
      <c r="T551" s="336"/>
      <c r="U551" s="337" t="s">
        <v>879</v>
      </c>
      <c r="V551" s="336"/>
    </row>
    <row r="552" ht="15.75" customHeight="1">
      <c r="A552" s="336"/>
      <c r="B552" s="336"/>
      <c r="C552" s="336"/>
      <c r="D552" s="336"/>
      <c r="E552" s="336"/>
      <c r="F552" s="336"/>
      <c r="G552" s="336"/>
      <c r="H552" s="336"/>
      <c r="I552" s="336"/>
      <c r="J552" s="336"/>
      <c r="K552" s="336"/>
      <c r="L552" s="336"/>
      <c r="M552" s="336"/>
      <c r="N552" s="336"/>
      <c r="O552" s="336"/>
      <c r="P552" s="336"/>
      <c r="Q552" s="336"/>
      <c r="R552" s="336"/>
      <c r="S552" s="336"/>
      <c r="T552" s="336"/>
      <c r="U552" s="337" t="s">
        <v>880</v>
      </c>
      <c r="V552" s="336"/>
    </row>
    <row r="553" ht="15.75" customHeight="1">
      <c r="A553" s="336"/>
      <c r="B553" s="336"/>
      <c r="C553" s="336"/>
      <c r="D553" s="336"/>
      <c r="E553" s="336"/>
      <c r="F553" s="336"/>
      <c r="G553" s="336"/>
      <c r="H553" s="336"/>
      <c r="I553" s="336"/>
      <c r="J553" s="336"/>
      <c r="K553" s="336"/>
      <c r="L553" s="336"/>
      <c r="M553" s="336"/>
      <c r="N553" s="336"/>
      <c r="O553" s="336"/>
      <c r="P553" s="336"/>
      <c r="Q553" s="336"/>
      <c r="R553" s="336"/>
      <c r="S553" s="336"/>
      <c r="T553" s="336"/>
      <c r="U553" s="337" t="s">
        <v>881</v>
      </c>
      <c r="V553" s="336"/>
    </row>
    <row r="554" ht="15.75" customHeight="1">
      <c r="A554" s="336"/>
      <c r="B554" s="336"/>
      <c r="C554" s="336"/>
      <c r="D554" s="336"/>
      <c r="E554" s="336"/>
      <c r="F554" s="336"/>
      <c r="G554" s="336"/>
      <c r="H554" s="336"/>
      <c r="I554" s="336"/>
      <c r="J554" s="336"/>
      <c r="K554" s="336"/>
      <c r="L554" s="336"/>
      <c r="M554" s="336"/>
      <c r="N554" s="336"/>
      <c r="O554" s="336"/>
      <c r="P554" s="336"/>
      <c r="Q554" s="336"/>
      <c r="R554" s="336"/>
      <c r="S554" s="336"/>
      <c r="T554" s="336"/>
      <c r="U554" s="337" t="s">
        <v>882</v>
      </c>
      <c r="V554" s="336"/>
    </row>
    <row r="555" ht="15.75" customHeight="1">
      <c r="A555" s="336"/>
      <c r="B555" s="336"/>
      <c r="C555" s="336"/>
      <c r="D555" s="336"/>
      <c r="E555" s="336"/>
      <c r="F555" s="336"/>
      <c r="G555" s="336"/>
      <c r="H555" s="336"/>
      <c r="I555" s="336"/>
      <c r="J555" s="336"/>
      <c r="K555" s="336"/>
      <c r="L555" s="336"/>
      <c r="M555" s="336"/>
      <c r="N555" s="336"/>
      <c r="O555" s="336"/>
      <c r="P555" s="336"/>
      <c r="Q555" s="336"/>
      <c r="R555" s="336"/>
      <c r="S555" s="336"/>
      <c r="T555" s="336"/>
      <c r="U555" s="337" t="s">
        <v>883</v>
      </c>
      <c r="V555" s="336"/>
    </row>
    <row r="556" ht="15.75" customHeight="1">
      <c r="A556" s="336"/>
      <c r="B556" s="336"/>
      <c r="C556" s="336"/>
      <c r="D556" s="336"/>
      <c r="E556" s="336"/>
      <c r="F556" s="336"/>
      <c r="G556" s="336"/>
      <c r="H556" s="336"/>
      <c r="I556" s="336"/>
      <c r="J556" s="336"/>
      <c r="K556" s="336"/>
      <c r="L556" s="336"/>
      <c r="M556" s="336"/>
      <c r="N556" s="336"/>
      <c r="O556" s="336"/>
      <c r="P556" s="336"/>
      <c r="Q556" s="336"/>
      <c r="R556" s="336"/>
      <c r="S556" s="336"/>
      <c r="T556" s="336"/>
      <c r="U556" s="337" t="s">
        <v>884</v>
      </c>
      <c r="V556" s="336"/>
    </row>
    <row r="557" ht="15.75" customHeight="1">
      <c r="A557" s="336"/>
      <c r="B557" s="336"/>
      <c r="C557" s="336"/>
      <c r="D557" s="336"/>
      <c r="E557" s="336"/>
      <c r="F557" s="336"/>
      <c r="G557" s="336"/>
      <c r="H557" s="336"/>
      <c r="I557" s="336"/>
      <c r="J557" s="336"/>
      <c r="K557" s="336"/>
      <c r="L557" s="336"/>
      <c r="M557" s="336"/>
      <c r="N557" s="336"/>
      <c r="O557" s="336"/>
      <c r="P557" s="336"/>
      <c r="Q557" s="336"/>
      <c r="R557" s="336"/>
      <c r="S557" s="336"/>
      <c r="T557" s="336"/>
      <c r="U557" s="337" t="s">
        <v>885</v>
      </c>
      <c r="V557" s="336"/>
    </row>
    <row r="558" ht="15.75" customHeight="1">
      <c r="A558" s="336"/>
      <c r="B558" s="336"/>
      <c r="C558" s="336"/>
      <c r="D558" s="336"/>
      <c r="E558" s="336"/>
      <c r="F558" s="336"/>
      <c r="G558" s="336"/>
      <c r="H558" s="336"/>
      <c r="I558" s="336"/>
      <c r="J558" s="336"/>
      <c r="K558" s="336"/>
      <c r="L558" s="336"/>
      <c r="M558" s="336"/>
      <c r="N558" s="336"/>
      <c r="O558" s="336"/>
      <c r="P558" s="336"/>
      <c r="Q558" s="336"/>
      <c r="R558" s="336"/>
      <c r="S558" s="336"/>
      <c r="T558" s="336"/>
      <c r="U558" s="337" t="s">
        <v>886</v>
      </c>
      <c r="V558" s="336"/>
    </row>
    <row r="559" ht="15.75" customHeight="1">
      <c r="A559" s="336"/>
      <c r="B559" s="336"/>
      <c r="C559" s="336"/>
      <c r="D559" s="336"/>
      <c r="E559" s="336"/>
      <c r="F559" s="336"/>
      <c r="G559" s="336"/>
      <c r="H559" s="336"/>
      <c r="I559" s="336"/>
      <c r="J559" s="336"/>
      <c r="K559" s="336"/>
      <c r="L559" s="336"/>
      <c r="M559" s="336"/>
      <c r="N559" s="336"/>
      <c r="O559" s="336"/>
      <c r="P559" s="336"/>
      <c r="Q559" s="336"/>
      <c r="R559" s="336"/>
      <c r="S559" s="336"/>
      <c r="T559" s="336"/>
      <c r="U559" s="337" t="s">
        <v>887</v>
      </c>
      <c r="V559" s="336"/>
    </row>
    <row r="560" ht="15.75" customHeight="1">
      <c r="A560" s="336"/>
      <c r="B560" s="336"/>
      <c r="C560" s="336"/>
      <c r="D560" s="336"/>
      <c r="E560" s="336"/>
      <c r="F560" s="336"/>
      <c r="G560" s="336"/>
      <c r="H560" s="336"/>
      <c r="I560" s="336"/>
      <c r="J560" s="336"/>
      <c r="K560" s="336"/>
      <c r="L560" s="336"/>
      <c r="M560" s="336"/>
      <c r="N560" s="336"/>
      <c r="O560" s="336"/>
      <c r="P560" s="336"/>
      <c r="Q560" s="336"/>
      <c r="R560" s="336"/>
      <c r="S560" s="336"/>
      <c r="T560" s="336"/>
      <c r="U560" s="337" t="s">
        <v>888</v>
      </c>
      <c r="V560" s="336"/>
    </row>
    <row r="561" ht="15.75" customHeight="1">
      <c r="A561" s="336"/>
      <c r="B561" s="336"/>
      <c r="C561" s="336"/>
      <c r="D561" s="336"/>
      <c r="E561" s="336"/>
      <c r="F561" s="336"/>
      <c r="G561" s="336"/>
      <c r="H561" s="336"/>
      <c r="I561" s="336"/>
      <c r="J561" s="336"/>
      <c r="K561" s="336"/>
      <c r="L561" s="336"/>
      <c r="M561" s="336"/>
      <c r="N561" s="336"/>
      <c r="O561" s="336"/>
      <c r="P561" s="336"/>
      <c r="Q561" s="336"/>
      <c r="R561" s="336"/>
      <c r="S561" s="336"/>
      <c r="T561" s="336"/>
      <c r="U561" s="337" t="s">
        <v>889</v>
      </c>
      <c r="V561" s="336"/>
    </row>
    <row r="562" ht="15.75" customHeight="1">
      <c r="A562" s="336"/>
      <c r="B562" s="336"/>
      <c r="C562" s="336"/>
      <c r="D562" s="336"/>
      <c r="E562" s="336"/>
      <c r="F562" s="336"/>
      <c r="G562" s="336"/>
      <c r="H562" s="336"/>
      <c r="I562" s="336"/>
      <c r="J562" s="336"/>
      <c r="K562" s="336"/>
      <c r="L562" s="336"/>
      <c r="M562" s="336"/>
      <c r="N562" s="336"/>
      <c r="O562" s="336"/>
      <c r="P562" s="336"/>
      <c r="Q562" s="336"/>
      <c r="R562" s="336"/>
      <c r="S562" s="336"/>
      <c r="T562" s="336"/>
      <c r="U562" s="337" t="s">
        <v>890</v>
      </c>
      <c r="V562" s="336"/>
    </row>
    <row r="563" ht="15.75" customHeight="1">
      <c r="A563" s="336"/>
      <c r="B563" s="336"/>
      <c r="C563" s="336"/>
      <c r="D563" s="336"/>
      <c r="E563" s="336"/>
      <c r="F563" s="336"/>
      <c r="G563" s="336"/>
      <c r="H563" s="336"/>
      <c r="I563" s="336"/>
      <c r="J563" s="336"/>
      <c r="K563" s="336"/>
      <c r="L563" s="336"/>
      <c r="M563" s="336"/>
      <c r="N563" s="336"/>
      <c r="O563" s="336"/>
      <c r="P563" s="336"/>
      <c r="Q563" s="336"/>
      <c r="R563" s="336"/>
      <c r="S563" s="336"/>
      <c r="T563" s="336"/>
      <c r="U563" s="337" t="s">
        <v>891</v>
      </c>
      <c r="V563" s="336"/>
    </row>
    <row r="564" ht="15.75" customHeight="1">
      <c r="A564" s="336"/>
      <c r="B564" s="336"/>
      <c r="C564" s="336"/>
      <c r="D564" s="336"/>
      <c r="E564" s="336"/>
      <c r="F564" s="336"/>
      <c r="G564" s="336"/>
      <c r="H564" s="336"/>
      <c r="I564" s="336"/>
      <c r="J564" s="336"/>
      <c r="K564" s="336"/>
      <c r="L564" s="336"/>
      <c r="M564" s="336"/>
      <c r="N564" s="336"/>
      <c r="O564" s="336"/>
      <c r="P564" s="336"/>
      <c r="Q564" s="336"/>
      <c r="R564" s="336"/>
      <c r="S564" s="336"/>
      <c r="T564" s="336"/>
      <c r="U564" s="337" t="s">
        <v>892</v>
      </c>
      <c r="V564" s="336"/>
    </row>
    <row r="565" ht="15.75" customHeight="1">
      <c r="A565" s="336"/>
      <c r="B565" s="336"/>
      <c r="C565" s="336"/>
      <c r="D565" s="336"/>
      <c r="E565" s="336"/>
      <c r="F565" s="336"/>
      <c r="G565" s="336"/>
      <c r="H565" s="336"/>
      <c r="I565" s="336"/>
      <c r="J565" s="336"/>
      <c r="K565" s="336"/>
      <c r="L565" s="336"/>
      <c r="M565" s="336"/>
      <c r="N565" s="336"/>
      <c r="O565" s="336"/>
      <c r="P565" s="336"/>
      <c r="Q565" s="336"/>
      <c r="R565" s="336"/>
      <c r="S565" s="336"/>
      <c r="T565" s="336"/>
      <c r="U565" s="337" t="s">
        <v>893</v>
      </c>
      <c r="V565" s="336"/>
    </row>
    <row r="566" ht="15.75" customHeight="1">
      <c r="A566" s="336"/>
      <c r="B566" s="336"/>
      <c r="C566" s="336"/>
      <c r="D566" s="336"/>
      <c r="E566" s="336"/>
      <c r="F566" s="336"/>
      <c r="G566" s="336"/>
      <c r="H566" s="336"/>
      <c r="I566" s="336"/>
      <c r="J566" s="336"/>
      <c r="K566" s="336"/>
      <c r="L566" s="336"/>
      <c r="M566" s="336"/>
      <c r="N566" s="336"/>
      <c r="O566" s="336"/>
      <c r="P566" s="336"/>
      <c r="Q566" s="336"/>
      <c r="R566" s="336"/>
      <c r="S566" s="336"/>
      <c r="T566" s="336"/>
      <c r="U566" s="337" t="s">
        <v>894</v>
      </c>
      <c r="V566" s="336"/>
    </row>
    <row r="567" ht="15.75" customHeight="1">
      <c r="A567" s="336"/>
      <c r="B567" s="336"/>
      <c r="C567" s="336"/>
      <c r="D567" s="336"/>
      <c r="E567" s="336"/>
      <c r="F567" s="336"/>
      <c r="G567" s="336"/>
      <c r="H567" s="336"/>
      <c r="I567" s="336"/>
      <c r="J567" s="336"/>
      <c r="K567" s="336"/>
      <c r="L567" s="336"/>
      <c r="M567" s="336"/>
      <c r="N567" s="336"/>
      <c r="O567" s="336"/>
      <c r="P567" s="336"/>
      <c r="Q567" s="336"/>
      <c r="R567" s="336"/>
      <c r="S567" s="336"/>
      <c r="T567" s="336"/>
      <c r="U567" s="337" t="s">
        <v>895</v>
      </c>
      <c r="V567" s="336"/>
    </row>
    <row r="568" ht="15.75" customHeight="1">
      <c r="A568" s="336"/>
      <c r="B568" s="336"/>
      <c r="C568" s="336"/>
      <c r="D568" s="336"/>
      <c r="E568" s="336"/>
      <c r="F568" s="336"/>
      <c r="G568" s="336"/>
      <c r="H568" s="336"/>
      <c r="I568" s="336"/>
      <c r="J568" s="336"/>
      <c r="K568" s="336"/>
      <c r="L568" s="336"/>
      <c r="M568" s="336"/>
      <c r="N568" s="336"/>
      <c r="O568" s="336"/>
      <c r="P568" s="336"/>
      <c r="Q568" s="336"/>
      <c r="R568" s="336"/>
      <c r="S568" s="336"/>
      <c r="T568" s="336"/>
      <c r="U568" s="337" t="s">
        <v>896</v>
      </c>
      <c r="V568" s="336"/>
    </row>
    <row r="569" ht="15.75" customHeight="1">
      <c r="A569" s="336"/>
      <c r="B569" s="336"/>
      <c r="C569" s="336"/>
      <c r="D569" s="336"/>
      <c r="E569" s="336"/>
      <c r="F569" s="336"/>
      <c r="G569" s="336"/>
      <c r="H569" s="336"/>
      <c r="I569" s="336"/>
      <c r="J569" s="336"/>
      <c r="K569" s="336"/>
      <c r="L569" s="336"/>
      <c r="M569" s="336"/>
      <c r="N569" s="336"/>
      <c r="O569" s="336"/>
      <c r="P569" s="336"/>
      <c r="Q569" s="336"/>
      <c r="R569" s="336"/>
      <c r="S569" s="336"/>
      <c r="T569" s="336"/>
      <c r="U569" s="337" t="s">
        <v>897</v>
      </c>
      <c r="V569" s="336"/>
    </row>
    <row r="570" ht="15.75" customHeight="1">
      <c r="A570" s="336"/>
      <c r="B570" s="336"/>
      <c r="C570" s="336"/>
      <c r="D570" s="336"/>
      <c r="E570" s="336"/>
      <c r="F570" s="336"/>
      <c r="G570" s="336"/>
      <c r="H570" s="336"/>
      <c r="I570" s="336"/>
      <c r="J570" s="336"/>
      <c r="K570" s="336"/>
      <c r="L570" s="336"/>
      <c r="M570" s="336"/>
      <c r="N570" s="336"/>
      <c r="O570" s="336"/>
      <c r="P570" s="336"/>
      <c r="Q570" s="336"/>
      <c r="R570" s="336"/>
      <c r="S570" s="336"/>
      <c r="T570" s="336"/>
      <c r="U570" s="337" t="s">
        <v>898</v>
      </c>
      <c r="V570" s="336"/>
    </row>
    <row r="571" ht="15.75" customHeight="1">
      <c r="A571" s="336"/>
      <c r="B571" s="336"/>
      <c r="C571" s="336"/>
      <c r="D571" s="336"/>
      <c r="E571" s="336"/>
      <c r="F571" s="336"/>
      <c r="G571" s="336"/>
      <c r="H571" s="336"/>
      <c r="I571" s="336"/>
      <c r="J571" s="336"/>
      <c r="K571" s="336"/>
      <c r="L571" s="336"/>
      <c r="M571" s="336"/>
      <c r="N571" s="336"/>
      <c r="O571" s="336"/>
      <c r="P571" s="336"/>
      <c r="Q571" s="336"/>
      <c r="R571" s="336"/>
      <c r="S571" s="336"/>
      <c r="T571" s="336"/>
      <c r="U571" s="337" t="s">
        <v>899</v>
      </c>
      <c r="V571" s="336"/>
    </row>
    <row r="572" ht="15.75" customHeight="1">
      <c r="A572" s="336"/>
      <c r="B572" s="336"/>
      <c r="C572" s="336"/>
      <c r="D572" s="336"/>
      <c r="E572" s="336"/>
      <c r="F572" s="336"/>
      <c r="G572" s="336"/>
      <c r="H572" s="336"/>
      <c r="I572" s="336"/>
      <c r="J572" s="336"/>
      <c r="K572" s="336"/>
      <c r="L572" s="336"/>
      <c r="M572" s="336"/>
      <c r="N572" s="336"/>
      <c r="O572" s="336"/>
      <c r="P572" s="336"/>
      <c r="Q572" s="336"/>
      <c r="R572" s="336"/>
      <c r="S572" s="336"/>
      <c r="T572" s="336"/>
      <c r="U572" s="337" t="s">
        <v>900</v>
      </c>
      <c r="V572" s="336"/>
    </row>
    <row r="573" ht="15.75" customHeight="1">
      <c r="A573" s="336"/>
      <c r="B573" s="336"/>
      <c r="C573" s="336"/>
      <c r="D573" s="336"/>
      <c r="E573" s="336"/>
      <c r="F573" s="336"/>
      <c r="G573" s="336"/>
      <c r="H573" s="336"/>
      <c r="I573" s="336"/>
      <c r="J573" s="336"/>
      <c r="K573" s="336"/>
      <c r="L573" s="336"/>
      <c r="M573" s="336"/>
      <c r="N573" s="336"/>
      <c r="O573" s="336"/>
      <c r="P573" s="336"/>
      <c r="Q573" s="336"/>
      <c r="R573" s="336"/>
      <c r="S573" s="336"/>
      <c r="T573" s="336"/>
      <c r="U573" s="337" t="s">
        <v>901</v>
      </c>
      <c r="V573" s="336"/>
    </row>
    <row r="574" ht="15.75" customHeight="1">
      <c r="A574" s="336"/>
      <c r="B574" s="336"/>
      <c r="C574" s="336"/>
      <c r="D574" s="336"/>
      <c r="E574" s="336"/>
      <c r="F574" s="336"/>
      <c r="G574" s="336"/>
      <c r="H574" s="336"/>
      <c r="I574" s="336"/>
      <c r="J574" s="336"/>
      <c r="K574" s="336"/>
      <c r="L574" s="336"/>
      <c r="M574" s="336"/>
      <c r="N574" s="336"/>
      <c r="O574" s="336"/>
      <c r="P574" s="336"/>
      <c r="Q574" s="336"/>
      <c r="R574" s="336"/>
      <c r="S574" s="336"/>
      <c r="T574" s="336"/>
      <c r="U574" s="337" t="s">
        <v>902</v>
      </c>
      <c r="V574" s="336"/>
    </row>
    <row r="575" ht="15.75" customHeight="1">
      <c r="A575" s="336"/>
      <c r="B575" s="336"/>
      <c r="C575" s="336"/>
      <c r="D575" s="336"/>
      <c r="E575" s="336"/>
      <c r="F575" s="336"/>
      <c r="G575" s="336"/>
      <c r="H575" s="336"/>
      <c r="I575" s="336"/>
      <c r="J575" s="336"/>
      <c r="K575" s="336"/>
      <c r="L575" s="336"/>
      <c r="M575" s="336"/>
      <c r="N575" s="336"/>
      <c r="O575" s="336"/>
      <c r="P575" s="336"/>
      <c r="Q575" s="336"/>
      <c r="R575" s="336"/>
      <c r="S575" s="336"/>
      <c r="T575" s="336"/>
      <c r="U575" s="337" t="s">
        <v>903</v>
      </c>
      <c r="V575" s="336"/>
    </row>
    <row r="576" ht="15.75" customHeight="1">
      <c r="A576" s="336"/>
      <c r="B576" s="336"/>
      <c r="C576" s="336"/>
      <c r="D576" s="336"/>
      <c r="E576" s="336"/>
      <c r="F576" s="336"/>
      <c r="G576" s="336"/>
      <c r="H576" s="336"/>
      <c r="I576" s="336"/>
      <c r="J576" s="336"/>
      <c r="K576" s="336"/>
      <c r="L576" s="336"/>
      <c r="M576" s="336"/>
      <c r="N576" s="336"/>
      <c r="O576" s="336"/>
      <c r="P576" s="336"/>
      <c r="Q576" s="336"/>
      <c r="R576" s="336"/>
      <c r="S576" s="336"/>
      <c r="T576" s="336"/>
      <c r="U576" s="337" t="s">
        <v>904</v>
      </c>
      <c r="V576" s="336"/>
    </row>
    <row r="577" ht="15.75" customHeight="1">
      <c r="A577" s="336"/>
      <c r="B577" s="336"/>
      <c r="C577" s="336"/>
      <c r="D577" s="336"/>
      <c r="E577" s="336"/>
      <c r="F577" s="336"/>
      <c r="G577" s="336"/>
      <c r="H577" s="336"/>
      <c r="I577" s="336"/>
      <c r="J577" s="336"/>
      <c r="K577" s="336"/>
      <c r="L577" s="336"/>
      <c r="M577" s="336"/>
      <c r="N577" s="336"/>
      <c r="O577" s="336"/>
      <c r="P577" s="336"/>
      <c r="Q577" s="336"/>
      <c r="R577" s="336"/>
      <c r="S577" s="336"/>
      <c r="T577" s="336"/>
      <c r="U577" s="337" t="s">
        <v>905</v>
      </c>
      <c r="V577" s="336"/>
    </row>
    <row r="578" ht="15.75" customHeight="1">
      <c r="A578" s="336"/>
      <c r="B578" s="336"/>
      <c r="C578" s="336"/>
      <c r="D578" s="336"/>
      <c r="E578" s="336"/>
      <c r="F578" s="336"/>
      <c r="G578" s="336"/>
      <c r="H578" s="336"/>
      <c r="I578" s="336"/>
      <c r="J578" s="336"/>
      <c r="K578" s="336"/>
      <c r="L578" s="336"/>
      <c r="M578" s="336"/>
      <c r="N578" s="336"/>
      <c r="O578" s="336"/>
      <c r="P578" s="336"/>
      <c r="Q578" s="336"/>
      <c r="R578" s="336"/>
      <c r="S578" s="336"/>
      <c r="T578" s="336"/>
      <c r="U578" s="337" t="s">
        <v>906</v>
      </c>
      <c r="V578" s="336"/>
    </row>
    <row r="579" ht="15.75" customHeight="1">
      <c r="A579" s="336"/>
      <c r="B579" s="336"/>
      <c r="C579" s="336"/>
      <c r="D579" s="336"/>
      <c r="E579" s="336"/>
      <c r="F579" s="336"/>
      <c r="G579" s="336"/>
      <c r="H579" s="336"/>
      <c r="I579" s="336"/>
      <c r="J579" s="336"/>
      <c r="K579" s="336"/>
      <c r="L579" s="336"/>
      <c r="M579" s="336"/>
      <c r="N579" s="336"/>
      <c r="O579" s="336"/>
      <c r="P579" s="336"/>
      <c r="Q579" s="336"/>
      <c r="R579" s="336"/>
      <c r="S579" s="336"/>
      <c r="T579" s="336"/>
      <c r="U579" s="337" t="s">
        <v>907</v>
      </c>
      <c r="V579" s="336"/>
    </row>
    <row r="580" ht="15.75" customHeight="1">
      <c r="A580" s="336"/>
      <c r="B580" s="336"/>
      <c r="C580" s="336"/>
      <c r="D580" s="336"/>
      <c r="E580" s="336"/>
      <c r="F580" s="336"/>
      <c r="G580" s="336"/>
      <c r="H580" s="336"/>
      <c r="I580" s="336"/>
      <c r="J580" s="336"/>
      <c r="K580" s="336"/>
      <c r="L580" s="336"/>
      <c r="M580" s="336"/>
      <c r="N580" s="336"/>
      <c r="O580" s="336"/>
      <c r="P580" s="336"/>
      <c r="Q580" s="336"/>
      <c r="R580" s="336"/>
      <c r="S580" s="336"/>
      <c r="T580" s="336"/>
      <c r="U580" s="337" t="s">
        <v>908</v>
      </c>
      <c r="V580" s="336"/>
    </row>
    <row r="581" ht="15.75" customHeight="1">
      <c r="A581" s="336"/>
      <c r="B581" s="336"/>
      <c r="C581" s="336"/>
      <c r="D581" s="336"/>
      <c r="E581" s="336"/>
      <c r="F581" s="336"/>
      <c r="G581" s="336"/>
      <c r="H581" s="336"/>
      <c r="I581" s="336"/>
      <c r="J581" s="336"/>
      <c r="K581" s="336"/>
      <c r="L581" s="336"/>
      <c r="M581" s="336"/>
      <c r="N581" s="336"/>
      <c r="O581" s="336"/>
      <c r="P581" s="336"/>
      <c r="Q581" s="336"/>
      <c r="R581" s="336"/>
      <c r="S581" s="336"/>
      <c r="T581" s="336"/>
      <c r="U581" s="337" t="s">
        <v>909</v>
      </c>
      <c r="V581" s="336"/>
    </row>
    <row r="582" ht="15.75" customHeight="1">
      <c r="A582" s="336"/>
      <c r="B582" s="336"/>
      <c r="C582" s="336"/>
      <c r="D582" s="336"/>
      <c r="E582" s="336"/>
      <c r="F582" s="336"/>
      <c r="G582" s="336"/>
      <c r="H582" s="336"/>
      <c r="I582" s="336"/>
      <c r="J582" s="336"/>
      <c r="K582" s="336"/>
      <c r="L582" s="336"/>
      <c r="M582" s="336"/>
      <c r="N582" s="336"/>
      <c r="O582" s="336"/>
      <c r="P582" s="336"/>
      <c r="Q582" s="336"/>
      <c r="R582" s="336"/>
      <c r="S582" s="336"/>
      <c r="T582" s="336"/>
      <c r="U582" s="337" t="s">
        <v>910</v>
      </c>
      <c r="V582" s="336"/>
    </row>
    <row r="583" ht="15.75" customHeight="1">
      <c r="A583" s="336"/>
      <c r="B583" s="336"/>
      <c r="C583" s="336"/>
      <c r="D583" s="336"/>
      <c r="E583" s="336"/>
      <c r="F583" s="336"/>
      <c r="G583" s="336"/>
      <c r="H583" s="336"/>
      <c r="I583" s="336"/>
      <c r="J583" s="336"/>
      <c r="K583" s="336"/>
      <c r="L583" s="336"/>
      <c r="M583" s="336"/>
      <c r="N583" s="336"/>
      <c r="O583" s="336"/>
      <c r="P583" s="336"/>
      <c r="Q583" s="336"/>
      <c r="R583" s="336"/>
      <c r="S583" s="336"/>
      <c r="T583" s="336"/>
      <c r="U583" s="337" t="s">
        <v>911</v>
      </c>
      <c r="V583" s="336"/>
    </row>
    <row r="584" ht="15.75" customHeight="1">
      <c r="A584" s="336"/>
      <c r="B584" s="336"/>
      <c r="C584" s="336"/>
      <c r="D584" s="336"/>
      <c r="E584" s="336"/>
      <c r="F584" s="336"/>
      <c r="G584" s="336"/>
      <c r="H584" s="336"/>
      <c r="I584" s="336"/>
      <c r="J584" s="336"/>
      <c r="K584" s="336"/>
      <c r="L584" s="336"/>
      <c r="M584" s="336"/>
      <c r="N584" s="336"/>
      <c r="O584" s="336"/>
      <c r="P584" s="336"/>
      <c r="Q584" s="336"/>
      <c r="R584" s="336"/>
      <c r="S584" s="336"/>
      <c r="T584" s="336"/>
      <c r="U584" s="337" t="s">
        <v>912</v>
      </c>
      <c r="V584" s="336"/>
    </row>
    <row r="585" ht="15.75" customHeight="1">
      <c r="A585" s="336"/>
      <c r="B585" s="336"/>
      <c r="C585" s="336"/>
      <c r="D585" s="336"/>
      <c r="E585" s="336"/>
      <c r="F585" s="336"/>
      <c r="G585" s="336"/>
      <c r="H585" s="336"/>
      <c r="I585" s="336"/>
      <c r="J585" s="336"/>
      <c r="K585" s="336"/>
      <c r="L585" s="336"/>
      <c r="M585" s="336"/>
      <c r="N585" s="336"/>
      <c r="O585" s="336"/>
      <c r="P585" s="336"/>
      <c r="Q585" s="336"/>
      <c r="R585" s="336"/>
      <c r="S585" s="336"/>
      <c r="T585" s="336"/>
      <c r="U585" s="337" t="s">
        <v>913</v>
      </c>
      <c r="V585" s="336"/>
    </row>
    <row r="586" ht="15.75" customHeight="1">
      <c r="A586" s="336"/>
      <c r="B586" s="336"/>
      <c r="C586" s="336"/>
      <c r="D586" s="336"/>
      <c r="E586" s="336"/>
      <c r="F586" s="336"/>
      <c r="G586" s="336"/>
      <c r="H586" s="336"/>
      <c r="I586" s="336"/>
      <c r="J586" s="336"/>
      <c r="K586" s="336"/>
      <c r="L586" s="336"/>
      <c r="M586" s="336"/>
      <c r="N586" s="336"/>
      <c r="O586" s="336"/>
      <c r="P586" s="336"/>
      <c r="Q586" s="336"/>
      <c r="R586" s="336"/>
      <c r="S586" s="336"/>
      <c r="T586" s="336"/>
      <c r="U586" s="337" t="s">
        <v>914</v>
      </c>
      <c r="V586" s="336"/>
    </row>
    <row r="587" ht="15.75" customHeight="1">
      <c r="A587" s="336"/>
      <c r="B587" s="336"/>
      <c r="C587" s="336"/>
      <c r="D587" s="336"/>
      <c r="E587" s="336"/>
      <c r="F587" s="336"/>
      <c r="G587" s="336"/>
      <c r="H587" s="336"/>
      <c r="I587" s="336"/>
      <c r="J587" s="336"/>
      <c r="K587" s="336"/>
      <c r="L587" s="336"/>
      <c r="M587" s="336"/>
      <c r="N587" s="336"/>
      <c r="O587" s="336"/>
      <c r="P587" s="336"/>
      <c r="Q587" s="336"/>
      <c r="R587" s="336"/>
      <c r="S587" s="336"/>
      <c r="T587" s="336"/>
      <c r="U587" s="337" t="s">
        <v>915</v>
      </c>
      <c r="V587" s="336"/>
    </row>
    <row r="588" ht="15.75" customHeight="1">
      <c r="A588" s="336"/>
      <c r="B588" s="336"/>
      <c r="C588" s="336"/>
      <c r="D588" s="336"/>
      <c r="E588" s="336"/>
      <c r="F588" s="336"/>
      <c r="G588" s="336"/>
      <c r="H588" s="336"/>
      <c r="I588" s="336"/>
      <c r="J588" s="336"/>
      <c r="K588" s="336"/>
      <c r="L588" s="336"/>
      <c r="M588" s="336"/>
      <c r="N588" s="336"/>
      <c r="O588" s="336"/>
      <c r="P588" s="336"/>
      <c r="Q588" s="336"/>
      <c r="R588" s="336"/>
      <c r="S588" s="336"/>
      <c r="T588" s="336"/>
      <c r="U588" s="337" t="s">
        <v>916</v>
      </c>
      <c r="V588" s="336"/>
    </row>
    <row r="589" ht="15.75" customHeight="1">
      <c r="A589" s="336"/>
      <c r="B589" s="336"/>
      <c r="C589" s="336"/>
      <c r="D589" s="336"/>
      <c r="E589" s="336"/>
      <c r="F589" s="336"/>
      <c r="G589" s="336"/>
      <c r="H589" s="336"/>
      <c r="I589" s="336"/>
      <c r="J589" s="336"/>
      <c r="K589" s="336"/>
      <c r="L589" s="336"/>
      <c r="M589" s="336"/>
      <c r="N589" s="336"/>
      <c r="O589" s="336"/>
      <c r="P589" s="336"/>
      <c r="Q589" s="336"/>
      <c r="R589" s="336"/>
      <c r="S589" s="336"/>
      <c r="T589" s="336"/>
      <c r="U589" s="337" t="s">
        <v>917</v>
      </c>
      <c r="V589" s="336"/>
    </row>
    <row r="590" ht="15.75" customHeight="1">
      <c r="A590" s="336"/>
      <c r="B590" s="336"/>
      <c r="C590" s="336"/>
      <c r="D590" s="336"/>
      <c r="E590" s="336"/>
      <c r="F590" s="336"/>
      <c r="G590" s="336"/>
      <c r="H590" s="336"/>
      <c r="I590" s="336"/>
      <c r="J590" s="336"/>
      <c r="K590" s="336"/>
      <c r="L590" s="336"/>
      <c r="M590" s="336"/>
      <c r="N590" s="336"/>
      <c r="O590" s="336"/>
      <c r="P590" s="336"/>
      <c r="Q590" s="336"/>
      <c r="R590" s="336"/>
      <c r="S590" s="336"/>
      <c r="T590" s="336"/>
      <c r="U590" s="337" t="s">
        <v>918</v>
      </c>
      <c r="V590" s="336"/>
    </row>
    <row r="591" ht="15.75" customHeight="1">
      <c r="A591" s="336"/>
      <c r="B591" s="336"/>
      <c r="C591" s="336"/>
      <c r="D591" s="336"/>
      <c r="E591" s="336"/>
      <c r="F591" s="336"/>
      <c r="G591" s="336"/>
      <c r="H591" s="336"/>
      <c r="I591" s="336"/>
      <c r="J591" s="336"/>
      <c r="K591" s="336"/>
      <c r="L591" s="336"/>
      <c r="M591" s="336"/>
      <c r="N591" s="336"/>
      <c r="O591" s="336"/>
      <c r="P591" s="336"/>
      <c r="Q591" s="336"/>
      <c r="R591" s="336"/>
      <c r="S591" s="336"/>
      <c r="T591" s="336"/>
      <c r="U591" s="337" t="s">
        <v>919</v>
      </c>
      <c r="V591" s="336"/>
    </row>
    <row r="592" ht="15.75" customHeight="1">
      <c r="A592" s="336"/>
      <c r="B592" s="336"/>
      <c r="C592" s="336"/>
      <c r="D592" s="336"/>
      <c r="E592" s="336"/>
      <c r="F592" s="336"/>
      <c r="G592" s="336"/>
      <c r="H592" s="336"/>
      <c r="I592" s="336"/>
      <c r="J592" s="336"/>
      <c r="K592" s="336"/>
      <c r="L592" s="336"/>
      <c r="M592" s="336"/>
      <c r="N592" s="336"/>
      <c r="O592" s="336"/>
      <c r="P592" s="336"/>
      <c r="Q592" s="336"/>
      <c r="R592" s="336"/>
      <c r="S592" s="336"/>
      <c r="T592" s="336"/>
      <c r="U592" s="337" t="s">
        <v>920</v>
      </c>
      <c r="V592" s="336"/>
    </row>
    <row r="593" ht="15.75" customHeight="1">
      <c r="A593" s="336"/>
      <c r="B593" s="336"/>
      <c r="C593" s="336"/>
      <c r="D593" s="336"/>
      <c r="E593" s="336"/>
      <c r="F593" s="336"/>
      <c r="G593" s="336"/>
      <c r="H593" s="336"/>
      <c r="I593" s="336"/>
      <c r="J593" s="336"/>
      <c r="K593" s="336"/>
      <c r="L593" s="336"/>
      <c r="M593" s="336"/>
      <c r="N593" s="336"/>
      <c r="O593" s="336"/>
      <c r="P593" s="336"/>
      <c r="Q593" s="336"/>
      <c r="R593" s="336"/>
      <c r="S593" s="336"/>
      <c r="T593" s="336"/>
      <c r="U593" s="337" t="s">
        <v>921</v>
      </c>
      <c r="V593" s="336"/>
    </row>
    <row r="594" ht="15.75" customHeight="1">
      <c r="A594" s="336"/>
      <c r="B594" s="336"/>
      <c r="C594" s="336"/>
      <c r="D594" s="336"/>
      <c r="E594" s="336"/>
      <c r="F594" s="336"/>
      <c r="G594" s="336"/>
      <c r="H594" s="336"/>
      <c r="I594" s="336"/>
      <c r="J594" s="336"/>
      <c r="K594" s="336"/>
      <c r="L594" s="336"/>
      <c r="M594" s="336"/>
      <c r="N594" s="336"/>
      <c r="O594" s="336"/>
      <c r="P594" s="336"/>
      <c r="Q594" s="336"/>
      <c r="R594" s="336"/>
      <c r="S594" s="336"/>
      <c r="T594" s="336"/>
      <c r="U594" s="337" t="s">
        <v>922</v>
      </c>
      <c r="V594" s="336"/>
    </row>
    <row r="595" ht="15.75" customHeight="1">
      <c r="A595" s="336"/>
      <c r="B595" s="336"/>
      <c r="C595" s="336"/>
      <c r="D595" s="336"/>
      <c r="E595" s="336"/>
      <c r="F595" s="336"/>
      <c r="G595" s="336"/>
      <c r="H595" s="336"/>
      <c r="I595" s="336"/>
      <c r="J595" s="336"/>
      <c r="K595" s="336"/>
      <c r="L595" s="336"/>
      <c r="M595" s="336"/>
      <c r="N595" s="336"/>
      <c r="O595" s="336"/>
      <c r="P595" s="336"/>
      <c r="Q595" s="336"/>
      <c r="R595" s="336"/>
      <c r="S595" s="336"/>
      <c r="T595" s="336"/>
      <c r="U595" s="337" t="s">
        <v>923</v>
      </c>
      <c r="V595" s="336"/>
    </row>
    <row r="596" ht="15.75" customHeight="1">
      <c r="A596" s="336"/>
      <c r="B596" s="336"/>
      <c r="C596" s="336"/>
      <c r="D596" s="336"/>
      <c r="E596" s="336"/>
      <c r="F596" s="336"/>
      <c r="G596" s="336"/>
      <c r="H596" s="336"/>
      <c r="I596" s="336"/>
      <c r="J596" s="336"/>
      <c r="K596" s="336"/>
      <c r="L596" s="336"/>
      <c r="M596" s="336"/>
      <c r="N596" s="336"/>
      <c r="O596" s="336"/>
      <c r="P596" s="336"/>
      <c r="Q596" s="336"/>
      <c r="R596" s="336"/>
      <c r="S596" s="336"/>
      <c r="T596" s="336"/>
      <c r="U596" s="337" t="s">
        <v>924</v>
      </c>
      <c r="V596" s="336"/>
    </row>
    <row r="597" ht="15.75" customHeight="1">
      <c r="A597" s="336"/>
      <c r="B597" s="336"/>
      <c r="C597" s="336"/>
      <c r="D597" s="336"/>
      <c r="E597" s="336"/>
      <c r="F597" s="336"/>
      <c r="G597" s="336"/>
      <c r="H597" s="336"/>
      <c r="I597" s="336"/>
      <c r="J597" s="336"/>
      <c r="K597" s="336"/>
      <c r="L597" s="336"/>
      <c r="M597" s="336"/>
      <c r="N597" s="336"/>
      <c r="O597" s="336"/>
      <c r="P597" s="336"/>
      <c r="Q597" s="336"/>
      <c r="R597" s="336"/>
      <c r="S597" s="336"/>
      <c r="T597" s="336"/>
      <c r="U597" s="337" t="s">
        <v>925</v>
      </c>
      <c r="V597" s="336"/>
    </row>
    <row r="598" ht="15.75" customHeight="1">
      <c r="A598" s="336"/>
      <c r="B598" s="336"/>
      <c r="C598" s="336"/>
      <c r="D598" s="336"/>
      <c r="E598" s="336"/>
      <c r="F598" s="336"/>
      <c r="G598" s="336"/>
      <c r="H598" s="336"/>
      <c r="I598" s="336"/>
      <c r="J598" s="336"/>
      <c r="K598" s="336"/>
      <c r="L598" s="336"/>
      <c r="M598" s="336"/>
      <c r="N598" s="336"/>
      <c r="O598" s="336"/>
      <c r="P598" s="336"/>
      <c r="Q598" s="336"/>
      <c r="R598" s="336"/>
      <c r="S598" s="336"/>
      <c r="T598" s="336"/>
      <c r="U598" s="337" t="s">
        <v>926</v>
      </c>
      <c r="V598" s="336"/>
    </row>
    <row r="599" ht="15.75" customHeight="1">
      <c r="A599" s="336"/>
      <c r="B599" s="336"/>
      <c r="C599" s="336"/>
      <c r="D599" s="336"/>
      <c r="E599" s="336"/>
      <c r="F599" s="336"/>
      <c r="G599" s="336"/>
      <c r="H599" s="336"/>
      <c r="I599" s="336"/>
      <c r="J599" s="336"/>
      <c r="K599" s="336"/>
      <c r="L599" s="336"/>
      <c r="M599" s="336"/>
      <c r="N599" s="336"/>
      <c r="O599" s="336"/>
      <c r="P599" s="336"/>
      <c r="Q599" s="336"/>
      <c r="R599" s="336"/>
      <c r="S599" s="336"/>
      <c r="T599" s="336"/>
      <c r="U599" s="337" t="s">
        <v>927</v>
      </c>
      <c r="V599" s="336"/>
    </row>
    <row r="600" ht="15.75" customHeight="1">
      <c r="A600" s="336"/>
      <c r="B600" s="336"/>
      <c r="C600" s="336"/>
      <c r="D600" s="336"/>
      <c r="E600" s="336"/>
      <c r="F600" s="336"/>
      <c r="G600" s="336"/>
      <c r="H600" s="336"/>
      <c r="I600" s="336"/>
      <c r="J600" s="336"/>
      <c r="K600" s="336"/>
      <c r="L600" s="336"/>
      <c r="M600" s="336"/>
      <c r="N600" s="336"/>
      <c r="O600" s="336"/>
      <c r="P600" s="336"/>
      <c r="Q600" s="336"/>
      <c r="R600" s="336"/>
      <c r="S600" s="336"/>
      <c r="T600" s="336"/>
      <c r="U600" s="337" t="s">
        <v>928</v>
      </c>
      <c r="V600" s="336"/>
    </row>
    <row r="601" ht="15.75" customHeight="1">
      <c r="A601" s="336"/>
      <c r="B601" s="336"/>
      <c r="C601" s="336"/>
      <c r="D601" s="336"/>
      <c r="E601" s="336"/>
      <c r="F601" s="336"/>
      <c r="G601" s="336"/>
      <c r="H601" s="336"/>
      <c r="I601" s="336"/>
      <c r="J601" s="336"/>
      <c r="K601" s="336"/>
      <c r="L601" s="336"/>
      <c r="M601" s="336"/>
      <c r="N601" s="336"/>
      <c r="O601" s="336"/>
      <c r="P601" s="336"/>
      <c r="Q601" s="336"/>
      <c r="R601" s="336"/>
      <c r="S601" s="336"/>
      <c r="T601" s="336"/>
      <c r="U601" s="337" t="s">
        <v>929</v>
      </c>
      <c r="V601" s="336"/>
    </row>
    <row r="602" ht="15.75" customHeight="1">
      <c r="A602" s="336"/>
      <c r="B602" s="336"/>
      <c r="C602" s="336"/>
      <c r="D602" s="336"/>
      <c r="E602" s="336"/>
      <c r="F602" s="336"/>
      <c r="G602" s="336"/>
      <c r="H602" s="336"/>
      <c r="I602" s="336"/>
      <c r="J602" s="336"/>
      <c r="K602" s="336"/>
      <c r="L602" s="336"/>
      <c r="M602" s="336"/>
      <c r="N602" s="336"/>
      <c r="O602" s="336"/>
      <c r="P602" s="336"/>
      <c r="Q602" s="336"/>
      <c r="R602" s="336"/>
      <c r="S602" s="336"/>
      <c r="T602" s="336"/>
      <c r="U602" s="337" t="s">
        <v>930</v>
      </c>
      <c r="V602" s="336"/>
    </row>
    <row r="603" ht="15.75" customHeight="1">
      <c r="A603" s="336"/>
      <c r="B603" s="336"/>
      <c r="C603" s="336"/>
      <c r="D603" s="336"/>
      <c r="E603" s="336"/>
      <c r="F603" s="336"/>
      <c r="G603" s="336"/>
      <c r="H603" s="336"/>
      <c r="I603" s="336"/>
      <c r="J603" s="336"/>
      <c r="K603" s="336"/>
      <c r="L603" s="336"/>
      <c r="M603" s="336"/>
      <c r="N603" s="336"/>
      <c r="O603" s="336"/>
      <c r="P603" s="336"/>
      <c r="Q603" s="336"/>
      <c r="R603" s="336"/>
      <c r="S603" s="336"/>
      <c r="T603" s="336"/>
      <c r="U603" s="337" t="s">
        <v>931</v>
      </c>
      <c r="V603" s="336"/>
    </row>
    <row r="604" ht="15.75" customHeight="1">
      <c r="A604" s="336"/>
      <c r="B604" s="336"/>
      <c r="C604" s="336"/>
      <c r="D604" s="336"/>
      <c r="E604" s="336"/>
      <c r="F604" s="336"/>
      <c r="G604" s="336"/>
      <c r="H604" s="336"/>
      <c r="I604" s="336"/>
      <c r="J604" s="336"/>
      <c r="K604" s="336"/>
      <c r="L604" s="336"/>
      <c r="M604" s="336"/>
      <c r="N604" s="336"/>
      <c r="O604" s="336"/>
      <c r="P604" s="336"/>
      <c r="Q604" s="336"/>
      <c r="R604" s="336"/>
      <c r="S604" s="336"/>
      <c r="T604" s="336"/>
      <c r="U604" s="337" t="s">
        <v>932</v>
      </c>
      <c r="V604" s="336"/>
    </row>
    <row r="605" ht="15.75" customHeight="1">
      <c r="A605" s="336"/>
      <c r="B605" s="336"/>
      <c r="C605" s="336"/>
      <c r="D605" s="336"/>
      <c r="E605" s="336"/>
      <c r="F605" s="336"/>
      <c r="G605" s="336"/>
      <c r="H605" s="336"/>
      <c r="I605" s="336"/>
      <c r="J605" s="336"/>
      <c r="K605" s="336"/>
      <c r="L605" s="336"/>
      <c r="M605" s="336"/>
      <c r="N605" s="336"/>
      <c r="O605" s="336"/>
      <c r="P605" s="336"/>
      <c r="Q605" s="336"/>
      <c r="R605" s="336"/>
      <c r="S605" s="336"/>
      <c r="T605" s="336"/>
      <c r="U605" s="337" t="s">
        <v>933</v>
      </c>
      <c r="V605" s="336"/>
    </row>
    <row r="606" ht="15.75" customHeight="1">
      <c r="A606" s="336"/>
      <c r="B606" s="336"/>
      <c r="C606" s="336"/>
      <c r="D606" s="336"/>
      <c r="E606" s="336"/>
      <c r="F606" s="336"/>
      <c r="G606" s="336"/>
      <c r="H606" s="336"/>
      <c r="I606" s="336"/>
      <c r="J606" s="336"/>
      <c r="K606" s="336"/>
      <c r="L606" s="336"/>
      <c r="M606" s="336"/>
      <c r="N606" s="336"/>
      <c r="O606" s="336"/>
      <c r="P606" s="336"/>
      <c r="Q606" s="336"/>
      <c r="R606" s="336"/>
      <c r="S606" s="336"/>
      <c r="T606" s="336"/>
      <c r="U606" s="337" t="s">
        <v>934</v>
      </c>
      <c r="V606" s="336"/>
    </row>
    <row r="607" ht="15.75" customHeight="1">
      <c r="A607" s="336"/>
      <c r="B607" s="336"/>
      <c r="C607" s="336"/>
      <c r="D607" s="336"/>
      <c r="E607" s="336"/>
      <c r="F607" s="336"/>
      <c r="G607" s="336"/>
      <c r="H607" s="336"/>
      <c r="I607" s="336"/>
      <c r="J607" s="336"/>
      <c r="K607" s="336"/>
      <c r="L607" s="336"/>
      <c r="M607" s="336"/>
      <c r="N607" s="336"/>
      <c r="O607" s="336"/>
      <c r="P607" s="336"/>
      <c r="Q607" s="336"/>
      <c r="R607" s="336"/>
      <c r="S607" s="336"/>
      <c r="T607" s="336"/>
      <c r="U607" s="337" t="s">
        <v>935</v>
      </c>
      <c r="V607" s="336"/>
    </row>
    <row r="608" ht="15.75" customHeight="1">
      <c r="A608" s="336"/>
      <c r="B608" s="336"/>
      <c r="C608" s="336"/>
      <c r="D608" s="336"/>
      <c r="E608" s="336"/>
      <c r="F608" s="336"/>
      <c r="G608" s="336"/>
      <c r="H608" s="336"/>
      <c r="I608" s="336"/>
      <c r="J608" s="336"/>
      <c r="K608" s="336"/>
      <c r="L608" s="336"/>
      <c r="M608" s="336"/>
      <c r="N608" s="336"/>
      <c r="O608" s="336"/>
      <c r="P608" s="336"/>
      <c r="Q608" s="336"/>
      <c r="R608" s="336"/>
      <c r="S608" s="336"/>
      <c r="T608" s="336"/>
      <c r="U608" s="337" t="s">
        <v>936</v>
      </c>
      <c r="V608" s="336"/>
    </row>
    <row r="609" ht="15.75" customHeight="1">
      <c r="A609" s="336"/>
      <c r="B609" s="336"/>
      <c r="C609" s="336"/>
      <c r="D609" s="336"/>
      <c r="E609" s="336"/>
      <c r="F609" s="336"/>
      <c r="G609" s="336"/>
      <c r="H609" s="336"/>
      <c r="I609" s="336"/>
      <c r="J609" s="336"/>
      <c r="K609" s="336"/>
      <c r="L609" s="336"/>
      <c r="M609" s="336"/>
      <c r="N609" s="336"/>
      <c r="O609" s="336"/>
      <c r="P609" s="336"/>
      <c r="Q609" s="336"/>
      <c r="R609" s="336"/>
      <c r="S609" s="336"/>
      <c r="T609" s="336"/>
      <c r="U609" s="337" t="s">
        <v>937</v>
      </c>
      <c r="V609" s="336"/>
    </row>
    <row r="610" ht="15.75" customHeight="1">
      <c r="A610" s="336"/>
      <c r="B610" s="336"/>
      <c r="C610" s="336"/>
      <c r="D610" s="336"/>
      <c r="E610" s="336"/>
      <c r="F610" s="336"/>
      <c r="G610" s="336"/>
      <c r="H610" s="336"/>
      <c r="I610" s="336"/>
      <c r="J610" s="336"/>
      <c r="K610" s="336"/>
      <c r="L610" s="336"/>
      <c r="M610" s="336"/>
      <c r="N610" s="336"/>
      <c r="O610" s="336"/>
      <c r="P610" s="336"/>
      <c r="Q610" s="336"/>
      <c r="R610" s="336"/>
      <c r="S610" s="336"/>
      <c r="T610" s="336"/>
      <c r="U610" s="337" t="s">
        <v>938</v>
      </c>
      <c r="V610" s="336"/>
    </row>
    <row r="611" ht="15.75" customHeight="1">
      <c r="A611" s="336"/>
      <c r="B611" s="336"/>
      <c r="C611" s="336"/>
      <c r="D611" s="336"/>
      <c r="E611" s="336"/>
      <c r="F611" s="336"/>
      <c r="G611" s="336"/>
      <c r="H611" s="336"/>
      <c r="I611" s="336"/>
      <c r="J611" s="336"/>
      <c r="K611" s="336"/>
      <c r="L611" s="336"/>
      <c r="M611" s="336"/>
      <c r="N611" s="336"/>
      <c r="O611" s="336"/>
      <c r="P611" s="336"/>
      <c r="Q611" s="336"/>
      <c r="R611" s="336"/>
      <c r="S611" s="336"/>
      <c r="T611" s="336"/>
      <c r="U611" s="337" t="s">
        <v>939</v>
      </c>
      <c r="V611" s="336"/>
    </row>
    <row r="612" ht="15.75" customHeight="1">
      <c r="A612" s="336"/>
      <c r="B612" s="336"/>
      <c r="C612" s="336"/>
      <c r="D612" s="336"/>
      <c r="E612" s="336"/>
      <c r="F612" s="336"/>
      <c r="G612" s="336"/>
      <c r="H612" s="336"/>
      <c r="I612" s="336"/>
      <c r="J612" s="336"/>
      <c r="K612" s="336"/>
      <c r="L612" s="336"/>
      <c r="M612" s="336"/>
      <c r="N612" s="336"/>
      <c r="O612" s="336"/>
      <c r="P612" s="336"/>
      <c r="Q612" s="336"/>
      <c r="R612" s="336"/>
      <c r="S612" s="336"/>
      <c r="T612" s="336"/>
      <c r="U612" s="337" t="s">
        <v>940</v>
      </c>
      <c r="V612" s="336"/>
    </row>
    <row r="613" ht="15.75" customHeight="1">
      <c r="A613" s="336"/>
      <c r="B613" s="336"/>
      <c r="C613" s="336"/>
      <c r="D613" s="336"/>
      <c r="E613" s="336"/>
      <c r="F613" s="336"/>
      <c r="G613" s="336"/>
      <c r="H613" s="336"/>
      <c r="I613" s="336"/>
      <c r="J613" s="336"/>
      <c r="K613" s="336"/>
      <c r="L613" s="336"/>
      <c r="M613" s="336"/>
      <c r="N613" s="336"/>
      <c r="O613" s="336"/>
      <c r="P613" s="336"/>
      <c r="Q613" s="336"/>
      <c r="R613" s="336"/>
      <c r="S613" s="336"/>
      <c r="T613" s="336"/>
      <c r="U613" s="337" t="s">
        <v>941</v>
      </c>
      <c r="V613" s="336"/>
    </row>
    <row r="614" ht="15.75" customHeight="1">
      <c r="A614" s="336"/>
      <c r="B614" s="336"/>
      <c r="C614" s="336"/>
      <c r="D614" s="336"/>
      <c r="E614" s="336"/>
      <c r="F614" s="336"/>
      <c r="G614" s="336"/>
      <c r="H614" s="336"/>
      <c r="I614" s="336"/>
      <c r="J614" s="336"/>
      <c r="K614" s="336"/>
      <c r="L614" s="336"/>
      <c r="M614" s="336"/>
      <c r="N614" s="336"/>
      <c r="O614" s="336"/>
      <c r="P614" s="336"/>
      <c r="Q614" s="336"/>
      <c r="R614" s="336"/>
      <c r="S614" s="336"/>
      <c r="T614" s="336"/>
      <c r="U614" s="337" t="s">
        <v>942</v>
      </c>
      <c r="V614" s="336"/>
    </row>
    <row r="615" ht="15.75" customHeight="1">
      <c r="A615" s="336"/>
      <c r="B615" s="336"/>
      <c r="C615" s="336"/>
      <c r="D615" s="336"/>
      <c r="E615" s="336"/>
      <c r="F615" s="336"/>
      <c r="G615" s="336"/>
      <c r="H615" s="336"/>
      <c r="I615" s="336"/>
      <c r="J615" s="336"/>
      <c r="K615" s="336"/>
      <c r="L615" s="336"/>
      <c r="M615" s="336"/>
      <c r="N615" s="336"/>
      <c r="O615" s="336"/>
      <c r="P615" s="336"/>
      <c r="Q615" s="336"/>
      <c r="R615" s="336"/>
      <c r="S615" s="336"/>
      <c r="T615" s="336"/>
      <c r="U615" s="337" t="s">
        <v>943</v>
      </c>
      <c r="V615" s="336"/>
    </row>
    <row r="616" ht="15.75" customHeight="1">
      <c r="A616" s="336"/>
      <c r="B616" s="336"/>
      <c r="C616" s="336"/>
      <c r="D616" s="336"/>
      <c r="E616" s="336"/>
      <c r="F616" s="336"/>
      <c r="G616" s="336"/>
      <c r="H616" s="336"/>
      <c r="I616" s="336"/>
      <c r="J616" s="336"/>
      <c r="K616" s="336"/>
      <c r="L616" s="336"/>
      <c r="M616" s="336"/>
      <c r="N616" s="336"/>
      <c r="O616" s="336"/>
      <c r="P616" s="336"/>
      <c r="Q616" s="336"/>
      <c r="R616" s="336"/>
      <c r="S616" s="336"/>
      <c r="T616" s="336"/>
      <c r="U616" s="337" t="s">
        <v>944</v>
      </c>
      <c r="V616" s="336"/>
    </row>
    <row r="617" ht="15.75" customHeight="1">
      <c r="A617" s="336"/>
      <c r="B617" s="336"/>
      <c r="C617" s="336"/>
      <c r="D617" s="336"/>
      <c r="E617" s="336"/>
      <c r="F617" s="336"/>
      <c r="G617" s="336"/>
      <c r="H617" s="336"/>
      <c r="I617" s="336"/>
      <c r="J617" s="336"/>
      <c r="K617" s="336"/>
      <c r="L617" s="336"/>
      <c r="M617" s="336"/>
      <c r="N617" s="336"/>
      <c r="O617" s="336"/>
      <c r="P617" s="336"/>
      <c r="Q617" s="336"/>
      <c r="R617" s="336"/>
      <c r="S617" s="336"/>
      <c r="T617" s="336"/>
      <c r="U617" s="337" t="s">
        <v>945</v>
      </c>
      <c r="V617" s="336"/>
    </row>
    <row r="618" ht="15.75" customHeight="1">
      <c r="A618" s="336"/>
      <c r="B618" s="336"/>
      <c r="C618" s="336"/>
      <c r="D618" s="336"/>
      <c r="E618" s="336"/>
      <c r="F618" s="336"/>
      <c r="G618" s="336"/>
      <c r="H618" s="336"/>
      <c r="I618" s="336"/>
      <c r="J618" s="336"/>
      <c r="K618" s="336"/>
      <c r="L618" s="336"/>
      <c r="M618" s="336"/>
      <c r="N618" s="336"/>
      <c r="O618" s="336"/>
      <c r="P618" s="336"/>
      <c r="Q618" s="336"/>
      <c r="R618" s="336"/>
      <c r="S618" s="336"/>
      <c r="T618" s="336"/>
      <c r="U618" s="337" t="s">
        <v>946</v>
      </c>
      <c r="V618" s="336"/>
    </row>
    <row r="619" ht="15.75" customHeight="1">
      <c r="A619" s="336"/>
      <c r="B619" s="336"/>
      <c r="C619" s="336"/>
      <c r="D619" s="336"/>
      <c r="E619" s="336"/>
      <c r="F619" s="336"/>
      <c r="G619" s="336"/>
      <c r="H619" s="336"/>
      <c r="I619" s="336"/>
      <c r="J619" s="336"/>
      <c r="K619" s="336"/>
      <c r="L619" s="336"/>
      <c r="M619" s="336"/>
      <c r="N619" s="336"/>
      <c r="O619" s="336"/>
      <c r="P619" s="336"/>
      <c r="Q619" s="336"/>
      <c r="R619" s="336"/>
      <c r="S619" s="336"/>
      <c r="T619" s="336"/>
      <c r="U619" s="337" t="s">
        <v>947</v>
      </c>
      <c r="V619" s="336"/>
    </row>
    <row r="620" ht="15.75" customHeight="1">
      <c r="A620" s="336"/>
      <c r="B620" s="336"/>
      <c r="C620" s="336"/>
      <c r="D620" s="336"/>
      <c r="E620" s="336"/>
      <c r="F620" s="336"/>
      <c r="G620" s="336"/>
      <c r="H620" s="336"/>
      <c r="I620" s="336"/>
      <c r="J620" s="336"/>
      <c r="K620" s="336"/>
      <c r="L620" s="336"/>
      <c r="M620" s="336"/>
      <c r="N620" s="336"/>
      <c r="O620" s="336"/>
      <c r="P620" s="336"/>
      <c r="Q620" s="336"/>
      <c r="R620" s="336"/>
      <c r="S620" s="336"/>
      <c r="T620" s="336"/>
      <c r="U620" s="337" t="s">
        <v>948</v>
      </c>
      <c r="V620" s="336"/>
    </row>
    <row r="621" ht="15.75" customHeight="1">
      <c r="A621" s="336"/>
      <c r="B621" s="336"/>
      <c r="C621" s="336"/>
      <c r="D621" s="336"/>
      <c r="E621" s="336"/>
      <c r="F621" s="336"/>
      <c r="G621" s="336"/>
      <c r="H621" s="336"/>
      <c r="I621" s="336"/>
      <c r="J621" s="336"/>
      <c r="K621" s="336"/>
      <c r="L621" s="336"/>
      <c r="M621" s="336"/>
      <c r="N621" s="336"/>
      <c r="O621" s="336"/>
      <c r="P621" s="336"/>
      <c r="Q621" s="336"/>
      <c r="R621" s="336"/>
      <c r="S621" s="336"/>
      <c r="T621" s="336"/>
      <c r="U621" s="337" t="s">
        <v>949</v>
      </c>
      <c r="V621" s="336"/>
    </row>
    <row r="622" ht="15.75" customHeight="1">
      <c r="A622" s="336"/>
      <c r="B622" s="336"/>
      <c r="C622" s="336"/>
      <c r="D622" s="336"/>
      <c r="E622" s="336"/>
      <c r="F622" s="336"/>
      <c r="G622" s="336"/>
      <c r="H622" s="336"/>
      <c r="I622" s="336"/>
      <c r="J622" s="336"/>
      <c r="K622" s="336"/>
      <c r="L622" s="336"/>
      <c r="M622" s="336"/>
      <c r="N622" s="336"/>
      <c r="O622" s="336"/>
      <c r="P622" s="336"/>
      <c r="Q622" s="336"/>
      <c r="R622" s="336"/>
      <c r="S622" s="336"/>
      <c r="T622" s="336"/>
      <c r="U622" s="337" t="s">
        <v>950</v>
      </c>
      <c r="V622" s="336"/>
    </row>
    <row r="623" ht="15.75" customHeight="1">
      <c r="A623" s="336"/>
      <c r="B623" s="336"/>
      <c r="C623" s="336"/>
      <c r="D623" s="336"/>
      <c r="E623" s="336"/>
      <c r="F623" s="336"/>
      <c r="G623" s="336"/>
      <c r="H623" s="336"/>
      <c r="I623" s="336"/>
      <c r="J623" s="336"/>
      <c r="K623" s="336"/>
      <c r="L623" s="336"/>
      <c r="M623" s="336"/>
      <c r="N623" s="336"/>
      <c r="O623" s="336"/>
      <c r="P623" s="336"/>
      <c r="Q623" s="336"/>
      <c r="R623" s="336"/>
      <c r="S623" s="336"/>
      <c r="T623" s="336"/>
      <c r="U623" s="337" t="s">
        <v>951</v>
      </c>
      <c r="V623" s="336"/>
    </row>
    <row r="624" ht="15.75" customHeight="1">
      <c r="A624" s="336"/>
      <c r="B624" s="336"/>
      <c r="C624" s="336"/>
      <c r="D624" s="336"/>
      <c r="E624" s="336"/>
      <c r="F624" s="336"/>
      <c r="G624" s="336"/>
      <c r="H624" s="336"/>
      <c r="I624" s="336"/>
      <c r="J624" s="336"/>
      <c r="K624" s="336"/>
      <c r="L624" s="336"/>
      <c r="M624" s="336"/>
      <c r="N624" s="336"/>
      <c r="O624" s="336"/>
      <c r="P624" s="336"/>
      <c r="Q624" s="336"/>
      <c r="R624" s="336"/>
      <c r="S624" s="336"/>
      <c r="T624" s="336"/>
      <c r="U624" s="337" t="s">
        <v>952</v>
      </c>
      <c r="V624" s="336"/>
    </row>
    <row r="625" ht="15.75" customHeight="1">
      <c r="A625" s="336"/>
      <c r="B625" s="336"/>
      <c r="C625" s="336"/>
      <c r="D625" s="336"/>
      <c r="E625" s="336"/>
      <c r="F625" s="336"/>
      <c r="G625" s="336"/>
      <c r="H625" s="336"/>
      <c r="I625" s="336"/>
      <c r="J625" s="336"/>
      <c r="K625" s="336"/>
      <c r="L625" s="336"/>
      <c r="M625" s="336"/>
      <c r="N625" s="336"/>
      <c r="O625" s="336"/>
      <c r="P625" s="336"/>
      <c r="Q625" s="336"/>
      <c r="R625" s="336"/>
      <c r="S625" s="336"/>
      <c r="T625" s="336"/>
      <c r="U625" s="337" t="s">
        <v>953</v>
      </c>
      <c r="V625" s="336"/>
    </row>
    <row r="626" ht="15.75" customHeight="1">
      <c r="A626" s="336"/>
      <c r="B626" s="336"/>
      <c r="C626" s="336"/>
      <c r="D626" s="336"/>
      <c r="E626" s="336"/>
      <c r="F626" s="336"/>
      <c r="G626" s="336"/>
      <c r="H626" s="336"/>
      <c r="I626" s="336"/>
      <c r="J626" s="336"/>
      <c r="K626" s="336"/>
      <c r="L626" s="336"/>
      <c r="M626" s="336"/>
      <c r="N626" s="336"/>
      <c r="O626" s="336"/>
      <c r="P626" s="336"/>
      <c r="Q626" s="336"/>
      <c r="R626" s="336"/>
      <c r="S626" s="336"/>
      <c r="T626" s="336"/>
      <c r="U626" s="337" t="s">
        <v>954</v>
      </c>
      <c r="V626" s="336"/>
    </row>
    <row r="627" ht="15.75" customHeight="1">
      <c r="A627" s="336"/>
      <c r="B627" s="336"/>
      <c r="C627" s="336"/>
      <c r="D627" s="336"/>
      <c r="E627" s="336"/>
      <c r="F627" s="336"/>
      <c r="G627" s="336"/>
      <c r="H627" s="336"/>
      <c r="I627" s="336"/>
      <c r="J627" s="336"/>
      <c r="K627" s="336"/>
      <c r="L627" s="336"/>
      <c r="M627" s="336"/>
      <c r="N627" s="336"/>
      <c r="O627" s="336"/>
      <c r="P627" s="336"/>
      <c r="Q627" s="336"/>
      <c r="R627" s="336"/>
      <c r="S627" s="336"/>
      <c r="T627" s="336"/>
      <c r="U627" s="337" t="s">
        <v>955</v>
      </c>
      <c r="V627" s="336"/>
    </row>
    <row r="628" ht="15.75" customHeight="1">
      <c r="A628" s="336"/>
      <c r="B628" s="336"/>
      <c r="C628" s="336"/>
      <c r="D628" s="336"/>
      <c r="E628" s="336"/>
      <c r="F628" s="336"/>
      <c r="G628" s="336"/>
      <c r="H628" s="336"/>
      <c r="I628" s="336"/>
      <c r="J628" s="336"/>
      <c r="K628" s="336"/>
      <c r="L628" s="336"/>
      <c r="M628" s="336"/>
      <c r="N628" s="336"/>
      <c r="O628" s="336"/>
      <c r="P628" s="336"/>
      <c r="Q628" s="336"/>
      <c r="R628" s="336"/>
      <c r="S628" s="336"/>
      <c r="T628" s="336"/>
      <c r="U628" s="337" t="s">
        <v>956</v>
      </c>
      <c r="V628" s="336"/>
    </row>
    <row r="629" ht="15.75" customHeight="1">
      <c r="A629" s="336"/>
      <c r="B629" s="336"/>
      <c r="C629" s="336"/>
      <c r="D629" s="336"/>
      <c r="E629" s="336"/>
      <c r="F629" s="336"/>
      <c r="G629" s="336"/>
      <c r="H629" s="336"/>
      <c r="I629" s="336"/>
      <c r="J629" s="336"/>
      <c r="K629" s="336"/>
      <c r="L629" s="336"/>
      <c r="M629" s="336"/>
      <c r="N629" s="336"/>
      <c r="O629" s="336"/>
      <c r="P629" s="336"/>
      <c r="Q629" s="336"/>
      <c r="R629" s="336"/>
      <c r="S629" s="336"/>
      <c r="T629" s="336"/>
      <c r="U629" s="337" t="s">
        <v>957</v>
      </c>
      <c r="V629" s="336"/>
    </row>
    <row r="630" ht="15.75" customHeight="1">
      <c r="A630" s="336"/>
      <c r="B630" s="336"/>
      <c r="C630" s="336"/>
      <c r="D630" s="336"/>
      <c r="E630" s="336"/>
      <c r="F630" s="336"/>
      <c r="G630" s="336"/>
      <c r="H630" s="336"/>
      <c r="I630" s="336"/>
      <c r="J630" s="336"/>
      <c r="K630" s="336"/>
      <c r="L630" s="336"/>
      <c r="M630" s="336"/>
      <c r="N630" s="336"/>
      <c r="O630" s="336"/>
      <c r="P630" s="336"/>
      <c r="Q630" s="336"/>
      <c r="R630" s="336"/>
      <c r="S630" s="336"/>
      <c r="T630" s="336"/>
      <c r="U630" s="337" t="s">
        <v>958</v>
      </c>
      <c r="V630" s="336"/>
    </row>
    <row r="631" ht="15.75" customHeight="1">
      <c r="A631" s="336"/>
      <c r="B631" s="336"/>
      <c r="C631" s="336"/>
      <c r="D631" s="336"/>
      <c r="E631" s="336"/>
      <c r="F631" s="336"/>
      <c r="G631" s="336"/>
      <c r="H631" s="336"/>
      <c r="I631" s="336"/>
      <c r="J631" s="336"/>
      <c r="K631" s="336"/>
      <c r="L631" s="336"/>
      <c r="M631" s="336"/>
      <c r="N631" s="336"/>
      <c r="O631" s="336"/>
      <c r="P631" s="336"/>
      <c r="Q631" s="336"/>
      <c r="R631" s="336"/>
      <c r="S631" s="336"/>
      <c r="T631" s="336"/>
      <c r="U631" s="337" t="s">
        <v>959</v>
      </c>
      <c r="V631" s="336"/>
    </row>
    <row r="632" ht="15.75" customHeight="1">
      <c r="A632" s="336"/>
      <c r="B632" s="336"/>
      <c r="C632" s="336"/>
      <c r="D632" s="336"/>
      <c r="E632" s="336"/>
      <c r="F632" s="336"/>
      <c r="G632" s="336"/>
      <c r="H632" s="336"/>
      <c r="I632" s="336"/>
      <c r="J632" s="336"/>
      <c r="K632" s="336"/>
      <c r="L632" s="336"/>
      <c r="M632" s="336"/>
      <c r="N632" s="336"/>
      <c r="O632" s="336"/>
      <c r="P632" s="336"/>
      <c r="Q632" s="336"/>
      <c r="R632" s="336"/>
      <c r="S632" s="336"/>
      <c r="T632" s="336"/>
      <c r="U632" s="337" t="s">
        <v>960</v>
      </c>
      <c r="V632" s="336"/>
    </row>
    <row r="633" ht="15.75" customHeight="1">
      <c r="A633" s="336"/>
      <c r="B633" s="336"/>
      <c r="C633" s="336"/>
      <c r="D633" s="336"/>
      <c r="E633" s="336"/>
      <c r="F633" s="336"/>
      <c r="G633" s="336"/>
      <c r="H633" s="336"/>
      <c r="I633" s="336"/>
      <c r="J633" s="336"/>
      <c r="K633" s="336"/>
      <c r="L633" s="336"/>
      <c r="M633" s="336"/>
      <c r="N633" s="336"/>
      <c r="O633" s="336"/>
      <c r="P633" s="336"/>
      <c r="Q633" s="336"/>
      <c r="R633" s="336"/>
      <c r="S633" s="336"/>
      <c r="T633" s="336"/>
      <c r="U633" s="337" t="s">
        <v>961</v>
      </c>
      <c r="V633" s="336"/>
    </row>
    <row r="634" ht="15.75" customHeight="1">
      <c r="A634" s="336"/>
      <c r="B634" s="336"/>
      <c r="C634" s="336"/>
      <c r="D634" s="336"/>
      <c r="E634" s="336"/>
      <c r="F634" s="336"/>
      <c r="G634" s="336"/>
      <c r="H634" s="336"/>
      <c r="I634" s="336"/>
      <c r="J634" s="336"/>
      <c r="K634" s="336"/>
      <c r="L634" s="336"/>
      <c r="M634" s="336"/>
      <c r="N634" s="336"/>
      <c r="O634" s="336"/>
      <c r="P634" s="336"/>
      <c r="Q634" s="336"/>
      <c r="R634" s="336"/>
      <c r="S634" s="336"/>
      <c r="T634" s="336"/>
      <c r="U634" s="337" t="s">
        <v>962</v>
      </c>
      <c r="V634" s="336"/>
    </row>
    <row r="635" ht="15.75" customHeight="1">
      <c r="A635" s="336"/>
      <c r="B635" s="336"/>
      <c r="C635" s="336"/>
      <c r="D635" s="336"/>
      <c r="E635" s="336"/>
      <c r="F635" s="336"/>
      <c r="G635" s="336"/>
      <c r="H635" s="336"/>
      <c r="I635" s="336"/>
      <c r="J635" s="336"/>
      <c r="K635" s="336"/>
      <c r="L635" s="336"/>
      <c r="M635" s="336"/>
      <c r="N635" s="336"/>
      <c r="O635" s="336"/>
      <c r="P635" s="336"/>
      <c r="Q635" s="336"/>
      <c r="R635" s="336"/>
      <c r="S635" s="336"/>
      <c r="T635" s="336"/>
      <c r="U635" s="337" t="s">
        <v>963</v>
      </c>
      <c r="V635" s="336"/>
    </row>
    <row r="636" ht="15.75" customHeight="1">
      <c r="A636" s="336"/>
      <c r="B636" s="336"/>
      <c r="C636" s="336"/>
      <c r="D636" s="336"/>
      <c r="E636" s="336"/>
      <c r="F636" s="336"/>
      <c r="G636" s="336"/>
      <c r="H636" s="336"/>
      <c r="I636" s="336"/>
      <c r="J636" s="336"/>
      <c r="K636" s="336"/>
      <c r="L636" s="336"/>
      <c r="M636" s="336"/>
      <c r="N636" s="336"/>
      <c r="O636" s="336"/>
      <c r="P636" s="336"/>
      <c r="Q636" s="336"/>
      <c r="R636" s="336"/>
      <c r="S636" s="336"/>
      <c r="T636" s="336"/>
      <c r="U636" s="337" t="s">
        <v>964</v>
      </c>
      <c r="V636" s="336"/>
    </row>
    <row r="637" ht="15.75" customHeight="1">
      <c r="A637" s="336"/>
      <c r="B637" s="336"/>
      <c r="C637" s="336"/>
      <c r="D637" s="336"/>
      <c r="E637" s="336"/>
      <c r="F637" s="336"/>
      <c r="G637" s="336"/>
      <c r="H637" s="336"/>
      <c r="I637" s="336"/>
      <c r="J637" s="336"/>
      <c r="K637" s="336"/>
      <c r="L637" s="336"/>
      <c r="M637" s="336"/>
      <c r="N637" s="336"/>
      <c r="O637" s="336"/>
      <c r="P637" s="336"/>
      <c r="Q637" s="336"/>
      <c r="R637" s="336"/>
      <c r="S637" s="336"/>
      <c r="T637" s="336"/>
      <c r="U637" s="337" t="s">
        <v>965</v>
      </c>
      <c r="V637" s="336"/>
    </row>
    <row r="638" ht="15.75" customHeight="1">
      <c r="A638" s="336"/>
      <c r="B638" s="336"/>
      <c r="C638" s="336"/>
      <c r="D638" s="336"/>
      <c r="E638" s="336"/>
      <c r="F638" s="336"/>
      <c r="G638" s="336"/>
      <c r="H638" s="336"/>
      <c r="I638" s="336"/>
      <c r="J638" s="336"/>
      <c r="K638" s="336"/>
      <c r="L638" s="336"/>
      <c r="M638" s="336"/>
      <c r="N638" s="336"/>
      <c r="O638" s="336"/>
      <c r="P638" s="336"/>
      <c r="Q638" s="336"/>
      <c r="R638" s="336"/>
      <c r="S638" s="336"/>
      <c r="T638" s="336"/>
      <c r="U638" s="337" t="s">
        <v>966</v>
      </c>
      <c r="V638" s="336"/>
    </row>
    <row r="639" ht="15.75" customHeight="1">
      <c r="A639" s="336"/>
      <c r="B639" s="336"/>
      <c r="C639" s="336"/>
      <c r="D639" s="336"/>
      <c r="E639" s="336"/>
      <c r="F639" s="336"/>
      <c r="G639" s="336"/>
      <c r="H639" s="336"/>
      <c r="I639" s="336"/>
      <c r="J639" s="336"/>
      <c r="K639" s="336"/>
      <c r="L639" s="336"/>
      <c r="M639" s="336"/>
      <c r="N639" s="336"/>
      <c r="O639" s="336"/>
      <c r="P639" s="336"/>
      <c r="Q639" s="336"/>
      <c r="R639" s="336"/>
      <c r="S639" s="336"/>
      <c r="T639" s="336"/>
      <c r="U639" s="337" t="s">
        <v>967</v>
      </c>
      <c r="V639" s="336"/>
    </row>
    <row r="640" ht="15.75" customHeight="1">
      <c r="A640" s="336"/>
      <c r="B640" s="336"/>
      <c r="C640" s="336"/>
      <c r="D640" s="336"/>
      <c r="E640" s="336"/>
      <c r="F640" s="336"/>
      <c r="G640" s="336"/>
      <c r="H640" s="336"/>
      <c r="I640" s="336"/>
      <c r="J640" s="336"/>
      <c r="K640" s="336"/>
      <c r="L640" s="336"/>
      <c r="M640" s="336"/>
      <c r="N640" s="336"/>
      <c r="O640" s="336"/>
      <c r="P640" s="336"/>
      <c r="Q640" s="336"/>
      <c r="R640" s="336"/>
      <c r="S640" s="336"/>
      <c r="T640" s="336"/>
      <c r="U640" s="337" t="s">
        <v>968</v>
      </c>
      <c r="V640" s="336"/>
    </row>
    <row r="641" ht="15.75" customHeight="1">
      <c r="A641" s="336"/>
      <c r="B641" s="336"/>
      <c r="C641" s="336"/>
      <c r="D641" s="336"/>
      <c r="E641" s="336"/>
      <c r="F641" s="336"/>
      <c r="G641" s="336"/>
      <c r="H641" s="336"/>
      <c r="I641" s="336"/>
      <c r="J641" s="336"/>
      <c r="K641" s="336"/>
      <c r="L641" s="336"/>
      <c r="M641" s="336"/>
      <c r="N641" s="336"/>
      <c r="O641" s="336"/>
      <c r="P641" s="336"/>
      <c r="Q641" s="336"/>
      <c r="R641" s="336"/>
      <c r="S641" s="336"/>
      <c r="T641" s="336"/>
      <c r="U641" s="337" t="s">
        <v>969</v>
      </c>
      <c r="V641" s="336"/>
    </row>
    <row r="642" ht="15.75" customHeight="1">
      <c r="A642" s="336"/>
      <c r="B642" s="336"/>
      <c r="C642" s="336"/>
      <c r="D642" s="336"/>
      <c r="E642" s="336"/>
      <c r="F642" s="336"/>
      <c r="G642" s="336"/>
      <c r="H642" s="336"/>
      <c r="I642" s="336"/>
      <c r="J642" s="336"/>
      <c r="K642" s="336"/>
      <c r="L642" s="336"/>
      <c r="M642" s="336"/>
      <c r="N642" s="336"/>
      <c r="O642" s="336"/>
      <c r="P642" s="336"/>
      <c r="Q642" s="336"/>
      <c r="R642" s="336"/>
      <c r="S642" s="336"/>
      <c r="T642" s="336"/>
      <c r="U642" s="337" t="s">
        <v>970</v>
      </c>
      <c r="V642" s="336"/>
    </row>
    <row r="643" ht="15.75" customHeight="1">
      <c r="A643" s="336"/>
      <c r="B643" s="336"/>
      <c r="C643" s="336"/>
      <c r="D643" s="336"/>
      <c r="E643" s="336"/>
      <c r="F643" s="336"/>
      <c r="G643" s="336"/>
      <c r="H643" s="336"/>
      <c r="I643" s="336"/>
      <c r="J643" s="336"/>
      <c r="K643" s="336"/>
      <c r="L643" s="336"/>
      <c r="M643" s="336"/>
      <c r="N643" s="336"/>
      <c r="O643" s="336"/>
      <c r="P643" s="336"/>
      <c r="Q643" s="336"/>
      <c r="R643" s="336"/>
      <c r="S643" s="336"/>
      <c r="T643" s="336"/>
      <c r="U643" s="337" t="s">
        <v>971</v>
      </c>
      <c r="V643" s="336"/>
    </row>
    <row r="644" ht="15.75" customHeight="1">
      <c r="A644" s="336"/>
      <c r="B644" s="336"/>
      <c r="C644" s="336"/>
      <c r="D644" s="336"/>
      <c r="E644" s="336"/>
      <c r="F644" s="336"/>
      <c r="G644" s="336"/>
      <c r="H644" s="336"/>
      <c r="I644" s="336"/>
      <c r="J644" s="336"/>
      <c r="K644" s="336"/>
      <c r="L644" s="336"/>
      <c r="M644" s="336"/>
      <c r="N644" s="336"/>
      <c r="O644" s="336"/>
      <c r="P644" s="336"/>
      <c r="Q644" s="336"/>
      <c r="R644" s="336"/>
      <c r="S644" s="336"/>
      <c r="T644" s="336"/>
      <c r="U644" s="337" t="s">
        <v>972</v>
      </c>
      <c r="V644" s="336"/>
    </row>
    <row r="645" ht="15.75" customHeight="1">
      <c r="A645" s="336"/>
      <c r="B645" s="336"/>
      <c r="C645" s="336"/>
      <c r="D645" s="336"/>
      <c r="E645" s="336"/>
      <c r="F645" s="336"/>
      <c r="G645" s="336"/>
      <c r="H645" s="336"/>
      <c r="I645" s="336"/>
      <c r="J645" s="336"/>
      <c r="K645" s="336"/>
      <c r="L645" s="336"/>
      <c r="M645" s="336"/>
      <c r="N645" s="336"/>
      <c r="O645" s="336"/>
      <c r="P645" s="336"/>
      <c r="Q645" s="336"/>
      <c r="R645" s="336"/>
      <c r="S645" s="336"/>
      <c r="T645" s="336"/>
      <c r="U645" s="337" t="s">
        <v>973</v>
      </c>
      <c r="V645" s="336"/>
    </row>
    <row r="646" ht="15.75" customHeight="1">
      <c r="A646" s="336"/>
      <c r="B646" s="336"/>
      <c r="C646" s="336"/>
      <c r="D646" s="336"/>
      <c r="E646" s="336"/>
      <c r="F646" s="336"/>
      <c r="G646" s="336"/>
      <c r="H646" s="336"/>
      <c r="I646" s="336"/>
      <c r="J646" s="336"/>
      <c r="K646" s="336"/>
      <c r="L646" s="336"/>
      <c r="M646" s="336"/>
      <c r="N646" s="336"/>
      <c r="O646" s="336"/>
      <c r="P646" s="336"/>
      <c r="Q646" s="336"/>
      <c r="R646" s="336"/>
      <c r="S646" s="336"/>
      <c r="T646" s="336"/>
      <c r="U646" s="337" t="s">
        <v>974</v>
      </c>
      <c r="V646" s="336"/>
    </row>
    <row r="647" ht="15.75" customHeight="1">
      <c r="A647" s="336"/>
      <c r="B647" s="336"/>
      <c r="C647" s="336"/>
      <c r="D647" s="336"/>
      <c r="E647" s="336"/>
      <c r="F647" s="336"/>
      <c r="G647" s="336"/>
      <c r="H647" s="336"/>
      <c r="I647" s="336"/>
      <c r="J647" s="336"/>
      <c r="K647" s="336"/>
      <c r="L647" s="336"/>
      <c r="M647" s="336"/>
      <c r="N647" s="336"/>
      <c r="O647" s="336"/>
      <c r="P647" s="336"/>
      <c r="Q647" s="336"/>
      <c r="R647" s="336"/>
      <c r="S647" s="336"/>
      <c r="T647" s="336"/>
      <c r="U647" s="337" t="s">
        <v>975</v>
      </c>
      <c r="V647" s="336"/>
    </row>
    <row r="648" ht="15.75" customHeight="1">
      <c r="A648" s="336"/>
      <c r="B648" s="336"/>
      <c r="C648" s="336"/>
      <c r="D648" s="336"/>
      <c r="E648" s="336"/>
      <c r="F648" s="336"/>
      <c r="G648" s="336"/>
      <c r="H648" s="336"/>
      <c r="I648" s="336"/>
      <c r="J648" s="336"/>
      <c r="K648" s="336"/>
      <c r="L648" s="336"/>
      <c r="M648" s="336"/>
      <c r="N648" s="336"/>
      <c r="O648" s="336"/>
      <c r="P648" s="336"/>
      <c r="Q648" s="336"/>
      <c r="R648" s="336"/>
      <c r="S648" s="336"/>
      <c r="T648" s="336"/>
      <c r="U648" s="337" t="s">
        <v>976</v>
      </c>
      <c r="V648" s="336"/>
    </row>
    <row r="649" ht="15.75" customHeight="1">
      <c r="A649" s="336"/>
      <c r="B649" s="336"/>
      <c r="C649" s="336"/>
      <c r="D649" s="336"/>
      <c r="E649" s="336"/>
      <c r="F649" s="336"/>
      <c r="G649" s="336"/>
      <c r="H649" s="336"/>
      <c r="I649" s="336"/>
      <c r="J649" s="336"/>
      <c r="K649" s="336"/>
      <c r="L649" s="336"/>
      <c r="M649" s="336"/>
      <c r="N649" s="336"/>
      <c r="O649" s="336"/>
      <c r="P649" s="336"/>
      <c r="Q649" s="336"/>
      <c r="R649" s="336"/>
      <c r="S649" s="336"/>
      <c r="T649" s="336"/>
      <c r="U649" s="337" t="s">
        <v>977</v>
      </c>
      <c r="V649" s="336"/>
    </row>
    <row r="650" ht="15.75" customHeight="1">
      <c r="A650" s="336"/>
      <c r="B650" s="336"/>
      <c r="C650" s="336"/>
      <c r="D650" s="336"/>
      <c r="E650" s="336"/>
      <c r="F650" s="336"/>
      <c r="G650" s="336"/>
      <c r="H650" s="336"/>
      <c r="I650" s="336"/>
      <c r="J650" s="336"/>
      <c r="K650" s="336"/>
      <c r="L650" s="336"/>
      <c r="M650" s="336"/>
      <c r="N650" s="336"/>
      <c r="O650" s="336"/>
      <c r="P650" s="336"/>
      <c r="Q650" s="336"/>
      <c r="R650" s="336"/>
      <c r="S650" s="336"/>
      <c r="T650" s="336"/>
      <c r="U650" s="337" t="s">
        <v>978</v>
      </c>
      <c r="V650" s="336"/>
    </row>
    <row r="651" ht="15.75" customHeight="1">
      <c r="A651" s="336"/>
      <c r="B651" s="336"/>
      <c r="C651" s="336"/>
      <c r="D651" s="336"/>
      <c r="E651" s="336"/>
      <c r="F651" s="336"/>
      <c r="G651" s="336"/>
      <c r="H651" s="336"/>
      <c r="I651" s="336"/>
      <c r="J651" s="336"/>
      <c r="K651" s="336"/>
      <c r="L651" s="336"/>
      <c r="M651" s="336"/>
      <c r="N651" s="336"/>
      <c r="O651" s="336"/>
      <c r="P651" s="336"/>
      <c r="Q651" s="336"/>
      <c r="R651" s="336"/>
      <c r="S651" s="336"/>
      <c r="T651" s="336"/>
      <c r="U651" s="337" t="s">
        <v>979</v>
      </c>
      <c r="V651" s="336"/>
    </row>
    <row r="652" ht="15.75" customHeight="1">
      <c r="A652" s="336"/>
      <c r="B652" s="336"/>
      <c r="C652" s="336"/>
      <c r="D652" s="336"/>
      <c r="E652" s="336"/>
      <c r="F652" s="336"/>
      <c r="G652" s="336"/>
      <c r="H652" s="336"/>
      <c r="I652" s="336"/>
      <c r="J652" s="336"/>
      <c r="K652" s="336"/>
      <c r="L652" s="336"/>
      <c r="M652" s="336"/>
      <c r="N652" s="336"/>
      <c r="O652" s="336"/>
      <c r="P652" s="336"/>
      <c r="Q652" s="336"/>
      <c r="R652" s="336"/>
      <c r="S652" s="336"/>
      <c r="T652" s="336"/>
      <c r="U652" s="337" t="s">
        <v>980</v>
      </c>
      <c r="V652" s="336"/>
    </row>
    <row r="653" ht="15.75" customHeight="1">
      <c r="A653" s="336"/>
      <c r="B653" s="336"/>
      <c r="C653" s="336"/>
      <c r="D653" s="336"/>
      <c r="E653" s="336"/>
      <c r="F653" s="336"/>
      <c r="G653" s="336"/>
      <c r="H653" s="336"/>
      <c r="I653" s="336"/>
      <c r="J653" s="336"/>
      <c r="K653" s="336"/>
      <c r="L653" s="336"/>
      <c r="M653" s="336"/>
      <c r="N653" s="336"/>
      <c r="O653" s="336"/>
      <c r="P653" s="336"/>
      <c r="Q653" s="336"/>
      <c r="R653" s="336"/>
      <c r="S653" s="336"/>
      <c r="T653" s="336"/>
      <c r="U653" s="337" t="s">
        <v>981</v>
      </c>
      <c r="V653" s="336"/>
    </row>
    <row r="654" ht="15.75" customHeight="1">
      <c r="A654" s="336"/>
      <c r="B654" s="336"/>
      <c r="C654" s="336"/>
      <c r="D654" s="336"/>
      <c r="E654" s="336"/>
      <c r="F654" s="336"/>
      <c r="G654" s="336"/>
      <c r="H654" s="336"/>
      <c r="I654" s="336"/>
      <c r="J654" s="336"/>
      <c r="K654" s="336"/>
      <c r="L654" s="336"/>
      <c r="M654" s="336"/>
      <c r="N654" s="336"/>
      <c r="O654" s="336"/>
      <c r="P654" s="336"/>
      <c r="Q654" s="336"/>
      <c r="R654" s="336"/>
      <c r="S654" s="336"/>
      <c r="T654" s="336"/>
      <c r="U654" s="337" t="s">
        <v>982</v>
      </c>
      <c r="V654" s="336"/>
    </row>
    <row r="655" ht="15.75" customHeight="1">
      <c r="A655" s="336"/>
      <c r="B655" s="336"/>
      <c r="C655" s="336"/>
      <c r="D655" s="336"/>
      <c r="E655" s="336"/>
      <c r="F655" s="336"/>
      <c r="G655" s="336"/>
      <c r="H655" s="336"/>
      <c r="I655" s="336"/>
      <c r="J655" s="336"/>
      <c r="K655" s="336"/>
      <c r="L655" s="336"/>
      <c r="M655" s="336"/>
      <c r="N655" s="336"/>
      <c r="O655" s="336"/>
      <c r="P655" s="336"/>
      <c r="Q655" s="336"/>
      <c r="R655" s="336"/>
      <c r="S655" s="336"/>
      <c r="T655" s="336"/>
      <c r="U655" s="337" t="s">
        <v>983</v>
      </c>
      <c r="V655" s="336"/>
    </row>
    <row r="656" ht="15.75" customHeight="1">
      <c r="A656" s="336"/>
      <c r="B656" s="336"/>
      <c r="C656" s="336"/>
      <c r="D656" s="336"/>
      <c r="E656" s="336"/>
      <c r="F656" s="336"/>
      <c r="G656" s="336"/>
      <c r="H656" s="336"/>
      <c r="I656" s="336"/>
      <c r="J656" s="336"/>
      <c r="K656" s="336"/>
      <c r="L656" s="336"/>
      <c r="M656" s="336"/>
      <c r="N656" s="336"/>
      <c r="O656" s="336"/>
      <c r="P656" s="336"/>
      <c r="Q656" s="336"/>
      <c r="R656" s="336"/>
      <c r="S656" s="336"/>
      <c r="T656" s="336"/>
      <c r="U656" s="337" t="s">
        <v>984</v>
      </c>
      <c r="V656" s="336"/>
    </row>
    <row r="657" ht="15.75" customHeight="1">
      <c r="A657" s="336"/>
      <c r="B657" s="336"/>
      <c r="C657" s="336"/>
      <c r="D657" s="336"/>
      <c r="E657" s="336"/>
      <c r="F657" s="336"/>
      <c r="G657" s="336"/>
      <c r="H657" s="336"/>
      <c r="I657" s="336"/>
      <c r="J657" s="336"/>
      <c r="K657" s="336"/>
      <c r="L657" s="336"/>
      <c r="M657" s="336"/>
      <c r="N657" s="336"/>
      <c r="O657" s="336"/>
      <c r="P657" s="336"/>
      <c r="Q657" s="336"/>
      <c r="R657" s="336"/>
      <c r="S657" s="336"/>
      <c r="T657" s="336"/>
      <c r="U657" s="337" t="s">
        <v>985</v>
      </c>
      <c r="V657" s="336"/>
    </row>
    <row r="658" ht="15.75" customHeight="1">
      <c r="A658" s="336"/>
      <c r="B658" s="336"/>
      <c r="C658" s="336"/>
      <c r="D658" s="336"/>
      <c r="E658" s="336"/>
      <c r="F658" s="336"/>
      <c r="G658" s="336"/>
      <c r="H658" s="336"/>
      <c r="I658" s="336"/>
      <c r="J658" s="336"/>
      <c r="K658" s="336"/>
      <c r="L658" s="336"/>
      <c r="M658" s="336"/>
      <c r="N658" s="336"/>
      <c r="O658" s="336"/>
      <c r="P658" s="336"/>
      <c r="Q658" s="336"/>
      <c r="R658" s="336"/>
      <c r="S658" s="336"/>
      <c r="T658" s="336"/>
      <c r="U658" s="337" t="s">
        <v>986</v>
      </c>
      <c r="V658" s="336"/>
    </row>
    <row r="659" ht="15.75" customHeight="1">
      <c r="A659" s="336"/>
      <c r="B659" s="336"/>
      <c r="C659" s="336"/>
      <c r="D659" s="336"/>
      <c r="E659" s="336"/>
      <c r="F659" s="336"/>
      <c r="G659" s="336"/>
      <c r="H659" s="336"/>
      <c r="I659" s="336"/>
      <c r="J659" s="336"/>
      <c r="K659" s="336"/>
      <c r="L659" s="336"/>
      <c r="M659" s="336"/>
      <c r="N659" s="336"/>
      <c r="O659" s="336"/>
      <c r="P659" s="336"/>
      <c r="Q659" s="336"/>
      <c r="R659" s="336"/>
      <c r="S659" s="336"/>
      <c r="T659" s="336"/>
      <c r="U659" s="337" t="s">
        <v>987</v>
      </c>
      <c r="V659" s="336"/>
    </row>
    <row r="660" ht="15.75" customHeight="1">
      <c r="A660" s="336"/>
      <c r="B660" s="336"/>
      <c r="C660" s="336"/>
      <c r="D660" s="336"/>
      <c r="E660" s="336"/>
      <c r="F660" s="336"/>
      <c r="G660" s="336"/>
      <c r="H660" s="336"/>
      <c r="I660" s="336"/>
      <c r="J660" s="336"/>
      <c r="K660" s="336"/>
      <c r="L660" s="336"/>
      <c r="M660" s="336"/>
      <c r="N660" s="336"/>
      <c r="O660" s="336"/>
      <c r="P660" s="336"/>
      <c r="Q660" s="336"/>
      <c r="R660" s="336"/>
      <c r="S660" s="336"/>
      <c r="T660" s="336"/>
      <c r="U660" s="337" t="s">
        <v>988</v>
      </c>
      <c r="V660" s="336"/>
    </row>
    <row r="661" ht="15.75" customHeight="1">
      <c r="A661" s="336"/>
      <c r="B661" s="336"/>
      <c r="C661" s="336"/>
      <c r="D661" s="336"/>
      <c r="E661" s="336"/>
      <c r="F661" s="336"/>
      <c r="G661" s="336"/>
      <c r="H661" s="336"/>
      <c r="I661" s="336"/>
      <c r="J661" s="336"/>
      <c r="K661" s="336"/>
      <c r="L661" s="336"/>
      <c r="M661" s="336"/>
      <c r="N661" s="336"/>
      <c r="O661" s="336"/>
      <c r="P661" s="336"/>
      <c r="Q661" s="336"/>
      <c r="R661" s="336"/>
      <c r="S661" s="336"/>
      <c r="T661" s="336"/>
      <c r="U661" s="337" t="s">
        <v>989</v>
      </c>
      <c r="V661" s="336"/>
    </row>
    <row r="662" ht="15.75" customHeight="1">
      <c r="A662" s="336"/>
      <c r="B662" s="336"/>
      <c r="C662" s="336"/>
      <c r="D662" s="336"/>
      <c r="E662" s="336"/>
      <c r="F662" s="336"/>
      <c r="G662" s="336"/>
      <c r="H662" s="336"/>
      <c r="I662" s="336"/>
      <c r="J662" s="336"/>
      <c r="K662" s="336"/>
      <c r="L662" s="336"/>
      <c r="M662" s="336"/>
      <c r="N662" s="336"/>
      <c r="O662" s="336"/>
      <c r="P662" s="336"/>
      <c r="Q662" s="336"/>
      <c r="R662" s="336"/>
      <c r="S662" s="336"/>
      <c r="T662" s="336"/>
      <c r="U662" s="337" t="s">
        <v>990</v>
      </c>
      <c r="V662" s="336"/>
    </row>
    <row r="663" ht="15.75" customHeight="1">
      <c r="A663" s="336"/>
      <c r="B663" s="336"/>
      <c r="C663" s="336"/>
      <c r="D663" s="336"/>
      <c r="E663" s="336"/>
      <c r="F663" s="336"/>
      <c r="G663" s="336"/>
      <c r="H663" s="336"/>
      <c r="I663" s="336"/>
      <c r="J663" s="336"/>
      <c r="K663" s="336"/>
      <c r="L663" s="336"/>
      <c r="M663" s="336"/>
      <c r="N663" s="336"/>
      <c r="O663" s="336"/>
      <c r="P663" s="336"/>
      <c r="Q663" s="336"/>
      <c r="R663" s="336"/>
      <c r="S663" s="336"/>
      <c r="T663" s="336"/>
      <c r="U663" s="337" t="s">
        <v>991</v>
      </c>
      <c r="V663" s="336"/>
    </row>
    <row r="664" ht="15.75" customHeight="1">
      <c r="A664" s="336"/>
      <c r="B664" s="336"/>
      <c r="C664" s="336"/>
      <c r="D664" s="336"/>
      <c r="E664" s="336"/>
      <c r="F664" s="336"/>
      <c r="G664" s="336"/>
      <c r="H664" s="336"/>
      <c r="I664" s="336"/>
      <c r="J664" s="336"/>
      <c r="K664" s="336"/>
      <c r="L664" s="336"/>
      <c r="M664" s="336"/>
      <c r="N664" s="336"/>
      <c r="O664" s="336"/>
      <c r="P664" s="336"/>
      <c r="Q664" s="336"/>
      <c r="R664" s="336"/>
      <c r="S664" s="336"/>
      <c r="T664" s="336"/>
      <c r="U664" s="337" t="s">
        <v>992</v>
      </c>
      <c r="V664" s="336"/>
    </row>
    <row r="665" ht="15.75" customHeight="1">
      <c r="A665" s="336"/>
      <c r="B665" s="336"/>
      <c r="C665" s="336"/>
      <c r="D665" s="336"/>
      <c r="E665" s="336"/>
      <c r="F665" s="336"/>
      <c r="G665" s="336"/>
      <c r="H665" s="336"/>
      <c r="I665" s="336"/>
      <c r="J665" s="336"/>
      <c r="K665" s="336"/>
      <c r="L665" s="336"/>
      <c r="M665" s="336"/>
      <c r="N665" s="336"/>
      <c r="O665" s="336"/>
      <c r="P665" s="336"/>
      <c r="Q665" s="336"/>
      <c r="R665" s="336"/>
      <c r="S665" s="336"/>
      <c r="T665" s="336"/>
      <c r="U665" s="337" t="s">
        <v>993</v>
      </c>
      <c r="V665" s="336"/>
    </row>
    <row r="666" ht="15.75" customHeight="1">
      <c r="A666" s="336"/>
      <c r="B666" s="336"/>
      <c r="C666" s="336"/>
      <c r="D666" s="336"/>
      <c r="E666" s="336"/>
      <c r="F666" s="336"/>
      <c r="G666" s="336"/>
      <c r="H666" s="336"/>
      <c r="I666" s="336"/>
      <c r="J666" s="336"/>
      <c r="K666" s="336"/>
      <c r="L666" s="336"/>
      <c r="M666" s="336"/>
      <c r="N666" s="336"/>
      <c r="O666" s="336"/>
      <c r="P666" s="336"/>
      <c r="Q666" s="336"/>
      <c r="R666" s="336"/>
      <c r="S666" s="336"/>
      <c r="T666" s="336"/>
      <c r="U666" s="337" t="s">
        <v>994</v>
      </c>
      <c r="V666" s="336"/>
    </row>
    <row r="667" ht="15.75" customHeight="1">
      <c r="A667" s="336"/>
      <c r="B667" s="336"/>
      <c r="C667" s="336"/>
      <c r="D667" s="336"/>
      <c r="E667" s="336"/>
      <c r="F667" s="336"/>
      <c r="G667" s="336"/>
      <c r="H667" s="336"/>
      <c r="I667" s="336"/>
      <c r="J667" s="336"/>
      <c r="K667" s="336"/>
      <c r="L667" s="336"/>
      <c r="M667" s="336"/>
      <c r="N667" s="336"/>
      <c r="O667" s="336"/>
      <c r="P667" s="336"/>
      <c r="Q667" s="336"/>
      <c r="R667" s="336"/>
      <c r="S667" s="336"/>
      <c r="T667" s="336"/>
      <c r="U667" s="337" t="s">
        <v>995</v>
      </c>
      <c r="V667" s="336"/>
    </row>
    <row r="668" ht="15.75" customHeight="1">
      <c r="A668" s="336"/>
      <c r="B668" s="336"/>
      <c r="C668" s="336"/>
      <c r="D668" s="336"/>
      <c r="E668" s="336"/>
      <c r="F668" s="336"/>
      <c r="G668" s="336"/>
      <c r="H668" s="336"/>
      <c r="I668" s="336"/>
      <c r="J668" s="336"/>
      <c r="K668" s="336"/>
      <c r="L668" s="336"/>
      <c r="M668" s="336"/>
      <c r="N668" s="336"/>
      <c r="O668" s="336"/>
      <c r="P668" s="336"/>
      <c r="Q668" s="336"/>
      <c r="R668" s="336"/>
      <c r="S668" s="336"/>
      <c r="T668" s="336"/>
      <c r="U668" s="337" t="s">
        <v>996</v>
      </c>
      <c r="V668" s="336"/>
    </row>
    <row r="669" ht="15.75" customHeight="1">
      <c r="A669" s="336"/>
      <c r="B669" s="336"/>
      <c r="C669" s="336"/>
      <c r="D669" s="336"/>
      <c r="E669" s="336"/>
      <c r="F669" s="336"/>
      <c r="G669" s="336"/>
      <c r="H669" s="336"/>
      <c r="I669" s="336"/>
      <c r="J669" s="336"/>
      <c r="K669" s="336"/>
      <c r="L669" s="336"/>
      <c r="M669" s="336"/>
      <c r="N669" s="336"/>
      <c r="O669" s="336"/>
      <c r="P669" s="336"/>
      <c r="Q669" s="336"/>
      <c r="R669" s="336"/>
      <c r="S669" s="336"/>
      <c r="T669" s="336"/>
      <c r="U669" s="337" t="s">
        <v>997</v>
      </c>
      <c r="V669" s="336"/>
    </row>
    <row r="670" ht="15.75" customHeight="1">
      <c r="A670" s="336"/>
      <c r="B670" s="336"/>
      <c r="C670" s="336"/>
      <c r="D670" s="336"/>
      <c r="E670" s="336"/>
      <c r="F670" s="336"/>
      <c r="G670" s="336"/>
      <c r="H670" s="336"/>
      <c r="I670" s="336"/>
      <c r="J670" s="336"/>
      <c r="K670" s="336"/>
      <c r="L670" s="336"/>
      <c r="M670" s="336"/>
      <c r="N670" s="336"/>
      <c r="O670" s="336"/>
      <c r="P670" s="336"/>
      <c r="Q670" s="336"/>
      <c r="R670" s="336"/>
      <c r="S670" s="336"/>
      <c r="T670" s="336"/>
      <c r="U670" s="337" t="s">
        <v>998</v>
      </c>
      <c r="V670" s="336"/>
    </row>
    <row r="671" ht="15.75" customHeight="1">
      <c r="A671" s="336"/>
      <c r="B671" s="336"/>
      <c r="C671" s="336"/>
      <c r="D671" s="336"/>
      <c r="E671" s="336"/>
      <c r="F671" s="336"/>
      <c r="G671" s="336"/>
      <c r="H671" s="336"/>
      <c r="I671" s="336"/>
      <c r="J671" s="336"/>
      <c r="K671" s="336"/>
      <c r="L671" s="336"/>
      <c r="M671" s="336"/>
      <c r="N671" s="336"/>
      <c r="O671" s="336"/>
      <c r="P671" s="336"/>
      <c r="Q671" s="336"/>
      <c r="R671" s="336"/>
      <c r="S671" s="336"/>
      <c r="T671" s="336"/>
      <c r="U671" s="337" t="s">
        <v>999</v>
      </c>
      <c r="V671" s="336"/>
    </row>
    <row r="672" ht="15.75" customHeight="1">
      <c r="A672" s="336"/>
      <c r="B672" s="336"/>
      <c r="C672" s="336"/>
      <c r="D672" s="336"/>
      <c r="E672" s="336"/>
      <c r="F672" s="336"/>
      <c r="G672" s="336"/>
      <c r="H672" s="336"/>
      <c r="I672" s="336"/>
      <c r="J672" s="336"/>
      <c r="K672" s="336"/>
      <c r="L672" s="336"/>
      <c r="M672" s="336"/>
      <c r="N672" s="336"/>
      <c r="O672" s="336"/>
      <c r="P672" s="336"/>
      <c r="Q672" s="336"/>
      <c r="R672" s="336"/>
      <c r="S672" s="336"/>
      <c r="T672" s="336"/>
      <c r="U672" s="337" t="s">
        <v>1000</v>
      </c>
      <c r="V672" s="336"/>
    </row>
    <row r="673" ht="15.75" customHeight="1">
      <c r="A673" s="336"/>
      <c r="B673" s="336"/>
      <c r="C673" s="336"/>
      <c r="D673" s="336"/>
      <c r="E673" s="336"/>
      <c r="F673" s="336"/>
      <c r="G673" s="336"/>
      <c r="H673" s="336"/>
      <c r="I673" s="336"/>
      <c r="J673" s="336"/>
      <c r="K673" s="336"/>
      <c r="L673" s="336"/>
      <c r="M673" s="336"/>
      <c r="N673" s="336"/>
      <c r="O673" s="336"/>
      <c r="P673" s="336"/>
      <c r="Q673" s="336"/>
      <c r="R673" s="336"/>
      <c r="S673" s="336"/>
      <c r="T673" s="336"/>
      <c r="U673" s="337" t="s">
        <v>1001</v>
      </c>
      <c r="V673" s="336"/>
    </row>
    <row r="674" ht="15.75" customHeight="1">
      <c r="A674" s="336"/>
      <c r="B674" s="336"/>
      <c r="C674" s="336"/>
      <c r="D674" s="336"/>
      <c r="E674" s="336"/>
      <c r="F674" s="336"/>
      <c r="G674" s="336"/>
      <c r="H674" s="336"/>
      <c r="I674" s="336"/>
      <c r="J674" s="336"/>
      <c r="K674" s="336"/>
      <c r="L674" s="336"/>
      <c r="M674" s="336"/>
      <c r="N674" s="336"/>
      <c r="O674" s="336"/>
      <c r="P674" s="336"/>
      <c r="Q674" s="336"/>
      <c r="R674" s="336"/>
      <c r="S674" s="336"/>
      <c r="T674" s="336"/>
      <c r="U674" s="337" t="s">
        <v>1002</v>
      </c>
      <c r="V674" s="336"/>
    </row>
    <row r="675" ht="15.75" customHeight="1">
      <c r="A675" s="336"/>
      <c r="B675" s="336"/>
      <c r="C675" s="336"/>
      <c r="D675" s="336"/>
      <c r="E675" s="336"/>
      <c r="F675" s="336"/>
      <c r="G675" s="336"/>
      <c r="H675" s="336"/>
      <c r="I675" s="336"/>
      <c r="J675" s="336"/>
      <c r="K675" s="336"/>
      <c r="L675" s="336"/>
      <c r="M675" s="336"/>
      <c r="N675" s="336"/>
      <c r="O675" s="336"/>
      <c r="P675" s="336"/>
      <c r="Q675" s="336"/>
      <c r="R675" s="336"/>
      <c r="S675" s="336"/>
      <c r="T675" s="336"/>
      <c r="U675" s="337" t="s">
        <v>1003</v>
      </c>
      <c r="V675" s="336"/>
    </row>
    <row r="676" ht="15.75" customHeight="1">
      <c r="A676" s="336"/>
      <c r="B676" s="336"/>
      <c r="C676" s="336"/>
      <c r="D676" s="336"/>
      <c r="E676" s="336"/>
      <c r="F676" s="336"/>
      <c r="G676" s="336"/>
      <c r="H676" s="336"/>
      <c r="I676" s="336"/>
      <c r="J676" s="336"/>
      <c r="K676" s="336"/>
      <c r="L676" s="336"/>
      <c r="M676" s="336"/>
      <c r="N676" s="336"/>
      <c r="O676" s="336"/>
      <c r="P676" s="336"/>
      <c r="Q676" s="336"/>
      <c r="R676" s="336"/>
      <c r="S676" s="336"/>
      <c r="T676" s="336"/>
      <c r="U676" s="337" t="s">
        <v>1004</v>
      </c>
      <c r="V676" s="336"/>
    </row>
    <row r="677" ht="15.75" customHeight="1">
      <c r="A677" s="336"/>
      <c r="B677" s="336"/>
      <c r="C677" s="336"/>
      <c r="D677" s="336"/>
      <c r="E677" s="336"/>
      <c r="F677" s="336"/>
      <c r="G677" s="336"/>
      <c r="H677" s="336"/>
      <c r="I677" s="336"/>
      <c r="J677" s="336"/>
      <c r="K677" s="336"/>
      <c r="L677" s="336"/>
      <c r="M677" s="336"/>
      <c r="N677" s="336"/>
      <c r="O677" s="336"/>
      <c r="P677" s="336"/>
      <c r="Q677" s="336"/>
      <c r="R677" s="336"/>
      <c r="S677" s="336"/>
      <c r="T677" s="336"/>
      <c r="U677" s="337" t="s">
        <v>1005</v>
      </c>
      <c r="V677" s="336"/>
    </row>
    <row r="678" ht="15.75" customHeight="1">
      <c r="A678" s="336"/>
      <c r="B678" s="336"/>
      <c r="C678" s="336"/>
      <c r="D678" s="336"/>
      <c r="E678" s="336"/>
      <c r="F678" s="336"/>
      <c r="G678" s="336"/>
      <c r="H678" s="336"/>
      <c r="I678" s="336"/>
      <c r="J678" s="336"/>
      <c r="K678" s="336"/>
      <c r="L678" s="336"/>
      <c r="M678" s="336"/>
      <c r="N678" s="336"/>
      <c r="O678" s="336"/>
      <c r="P678" s="336"/>
      <c r="Q678" s="336"/>
      <c r="R678" s="336"/>
      <c r="S678" s="336"/>
      <c r="T678" s="336"/>
      <c r="U678" s="337" t="s">
        <v>1006</v>
      </c>
      <c r="V678" s="336"/>
    </row>
    <row r="679" ht="15.75" customHeight="1">
      <c r="A679" s="336"/>
      <c r="B679" s="336"/>
      <c r="C679" s="336"/>
      <c r="D679" s="336"/>
      <c r="E679" s="336"/>
      <c r="F679" s="336"/>
      <c r="G679" s="336"/>
      <c r="H679" s="336"/>
      <c r="I679" s="336"/>
      <c r="J679" s="336"/>
      <c r="K679" s="336"/>
      <c r="L679" s="336"/>
      <c r="M679" s="336"/>
      <c r="N679" s="336"/>
      <c r="O679" s="336"/>
      <c r="P679" s="336"/>
      <c r="Q679" s="336"/>
      <c r="R679" s="336"/>
      <c r="S679" s="336"/>
      <c r="T679" s="336"/>
      <c r="U679" s="337" t="s">
        <v>1007</v>
      </c>
      <c r="V679" s="336"/>
    </row>
    <row r="680" ht="15.75" customHeight="1">
      <c r="A680" s="336"/>
      <c r="B680" s="336"/>
      <c r="C680" s="336"/>
      <c r="D680" s="336"/>
      <c r="E680" s="336"/>
      <c r="F680" s="336"/>
      <c r="G680" s="336"/>
      <c r="H680" s="336"/>
      <c r="I680" s="336"/>
      <c r="J680" s="336"/>
      <c r="K680" s="336"/>
      <c r="L680" s="336"/>
      <c r="M680" s="336"/>
      <c r="N680" s="336"/>
      <c r="O680" s="336"/>
      <c r="P680" s="336"/>
      <c r="Q680" s="336"/>
      <c r="R680" s="336"/>
      <c r="S680" s="336"/>
      <c r="T680" s="336"/>
      <c r="U680" s="337" t="s">
        <v>1008</v>
      </c>
      <c r="V680" s="336"/>
    </row>
    <row r="681" ht="15.75" customHeight="1">
      <c r="A681" s="336"/>
      <c r="B681" s="336"/>
      <c r="C681" s="336"/>
      <c r="D681" s="336"/>
      <c r="E681" s="336"/>
      <c r="F681" s="336"/>
      <c r="G681" s="336"/>
      <c r="H681" s="336"/>
      <c r="I681" s="336"/>
      <c r="J681" s="336"/>
      <c r="K681" s="336"/>
      <c r="L681" s="336"/>
      <c r="M681" s="336"/>
      <c r="N681" s="336"/>
      <c r="O681" s="336"/>
      <c r="P681" s="336"/>
      <c r="Q681" s="336"/>
      <c r="R681" s="336"/>
      <c r="S681" s="336"/>
      <c r="T681" s="336"/>
      <c r="U681" s="337" t="s">
        <v>1009</v>
      </c>
      <c r="V681" s="336"/>
    </row>
    <row r="682" ht="15.75" customHeight="1">
      <c r="A682" s="336"/>
      <c r="B682" s="336"/>
      <c r="C682" s="336"/>
      <c r="D682" s="336"/>
      <c r="E682" s="336"/>
      <c r="F682" s="336"/>
      <c r="G682" s="336"/>
      <c r="H682" s="336"/>
      <c r="I682" s="336"/>
      <c r="J682" s="336"/>
      <c r="K682" s="336"/>
      <c r="L682" s="336"/>
      <c r="M682" s="336"/>
      <c r="N682" s="336"/>
      <c r="O682" s="336"/>
      <c r="P682" s="336"/>
      <c r="Q682" s="336"/>
      <c r="R682" s="336"/>
      <c r="S682" s="336"/>
      <c r="T682" s="336"/>
      <c r="U682" s="337" t="s">
        <v>1010</v>
      </c>
      <c r="V682" s="336"/>
    </row>
    <row r="683" ht="15.75" customHeight="1">
      <c r="A683" s="336"/>
      <c r="B683" s="336"/>
      <c r="C683" s="336"/>
      <c r="D683" s="336"/>
      <c r="E683" s="336"/>
      <c r="F683" s="336"/>
      <c r="G683" s="336"/>
      <c r="H683" s="336"/>
      <c r="I683" s="336"/>
      <c r="J683" s="336"/>
      <c r="K683" s="336"/>
      <c r="L683" s="336"/>
      <c r="M683" s="336"/>
      <c r="N683" s="336"/>
      <c r="O683" s="336"/>
      <c r="P683" s="336"/>
      <c r="Q683" s="336"/>
      <c r="R683" s="336"/>
      <c r="S683" s="336"/>
      <c r="T683" s="336"/>
      <c r="U683" s="337" t="s">
        <v>1011</v>
      </c>
      <c r="V683" s="336"/>
    </row>
    <row r="684" ht="15.75" customHeight="1">
      <c r="A684" s="336"/>
      <c r="B684" s="336"/>
      <c r="C684" s="336"/>
      <c r="D684" s="336"/>
      <c r="E684" s="336"/>
      <c r="F684" s="336"/>
      <c r="G684" s="336"/>
      <c r="H684" s="336"/>
      <c r="I684" s="336"/>
      <c r="J684" s="336"/>
      <c r="K684" s="336"/>
      <c r="L684" s="336"/>
      <c r="M684" s="336"/>
      <c r="N684" s="336"/>
      <c r="O684" s="336"/>
      <c r="P684" s="336"/>
      <c r="Q684" s="336"/>
      <c r="R684" s="336"/>
      <c r="S684" s="336"/>
      <c r="T684" s="336"/>
      <c r="U684" s="337" t="s">
        <v>1012</v>
      </c>
      <c r="V684" s="336"/>
    </row>
    <row r="685" ht="15.75" customHeight="1">
      <c r="A685" s="336"/>
      <c r="B685" s="336"/>
      <c r="C685" s="336"/>
      <c r="D685" s="336"/>
      <c r="E685" s="336"/>
      <c r="F685" s="336"/>
      <c r="G685" s="336"/>
      <c r="H685" s="336"/>
      <c r="I685" s="336"/>
      <c r="J685" s="336"/>
      <c r="K685" s="336"/>
      <c r="L685" s="336"/>
      <c r="M685" s="336"/>
      <c r="N685" s="336"/>
      <c r="O685" s="336"/>
      <c r="P685" s="336"/>
      <c r="Q685" s="336"/>
      <c r="R685" s="336"/>
      <c r="S685" s="336"/>
      <c r="T685" s="336"/>
      <c r="U685" s="337" t="s">
        <v>1013</v>
      </c>
      <c r="V685" s="336"/>
    </row>
    <row r="686" ht="15.75" customHeight="1">
      <c r="A686" s="336"/>
      <c r="B686" s="336"/>
      <c r="C686" s="336"/>
      <c r="D686" s="336"/>
      <c r="E686" s="336"/>
      <c r="F686" s="336"/>
      <c r="G686" s="336"/>
      <c r="H686" s="336"/>
      <c r="I686" s="336"/>
      <c r="J686" s="336"/>
      <c r="K686" s="336"/>
      <c r="L686" s="336"/>
      <c r="M686" s="336"/>
      <c r="N686" s="336"/>
      <c r="O686" s="336"/>
      <c r="P686" s="336"/>
      <c r="Q686" s="336"/>
      <c r="R686" s="336"/>
      <c r="S686" s="336"/>
      <c r="T686" s="336"/>
      <c r="U686" s="337" t="s">
        <v>1014</v>
      </c>
      <c r="V686" s="336"/>
    </row>
    <row r="687" ht="15.75" customHeight="1">
      <c r="A687" s="336"/>
      <c r="B687" s="336"/>
      <c r="C687" s="336"/>
      <c r="D687" s="336"/>
      <c r="E687" s="336"/>
      <c r="F687" s="336"/>
      <c r="G687" s="336"/>
      <c r="H687" s="336"/>
      <c r="I687" s="336"/>
      <c r="J687" s="336"/>
      <c r="K687" s="336"/>
      <c r="L687" s="336"/>
      <c r="M687" s="336"/>
      <c r="N687" s="336"/>
      <c r="O687" s="336"/>
      <c r="P687" s="336"/>
      <c r="Q687" s="336"/>
      <c r="R687" s="336"/>
      <c r="S687" s="336"/>
      <c r="T687" s="336"/>
      <c r="U687" s="337" t="s">
        <v>1015</v>
      </c>
      <c r="V687" s="336"/>
    </row>
    <row r="688" ht="15.75" customHeight="1">
      <c r="A688" s="336"/>
      <c r="B688" s="336"/>
      <c r="C688" s="336"/>
      <c r="D688" s="336"/>
      <c r="E688" s="336"/>
      <c r="F688" s="336"/>
      <c r="G688" s="336"/>
      <c r="H688" s="336"/>
      <c r="I688" s="336"/>
      <c r="J688" s="336"/>
      <c r="K688" s="336"/>
      <c r="L688" s="336"/>
      <c r="M688" s="336"/>
      <c r="N688" s="336"/>
      <c r="O688" s="336"/>
      <c r="P688" s="336"/>
      <c r="Q688" s="336"/>
      <c r="R688" s="336"/>
      <c r="S688" s="336"/>
      <c r="T688" s="336"/>
      <c r="U688" s="337" t="s">
        <v>1016</v>
      </c>
      <c r="V688" s="336"/>
    </row>
    <row r="689" ht="15.75" customHeight="1">
      <c r="A689" s="336"/>
      <c r="B689" s="336"/>
      <c r="C689" s="336"/>
      <c r="D689" s="336"/>
      <c r="E689" s="336"/>
      <c r="F689" s="336"/>
      <c r="G689" s="336"/>
      <c r="H689" s="336"/>
      <c r="I689" s="336"/>
      <c r="J689" s="336"/>
      <c r="K689" s="336"/>
      <c r="L689" s="336"/>
      <c r="M689" s="336"/>
      <c r="N689" s="336"/>
      <c r="O689" s="336"/>
      <c r="P689" s="336"/>
      <c r="Q689" s="336"/>
      <c r="R689" s="336"/>
      <c r="S689" s="336"/>
      <c r="T689" s="336"/>
      <c r="U689" s="337" t="s">
        <v>1017</v>
      </c>
      <c r="V689" s="336"/>
    </row>
    <row r="690" ht="15.75" customHeight="1">
      <c r="A690" s="336"/>
      <c r="B690" s="336"/>
      <c r="C690" s="336"/>
      <c r="D690" s="336"/>
      <c r="E690" s="336"/>
      <c r="F690" s="336"/>
      <c r="G690" s="336"/>
      <c r="H690" s="336"/>
      <c r="I690" s="336"/>
      <c r="J690" s="336"/>
      <c r="K690" s="336"/>
      <c r="L690" s="336"/>
      <c r="M690" s="336"/>
      <c r="N690" s="336"/>
      <c r="O690" s="336"/>
      <c r="P690" s="336"/>
      <c r="Q690" s="336"/>
      <c r="R690" s="336"/>
      <c r="S690" s="336"/>
      <c r="T690" s="336"/>
      <c r="U690" s="337" t="s">
        <v>1018</v>
      </c>
      <c r="V690" s="336"/>
    </row>
    <row r="691" ht="15.75" customHeight="1">
      <c r="A691" s="336"/>
      <c r="B691" s="336"/>
      <c r="C691" s="336"/>
      <c r="D691" s="336"/>
      <c r="E691" s="336"/>
      <c r="F691" s="336"/>
      <c r="G691" s="336"/>
      <c r="H691" s="336"/>
      <c r="I691" s="336"/>
      <c r="J691" s="336"/>
      <c r="K691" s="336"/>
      <c r="L691" s="336"/>
      <c r="M691" s="336"/>
      <c r="N691" s="336"/>
      <c r="O691" s="336"/>
      <c r="P691" s="336"/>
      <c r="Q691" s="336"/>
      <c r="R691" s="336"/>
      <c r="S691" s="336"/>
      <c r="T691" s="336"/>
      <c r="U691" s="337" t="s">
        <v>1019</v>
      </c>
      <c r="V691" s="336"/>
    </row>
    <row r="692" ht="15.75" customHeight="1">
      <c r="A692" s="336"/>
      <c r="B692" s="336"/>
      <c r="C692" s="336"/>
      <c r="D692" s="336"/>
      <c r="E692" s="336"/>
      <c r="F692" s="336"/>
      <c r="G692" s="336"/>
      <c r="H692" s="336"/>
      <c r="I692" s="336"/>
      <c r="J692" s="336"/>
      <c r="K692" s="336"/>
      <c r="L692" s="336"/>
      <c r="M692" s="336"/>
      <c r="N692" s="336"/>
      <c r="O692" s="336"/>
      <c r="P692" s="336"/>
      <c r="Q692" s="336"/>
      <c r="R692" s="336"/>
      <c r="S692" s="336"/>
      <c r="T692" s="336"/>
      <c r="U692" s="337" t="s">
        <v>1020</v>
      </c>
      <c r="V692" s="336"/>
    </row>
    <row r="693" ht="15.75" customHeight="1">
      <c r="A693" s="336"/>
      <c r="B693" s="336"/>
      <c r="C693" s="336"/>
      <c r="D693" s="336"/>
      <c r="E693" s="336"/>
      <c r="F693" s="336"/>
      <c r="G693" s="336"/>
      <c r="H693" s="336"/>
      <c r="I693" s="336"/>
      <c r="J693" s="336"/>
      <c r="K693" s="336"/>
      <c r="L693" s="336"/>
      <c r="M693" s="336"/>
      <c r="N693" s="336"/>
      <c r="O693" s="336"/>
      <c r="P693" s="336"/>
      <c r="Q693" s="336"/>
      <c r="R693" s="336"/>
      <c r="S693" s="336"/>
      <c r="T693" s="336"/>
      <c r="U693" s="337" t="s">
        <v>1021</v>
      </c>
      <c r="V693" s="336"/>
    </row>
    <row r="694" ht="15.75" customHeight="1">
      <c r="A694" s="336"/>
      <c r="B694" s="336"/>
      <c r="C694" s="336"/>
      <c r="D694" s="336"/>
      <c r="E694" s="336"/>
      <c r="F694" s="336"/>
      <c r="G694" s="336"/>
      <c r="H694" s="336"/>
      <c r="I694" s="336"/>
      <c r="J694" s="336"/>
      <c r="K694" s="336"/>
      <c r="L694" s="336"/>
      <c r="M694" s="336"/>
      <c r="N694" s="336"/>
      <c r="O694" s="336"/>
      <c r="P694" s="336"/>
      <c r="Q694" s="336"/>
      <c r="R694" s="336"/>
      <c r="S694" s="336"/>
      <c r="T694" s="336"/>
      <c r="U694" s="337" t="s">
        <v>1022</v>
      </c>
      <c r="V694" s="336"/>
    </row>
    <row r="695" ht="15.75" customHeight="1">
      <c r="A695" s="336"/>
      <c r="B695" s="336"/>
      <c r="C695" s="336"/>
      <c r="D695" s="336"/>
      <c r="E695" s="336"/>
      <c r="F695" s="336"/>
      <c r="G695" s="336"/>
      <c r="H695" s="336"/>
      <c r="I695" s="336"/>
      <c r="J695" s="336"/>
      <c r="K695" s="336"/>
      <c r="L695" s="336"/>
      <c r="M695" s="336"/>
      <c r="N695" s="336"/>
      <c r="O695" s="336"/>
      <c r="P695" s="336"/>
      <c r="Q695" s="336"/>
      <c r="R695" s="336"/>
      <c r="S695" s="336"/>
      <c r="T695" s="336"/>
      <c r="U695" s="337" t="s">
        <v>1023</v>
      </c>
      <c r="V695" s="336"/>
    </row>
    <row r="696" ht="15.75" customHeight="1">
      <c r="A696" s="336"/>
      <c r="B696" s="336"/>
      <c r="C696" s="336"/>
      <c r="D696" s="336"/>
      <c r="E696" s="336"/>
      <c r="F696" s="336"/>
      <c r="G696" s="336"/>
      <c r="H696" s="336"/>
      <c r="I696" s="336"/>
      <c r="J696" s="336"/>
      <c r="K696" s="336"/>
      <c r="L696" s="336"/>
      <c r="M696" s="336"/>
      <c r="N696" s="336"/>
      <c r="O696" s="336"/>
      <c r="P696" s="336"/>
      <c r="Q696" s="336"/>
      <c r="R696" s="336"/>
      <c r="S696" s="336"/>
      <c r="T696" s="336"/>
      <c r="U696" s="337" t="s">
        <v>1024</v>
      </c>
      <c r="V696" s="336"/>
    </row>
    <row r="697" ht="15.75" customHeight="1">
      <c r="A697" s="336"/>
      <c r="B697" s="336"/>
      <c r="C697" s="336"/>
      <c r="D697" s="336"/>
      <c r="E697" s="336"/>
      <c r="F697" s="336"/>
      <c r="G697" s="336"/>
      <c r="H697" s="336"/>
      <c r="I697" s="336"/>
      <c r="J697" s="336"/>
      <c r="K697" s="336"/>
      <c r="L697" s="336"/>
      <c r="M697" s="336"/>
      <c r="N697" s="336"/>
      <c r="O697" s="336"/>
      <c r="P697" s="336"/>
      <c r="Q697" s="336"/>
      <c r="R697" s="336"/>
      <c r="S697" s="336"/>
      <c r="T697" s="336"/>
      <c r="U697" s="337" t="s">
        <v>1025</v>
      </c>
      <c r="V697" s="336"/>
    </row>
    <row r="698" ht="15.75" customHeight="1">
      <c r="A698" s="336"/>
      <c r="B698" s="336"/>
      <c r="C698" s="336"/>
      <c r="D698" s="336"/>
      <c r="E698" s="336"/>
      <c r="F698" s="336"/>
      <c r="G698" s="336"/>
      <c r="H698" s="336"/>
      <c r="I698" s="336"/>
      <c r="J698" s="336"/>
      <c r="K698" s="336"/>
      <c r="L698" s="336"/>
      <c r="M698" s="336"/>
      <c r="N698" s="336"/>
      <c r="O698" s="336"/>
      <c r="P698" s="336"/>
      <c r="Q698" s="336"/>
      <c r="R698" s="336"/>
      <c r="S698" s="336"/>
      <c r="T698" s="336"/>
      <c r="U698" s="337" t="s">
        <v>1026</v>
      </c>
      <c r="V698" s="336"/>
    </row>
    <row r="699" ht="15.75" customHeight="1">
      <c r="A699" s="336"/>
      <c r="B699" s="336"/>
      <c r="C699" s="336"/>
      <c r="D699" s="336"/>
      <c r="E699" s="336"/>
      <c r="F699" s="336"/>
      <c r="G699" s="336"/>
      <c r="H699" s="336"/>
      <c r="I699" s="336"/>
      <c r="J699" s="336"/>
      <c r="K699" s="336"/>
      <c r="L699" s="336"/>
      <c r="M699" s="336"/>
      <c r="N699" s="336"/>
      <c r="O699" s="336"/>
      <c r="P699" s="336"/>
      <c r="Q699" s="336"/>
      <c r="R699" s="336"/>
      <c r="S699" s="336"/>
      <c r="T699" s="336"/>
      <c r="U699" s="337" t="s">
        <v>1027</v>
      </c>
      <c r="V699" s="336"/>
    </row>
    <row r="700" ht="15.75" customHeight="1">
      <c r="A700" s="336"/>
      <c r="B700" s="336"/>
      <c r="C700" s="336"/>
      <c r="D700" s="336"/>
      <c r="E700" s="336"/>
      <c r="F700" s="336"/>
      <c r="G700" s="336"/>
      <c r="H700" s="336"/>
      <c r="I700" s="336"/>
      <c r="J700" s="336"/>
      <c r="K700" s="336"/>
      <c r="L700" s="336"/>
      <c r="M700" s="336"/>
      <c r="N700" s="336"/>
      <c r="O700" s="336"/>
      <c r="P700" s="336"/>
      <c r="Q700" s="336"/>
      <c r="R700" s="336"/>
      <c r="S700" s="336"/>
      <c r="T700" s="336"/>
      <c r="U700" s="337" t="s">
        <v>1028</v>
      </c>
      <c r="V700" s="336"/>
    </row>
    <row r="701" ht="15.75" customHeight="1">
      <c r="A701" s="336"/>
      <c r="B701" s="336"/>
      <c r="C701" s="336"/>
      <c r="D701" s="336"/>
      <c r="E701" s="336"/>
      <c r="F701" s="336"/>
      <c r="G701" s="336"/>
      <c r="H701" s="336"/>
      <c r="I701" s="336"/>
      <c r="J701" s="336"/>
      <c r="K701" s="336"/>
      <c r="L701" s="336"/>
      <c r="M701" s="336"/>
      <c r="N701" s="336"/>
      <c r="O701" s="336"/>
      <c r="P701" s="336"/>
      <c r="Q701" s="336"/>
      <c r="R701" s="336"/>
      <c r="S701" s="336"/>
      <c r="T701" s="336"/>
      <c r="U701" s="337" t="s">
        <v>1029</v>
      </c>
      <c r="V701" s="336"/>
    </row>
    <row r="702" ht="15.75" customHeight="1">
      <c r="A702" s="336"/>
      <c r="B702" s="336"/>
      <c r="C702" s="336"/>
      <c r="D702" s="336"/>
      <c r="E702" s="336"/>
      <c r="F702" s="336"/>
      <c r="G702" s="336"/>
      <c r="H702" s="336"/>
      <c r="I702" s="336"/>
      <c r="J702" s="336"/>
      <c r="K702" s="336"/>
      <c r="L702" s="336"/>
      <c r="M702" s="336"/>
      <c r="N702" s="336"/>
      <c r="O702" s="336"/>
      <c r="P702" s="336"/>
      <c r="Q702" s="336"/>
      <c r="R702" s="336"/>
      <c r="S702" s="336"/>
      <c r="T702" s="336"/>
      <c r="U702" s="337" t="s">
        <v>1030</v>
      </c>
      <c r="V702" s="336"/>
    </row>
    <row r="703" ht="15.75" customHeight="1">
      <c r="A703" s="336"/>
      <c r="B703" s="336"/>
      <c r="C703" s="336"/>
      <c r="D703" s="336"/>
      <c r="E703" s="336"/>
      <c r="F703" s="336"/>
      <c r="G703" s="336"/>
      <c r="H703" s="336"/>
      <c r="I703" s="336"/>
      <c r="J703" s="336"/>
      <c r="K703" s="336"/>
      <c r="L703" s="336"/>
      <c r="M703" s="336"/>
      <c r="N703" s="336"/>
      <c r="O703" s="336"/>
      <c r="P703" s="336"/>
      <c r="Q703" s="336"/>
      <c r="R703" s="336"/>
      <c r="S703" s="336"/>
      <c r="T703" s="336"/>
      <c r="U703" s="337" t="s">
        <v>1031</v>
      </c>
      <c r="V703" s="336"/>
    </row>
    <row r="704" ht="15.75" customHeight="1">
      <c r="A704" s="336"/>
      <c r="B704" s="336"/>
      <c r="C704" s="336"/>
      <c r="D704" s="336"/>
      <c r="E704" s="336"/>
      <c r="F704" s="336"/>
      <c r="G704" s="336"/>
      <c r="H704" s="336"/>
      <c r="I704" s="336"/>
      <c r="J704" s="336"/>
      <c r="K704" s="336"/>
      <c r="L704" s="336"/>
      <c r="M704" s="336"/>
      <c r="N704" s="336"/>
      <c r="O704" s="336"/>
      <c r="P704" s="336"/>
      <c r="Q704" s="336"/>
      <c r="R704" s="336"/>
      <c r="S704" s="336"/>
      <c r="T704" s="336"/>
      <c r="U704" s="337" t="s">
        <v>1032</v>
      </c>
      <c r="V704" s="336"/>
    </row>
    <row r="705" ht="15.75" customHeight="1">
      <c r="A705" s="336"/>
      <c r="B705" s="336"/>
      <c r="C705" s="336"/>
      <c r="D705" s="336"/>
      <c r="E705" s="336"/>
      <c r="F705" s="336"/>
      <c r="G705" s="336"/>
      <c r="H705" s="336"/>
      <c r="I705" s="336"/>
      <c r="J705" s="336"/>
      <c r="K705" s="336"/>
      <c r="L705" s="336"/>
      <c r="M705" s="336"/>
      <c r="N705" s="336"/>
      <c r="O705" s="336"/>
      <c r="P705" s="336"/>
      <c r="Q705" s="336"/>
      <c r="R705" s="336"/>
      <c r="S705" s="336"/>
      <c r="T705" s="336"/>
      <c r="U705" s="337" t="s">
        <v>1033</v>
      </c>
      <c r="V705" s="336"/>
    </row>
    <row r="706" ht="15.75" customHeight="1">
      <c r="A706" s="336"/>
      <c r="B706" s="336"/>
      <c r="C706" s="336"/>
      <c r="D706" s="336"/>
      <c r="E706" s="336"/>
      <c r="F706" s="336"/>
      <c r="G706" s="336"/>
      <c r="H706" s="336"/>
      <c r="I706" s="336"/>
      <c r="J706" s="336"/>
      <c r="K706" s="336"/>
      <c r="L706" s="336"/>
      <c r="M706" s="336"/>
      <c r="N706" s="336"/>
      <c r="O706" s="336"/>
      <c r="P706" s="336"/>
      <c r="Q706" s="336"/>
      <c r="R706" s="336"/>
      <c r="S706" s="336"/>
      <c r="T706" s="336"/>
      <c r="U706" s="337" t="s">
        <v>1034</v>
      </c>
      <c r="V706" s="336"/>
    </row>
    <row r="707" ht="15.75" customHeight="1">
      <c r="A707" s="336"/>
      <c r="B707" s="336"/>
      <c r="C707" s="336"/>
      <c r="D707" s="336"/>
      <c r="E707" s="336"/>
      <c r="F707" s="336"/>
      <c r="G707" s="336"/>
      <c r="H707" s="336"/>
      <c r="I707" s="336"/>
      <c r="J707" s="336"/>
      <c r="K707" s="336"/>
      <c r="L707" s="336"/>
      <c r="M707" s="336"/>
      <c r="N707" s="336"/>
      <c r="O707" s="336"/>
      <c r="P707" s="336"/>
      <c r="Q707" s="336"/>
      <c r="R707" s="336"/>
      <c r="S707" s="336"/>
      <c r="T707" s="336"/>
      <c r="U707" s="337" t="s">
        <v>1035</v>
      </c>
      <c r="V707" s="336"/>
    </row>
    <row r="708" ht="15.75" customHeight="1">
      <c r="A708" s="336"/>
      <c r="B708" s="336"/>
      <c r="C708" s="336"/>
      <c r="D708" s="336"/>
      <c r="E708" s="336"/>
      <c r="F708" s="336"/>
      <c r="G708" s="336"/>
      <c r="H708" s="336"/>
      <c r="I708" s="336"/>
      <c r="J708" s="336"/>
      <c r="K708" s="336"/>
      <c r="L708" s="336"/>
      <c r="M708" s="336"/>
      <c r="N708" s="336"/>
      <c r="O708" s="336"/>
      <c r="P708" s="336"/>
      <c r="Q708" s="336"/>
      <c r="R708" s="336"/>
      <c r="S708" s="336"/>
      <c r="T708" s="336"/>
      <c r="U708" s="337" t="s">
        <v>1036</v>
      </c>
      <c r="V708" s="336"/>
    </row>
    <row r="709" ht="15.75" customHeight="1">
      <c r="A709" s="336"/>
      <c r="B709" s="336"/>
      <c r="C709" s="336"/>
      <c r="D709" s="336"/>
      <c r="E709" s="336"/>
      <c r="F709" s="336"/>
      <c r="G709" s="336"/>
      <c r="H709" s="336"/>
      <c r="I709" s="336"/>
      <c r="J709" s="336"/>
      <c r="K709" s="336"/>
      <c r="L709" s="336"/>
      <c r="M709" s="336"/>
      <c r="N709" s="336"/>
      <c r="O709" s="336"/>
      <c r="P709" s="336"/>
      <c r="Q709" s="336"/>
      <c r="R709" s="336"/>
      <c r="S709" s="336"/>
      <c r="T709" s="336"/>
      <c r="U709" s="337" t="s">
        <v>1037</v>
      </c>
      <c r="V709" s="336"/>
    </row>
    <row r="710" ht="15.75" customHeight="1">
      <c r="A710" s="336"/>
      <c r="B710" s="336"/>
      <c r="C710" s="336"/>
      <c r="D710" s="336"/>
      <c r="E710" s="336"/>
      <c r="F710" s="336"/>
      <c r="G710" s="336"/>
      <c r="H710" s="336"/>
      <c r="I710" s="336"/>
      <c r="J710" s="336"/>
      <c r="K710" s="336"/>
      <c r="L710" s="336"/>
      <c r="M710" s="336"/>
      <c r="N710" s="336"/>
      <c r="O710" s="336"/>
      <c r="P710" s="336"/>
      <c r="Q710" s="336"/>
      <c r="R710" s="336"/>
      <c r="S710" s="336"/>
      <c r="T710" s="336"/>
      <c r="U710" s="337" t="s">
        <v>1038</v>
      </c>
      <c r="V710" s="336"/>
    </row>
    <row r="711" ht="15.75" customHeight="1">
      <c r="A711" s="336"/>
      <c r="B711" s="336"/>
      <c r="C711" s="336"/>
      <c r="D711" s="336"/>
      <c r="E711" s="336"/>
      <c r="F711" s="336"/>
      <c r="G711" s="336"/>
      <c r="H711" s="336"/>
      <c r="I711" s="336"/>
      <c r="J711" s="336"/>
      <c r="K711" s="336"/>
      <c r="L711" s="336"/>
      <c r="M711" s="336"/>
      <c r="N711" s="336"/>
      <c r="O711" s="336"/>
      <c r="P711" s="336"/>
      <c r="Q711" s="336"/>
      <c r="R711" s="336"/>
      <c r="S711" s="336"/>
      <c r="T711" s="336"/>
      <c r="U711" s="337" t="s">
        <v>1039</v>
      </c>
      <c r="V711" s="336"/>
    </row>
    <row r="712" ht="15.75" customHeight="1">
      <c r="A712" s="336"/>
      <c r="B712" s="336"/>
      <c r="C712" s="336"/>
      <c r="D712" s="336"/>
      <c r="E712" s="336"/>
      <c r="F712" s="336"/>
      <c r="G712" s="336"/>
      <c r="H712" s="336"/>
      <c r="I712" s="336"/>
      <c r="J712" s="336"/>
      <c r="K712" s="336"/>
      <c r="L712" s="336"/>
      <c r="M712" s="336"/>
      <c r="N712" s="336"/>
      <c r="O712" s="336"/>
      <c r="P712" s="336"/>
      <c r="Q712" s="336"/>
      <c r="R712" s="336"/>
      <c r="S712" s="336"/>
      <c r="T712" s="336"/>
      <c r="U712" s="337" t="s">
        <v>131</v>
      </c>
      <c r="V712" s="336"/>
    </row>
    <row r="713" ht="15.75" customHeight="1">
      <c r="A713" s="336"/>
      <c r="B713" s="336"/>
      <c r="C713" s="336"/>
      <c r="D713" s="336"/>
      <c r="E713" s="336"/>
      <c r="F713" s="336"/>
      <c r="G713" s="336"/>
      <c r="H713" s="336"/>
      <c r="I713" s="336"/>
      <c r="J713" s="336"/>
      <c r="K713" s="336"/>
      <c r="L713" s="336"/>
      <c r="M713" s="336"/>
      <c r="N713" s="336"/>
      <c r="O713" s="336"/>
      <c r="P713" s="336"/>
      <c r="Q713" s="336"/>
      <c r="R713" s="336"/>
      <c r="S713" s="336"/>
      <c r="T713" s="336"/>
      <c r="U713" s="337" t="s">
        <v>1040</v>
      </c>
      <c r="V713" s="336"/>
    </row>
    <row r="714" ht="15.75" customHeight="1">
      <c r="A714" s="336"/>
      <c r="B714" s="336"/>
      <c r="C714" s="336"/>
      <c r="D714" s="336"/>
      <c r="E714" s="336"/>
      <c r="F714" s="336"/>
      <c r="G714" s="336"/>
      <c r="H714" s="336"/>
      <c r="I714" s="336"/>
      <c r="J714" s="336"/>
      <c r="K714" s="336"/>
      <c r="L714" s="336"/>
      <c r="M714" s="336"/>
      <c r="N714" s="336"/>
      <c r="O714" s="336"/>
      <c r="P714" s="336"/>
      <c r="Q714" s="336"/>
      <c r="R714" s="336"/>
      <c r="S714" s="336"/>
      <c r="T714" s="336"/>
      <c r="U714" s="337" t="s">
        <v>1041</v>
      </c>
      <c r="V714" s="336"/>
    </row>
    <row r="715" ht="15.75" customHeight="1">
      <c r="A715" s="336"/>
      <c r="B715" s="336"/>
      <c r="C715" s="336"/>
      <c r="D715" s="336"/>
      <c r="E715" s="336"/>
      <c r="F715" s="336"/>
      <c r="G715" s="336"/>
      <c r="H715" s="336"/>
      <c r="I715" s="336"/>
      <c r="J715" s="336"/>
      <c r="K715" s="336"/>
      <c r="L715" s="336"/>
      <c r="M715" s="336"/>
      <c r="N715" s="336"/>
      <c r="O715" s="336"/>
      <c r="P715" s="336"/>
      <c r="Q715" s="336"/>
      <c r="R715" s="336"/>
      <c r="S715" s="336"/>
      <c r="T715" s="336"/>
      <c r="U715" s="337" t="s">
        <v>1042</v>
      </c>
      <c r="V715" s="336"/>
    </row>
    <row r="716" ht="15.75" customHeight="1">
      <c r="A716" s="336"/>
      <c r="B716" s="336"/>
      <c r="C716" s="336"/>
      <c r="D716" s="336"/>
      <c r="E716" s="336"/>
      <c r="F716" s="336"/>
      <c r="G716" s="336"/>
      <c r="H716" s="336"/>
      <c r="I716" s="336"/>
      <c r="J716" s="336"/>
      <c r="K716" s="336"/>
      <c r="L716" s="336"/>
      <c r="M716" s="336"/>
      <c r="N716" s="336"/>
      <c r="O716" s="336"/>
      <c r="P716" s="336"/>
      <c r="Q716" s="336"/>
      <c r="R716" s="336"/>
      <c r="S716" s="336"/>
      <c r="T716" s="336"/>
      <c r="U716" s="337" t="s">
        <v>1043</v>
      </c>
      <c r="V716" s="336"/>
    </row>
    <row r="717" ht="15.75" customHeight="1">
      <c r="A717" s="336"/>
      <c r="B717" s="336"/>
      <c r="C717" s="336"/>
      <c r="D717" s="336"/>
      <c r="E717" s="336"/>
      <c r="F717" s="336"/>
      <c r="G717" s="336"/>
      <c r="H717" s="336"/>
      <c r="I717" s="336"/>
      <c r="J717" s="336"/>
      <c r="K717" s="336"/>
      <c r="L717" s="336"/>
      <c r="M717" s="336"/>
      <c r="N717" s="336"/>
      <c r="O717" s="336"/>
      <c r="P717" s="336"/>
      <c r="Q717" s="336"/>
      <c r="R717" s="336"/>
      <c r="S717" s="336"/>
      <c r="T717" s="336"/>
      <c r="U717" s="337" t="s">
        <v>1044</v>
      </c>
      <c r="V717" s="336"/>
    </row>
    <row r="718" ht="15.75" customHeight="1">
      <c r="A718" s="336"/>
      <c r="B718" s="336"/>
      <c r="C718" s="336"/>
      <c r="D718" s="336"/>
      <c r="E718" s="336"/>
      <c r="F718" s="336"/>
      <c r="G718" s="336"/>
      <c r="H718" s="336"/>
      <c r="I718" s="336"/>
      <c r="J718" s="336"/>
      <c r="K718" s="336"/>
      <c r="L718" s="336"/>
      <c r="M718" s="336"/>
      <c r="N718" s="336"/>
      <c r="O718" s="336"/>
      <c r="P718" s="336"/>
      <c r="Q718" s="336"/>
      <c r="R718" s="336"/>
      <c r="S718" s="336"/>
      <c r="T718" s="336"/>
      <c r="U718" s="337" t="s">
        <v>1045</v>
      </c>
      <c r="V718" s="336"/>
    </row>
    <row r="719" ht="15.75" customHeight="1">
      <c r="A719" s="336"/>
      <c r="B719" s="336"/>
      <c r="C719" s="336"/>
      <c r="D719" s="336"/>
      <c r="E719" s="336"/>
      <c r="F719" s="336"/>
      <c r="G719" s="336"/>
      <c r="H719" s="336"/>
      <c r="I719" s="336"/>
      <c r="J719" s="336"/>
      <c r="K719" s="336"/>
      <c r="L719" s="336"/>
      <c r="M719" s="336"/>
      <c r="N719" s="336"/>
      <c r="O719" s="336"/>
      <c r="P719" s="336"/>
      <c r="Q719" s="336"/>
      <c r="R719" s="336"/>
      <c r="S719" s="336"/>
      <c r="T719" s="336"/>
      <c r="U719" s="337" t="s">
        <v>1046</v>
      </c>
      <c r="V719" s="336"/>
    </row>
    <row r="720" ht="15.75" customHeight="1">
      <c r="A720" s="336"/>
      <c r="B720" s="336"/>
      <c r="C720" s="336"/>
      <c r="D720" s="336"/>
      <c r="E720" s="336"/>
      <c r="F720" s="336"/>
      <c r="G720" s="336"/>
      <c r="H720" s="336"/>
      <c r="I720" s="336"/>
      <c r="J720" s="336"/>
      <c r="K720" s="336"/>
      <c r="L720" s="336"/>
      <c r="M720" s="336"/>
      <c r="N720" s="336"/>
      <c r="O720" s="336"/>
      <c r="P720" s="336"/>
      <c r="Q720" s="336"/>
      <c r="R720" s="336"/>
      <c r="S720" s="336"/>
      <c r="T720" s="336"/>
      <c r="U720" s="337" t="s">
        <v>1047</v>
      </c>
      <c r="V720" s="336"/>
    </row>
    <row r="721" ht="15.75" customHeight="1">
      <c r="A721" s="336"/>
      <c r="B721" s="336"/>
      <c r="C721" s="336"/>
      <c r="D721" s="336"/>
      <c r="E721" s="336"/>
      <c r="F721" s="336"/>
      <c r="G721" s="336"/>
      <c r="H721" s="336"/>
      <c r="I721" s="336"/>
      <c r="J721" s="336"/>
      <c r="K721" s="336"/>
      <c r="L721" s="336"/>
      <c r="M721" s="336"/>
      <c r="N721" s="336"/>
      <c r="O721" s="336"/>
      <c r="P721" s="336"/>
      <c r="Q721" s="336"/>
      <c r="R721" s="336"/>
      <c r="S721" s="336"/>
      <c r="T721" s="336"/>
      <c r="U721" s="337" t="s">
        <v>1048</v>
      </c>
      <c r="V721" s="336"/>
    </row>
    <row r="722" ht="15.75" customHeight="1">
      <c r="A722" s="336"/>
      <c r="B722" s="336"/>
      <c r="C722" s="336"/>
      <c r="D722" s="336"/>
      <c r="E722" s="336"/>
      <c r="F722" s="336"/>
      <c r="G722" s="336"/>
      <c r="H722" s="336"/>
      <c r="I722" s="336"/>
      <c r="J722" s="336"/>
      <c r="K722" s="336"/>
      <c r="L722" s="336"/>
      <c r="M722" s="336"/>
      <c r="N722" s="336"/>
      <c r="O722" s="336"/>
      <c r="P722" s="336"/>
      <c r="Q722" s="336"/>
      <c r="R722" s="336"/>
      <c r="S722" s="336"/>
      <c r="T722" s="336"/>
      <c r="U722" s="337" t="s">
        <v>1049</v>
      </c>
      <c r="V722" s="336"/>
    </row>
    <row r="723" ht="15.75" customHeight="1">
      <c r="A723" s="336"/>
      <c r="B723" s="336"/>
      <c r="C723" s="336"/>
      <c r="D723" s="336"/>
      <c r="E723" s="336"/>
      <c r="F723" s="336"/>
      <c r="G723" s="336"/>
      <c r="H723" s="336"/>
      <c r="I723" s="336"/>
      <c r="J723" s="336"/>
      <c r="K723" s="336"/>
      <c r="L723" s="336"/>
      <c r="M723" s="336"/>
      <c r="N723" s="336"/>
      <c r="O723" s="336"/>
      <c r="P723" s="336"/>
      <c r="Q723" s="336"/>
      <c r="R723" s="336"/>
      <c r="S723" s="336"/>
      <c r="T723" s="336"/>
      <c r="U723" s="337" t="s">
        <v>1050</v>
      </c>
      <c r="V723" s="336"/>
    </row>
    <row r="724" ht="15.75" customHeight="1">
      <c r="A724" s="336"/>
      <c r="B724" s="336"/>
      <c r="C724" s="336"/>
      <c r="D724" s="336"/>
      <c r="E724" s="336"/>
      <c r="F724" s="336"/>
      <c r="G724" s="336"/>
      <c r="H724" s="336"/>
      <c r="I724" s="336"/>
      <c r="J724" s="336"/>
      <c r="K724" s="336"/>
      <c r="L724" s="336"/>
      <c r="M724" s="336"/>
      <c r="N724" s="336"/>
      <c r="O724" s="336"/>
      <c r="P724" s="336"/>
      <c r="Q724" s="336"/>
      <c r="R724" s="336"/>
      <c r="S724" s="336"/>
      <c r="T724" s="336"/>
      <c r="U724" s="337" t="s">
        <v>1051</v>
      </c>
      <c r="V724" s="336"/>
    </row>
    <row r="725" ht="15.75" customHeight="1">
      <c r="A725" s="336"/>
      <c r="B725" s="336"/>
      <c r="C725" s="336"/>
      <c r="D725" s="336"/>
      <c r="E725" s="336"/>
      <c r="F725" s="336"/>
      <c r="G725" s="336"/>
      <c r="H725" s="336"/>
      <c r="I725" s="336"/>
      <c r="J725" s="336"/>
      <c r="K725" s="336"/>
      <c r="L725" s="336"/>
      <c r="M725" s="336"/>
      <c r="N725" s="336"/>
      <c r="O725" s="336"/>
      <c r="P725" s="336"/>
      <c r="Q725" s="336"/>
      <c r="R725" s="336"/>
      <c r="S725" s="336"/>
      <c r="T725" s="336"/>
      <c r="U725" s="337" t="s">
        <v>1052</v>
      </c>
      <c r="V725" s="336"/>
    </row>
    <row r="726" ht="15.75" customHeight="1">
      <c r="A726" s="336"/>
      <c r="B726" s="336"/>
      <c r="C726" s="336"/>
      <c r="D726" s="336"/>
      <c r="E726" s="336"/>
      <c r="F726" s="336"/>
      <c r="G726" s="336"/>
      <c r="H726" s="336"/>
      <c r="I726" s="336"/>
      <c r="J726" s="336"/>
      <c r="K726" s="336"/>
      <c r="L726" s="336"/>
      <c r="M726" s="336"/>
      <c r="N726" s="336"/>
      <c r="O726" s="336"/>
      <c r="P726" s="336"/>
      <c r="Q726" s="336"/>
      <c r="R726" s="336"/>
      <c r="S726" s="336"/>
      <c r="T726" s="336"/>
      <c r="U726" s="337" t="s">
        <v>1053</v>
      </c>
      <c r="V726" s="336"/>
    </row>
    <row r="727" ht="15.75" customHeight="1">
      <c r="A727" s="336"/>
      <c r="B727" s="336"/>
      <c r="C727" s="336"/>
      <c r="D727" s="336"/>
      <c r="E727" s="336"/>
      <c r="F727" s="336"/>
      <c r="G727" s="336"/>
      <c r="H727" s="336"/>
      <c r="I727" s="336"/>
      <c r="J727" s="336"/>
      <c r="K727" s="336"/>
      <c r="L727" s="336"/>
      <c r="M727" s="336"/>
      <c r="N727" s="336"/>
      <c r="O727" s="336"/>
      <c r="P727" s="336"/>
      <c r="Q727" s="336"/>
      <c r="R727" s="336"/>
      <c r="S727" s="336"/>
      <c r="T727" s="336"/>
      <c r="U727" s="337" t="s">
        <v>1054</v>
      </c>
      <c r="V727" s="336"/>
    </row>
    <row r="728" ht="15.75" customHeight="1">
      <c r="A728" s="336"/>
      <c r="B728" s="336"/>
      <c r="C728" s="336"/>
      <c r="D728" s="336"/>
      <c r="E728" s="336"/>
      <c r="F728" s="336"/>
      <c r="G728" s="336"/>
      <c r="H728" s="336"/>
      <c r="I728" s="336"/>
      <c r="J728" s="336"/>
      <c r="K728" s="336"/>
      <c r="L728" s="336"/>
      <c r="M728" s="336"/>
      <c r="N728" s="336"/>
      <c r="O728" s="336"/>
      <c r="P728" s="336"/>
      <c r="Q728" s="336"/>
      <c r="R728" s="336"/>
      <c r="S728" s="336"/>
      <c r="T728" s="336"/>
      <c r="U728" s="337" t="s">
        <v>1055</v>
      </c>
      <c r="V728" s="336"/>
    </row>
    <row r="729" ht="15.75" customHeight="1">
      <c r="A729" s="336"/>
      <c r="B729" s="336"/>
      <c r="C729" s="336"/>
      <c r="D729" s="336"/>
      <c r="E729" s="336"/>
      <c r="F729" s="336"/>
      <c r="G729" s="336"/>
      <c r="H729" s="336"/>
      <c r="I729" s="336"/>
      <c r="J729" s="336"/>
      <c r="K729" s="336"/>
      <c r="L729" s="336"/>
      <c r="M729" s="336"/>
      <c r="N729" s="336"/>
      <c r="O729" s="336"/>
      <c r="P729" s="336"/>
      <c r="Q729" s="336"/>
      <c r="R729" s="336"/>
      <c r="S729" s="336"/>
      <c r="T729" s="336"/>
      <c r="U729" s="337" t="s">
        <v>1056</v>
      </c>
      <c r="V729" s="336"/>
    </row>
    <row r="730" ht="15.75" customHeight="1">
      <c r="A730" s="336"/>
      <c r="B730" s="336"/>
      <c r="C730" s="336"/>
      <c r="D730" s="336"/>
      <c r="E730" s="336"/>
      <c r="F730" s="336"/>
      <c r="G730" s="336"/>
      <c r="H730" s="336"/>
      <c r="I730" s="336"/>
      <c r="J730" s="336"/>
      <c r="K730" s="336"/>
      <c r="L730" s="336"/>
      <c r="M730" s="336"/>
      <c r="N730" s="336"/>
      <c r="O730" s="336"/>
      <c r="P730" s="336"/>
      <c r="Q730" s="336"/>
      <c r="R730" s="336"/>
      <c r="S730" s="336"/>
      <c r="T730" s="336"/>
      <c r="U730" s="337" t="s">
        <v>1057</v>
      </c>
      <c r="V730" s="336"/>
    </row>
    <row r="731" ht="15.75" customHeight="1">
      <c r="A731" s="336"/>
      <c r="B731" s="336"/>
      <c r="C731" s="336"/>
      <c r="D731" s="336"/>
      <c r="E731" s="336"/>
      <c r="F731" s="336"/>
      <c r="G731" s="336"/>
      <c r="H731" s="336"/>
      <c r="I731" s="336"/>
      <c r="J731" s="336"/>
      <c r="K731" s="336"/>
      <c r="L731" s="336"/>
      <c r="M731" s="336"/>
      <c r="N731" s="336"/>
      <c r="O731" s="336"/>
      <c r="P731" s="336"/>
      <c r="Q731" s="336"/>
      <c r="R731" s="336"/>
      <c r="S731" s="336"/>
      <c r="T731" s="336"/>
      <c r="U731" s="337" t="s">
        <v>1058</v>
      </c>
      <c r="V731" s="336"/>
    </row>
    <row r="732" ht="15.75" customHeight="1">
      <c r="A732" s="336"/>
      <c r="B732" s="336"/>
      <c r="C732" s="336"/>
      <c r="D732" s="336"/>
      <c r="E732" s="336"/>
      <c r="F732" s="336"/>
      <c r="G732" s="336"/>
      <c r="H732" s="336"/>
      <c r="I732" s="336"/>
      <c r="J732" s="336"/>
      <c r="K732" s="336"/>
      <c r="L732" s="336"/>
      <c r="M732" s="336"/>
      <c r="N732" s="336"/>
      <c r="O732" s="336"/>
      <c r="P732" s="336"/>
      <c r="Q732" s="336"/>
      <c r="R732" s="336"/>
      <c r="S732" s="336"/>
      <c r="T732" s="336"/>
      <c r="U732" s="337" t="s">
        <v>1059</v>
      </c>
      <c r="V732" s="336"/>
    </row>
    <row r="733" ht="15.75" customHeight="1">
      <c r="A733" s="336"/>
      <c r="B733" s="336"/>
      <c r="C733" s="336"/>
      <c r="D733" s="336"/>
      <c r="E733" s="336"/>
      <c r="F733" s="336"/>
      <c r="G733" s="336"/>
      <c r="H733" s="336"/>
      <c r="I733" s="336"/>
      <c r="J733" s="336"/>
      <c r="K733" s="336"/>
      <c r="L733" s="336"/>
      <c r="M733" s="336"/>
      <c r="N733" s="336"/>
      <c r="O733" s="336"/>
      <c r="P733" s="336"/>
      <c r="Q733" s="336"/>
      <c r="R733" s="336"/>
      <c r="S733" s="336"/>
      <c r="T733" s="336"/>
      <c r="U733" s="337" t="s">
        <v>1060</v>
      </c>
      <c r="V733" s="336"/>
    </row>
    <row r="734" ht="15.75" customHeight="1">
      <c r="A734" s="336"/>
      <c r="B734" s="336"/>
      <c r="C734" s="336"/>
      <c r="D734" s="336"/>
      <c r="E734" s="336"/>
      <c r="F734" s="336"/>
      <c r="G734" s="336"/>
      <c r="H734" s="336"/>
      <c r="I734" s="336"/>
      <c r="J734" s="336"/>
      <c r="K734" s="336"/>
      <c r="L734" s="336"/>
      <c r="M734" s="336"/>
      <c r="N734" s="336"/>
      <c r="O734" s="336"/>
      <c r="P734" s="336"/>
      <c r="Q734" s="336"/>
      <c r="R734" s="336"/>
      <c r="S734" s="336"/>
      <c r="T734" s="336"/>
      <c r="U734" s="337" t="s">
        <v>1061</v>
      </c>
      <c r="V734" s="336"/>
    </row>
    <row r="735" ht="15.75" customHeight="1">
      <c r="A735" s="336"/>
      <c r="B735" s="336"/>
      <c r="C735" s="336"/>
      <c r="D735" s="336"/>
      <c r="E735" s="336"/>
      <c r="F735" s="336"/>
      <c r="G735" s="336"/>
      <c r="H735" s="336"/>
      <c r="I735" s="336"/>
      <c r="J735" s="336"/>
      <c r="K735" s="336"/>
      <c r="L735" s="336"/>
      <c r="M735" s="336"/>
      <c r="N735" s="336"/>
      <c r="O735" s="336"/>
      <c r="P735" s="336"/>
      <c r="Q735" s="336"/>
      <c r="R735" s="336"/>
      <c r="S735" s="336"/>
      <c r="T735" s="336"/>
      <c r="U735" s="337" t="s">
        <v>1062</v>
      </c>
      <c r="V735" s="336"/>
    </row>
    <row r="736" ht="15.75" customHeight="1">
      <c r="A736" s="336"/>
      <c r="B736" s="336"/>
      <c r="C736" s="336"/>
      <c r="D736" s="336"/>
      <c r="E736" s="336"/>
      <c r="F736" s="336"/>
      <c r="G736" s="336"/>
      <c r="H736" s="336"/>
      <c r="I736" s="336"/>
      <c r="J736" s="336"/>
      <c r="K736" s="336"/>
      <c r="L736" s="336"/>
      <c r="M736" s="336"/>
      <c r="N736" s="336"/>
      <c r="O736" s="336"/>
      <c r="P736" s="336"/>
      <c r="Q736" s="336"/>
      <c r="R736" s="336"/>
      <c r="S736" s="336"/>
      <c r="T736" s="336"/>
      <c r="U736" s="337" t="s">
        <v>1063</v>
      </c>
      <c r="V736" s="336"/>
    </row>
    <row r="737" ht="15.75" customHeight="1">
      <c r="A737" s="336"/>
      <c r="B737" s="336"/>
      <c r="C737" s="336"/>
      <c r="D737" s="336"/>
      <c r="E737" s="336"/>
      <c r="F737" s="336"/>
      <c r="G737" s="336"/>
      <c r="H737" s="336"/>
      <c r="I737" s="336"/>
      <c r="J737" s="336"/>
      <c r="K737" s="336"/>
      <c r="L737" s="336"/>
      <c r="M737" s="336"/>
      <c r="N737" s="336"/>
      <c r="O737" s="336"/>
      <c r="P737" s="336"/>
      <c r="Q737" s="336"/>
      <c r="R737" s="336"/>
      <c r="S737" s="336"/>
      <c r="T737" s="336"/>
      <c r="U737" s="337" t="s">
        <v>1064</v>
      </c>
      <c r="V737" s="336"/>
    </row>
    <row r="738" ht="15.75" customHeight="1">
      <c r="A738" s="336"/>
      <c r="B738" s="336"/>
      <c r="C738" s="336"/>
      <c r="D738" s="336"/>
      <c r="E738" s="336"/>
      <c r="F738" s="336"/>
      <c r="G738" s="336"/>
      <c r="H738" s="336"/>
      <c r="I738" s="336"/>
      <c r="J738" s="336"/>
      <c r="K738" s="336"/>
      <c r="L738" s="336"/>
      <c r="M738" s="336"/>
      <c r="N738" s="336"/>
      <c r="O738" s="336"/>
      <c r="P738" s="336"/>
      <c r="Q738" s="336"/>
      <c r="R738" s="336"/>
      <c r="S738" s="336"/>
      <c r="T738" s="336"/>
      <c r="U738" s="337" t="s">
        <v>1065</v>
      </c>
      <c r="V738" s="336"/>
    </row>
    <row r="739" ht="15.75" customHeight="1">
      <c r="A739" s="336"/>
      <c r="B739" s="336"/>
      <c r="C739" s="336"/>
      <c r="D739" s="336"/>
      <c r="E739" s="336"/>
      <c r="F739" s="336"/>
      <c r="G739" s="336"/>
      <c r="H739" s="336"/>
      <c r="I739" s="336"/>
      <c r="J739" s="336"/>
      <c r="K739" s="336"/>
      <c r="L739" s="336"/>
      <c r="M739" s="336"/>
      <c r="N739" s="336"/>
      <c r="O739" s="336"/>
      <c r="P739" s="336"/>
      <c r="Q739" s="336"/>
      <c r="R739" s="336"/>
      <c r="S739" s="336"/>
      <c r="T739" s="336"/>
      <c r="U739" s="337" t="s">
        <v>1066</v>
      </c>
      <c r="V739" s="336"/>
    </row>
    <row r="740" ht="15.75" customHeight="1">
      <c r="A740" s="336"/>
      <c r="B740" s="336"/>
      <c r="C740" s="336"/>
      <c r="D740" s="336"/>
      <c r="E740" s="336"/>
      <c r="F740" s="336"/>
      <c r="G740" s="336"/>
      <c r="H740" s="336"/>
      <c r="I740" s="336"/>
      <c r="J740" s="336"/>
      <c r="K740" s="336"/>
      <c r="L740" s="336"/>
      <c r="M740" s="336"/>
      <c r="N740" s="336"/>
      <c r="O740" s="336"/>
      <c r="P740" s="336"/>
      <c r="Q740" s="336"/>
      <c r="R740" s="336"/>
      <c r="S740" s="336"/>
      <c r="T740" s="336"/>
      <c r="U740" s="337" t="s">
        <v>1067</v>
      </c>
      <c r="V740" s="336"/>
    </row>
    <row r="741" ht="15.75" customHeight="1">
      <c r="A741" s="336"/>
      <c r="B741" s="336"/>
      <c r="C741" s="336"/>
      <c r="D741" s="336"/>
      <c r="E741" s="336"/>
      <c r="F741" s="336"/>
      <c r="G741" s="336"/>
      <c r="H741" s="336"/>
      <c r="I741" s="336"/>
      <c r="J741" s="336"/>
      <c r="K741" s="336"/>
      <c r="L741" s="336"/>
      <c r="M741" s="336"/>
      <c r="N741" s="336"/>
      <c r="O741" s="336"/>
      <c r="P741" s="336"/>
      <c r="Q741" s="336"/>
      <c r="R741" s="336"/>
      <c r="S741" s="336"/>
      <c r="T741" s="336"/>
      <c r="U741" s="337" t="s">
        <v>1068</v>
      </c>
      <c r="V741" s="336"/>
    </row>
    <row r="742" ht="15.75" customHeight="1">
      <c r="A742" s="336"/>
      <c r="B742" s="336"/>
      <c r="C742" s="336"/>
      <c r="D742" s="336"/>
      <c r="E742" s="336"/>
      <c r="F742" s="336"/>
      <c r="G742" s="336"/>
      <c r="H742" s="336"/>
      <c r="I742" s="336"/>
      <c r="J742" s="336"/>
      <c r="K742" s="336"/>
      <c r="L742" s="336"/>
      <c r="M742" s="336"/>
      <c r="N742" s="336"/>
      <c r="O742" s="336"/>
      <c r="P742" s="336"/>
      <c r="Q742" s="336"/>
      <c r="R742" s="336"/>
      <c r="S742" s="336"/>
      <c r="T742" s="336"/>
      <c r="U742" s="337" t="s">
        <v>1069</v>
      </c>
      <c r="V742" s="336"/>
    </row>
    <row r="743" ht="15.75" customHeight="1">
      <c r="A743" s="336"/>
      <c r="B743" s="336"/>
      <c r="C743" s="336"/>
      <c r="D743" s="336"/>
      <c r="E743" s="336"/>
      <c r="F743" s="336"/>
      <c r="G743" s="336"/>
      <c r="H743" s="336"/>
      <c r="I743" s="336"/>
      <c r="J743" s="336"/>
      <c r="K743" s="336"/>
      <c r="L743" s="336"/>
      <c r="M743" s="336"/>
      <c r="N743" s="336"/>
      <c r="O743" s="336"/>
      <c r="P743" s="336"/>
      <c r="Q743" s="336"/>
      <c r="R743" s="336"/>
      <c r="S743" s="336"/>
      <c r="T743" s="336"/>
      <c r="U743" s="337" t="s">
        <v>1070</v>
      </c>
      <c r="V743" s="336"/>
    </row>
    <row r="744" ht="15.75" customHeight="1">
      <c r="A744" s="336"/>
      <c r="B744" s="336"/>
      <c r="C744" s="336"/>
      <c r="D744" s="336"/>
      <c r="E744" s="336"/>
      <c r="F744" s="336"/>
      <c r="G744" s="336"/>
      <c r="H744" s="336"/>
      <c r="I744" s="336"/>
      <c r="J744" s="336"/>
      <c r="K744" s="336"/>
      <c r="L744" s="336"/>
      <c r="M744" s="336"/>
      <c r="N744" s="336"/>
      <c r="O744" s="336"/>
      <c r="P744" s="336"/>
      <c r="Q744" s="336"/>
      <c r="R744" s="336"/>
      <c r="S744" s="336"/>
      <c r="T744" s="336"/>
      <c r="U744" s="337" t="s">
        <v>1071</v>
      </c>
      <c r="V744" s="336"/>
    </row>
    <row r="745" ht="15.75" customHeight="1">
      <c r="A745" s="336"/>
      <c r="B745" s="336"/>
      <c r="C745" s="336"/>
      <c r="D745" s="336"/>
      <c r="E745" s="336"/>
      <c r="F745" s="336"/>
      <c r="G745" s="336"/>
      <c r="H745" s="336"/>
      <c r="I745" s="336"/>
      <c r="J745" s="336"/>
      <c r="K745" s="336"/>
      <c r="L745" s="336"/>
      <c r="M745" s="336"/>
      <c r="N745" s="336"/>
      <c r="O745" s="336"/>
      <c r="P745" s="336"/>
      <c r="Q745" s="336"/>
      <c r="R745" s="336"/>
      <c r="S745" s="336"/>
      <c r="T745" s="336"/>
      <c r="U745" s="337" t="s">
        <v>1072</v>
      </c>
      <c r="V745" s="336"/>
    </row>
    <row r="746" ht="15.75" customHeight="1">
      <c r="A746" s="336"/>
      <c r="B746" s="336"/>
      <c r="C746" s="336"/>
      <c r="D746" s="336"/>
      <c r="E746" s="336"/>
      <c r="F746" s="336"/>
      <c r="G746" s="336"/>
      <c r="H746" s="336"/>
      <c r="I746" s="336"/>
      <c r="J746" s="336"/>
      <c r="K746" s="336"/>
      <c r="L746" s="336"/>
      <c r="M746" s="336"/>
      <c r="N746" s="336"/>
      <c r="O746" s="336"/>
      <c r="P746" s="336"/>
      <c r="Q746" s="336"/>
      <c r="R746" s="336"/>
      <c r="S746" s="336"/>
      <c r="T746" s="336"/>
      <c r="U746" s="337" t="s">
        <v>1073</v>
      </c>
      <c r="V746" s="336"/>
    </row>
    <row r="747" ht="15.75" customHeight="1">
      <c r="A747" s="336"/>
      <c r="B747" s="336"/>
      <c r="C747" s="336"/>
      <c r="D747" s="336"/>
      <c r="E747" s="336"/>
      <c r="F747" s="336"/>
      <c r="G747" s="336"/>
      <c r="H747" s="336"/>
      <c r="I747" s="336"/>
      <c r="J747" s="336"/>
      <c r="K747" s="336"/>
      <c r="L747" s="336"/>
      <c r="M747" s="336"/>
      <c r="N747" s="336"/>
      <c r="O747" s="336"/>
      <c r="P747" s="336"/>
      <c r="Q747" s="336"/>
      <c r="R747" s="336"/>
      <c r="S747" s="336"/>
      <c r="T747" s="336"/>
      <c r="U747" s="337" t="s">
        <v>1074</v>
      </c>
      <c r="V747" s="336"/>
    </row>
    <row r="748" ht="15.75" customHeight="1">
      <c r="A748" s="336"/>
      <c r="B748" s="336"/>
      <c r="C748" s="336"/>
      <c r="D748" s="336"/>
      <c r="E748" s="336"/>
      <c r="F748" s="336"/>
      <c r="G748" s="336"/>
      <c r="H748" s="336"/>
      <c r="I748" s="336"/>
      <c r="J748" s="336"/>
      <c r="K748" s="336"/>
      <c r="L748" s="336"/>
      <c r="M748" s="336"/>
      <c r="N748" s="336"/>
      <c r="O748" s="336"/>
      <c r="P748" s="336"/>
      <c r="Q748" s="336"/>
      <c r="R748" s="336"/>
      <c r="S748" s="336"/>
      <c r="T748" s="336"/>
      <c r="U748" s="337" t="s">
        <v>1075</v>
      </c>
      <c r="V748" s="336"/>
    </row>
    <row r="749" ht="15.75" customHeight="1">
      <c r="A749" s="336"/>
      <c r="B749" s="336"/>
      <c r="C749" s="336"/>
      <c r="D749" s="336"/>
      <c r="E749" s="336"/>
      <c r="F749" s="336"/>
      <c r="G749" s="336"/>
      <c r="H749" s="336"/>
      <c r="I749" s="336"/>
      <c r="J749" s="336"/>
      <c r="K749" s="336"/>
      <c r="L749" s="336"/>
      <c r="M749" s="336"/>
      <c r="N749" s="336"/>
      <c r="O749" s="336"/>
      <c r="P749" s="336"/>
      <c r="Q749" s="336"/>
      <c r="R749" s="336"/>
      <c r="S749" s="336"/>
      <c r="T749" s="336"/>
      <c r="U749" s="337" t="s">
        <v>1076</v>
      </c>
      <c r="V749" s="336"/>
    </row>
    <row r="750" ht="15.75" customHeight="1">
      <c r="A750" s="336"/>
      <c r="B750" s="336"/>
      <c r="C750" s="336"/>
      <c r="D750" s="336"/>
      <c r="E750" s="336"/>
      <c r="F750" s="336"/>
      <c r="G750" s="336"/>
      <c r="H750" s="336"/>
      <c r="I750" s="336"/>
      <c r="J750" s="336"/>
      <c r="K750" s="336"/>
      <c r="L750" s="336"/>
      <c r="M750" s="336"/>
      <c r="N750" s="336"/>
      <c r="O750" s="336"/>
      <c r="P750" s="336"/>
      <c r="Q750" s="336"/>
      <c r="R750" s="336"/>
      <c r="S750" s="336"/>
      <c r="T750" s="336"/>
      <c r="U750" s="337" t="s">
        <v>1077</v>
      </c>
      <c r="V750" s="336"/>
    </row>
    <row r="751" ht="15.75" customHeight="1">
      <c r="A751" s="336"/>
      <c r="B751" s="336"/>
      <c r="C751" s="336"/>
      <c r="D751" s="336"/>
      <c r="E751" s="336"/>
      <c r="F751" s="336"/>
      <c r="G751" s="336"/>
      <c r="H751" s="336"/>
      <c r="I751" s="336"/>
      <c r="J751" s="336"/>
      <c r="K751" s="336"/>
      <c r="L751" s="336"/>
      <c r="M751" s="336"/>
      <c r="N751" s="336"/>
      <c r="O751" s="336"/>
      <c r="P751" s="336"/>
      <c r="Q751" s="336"/>
      <c r="R751" s="336"/>
      <c r="S751" s="336"/>
      <c r="T751" s="336"/>
      <c r="U751" s="337" t="s">
        <v>1078</v>
      </c>
      <c r="V751" s="336"/>
    </row>
    <row r="752" ht="15.75" customHeight="1">
      <c r="A752" s="336"/>
      <c r="B752" s="336"/>
      <c r="C752" s="336"/>
      <c r="D752" s="336"/>
      <c r="E752" s="336"/>
      <c r="F752" s="336"/>
      <c r="G752" s="336"/>
      <c r="H752" s="336"/>
      <c r="I752" s="336"/>
      <c r="J752" s="336"/>
      <c r="K752" s="336"/>
      <c r="L752" s="336"/>
      <c r="M752" s="336"/>
      <c r="N752" s="336"/>
      <c r="O752" s="336"/>
      <c r="P752" s="336"/>
      <c r="Q752" s="336"/>
      <c r="R752" s="336"/>
      <c r="S752" s="336"/>
      <c r="T752" s="336"/>
      <c r="U752" s="337" t="s">
        <v>1079</v>
      </c>
      <c r="V752" s="336"/>
    </row>
    <row r="753" ht="15.75" customHeight="1">
      <c r="A753" s="336"/>
      <c r="B753" s="336"/>
      <c r="C753" s="336"/>
      <c r="D753" s="336"/>
      <c r="E753" s="336"/>
      <c r="F753" s="336"/>
      <c r="G753" s="336"/>
      <c r="H753" s="336"/>
      <c r="I753" s="336"/>
      <c r="J753" s="336"/>
      <c r="K753" s="336"/>
      <c r="L753" s="336"/>
      <c r="M753" s="336"/>
      <c r="N753" s="336"/>
      <c r="O753" s="336"/>
      <c r="P753" s="336"/>
      <c r="Q753" s="336"/>
      <c r="R753" s="336"/>
      <c r="S753" s="336"/>
      <c r="T753" s="336"/>
      <c r="U753" s="337" t="s">
        <v>1080</v>
      </c>
      <c r="V753" s="336"/>
    </row>
    <row r="754" ht="15.75" customHeight="1">
      <c r="A754" s="336"/>
      <c r="B754" s="336"/>
      <c r="C754" s="336"/>
      <c r="D754" s="336"/>
      <c r="E754" s="336"/>
      <c r="F754" s="336"/>
      <c r="G754" s="336"/>
      <c r="H754" s="336"/>
      <c r="I754" s="336"/>
      <c r="J754" s="336"/>
      <c r="K754" s="336"/>
      <c r="L754" s="336"/>
      <c r="M754" s="336"/>
      <c r="N754" s="336"/>
      <c r="O754" s="336"/>
      <c r="P754" s="336"/>
      <c r="Q754" s="336"/>
      <c r="R754" s="336"/>
      <c r="S754" s="336"/>
      <c r="T754" s="336"/>
      <c r="U754" s="337" t="s">
        <v>1081</v>
      </c>
      <c r="V754" s="336"/>
    </row>
    <row r="755" ht="15.75" customHeight="1">
      <c r="A755" s="336"/>
      <c r="B755" s="336"/>
      <c r="C755" s="336"/>
      <c r="D755" s="336"/>
      <c r="E755" s="336"/>
      <c r="F755" s="336"/>
      <c r="G755" s="336"/>
      <c r="H755" s="336"/>
      <c r="I755" s="336"/>
      <c r="J755" s="336"/>
      <c r="K755" s="336"/>
      <c r="L755" s="336"/>
      <c r="M755" s="336"/>
      <c r="N755" s="336"/>
      <c r="O755" s="336"/>
      <c r="P755" s="336"/>
      <c r="Q755" s="336"/>
      <c r="R755" s="336"/>
      <c r="S755" s="336"/>
      <c r="T755" s="336"/>
      <c r="U755" s="337" t="s">
        <v>1082</v>
      </c>
      <c r="V755" s="336"/>
    </row>
    <row r="756" ht="15.75" customHeight="1">
      <c r="A756" s="336"/>
      <c r="B756" s="336"/>
      <c r="C756" s="336"/>
      <c r="D756" s="336"/>
      <c r="E756" s="336"/>
      <c r="F756" s="336"/>
      <c r="G756" s="336"/>
      <c r="H756" s="336"/>
      <c r="I756" s="336"/>
      <c r="J756" s="336"/>
      <c r="K756" s="336"/>
      <c r="L756" s="336"/>
      <c r="M756" s="336"/>
      <c r="N756" s="336"/>
      <c r="O756" s="336"/>
      <c r="P756" s="336"/>
      <c r="Q756" s="336"/>
      <c r="R756" s="336"/>
      <c r="S756" s="336"/>
      <c r="T756" s="336"/>
      <c r="U756" s="337" t="s">
        <v>1083</v>
      </c>
      <c r="V756" s="336"/>
    </row>
    <row r="757" ht="15.75" customHeight="1">
      <c r="A757" s="336"/>
      <c r="B757" s="336"/>
      <c r="C757" s="336"/>
      <c r="D757" s="336"/>
      <c r="E757" s="336"/>
      <c r="F757" s="336"/>
      <c r="G757" s="336"/>
      <c r="H757" s="336"/>
      <c r="I757" s="336"/>
      <c r="J757" s="336"/>
      <c r="K757" s="336"/>
      <c r="L757" s="336"/>
      <c r="M757" s="336"/>
      <c r="N757" s="336"/>
      <c r="O757" s="336"/>
      <c r="P757" s="336"/>
      <c r="Q757" s="336"/>
      <c r="R757" s="336"/>
      <c r="S757" s="336"/>
      <c r="T757" s="336"/>
      <c r="U757" s="337" t="s">
        <v>1084</v>
      </c>
      <c r="V757" s="336"/>
    </row>
    <row r="758" ht="15.75" customHeight="1">
      <c r="A758" s="336"/>
      <c r="B758" s="336"/>
      <c r="C758" s="336"/>
      <c r="D758" s="336"/>
      <c r="E758" s="336"/>
      <c r="F758" s="336"/>
      <c r="G758" s="336"/>
      <c r="H758" s="336"/>
      <c r="I758" s="336"/>
      <c r="J758" s="336"/>
      <c r="K758" s="336"/>
      <c r="L758" s="336"/>
      <c r="M758" s="336"/>
      <c r="N758" s="336"/>
      <c r="O758" s="336"/>
      <c r="P758" s="336"/>
      <c r="Q758" s="336"/>
      <c r="R758" s="336"/>
      <c r="S758" s="336"/>
      <c r="T758" s="336"/>
      <c r="U758" s="337" t="s">
        <v>1085</v>
      </c>
      <c r="V758" s="336"/>
    </row>
    <row r="759" ht="15.75" customHeight="1">
      <c r="A759" s="336"/>
      <c r="B759" s="336"/>
      <c r="C759" s="336"/>
      <c r="D759" s="336"/>
      <c r="E759" s="336"/>
      <c r="F759" s="336"/>
      <c r="G759" s="336"/>
      <c r="H759" s="336"/>
      <c r="I759" s="336"/>
      <c r="J759" s="336"/>
      <c r="K759" s="336"/>
      <c r="L759" s="336"/>
      <c r="M759" s="336"/>
      <c r="N759" s="336"/>
      <c r="O759" s="336"/>
      <c r="P759" s="336"/>
      <c r="Q759" s="336"/>
      <c r="R759" s="336"/>
      <c r="S759" s="336"/>
      <c r="T759" s="336"/>
      <c r="U759" s="337" t="s">
        <v>1086</v>
      </c>
      <c r="V759" s="336"/>
    </row>
    <row r="760" ht="15.75" customHeight="1">
      <c r="A760" s="336"/>
      <c r="B760" s="336"/>
      <c r="C760" s="336"/>
      <c r="D760" s="336"/>
      <c r="E760" s="336"/>
      <c r="F760" s="336"/>
      <c r="G760" s="336"/>
      <c r="H760" s="336"/>
      <c r="I760" s="336"/>
      <c r="J760" s="336"/>
      <c r="K760" s="336"/>
      <c r="L760" s="336"/>
      <c r="M760" s="336"/>
      <c r="N760" s="336"/>
      <c r="O760" s="336"/>
      <c r="P760" s="336"/>
      <c r="Q760" s="336"/>
      <c r="R760" s="336"/>
      <c r="S760" s="336"/>
      <c r="T760" s="336"/>
      <c r="U760" s="337" t="s">
        <v>1087</v>
      </c>
      <c r="V760" s="336"/>
    </row>
    <row r="761" ht="15.75" customHeight="1">
      <c r="A761" s="336"/>
      <c r="B761" s="336"/>
      <c r="C761" s="336"/>
      <c r="D761" s="336"/>
      <c r="E761" s="336"/>
      <c r="F761" s="336"/>
      <c r="G761" s="336"/>
      <c r="H761" s="336"/>
      <c r="I761" s="336"/>
      <c r="J761" s="336"/>
      <c r="K761" s="336"/>
      <c r="L761" s="336"/>
      <c r="M761" s="336"/>
      <c r="N761" s="336"/>
      <c r="O761" s="336"/>
      <c r="P761" s="336"/>
      <c r="Q761" s="336"/>
      <c r="R761" s="336"/>
      <c r="S761" s="336"/>
      <c r="T761" s="336"/>
      <c r="U761" s="337" t="s">
        <v>1088</v>
      </c>
      <c r="V761" s="336"/>
    </row>
    <row r="762" ht="15.75" customHeight="1">
      <c r="A762" s="336"/>
      <c r="B762" s="336"/>
      <c r="C762" s="336"/>
      <c r="D762" s="336"/>
      <c r="E762" s="336"/>
      <c r="F762" s="336"/>
      <c r="G762" s="336"/>
      <c r="H762" s="336"/>
      <c r="I762" s="336"/>
      <c r="J762" s="336"/>
      <c r="K762" s="336"/>
      <c r="L762" s="336"/>
      <c r="M762" s="336"/>
      <c r="N762" s="336"/>
      <c r="O762" s="336"/>
      <c r="P762" s="336"/>
      <c r="Q762" s="336"/>
      <c r="R762" s="336"/>
      <c r="S762" s="336"/>
      <c r="T762" s="336"/>
      <c r="U762" s="337" t="s">
        <v>1089</v>
      </c>
      <c r="V762" s="336"/>
    </row>
    <row r="763" ht="15.75" customHeight="1">
      <c r="A763" s="336"/>
      <c r="B763" s="336"/>
      <c r="C763" s="336"/>
      <c r="D763" s="336"/>
      <c r="E763" s="336"/>
      <c r="F763" s="336"/>
      <c r="G763" s="336"/>
      <c r="H763" s="336"/>
      <c r="I763" s="336"/>
      <c r="J763" s="336"/>
      <c r="K763" s="336"/>
      <c r="L763" s="336"/>
      <c r="M763" s="336"/>
      <c r="N763" s="336"/>
      <c r="O763" s="336"/>
      <c r="P763" s="336"/>
      <c r="Q763" s="336"/>
      <c r="R763" s="336"/>
      <c r="S763" s="336"/>
      <c r="T763" s="336"/>
      <c r="U763" s="337" t="s">
        <v>1090</v>
      </c>
      <c r="V763" s="336"/>
    </row>
    <row r="764" ht="15.75" customHeight="1">
      <c r="A764" s="336"/>
      <c r="B764" s="336"/>
      <c r="C764" s="336"/>
      <c r="D764" s="336"/>
      <c r="E764" s="336"/>
      <c r="F764" s="336"/>
      <c r="G764" s="336"/>
      <c r="H764" s="336"/>
      <c r="I764" s="336"/>
      <c r="J764" s="336"/>
      <c r="K764" s="336"/>
      <c r="L764" s="336"/>
      <c r="M764" s="336"/>
      <c r="N764" s="336"/>
      <c r="O764" s="336"/>
      <c r="P764" s="336"/>
      <c r="Q764" s="336"/>
      <c r="R764" s="336"/>
      <c r="S764" s="336"/>
      <c r="T764" s="336"/>
      <c r="U764" s="337" t="s">
        <v>1091</v>
      </c>
      <c r="V764" s="336"/>
    </row>
    <row r="765" ht="15.75" customHeight="1">
      <c r="A765" s="336"/>
      <c r="B765" s="336"/>
      <c r="C765" s="336"/>
      <c r="D765" s="336"/>
      <c r="E765" s="336"/>
      <c r="F765" s="336"/>
      <c r="G765" s="336"/>
      <c r="H765" s="336"/>
      <c r="I765" s="336"/>
      <c r="J765" s="336"/>
      <c r="K765" s="336"/>
      <c r="L765" s="336"/>
      <c r="M765" s="336"/>
      <c r="N765" s="336"/>
      <c r="O765" s="336"/>
      <c r="P765" s="336"/>
      <c r="Q765" s="336"/>
      <c r="R765" s="336"/>
      <c r="S765" s="336"/>
      <c r="T765" s="336"/>
      <c r="U765" s="337" t="s">
        <v>1092</v>
      </c>
      <c r="V765" s="336"/>
    </row>
    <row r="766" ht="15.75" customHeight="1">
      <c r="A766" s="336"/>
      <c r="B766" s="336"/>
      <c r="C766" s="336"/>
      <c r="D766" s="336"/>
      <c r="E766" s="336"/>
      <c r="F766" s="336"/>
      <c r="G766" s="336"/>
      <c r="H766" s="336"/>
      <c r="I766" s="336"/>
      <c r="J766" s="336"/>
      <c r="K766" s="336"/>
      <c r="L766" s="336"/>
      <c r="M766" s="336"/>
      <c r="N766" s="336"/>
      <c r="O766" s="336"/>
      <c r="P766" s="336"/>
      <c r="Q766" s="336"/>
      <c r="R766" s="336"/>
      <c r="S766" s="336"/>
      <c r="T766" s="336"/>
      <c r="U766" s="337" t="s">
        <v>1093</v>
      </c>
      <c r="V766" s="336"/>
    </row>
    <row r="767" ht="15.75" customHeight="1">
      <c r="A767" s="336"/>
      <c r="B767" s="336"/>
      <c r="C767" s="336"/>
      <c r="D767" s="336"/>
      <c r="E767" s="336"/>
      <c r="F767" s="336"/>
      <c r="G767" s="336"/>
      <c r="H767" s="336"/>
      <c r="I767" s="336"/>
      <c r="J767" s="336"/>
      <c r="K767" s="336"/>
      <c r="L767" s="336"/>
      <c r="M767" s="336"/>
      <c r="N767" s="336"/>
      <c r="O767" s="336"/>
      <c r="P767" s="336"/>
      <c r="Q767" s="336"/>
      <c r="R767" s="336"/>
      <c r="S767" s="336"/>
      <c r="T767" s="336"/>
      <c r="U767" s="337" t="s">
        <v>1094</v>
      </c>
      <c r="V767" s="336"/>
    </row>
    <row r="768" ht="15.75" customHeight="1">
      <c r="A768" s="336"/>
      <c r="B768" s="336"/>
      <c r="C768" s="336"/>
      <c r="D768" s="336"/>
      <c r="E768" s="336"/>
      <c r="F768" s="336"/>
      <c r="G768" s="336"/>
      <c r="H768" s="336"/>
      <c r="I768" s="336"/>
      <c r="J768" s="336"/>
      <c r="K768" s="336"/>
      <c r="L768" s="336"/>
      <c r="M768" s="336"/>
      <c r="N768" s="336"/>
      <c r="O768" s="336"/>
      <c r="P768" s="336"/>
      <c r="Q768" s="336"/>
      <c r="R768" s="336"/>
      <c r="S768" s="336"/>
      <c r="T768" s="336"/>
      <c r="U768" s="337" t="s">
        <v>1095</v>
      </c>
      <c r="V768" s="336"/>
    </row>
    <row r="769" ht="15.75" customHeight="1">
      <c r="A769" s="336"/>
      <c r="B769" s="336"/>
      <c r="C769" s="336"/>
      <c r="D769" s="336"/>
      <c r="E769" s="336"/>
      <c r="F769" s="336"/>
      <c r="G769" s="336"/>
      <c r="H769" s="336"/>
      <c r="I769" s="336"/>
      <c r="J769" s="336"/>
      <c r="K769" s="336"/>
      <c r="L769" s="336"/>
      <c r="M769" s="336"/>
      <c r="N769" s="336"/>
      <c r="O769" s="336"/>
      <c r="P769" s="336"/>
      <c r="Q769" s="336"/>
      <c r="R769" s="336"/>
      <c r="S769" s="336"/>
      <c r="T769" s="336"/>
      <c r="U769" s="337" t="s">
        <v>1096</v>
      </c>
      <c r="V769" s="336"/>
    </row>
    <row r="770" ht="15.75" customHeight="1">
      <c r="A770" s="336"/>
      <c r="B770" s="336"/>
      <c r="C770" s="336"/>
      <c r="D770" s="336"/>
      <c r="E770" s="336"/>
      <c r="F770" s="336"/>
      <c r="G770" s="336"/>
      <c r="H770" s="336"/>
      <c r="I770" s="336"/>
      <c r="J770" s="336"/>
      <c r="K770" s="336"/>
      <c r="L770" s="336"/>
      <c r="M770" s="336"/>
      <c r="N770" s="336"/>
      <c r="O770" s="336"/>
      <c r="P770" s="336"/>
      <c r="Q770" s="336"/>
      <c r="R770" s="336"/>
      <c r="S770" s="336"/>
      <c r="T770" s="336"/>
      <c r="U770" s="337" t="s">
        <v>1097</v>
      </c>
      <c r="V770" s="336"/>
    </row>
    <row r="771" ht="15.75" customHeight="1">
      <c r="A771" s="336"/>
      <c r="B771" s="336"/>
      <c r="C771" s="336"/>
      <c r="D771" s="336"/>
      <c r="E771" s="336"/>
      <c r="F771" s="336"/>
      <c r="G771" s="336"/>
      <c r="H771" s="336"/>
      <c r="I771" s="336"/>
      <c r="J771" s="336"/>
      <c r="K771" s="336"/>
      <c r="L771" s="336"/>
      <c r="M771" s="336"/>
      <c r="N771" s="336"/>
      <c r="O771" s="336"/>
      <c r="P771" s="336"/>
      <c r="Q771" s="336"/>
      <c r="R771" s="336"/>
      <c r="S771" s="336"/>
      <c r="T771" s="336"/>
      <c r="U771" s="337" t="s">
        <v>1098</v>
      </c>
      <c r="V771" s="336"/>
    </row>
    <row r="772" ht="15.75" customHeight="1">
      <c r="A772" s="336"/>
      <c r="B772" s="336"/>
      <c r="C772" s="336"/>
      <c r="D772" s="336"/>
      <c r="E772" s="336"/>
      <c r="F772" s="336"/>
      <c r="G772" s="336"/>
      <c r="H772" s="336"/>
      <c r="I772" s="336"/>
      <c r="J772" s="336"/>
      <c r="K772" s="336"/>
      <c r="L772" s="336"/>
      <c r="M772" s="336"/>
      <c r="N772" s="336"/>
      <c r="O772" s="336"/>
      <c r="P772" s="336"/>
      <c r="Q772" s="336"/>
      <c r="R772" s="336"/>
      <c r="S772" s="336"/>
      <c r="T772" s="336"/>
      <c r="U772" s="337" t="s">
        <v>1099</v>
      </c>
      <c r="V772" s="336"/>
    </row>
    <row r="773" ht="15.75" customHeight="1">
      <c r="A773" s="336"/>
      <c r="B773" s="336"/>
      <c r="C773" s="336"/>
      <c r="D773" s="336"/>
      <c r="E773" s="336"/>
      <c r="F773" s="336"/>
      <c r="G773" s="336"/>
      <c r="H773" s="336"/>
      <c r="I773" s="336"/>
      <c r="J773" s="336"/>
      <c r="K773" s="336"/>
      <c r="L773" s="336"/>
      <c r="M773" s="336"/>
      <c r="N773" s="336"/>
      <c r="O773" s="336"/>
      <c r="P773" s="336"/>
      <c r="Q773" s="336"/>
      <c r="R773" s="336"/>
      <c r="S773" s="336"/>
      <c r="T773" s="336"/>
      <c r="U773" s="337" t="s">
        <v>1100</v>
      </c>
      <c r="V773" s="336"/>
    </row>
    <row r="774" ht="15.75" customHeight="1">
      <c r="A774" s="336"/>
      <c r="B774" s="336"/>
      <c r="C774" s="336"/>
      <c r="D774" s="336"/>
      <c r="E774" s="336"/>
      <c r="F774" s="336"/>
      <c r="G774" s="336"/>
      <c r="H774" s="336"/>
      <c r="I774" s="336"/>
      <c r="J774" s="336"/>
      <c r="K774" s="336"/>
      <c r="L774" s="336"/>
      <c r="M774" s="336"/>
      <c r="N774" s="336"/>
      <c r="O774" s="336"/>
      <c r="P774" s="336"/>
      <c r="Q774" s="336"/>
      <c r="R774" s="336"/>
      <c r="S774" s="336"/>
      <c r="T774" s="336"/>
      <c r="U774" s="337" t="s">
        <v>1101</v>
      </c>
      <c r="V774" s="336"/>
    </row>
    <row r="775" ht="15.75" customHeight="1">
      <c r="A775" s="336"/>
      <c r="B775" s="336"/>
      <c r="C775" s="336"/>
      <c r="D775" s="336"/>
      <c r="E775" s="336"/>
      <c r="F775" s="336"/>
      <c r="G775" s="336"/>
      <c r="H775" s="336"/>
      <c r="I775" s="336"/>
      <c r="J775" s="336"/>
      <c r="K775" s="336"/>
      <c r="L775" s="336"/>
      <c r="M775" s="336"/>
      <c r="N775" s="336"/>
      <c r="O775" s="336"/>
      <c r="P775" s="336"/>
      <c r="Q775" s="336"/>
      <c r="R775" s="336"/>
      <c r="S775" s="336"/>
      <c r="T775" s="336"/>
      <c r="U775" s="337" t="s">
        <v>1102</v>
      </c>
      <c r="V775" s="336"/>
    </row>
    <row r="776" ht="15.75" customHeight="1">
      <c r="A776" s="336"/>
      <c r="B776" s="336"/>
      <c r="C776" s="336"/>
      <c r="D776" s="336"/>
      <c r="E776" s="336"/>
      <c r="F776" s="336"/>
      <c r="G776" s="336"/>
      <c r="H776" s="336"/>
      <c r="I776" s="336"/>
      <c r="J776" s="336"/>
      <c r="K776" s="336"/>
      <c r="L776" s="336"/>
      <c r="M776" s="336"/>
      <c r="N776" s="336"/>
      <c r="O776" s="336"/>
      <c r="P776" s="336"/>
      <c r="Q776" s="336"/>
      <c r="R776" s="336"/>
      <c r="S776" s="336"/>
      <c r="T776" s="336"/>
      <c r="U776" s="337" t="s">
        <v>1103</v>
      </c>
      <c r="V776" s="336"/>
    </row>
    <row r="777" ht="15.75" customHeight="1">
      <c r="A777" s="336"/>
      <c r="B777" s="336"/>
      <c r="C777" s="336"/>
      <c r="D777" s="336"/>
      <c r="E777" s="336"/>
      <c r="F777" s="336"/>
      <c r="G777" s="336"/>
      <c r="H777" s="336"/>
      <c r="I777" s="336"/>
      <c r="J777" s="336"/>
      <c r="K777" s="336"/>
      <c r="L777" s="336"/>
      <c r="M777" s="336"/>
      <c r="N777" s="336"/>
      <c r="O777" s="336"/>
      <c r="P777" s="336"/>
      <c r="Q777" s="336"/>
      <c r="R777" s="336"/>
      <c r="S777" s="336"/>
      <c r="T777" s="336"/>
      <c r="U777" s="337" t="s">
        <v>1104</v>
      </c>
      <c r="V777" s="336"/>
    </row>
    <row r="778" ht="15.75" customHeight="1">
      <c r="A778" s="336"/>
      <c r="B778" s="336"/>
      <c r="C778" s="336"/>
      <c r="D778" s="336"/>
      <c r="E778" s="336"/>
      <c r="F778" s="336"/>
      <c r="G778" s="336"/>
      <c r="H778" s="336"/>
      <c r="I778" s="336"/>
      <c r="J778" s="336"/>
      <c r="K778" s="336"/>
      <c r="L778" s="336"/>
      <c r="M778" s="336"/>
      <c r="N778" s="336"/>
      <c r="O778" s="336"/>
      <c r="P778" s="336"/>
      <c r="Q778" s="336"/>
      <c r="R778" s="336"/>
      <c r="S778" s="336"/>
      <c r="T778" s="336"/>
      <c r="U778" s="337" t="s">
        <v>1105</v>
      </c>
      <c r="V778" s="336"/>
    </row>
    <row r="779" ht="15.75" customHeight="1">
      <c r="A779" s="336"/>
      <c r="B779" s="336"/>
      <c r="C779" s="336"/>
      <c r="D779" s="336"/>
      <c r="E779" s="336"/>
      <c r="F779" s="336"/>
      <c r="G779" s="336"/>
      <c r="H779" s="336"/>
      <c r="I779" s="336"/>
      <c r="J779" s="336"/>
      <c r="K779" s="336"/>
      <c r="L779" s="336"/>
      <c r="M779" s="336"/>
      <c r="N779" s="336"/>
      <c r="O779" s="336"/>
      <c r="P779" s="336"/>
      <c r="Q779" s="336"/>
      <c r="R779" s="336"/>
      <c r="S779" s="336"/>
      <c r="T779" s="336"/>
      <c r="U779" s="337" t="s">
        <v>1106</v>
      </c>
      <c r="V779" s="336"/>
    </row>
    <row r="780" ht="15.75" customHeight="1">
      <c r="A780" s="336"/>
      <c r="B780" s="336"/>
      <c r="C780" s="336"/>
      <c r="D780" s="336"/>
      <c r="E780" s="336"/>
      <c r="F780" s="336"/>
      <c r="G780" s="336"/>
      <c r="H780" s="336"/>
      <c r="I780" s="336"/>
      <c r="J780" s="336"/>
      <c r="K780" s="336"/>
      <c r="L780" s="336"/>
      <c r="M780" s="336"/>
      <c r="N780" s="336"/>
      <c r="O780" s="336"/>
      <c r="P780" s="336"/>
      <c r="Q780" s="336"/>
      <c r="R780" s="336"/>
      <c r="S780" s="336"/>
      <c r="T780" s="336"/>
      <c r="U780" s="337" t="s">
        <v>1107</v>
      </c>
      <c r="V780" s="336"/>
    </row>
    <row r="781" ht="15.75" customHeight="1">
      <c r="A781" s="336"/>
      <c r="B781" s="336"/>
      <c r="C781" s="336"/>
      <c r="D781" s="336"/>
      <c r="E781" s="336"/>
      <c r="F781" s="336"/>
      <c r="G781" s="336"/>
      <c r="H781" s="336"/>
      <c r="I781" s="336"/>
      <c r="J781" s="336"/>
      <c r="K781" s="336"/>
      <c r="L781" s="336"/>
      <c r="M781" s="336"/>
      <c r="N781" s="336"/>
      <c r="O781" s="336"/>
      <c r="P781" s="336"/>
      <c r="Q781" s="336"/>
      <c r="R781" s="336"/>
      <c r="S781" s="336"/>
      <c r="T781" s="336"/>
      <c r="U781" s="337" t="s">
        <v>1108</v>
      </c>
      <c r="V781" s="336"/>
    </row>
    <row r="782" ht="15.75" customHeight="1">
      <c r="A782" s="336"/>
      <c r="B782" s="336"/>
      <c r="C782" s="336"/>
      <c r="D782" s="336"/>
      <c r="E782" s="336"/>
      <c r="F782" s="336"/>
      <c r="G782" s="336"/>
      <c r="H782" s="336"/>
      <c r="I782" s="336"/>
      <c r="J782" s="336"/>
      <c r="K782" s="336"/>
      <c r="L782" s="336"/>
      <c r="M782" s="336"/>
      <c r="N782" s="336"/>
      <c r="O782" s="336"/>
      <c r="P782" s="336"/>
      <c r="Q782" s="336"/>
      <c r="R782" s="336"/>
      <c r="S782" s="336"/>
      <c r="T782" s="336"/>
      <c r="U782" s="337" t="s">
        <v>1109</v>
      </c>
      <c r="V782" s="336"/>
    </row>
    <row r="783" ht="15.75" customHeight="1">
      <c r="A783" s="336"/>
      <c r="B783" s="336"/>
      <c r="C783" s="336"/>
      <c r="D783" s="336"/>
      <c r="E783" s="336"/>
      <c r="F783" s="336"/>
      <c r="G783" s="336"/>
      <c r="H783" s="336"/>
      <c r="I783" s="336"/>
      <c r="J783" s="336"/>
      <c r="K783" s="336"/>
      <c r="L783" s="336"/>
      <c r="M783" s="336"/>
      <c r="N783" s="336"/>
      <c r="O783" s="336"/>
      <c r="P783" s="336"/>
      <c r="Q783" s="336"/>
      <c r="R783" s="336"/>
      <c r="S783" s="336"/>
      <c r="T783" s="336"/>
      <c r="U783" s="337" t="s">
        <v>1110</v>
      </c>
      <c r="V783" s="336"/>
    </row>
    <row r="784" ht="15.75" customHeight="1">
      <c r="A784" s="336"/>
      <c r="B784" s="336"/>
      <c r="C784" s="336"/>
      <c r="D784" s="336"/>
      <c r="E784" s="336"/>
      <c r="F784" s="336"/>
      <c r="G784" s="336"/>
      <c r="H784" s="336"/>
      <c r="I784" s="336"/>
      <c r="J784" s="336"/>
      <c r="K784" s="336"/>
      <c r="L784" s="336"/>
      <c r="M784" s="336"/>
      <c r="N784" s="336"/>
      <c r="O784" s="336"/>
      <c r="P784" s="336"/>
      <c r="Q784" s="336"/>
      <c r="R784" s="336"/>
      <c r="S784" s="336"/>
      <c r="T784" s="336"/>
      <c r="U784" s="337" t="s">
        <v>1111</v>
      </c>
      <c r="V784" s="336"/>
    </row>
    <row r="785" ht="15.75" customHeight="1">
      <c r="A785" s="336"/>
      <c r="B785" s="336"/>
      <c r="C785" s="336"/>
      <c r="D785" s="336"/>
      <c r="E785" s="336"/>
      <c r="F785" s="336"/>
      <c r="G785" s="336"/>
      <c r="H785" s="336"/>
      <c r="I785" s="336"/>
      <c r="J785" s="336"/>
      <c r="K785" s="336"/>
      <c r="L785" s="336"/>
      <c r="M785" s="336"/>
      <c r="N785" s="336"/>
      <c r="O785" s="336"/>
      <c r="P785" s="336"/>
      <c r="Q785" s="336"/>
      <c r="R785" s="336"/>
      <c r="S785" s="336"/>
      <c r="T785" s="336"/>
      <c r="U785" s="337" t="s">
        <v>1112</v>
      </c>
      <c r="V785" s="336"/>
    </row>
    <row r="786" ht="15.75" customHeight="1">
      <c r="A786" s="336"/>
      <c r="B786" s="336"/>
      <c r="C786" s="336"/>
      <c r="D786" s="336"/>
      <c r="E786" s="336"/>
      <c r="F786" s="336"/>
      <c r="G786" s="336"/>
      <c r="H786" s="336"/>
      <c r="I786" s="336"/>
      <c r="J786" s="336"/>
      <c r="K786" s="336"/>
      <c r="L786" s="336"/>
      <c r="M786" s="336"/>
      <c r="N786" s="336"/>
      <c r="O786" s="336"/>
      <c r="P786" s="336"/>
      <c r="Q786" s="336"/>
      <c r="R786" s="336"/>
      <c r="S786" s="336"/>
      <c r="T786" s="336"/>
      <c r="U786" s="337" t="s">
        <v>1113</v>
      </c>
      <c r="V786" s="336"/>
    </row>
    <row r="787" ht="15.75" customHeight="1">
      <c r="A787" s="336"/>
      <c r="B787" s="336"/>
      <c r="C787" s="336"/>
      <c r="D787" s="336"/>
      <c r="E787" s="336"/>
      <c r="F787" s="336"/>
      <c r="G787" s="336"/>
      <c r="H787" s="336"/>
      <c r="I787" s="336"/>
      <c r="J787" s="336"/>
      <c r="K787" s="336"/>
      <c r="L787" s="336"/>
      <c r="M787" s="336"/>
      <c r="N787" s="336"/>
      <c r="O787" s="336"/>
      <c r="P787" s="336"/>
      <c r="Q787" s="336"/>
      <c r="R787" s="336"/>
      <c r="S787" s="336"/>
      <c r="T787" s="336"/>
      <c r="U787" s="337" t="s">
        <v>1114</v>
      </c>
      <c r="V787" s="336"/>
    </row>
    <row r="788" ht="15.75" customHeight="1">
      <c r="A788" s="336"/>
      <c r="B788" s="336"/>
      <c r="C788" s="336"/>
      <c r="D788" s="336"/>
      <c r="E788" s="336"/>
      <c r="F788" s="336"/>
      <c r="G788" s="336"/>
      <c r="H788" s="336"/>
      <c r="I788" s="336"/>
      <c r="J788" s="336"/>
      <c r="K788" s="336"/>
      <c r="L788" s="336"/>
      <c r="M788" s="336"/>
      <c r="N788" s="336"/>
      <c r="O788" s="336"/>
      <c r="P788" s="336"/>
      <c r="Q788" s="336"/>
      <c r="R788" s="336"/>
      <c r="S788" s="336"/>
      <c r="T788" s="336"/>
      <c r="U788" s="337" t="s">
        <v>1115</v>
      </c>
      <c r="V788" s="336"/>
    </row>
    <row r="789" ht="15.75" customHeight="1">
      <c r="A789" s="336"/>
      <c r="B789" s="336"/>
      <c r="C789" s="336"/>
      <c r="D789" s="336"/>
      <c r="E789" s="336"/>
      <c r="F789" s="336"/>
      <c r="G789" s="336"/>
      <c r="H789" s="336"/>
      <c r="I789" s="336"/>
      <c r="J789" s="336"/>
      <c r="K789" s="336"/>
      <c r="L789" s="336"/>
      <c r="M789" s="336"/>
      <c r="N789" s="336"/>
      <c r="O789" s="336"/>
      <c r="P789" s="336"/>
      <c r="Q789" s="336"/>
      <c r="R789" s="336"/>
      <c r="S789" s="336"/>
      <c r="T789" s="336"/>
      <c r="U789" s="337" t="s">
        <v>1116</v>
      </c>
      <c r="V789" s="336"/>
    </row>
    <row r="790" ht="15.75" customHeight="1">
      <c r="A790" s="336"/>
      <c r="B790" s="336"/>
      <c r="C790" s="336"/>
      <c r="D790" s="336"/>
      <c r="E790" s="336"/>
      <c r="F790" s="336"/>
      <c r="G790" s="336"/>
      <c r="H790" s="336"/>
      <c r="I790" s="336"/>
      <c r="J790" s="336"/>
      <c r="K790" s="336"/>
      <c r="L790" s="336"/>
      <c r="M790" s="336"/>
      <c r="N790" s="336"/>
      <c r="O790" s="336"/>
      <c r="P790" s="336"/>
      <c r="Q790" s="336"/>
      <c r="R790" s="336"/>
      <c r="S790" s="336"/>
      <c r="T790" s="336"/>
      <c r="U790" s="337" t="s">
        <v>1117</v>
      </c>
      <c r="V790" s="336"/>
    </row>
    <row r="791" ht="15.75" customHeight="1">
      <c r="A791" s="336"/>
      <c r="B791" s="336"/>
      <c r="C791" s="336"/>
      <c r="D791" s="336"/>
      <c r="E791" s="336"/>
      <c r="F791" s="336"/>
      <c r="G791" s="336"/>
      <c r="H791" s="336"/>
      <c r="I791" s="336"/>
      <c r="J791" s="336"/>
      <c r="K791" s="336"/>
      <c r="L791" s="336"/>
      <c r="M791" s="336"/>
      <c r="N791" s="336"/>
      <c r="O791" s="336"/>
      <c r="P791" s="336"/>
      <c r="Q791" s="336"/>
      <c r="R791" s="336"/>
      <c r="S791" s="336"/>
      <c r="T791" s="336"/>
      <c r="U791" s="337" t="s">
        <v>1118</v>
      </c>
      <c r="V791" s="336"/>
    </row>
    <row r="792" ht="15.75" customHeight="1">
      <c r="A792" s="336"/>
      <c r="B792" s="336"/>
      <c r="C792" s="336"/>
      <c r="D792" s="336"/>
      <c r="E792" s="336"/>
      <c r="F792" s="336"/>
      <c r="G792" s="336"/>
      <c r="H792" s="336"/>
      <c r="I792" s="336"/>
      <c r="J792" s="336"/>
      <c r="K792" s="336"/>
      <c r="L792" s="336"/>
      <c r="M792" s="336"/>
      <c r="N792" s="336"/>
      <c r="O792" s="336"/>
      <c r="P792" s="336"/>
      <c r="Q792" s="336"/>
      <c r="R792" s="336"/>
      <c r="S792" s="336"/>
      <c r="T792" s="336"/>
      <c r="U792" s="337" t="s">
        <v>1119</v>
      </c>
      <c r="V792" s="336"/>
    </row>
    <row r="793" ht="15.75" customHeight="1">
      <c r="A793" s="336"/>
      <c r="B793" s="336"/>
      <c r="C793" s="336"/>
      <c r="D793" s="336"/>
      <c r="E793" s="336"/>
      <c r="F793" s="336"/>
      <c r="G793" s="336"/>
      <c r="H793" s="336"/>
      <c r="I793" s="336"/>
      <c r="J793" s="336"/>
      <c r="K793" s="336"/>
      <c r="L793" s="336"/>
      <c r="M793" s="336"/>
      <c r="N793" s="336"/>
      <c r="O793" s="336"/>
      <c r="P793" s="336"/>
      <c r="Q793" s="336"/>
      <c r="R793" s="336"/>
      <c r="S793" s="336"/>
      <c r="T793" s="336"/>
      <c r="U793" s="337" t="s">
        <v>1120</v>
      </c>
      <c r="V793" s="336"/>
    </row>
    <row r="794" ht="15.75" customHeight="1">
      <c r="A794" s="336"/>
      <c r="B794" s="336"/>
      <c r="C794" s="336"/>
      <c r="D794" s="336"/>
      <c r="E794" s="336"/>
      <c r="F794" s="336"/>
      <c r="G794" s="336"/>
      <c r="H794" s="336"/>
      <c r="I794" s="336"/>
      <c r="J794" s="336"/>
      <c r="K794" s="336"/>
      <c r="L794" s="336"/>
      <c r="M794" s="336"/>
      <c r="N794" s="336"/>
      <c r="O794" s="336"/>
      <c r="P794" s="336"/>
      <c r="Q794" s="336"/>
      <c r="R794" s="336"/>
      <c r="S794" s="336"/>
      <c r="T794" s="336"/>
      <c r="U794" s="337" t="s">
        <v>1121</v>
      </c>
      <c r="V794" s="336"/>
    </row>
    <row r="795" ht="15.75" customHeight="1">
      <c r="A795" s="336"/>
      <c r="B795" s="336"/>
      <c r="C795" s="336"/>
      <c r="D795" s="336"/>
      <c r="E795" s="336"/>
      <c r="F795" s="336"/>
      <c r="G795" s="336"/>
      <c r="H795" s="336"/>
      <c r="I795" s="336"/>
      <c r="J795" s="336"/>
      <c r="K795" s="336"/>
      <c r="L795" s="336"/>
      <c r="M795" s="336"/>
      <c r="N795" s="336"/>
      <c r="O795" s="336"/>
      <c r="P795" s="336"/>
      <c r="Q795" s="336"/>
      <c r="R795" s="336"/>
      <c r="S795" s="336"/>
      <c r="T795" s="336"/>
      <c r="U795" s="337" t="s">
        <v>1122</v>
      </c>
      <c r="V795" s="336"/>
    </row>
    <row r="796" ht="15.75" customHeight="1">
      <c r="A796" s="336"/>
      <c r="B796" s="336"/>
      <c r="C796" s="336"/>
      <c r="D796" s="336"/>
      <c r="E796" s="336"/>
      <c r="F796" s="336"/>
      <c r="G796" s="336"/>
      <c r="H796" s="336"/>
      <c r="I796" s="336"/>
      <c r="J796" s="336"/>
      <c r="K796" s="336"/>
      <c r="L796" s="336"/>
      <c r="M796" s="336"/>
      <c r="N796" s="336"/>
      <c r="O796" s="336"/>
      <c r="P796" s="336"/>
      <c r="Q796" s="336"/>
      <c r="R796" s="336"/>
      <c r="S796" s="336"/>
      <c r="T796" s="336"/>
      <c r="U796" s="337" t="s">
        <v>1123</v>
      </c>
      <c r="V796" s="336"/>
    </row>
    <row r="797" ht="15.75" customHeight="1">
      <c r="A797" s="336"/>
      <c r="B797" s="336"/>
      <c r="C797" s="336"/>
      <c r="D797" s="336"/>
      <c r="E797" s="336"/>
      <c r="F797" s="336"/>
      <c r="G797" s="336"/>
      <c r="H797" s="336"/>
      <c r="I797" s="336"/>
      <c r="J797" s="336"/>
      <c r="K797" s="336"/>
      <c r="L797" s="336"/>
      <c r="M797" s="336"/>
      <c r="N797" s="336"/>
      <c r="O797" s="336"/>
      <c r="P797" s="336"/>
      <c r="Q797" s="336"/>
      <c r="R797" s="336"/>
      <c r="S797" s="336"/>
      <c r="T797" s="336"/>
      <c r="U797" s="337" t="s">
        <v>1124</v>
      </c>
      <c r="V797" s="336"/>
    </row>
    <row r="798" ht="15.75" customHeight="1">
      <c r="A798" s="336"/>
      <c r="B798" s="336"/>
      <c r="C798" s="336"/>
      <c r="D798" s="336"/>
      <c r="E798" s="336"/>
      <c r="F798" s="336"/>
      <c r="G798" s="336"/>
      <c r="H798" s="336"/>
      <c r="I798" s="336"/>
      <c r="J798" s="336"/>
      <c r="K798" s="336"/>
      <c r="L798" s="336"/>
      <c r="M798" s="336"/>
      <c r="N798" s="336"/>
      <c r="O798" s="336"/>
      <c r="P798" s="336"/>
      <c r="Q798" s="336"/>
      <c r="R798" s="336"/>
      <c r="S798" s="336"/>
      <c r="T798" s="336"/>
      <c r="U798" s="337" t="s">
        <v>1125</v>
      </c>
      <c r="V798" s="336"/>
    </row>
    <row r="799" ht="15.75" customHeight="1">
      <c r="A799" s="336"/>
      <c r="B799" s="336"/>
      <c r="C799" s="336"/>
      <c r="D799" s="336"/>
      <c r="E799" s="336"/>
      <c r="F799" s="336"/>
      <c r="G799" s="336"/>
      <c r="H799" s="336"/>
      <c r="I799" s="336"/>
      <c r="J799" s="336"/>
      <c r="K799" s="336"/>
      <c r="L799" s="336"/>
      <c r="M799" s="336"/>
      <c r="N799" s="336"/>
      <c r="O799" s="336"/>
      <c r="P799" s="336"/>
      <c r="Q799" s="336"/>
      <c r="R799" s="336"/>
      <c r="S799" s="336"/>
      <c r="T799" s="336"/>
      <c r="U799" s="337" t="s">
        <v>1126</v>
      </c>
      <c r="V799" s="336"/>
    </row>
    <row r="800" ht="15.75" customHeight="1">
      <c r="A800" s="336"/>
      <c r="B800" s="336"/>
      <c r="C800" s="336"/>
      <c r="D800" s="336"/>
      <c r="E800" s="336"/>
      <c r="F800" s="336"/>
      <c r="G800" s="336"/>
      <c r="H800" s="336"/>
      <c r="I800" s="336"/>
      <c r="J800" s="336"/>
      <c r="K800" s="336"/>
      <c r="L800" s="336"/>
      <c r="M800" s="336"/>
      <c r="N800" s="336"/>
      <c r="O800" s="336"/>
      <c r="P800" s="336"/>
      <c r="Q800" s="336"/>
      <c r="R800" s="336"/>
      <c r="S800" s="336"/>
      <c r="T800" s="336"/>
      <c r="U800" s="337" t="s">
        <v>1127</v>
      </c>
      <c r="V800" s="336"/>
    </row>
    <row r="801" ht="15.75" customHeight="1">
      <c r="A801" s="336"/>
      <c r="B801" s="336"/>
      <c r="C801" s="336"/>
      <c r="D801" s="336"/>
      <c r="E801" s="336"/>
      <c r="F801" s="336"/>
      <c r="G801" s="336"/>
      <c r="H801" s="336"/>
      <c r="I801" s="336"/>
      <c r="J801" s="336"/>
      <c r="K801" s="336"/>
      <c r="L801" s="336"/>
      <c r="M801" s="336"/>
      <c r="N801" s="336"/>
      <c r="O801" s="336"/>
      <c r="P801" s="336"/>
      <c r="Q801" s="336"/>
      <c r="R801" s="336"/>
      <c r="S801" s="336"/>
      <c r="T801" s="336"/>
      <c r="U801" s="337" t="s">
        <v>1128</v>
      </c>
      <c r="V801" s="336"/>
    </row>
    <row r="802" ht="15.75" customHeight="1">
      <c r="A802" s="336"/>
      <c r="B802" s="336"/>
      <c r="C802" s="336"/>
      <c r="D802" s="336"/>
      <c r="E802" s="336"/>
      <c r="F802" s="336"/>
      <c r="G802" s="336"/>
      <c r="H802" s="336"/>
      <c r="I802" s="336"/>
      <c r="J802" s="336"/>
      <c r="K802" s="336"/>
      <c r="L802" s="336"/>
      <c r="M802" s="336"/>
      <c r="N802" s="336"/>
      <c r="O802" s="336"/>
      <c r="P802" s="336"/>
      <c r="Q802" s="336"/>
      <c r="R802" s="336"/>
      <c r="S802" s="336"/>
      <c r="T802" s="336"/>
      <c r="U802" s="337" t="s">
        <v>1129</v>
      </c>
      <c r="V802" s="336"/>
    </row>
    <row r="803" ht="15.75" customHeight="1">
      <c r="A803" s="336"/>
      <c r="B803" s="336"/>
      <c r="C803" s="336"/>
      <c r="D803" s="336"/>
      <c r="E803" s="336"/>
      <c r="F803" s="336"/>
      <c r="G803" s="336"/>
      <c r="H803" s="336"/>
      <c r="I803" s="336"/>
      <c r="J803" s="336"/>
      <c r="K803" s="336"/>
      <c r="L803" s="336"/>
      <c r="M803" s="336"/>
      <c r="N803" s="336"/>
      <c r="O803" s="336"/>
      <c r="P803" s="336"/>
      <c r="Q803" s="336"/>
      <c r="R803" s="336"/>
      <c r="S803" s="336"/>
      <c r="T803" s="336"/>
      <c r="U803" s="337" t="s">
        <v>1130</v>
      </c>
      <c r="V803" s="336"/>
    </row>
    <row r="804" ht="15.75" customHeight="1">
      <c r="A804" s="336"/>
      <c r="B804" s="336"/>
      <c r="C804" s="336"/>
      <c r="D804" s="336"/>
      <c r="E804" s="336"/>
      <c r="F804" s="336"/>
      <c r="G804" s="336"/>
      <c r="H804" s="336"/>
      <c r="I804" s="336"/>
      <c r="J804" s="336"/>
      <c r="K804" s="336"/>
      <c r="L804" s="336"/>
      <c r="M804" s="336"/>
      <c r="N804" s="336"/>
      <c r="O804" s="336"/>
      <c r="P804" s="336"/>
      <c r="Q804" s="336"/>
      <c r="R804" s="336"/>
      <c r="S804" s="336"/>
      <c r="T804" s="336"/>
      <c r="U804" s="337" t="s">
        <v>1131</v>
      </c>
      <c r="V804" s="336"/>
    </row>
    <row r="805" ht="15.75" customHeight="1">
      <c r="A805" s="336"/>
      <c r="B805" s="336"/>
      <c r="C805" s="336"/>
      <c r="D805" s="336"/>
      <c r="E805" s="336"/>
      <c r="F805" s="336"/>
      <c r="G805" s="336"/>
      <c r="H805" s="336"/>
      <c r="I805" s="336"/>
      <c r="J805" s="336"/>
      <c r="K805" s="336"/>
      <c r="L805" s="336"/>
      <c r="M805" s="336"/>
      <c r="N805" s="336"/>
      <c r="O805" s="336"/>
      <c r="P805" s="336"/>
      <c r="Q805" s="336"/>
      <c r="R805" s="336"/>
      <c r="S805" s="336"/>
      <c r="T805" s="336"/>
      <c r="U805" s="337" t="s">
        <v>1132</v>
      </c>
      <c r="V805" s="336"/>
    </row>
    <row r="806" ht="15.75" customHeight="1">
      <c r="A806" s="336"/>
      <c r="B806" s="336"/>
      <c r="C806" s="336"/>
      <c r="D806" s="336"/>
      <c r="E806" s="336"/>
      <c r="F806" s="336"/>
      <c r="G806" s="336"/>
      <c r="H806" s="336"/>
      <c r="I806" s="336"/>
      <c r="J806" s="336"/>
      <c r="K806" s="336"/>
      <c r="L806" s="336"/>
      <c r="M806" s="336"/>
      <c r="N806" s="336"/>
      <c r="O806" s="336"/>
      <c r="P806" s="336"/>
      <c r="Q806" s="336"/>
      <c r="R806" s="336"/>
      <c r="S806" s="336"/>
      <c r="T806" s="336"/>
      <c r="U806" s="337" t="s">
        <v>1133</v>
      </c>
      <c r="V806" s="336"/>
    </row>
    <row r="807" ht="15.75" customHeight="1">
      <c r="A807" s="336"/>
      <c r="B807" s="336"/>
      <c r="C807" s="336"/>
      <c r="D807" s="336"/>
      <c r="E807" s="336"/>
      <c r="F807" s="336"/>
      <c r="G807" s="336"/>
      <c r="H807" s="336"/>
      <c r="I807" s="336"/>
      <c r="J807" s="336"/>
      <c r="K807" s="336"/>
      <c r="L807" s="336"/>
      <c r="M807" s="336"/>
      <c r="N807" s="336"/>
      <c r="O807" s="336"/>
      <c r="P807" s="336"/>
      <c r="Q807" s="336"/>
      <c r="R807" s="336"/>
      <c r="S807" s="336"/>
      <c r="T807" s="336"/>
      <c r="U807" s="337" t="s">
        <v>1134</v>
      </c>
      <c r="V807" s="336"/>
    </row>
    <row r="808" ht="15.75" customHeight="1">
      <c r="A808" s="336"/>
      <c r="B808" s="336"/>
      <c r="C808" s="336"/>
      <c r="D808" s="336"/>
      <c r="E808" s="336"/>
      <c r="F808" s="336"/>
      <c r="G808" s="336"/>
      <c r="H808" s="336"/>
      <c r="I808" s="336"/>
      <c r="J808" s="336"/>
      <c r="K808" s="336"/>
      <c r="L808" s="336"/>
      <c r="M808" s="336"/>
      <c r="N808" s="336"/>
      <c r="O808" s="336"/>
      <c r="P808" s="336"/>
      <c r="Q808" s="336"/>
      <c r="R808" s="336"/>
      <c r="S808" s="336"/>
      <c r="T808" s="336"/>
      <c r="U808" s="337" t="s">
        <v>1135</v>
      </c>
      <c r="V808" s="336"/>
    </row>
    <row r="809" ht="15.75" customHeight="1">
      <c r="A809" s="336"/>
      <c r="B809" s="336"/>
      <c r="C809" s="336"/>
      <c r="D809" s="336"/>
      <c r="E809" s="336"/>
      <c r="F809" s="336"/>
      <c r="G809" s="336"/>
      <c r="H809" s="336"/>
      <c r="I809" s="336"/>
      <c r="J809" s="336"/>
      <c r="K809" s="336"/>
      <c r="L809" s="336"/>
      <c r="M809" s="336"/>
      <c r="N809" s="336"/>
      <c r="O809" s="336"/>
      <c r="P809" s="336"/>
      <c r="Q809" s="336"/>
      <c r="R809" s="336"/>
      <c r="S809" s="336"/>
      <c r="T809" s="336"/>
      <c r="U809" s="337" t="s">
        <v>1136</v>
      </c>
      <c r="V809" s="336"/>
    </row>
    <row r="810" ht="15.75" customHeight="1">
      <c r="A810" s="336"/>
      <c r="B810" s="336"/>
      <c r="C810" s="336"/>
      <c r="D810" s="336"/>
      <c r="E810" s="336"/>
      <c r="F810" s="336"/>
      <c r="G810" s="336"/>
      <c r="H810" s="336"/>
      <c r="I810" s="336"/>
      <c r="J810" s="336"/>
      <c r="K810" s="336"/>
      <c r="L810" s="336"/>
      <c r="M810" s="336"/>
      <c r="N810" s="336"/>
      <c r="O810" s="336"/>
      <c r="P810" s="336"/>
      <c r="Q810" s="336"/>
      <c r="R810" s="336"/>
      <c r="S810" s="336"/>
      <c r="T810" s="336"/>
      <c r="U810" s="337" t="s">
        <v>1137</v>
      </c>
      <c r="V810" s="336"/>
    </row>
    <row r="811" ht="15.75" customHeight="1">
      <c r="A811" s="336"/>
      <c r="B811" s="336"/>
      <c r="C811" s="336"/>
      <c r="D811" s="336"/>
      <c r="E811" s="336"/>
      <c r="F811" s="336"/>
      <c r="G811" s="336"/>
      <c r="H811" s="336"/>
      <c r="I811" s="336"/>
      <c r="J811" s="336"/>
      <c r="K811" s="336"/>
      <c r="L811" s="336"/>
      <c r="M811" s="336"/>
      <c r="N811" s="336"/>
      <c r="O811" s="336"/>
      <c r="P811" s="336"/>
      <c r="Q811" s="336"/>
      <c r="R811" s="336"/>
      <c r="S811" s="336"/>
      <c r="T811" s="336"/>
      <c r="U811" s="337" t="s">
        <v>1138</v>
      </c>
      <c r="V811" s="336"/>
    </row>
    <row r="812" ht="15.75" customHeight="1">
      <c r="A812" s="336"/>
      <c r="B812" s="336"/>
      <c r="C812" s="336"/>
      <c r="D812" s="336"/>
      <c r="E812" s="336"/>
      <c r="F812" s="336"/>
      <c r="G812" s="336"/>
      <c r="H812" s="336"/>
      <c r="I812" s="336"/>
      <c r="J812" s="336"/>
      <c r="K812" s="336"/>
      <c r="L812" s="336"/>
      <c r="M812" s="336"/>
      <c r="N812" s="336"/>
      <c r="O812" s="336"/>
      <c r="P812" s="336"/>
      <c r="Q812" s="336"/>
      <c r="R812" s="336"/>
      <c r="S812" s="336"/>
      <c r="T812" s="336"/>
      <c r="U812" s="337" t="s">
        <v>1139</v>
      </c>
      <c r="V812" s="336"/>
    </row>
    <row r="813" ht="15.75" customHeight="1">
      <c r="A813" s="336"/>
      <c r="B813" s="336"/>
      <c r="C813" s="336"/>
      <c r="D813" s="336"/>
      <c r="E813" s="336"/>
      <c r="F813" s="336"/>
      <c r="G813" s="336"/>
      <c r="H813" s="336"/>
      <c r="I813" s="336"/>
      <c r="J813" s="336"/>
      <c r="K813" s="336"/>
      <c r="L813" s="336"/>
      <c r="M813" s="336"/>
      <c r="N813" s="336"/>
      <c r="O813" s="336"/>
      <c r="P813" s="336"/>
      <c r="Q813" s="336"/>
      <c r="R813" s="336"/>
      <c r="S813" s="336"/>
      <c r="T813" s="336"/>
      <c r="U813" s="337" t="s">
        <v>1140</v>
      </c>
      <c r="V813" s="336"/>
    </row>
    <row r="814" ht="15.75" customHeight="1">
      <c r="A814" s="336"/>
      <c r="B814" s="336"/>
      <c r="C814" s="336"/>
      <c r="D814" s="336"/>
      <c r="E814" s="336"/>
      <c r="F814" s="336"/>
      <c r="G814" s="336"/>
      <c r="H814" s="336"/>
      <c r="I814" s="336"/>
      <c r="J814" s="336"/>
      <c r="K814" s="336"/>
      <c r="L814" s="336"/>
      <c r="M814" s="336"/>
      <c r="N814" s="336"/>
      <c r="O814" s="336"/>
      <c r="P814" s="336"/>
      <c r="Q814" s="336"/>
      <c r="R814" s="336"/>
      <c r="S814" s="336"/>
      <c r="T814" s="336"/>
      <c r="U814" s="337" t="s">
        <v>1141</v>
      </c>
      <c r="V814" s="336"/>
    </row>
    <row r="815" ht="15.75" customHeight="1">
      <c r="A815" s="336"/>
      <c r="B815" s="336"/>
      <c r="C815" s="336"/>
      <c r="D815" s="336"/>
      <c r="E815" s="336"/>
      <c r="F815" s="336"/>
      <c r="G815" s="336"/>
      <c r="H815" s="336"/>
      <c r="I815" s="336"/>
      <c r="J815" s="336"/>
      <c r="K815" s="336"/>
      <c r="L815" s="336"/>
      <c r="M815" s="336"/>
      <c r="N815" s="336"/>
      <c r="O815" s="336"/>
      <c r="P815" s="336"/>
      <c r="Q815" s="336"/>
      <c r="R815" s="336"/>
      <c r="S815" s="336"/>
      <c r="T815" s="336"/>
      <c r="U815" s="337" t="s">
        <v>1142</v>
      </c>
      <c r="V815" s="336"/>
    </row>
    <row r="816" ht="15.75" customHeight="1">
      <c r="A816" s="336"/>
      <c r="B816" s="336"/>
      <c r="C816" s="336"/>
      <c r="D816" s="336"/>
      <c r="E816" s="336"/>
      <c r="F816" s="336"/>
      <c r="G816" s="336"/>
      <c r="H816" s="336"/>
      <c r="I816" s="336"/>
      <c r="J816" s="336"/>
      <c r="K816" s="336"/>
      <c r="L816" s="336"/>
      <c r="M816" s="336"/>
      <c r="N816" s="336"/>
      <c r="O816" s="336"/>
      <c r="P816" s="336"/>
      <c r="Q816" s="336"/>
      <c r="R816" s="336"/>
      <c r="S816" s="336"/>
      <c r="T816" s="336"/>
      <c r="U816" s="337" t="s">
        <v>1143</v>
      </c>
      <c r="V816" s="336"/>
    </row>
    <row r="817" ht="15.75" customHeight="1">
      <c r="A817" s="336"/>
      <c r="B817" s="336"/>
      <c r="C817" s="336"/>
      <c r="D817" s="336"/>
      <c r="E817" s="336"/>
      <c r="F817" s="336"/>
      <c r="G817" s="336"/>
      <c r="H817" s="336"/>
      <c r="I817" s="336"/>
      <c r="J817" s="336"/>
      <c r="K817" s="336"/>
      <c r="L817" s="336"/>
      <c r="M817" s="336"/>
      <c r="N817" s="336"/>
      <c r="O817" s="336"/>
      <c r="P817" s="336"/>
      <c r="Q817" s="336"/>
      <c r="R817" s="336"/>
      <c r="S817" s="336"/>
      <c r="T817" s="336"/>
      <c r="U817" s="337" t="s">
        <v>1144</v>
      </c>
      <c r="V817" s="336"/>
    </row>
    <row r="818" ht="15.75" customHeight="1">
      <c r="A818" s="336"/>
      <c r="B818" s="336"/>
      <c r="C818" s="336"/>
      <c r="D818" s="336"/>
      <c r="E818" s="336"/>
      <c r="F818" s="336"/>
      <c r="G818" s="336"/>
      <c r="H818" s="336"/>
      <c r="I818" s="336"/>
      <c r="J818" s="336"/>
      <c r="K818" s="336"/>
      <c r="L818" s="336"/>
      <c r="M818" s="336"/>
      <c r="N818" s="336"/>
      <c r="O818" s="336"/>
      <c r="P818" s="336"/>
      <c r="Q818" s="336"/>
      <c r="R818" s="336"/>
      <c r="S818" s="336"/>
      <c r="T818" s="336"/>
      <c r="U818" s="337" t="s">
        <v>1145</v>
      </c>
      <c r="V818" s="336"/>
    </row>
    <row r="819" ht="15.75" customHeight="1">
      <c r="A819" s="336"/>
      <c r="B819" s="336"/>
      <c r="C819" s="336"/>
      <c r="D819" s="336"/>
      <c r="E819" s="336"/>
      <c r="F819" s="336"/>
      <c r="G819" s="336"/>
      <c r="H819" s="336"/>
      <c r="I819" s="336"/>
      <c r="J819" s="336"/>
      <c r="K819" s="336"/>
      <c r="L819" s="336"/>
      <c r="M819" s="336"/>
      <c r="N819" s="336"/>
      <c r="O819" s="336"/>
      <c r="P819" s="336"/>
      <c r="Q819" s="336"/>
      <c r="R819" s="336"/>
      <c r="S819" s="336"/>
      <c r="T819" s="336"/>
      <c r="U819" s="337" t="s">
        <v>1146</v>
      </c>
      <c r="V819" s="336"/>
    </row>
    <row r="820" ht="15.75" customHeight="1">
      <c r="A820" s="336"/>
      <c r="B820" s="336"/>
      <c r="C820" s="336"/>
      <c r="D820" s="336"/>
      <c r="E820" s="336"/>
      <c r="F820" s="336"/>
      <c r="G820" s="336"/>
      <c r="H820" s="336"/>
      <c r="I820" s="336"/>
      <c r="J820" s="336"/>
      <c r="K820" s="336"/>
      <c r="L820" s="336"/>
      <c r="M820" s="336"/>
      <c r="N820" s="336"/>
      <c r="O820" s="336"/>
      <c r="P820" s="336"/>
      <c r="Q820" s="336"/>
      <c r="R820" s="336"/>
      <c r="S820" s="336"/>
      <c r="T820" s="336"/>
      <c r="U820" s="337" t="s">
        <v>1147</v>
      </c>
      <c r="V820" s="336"/>
    </row>
    <row r="821" ht="15.75" customHeight="1">
      <c r="A821" s="336"/>
      <c r="B821" s="336"/>
      <c r="C821" s="336"/>
      <c r="D821" s="336"/>
      <c r="E821" s="336"/>
      <c r="F821" s="336"/>
      <c r="G821" s="336"/>
      <c r="H821" s="336"/>
      <c r="I821" s="336"/>
      <c r="J821" s="336"/>
      <c r="K821" s="336"/>
      <c r="L821" s="336"/>
      <c r="M821" s="336"/>
      <c r="N821" s="336"/>
      <c r="O821" s="336"/>
      <c r="P821" s="336"/>
      <c r="Q821" s="336"/>
      <c r="R821" s="336"/>
      <c r="S821" s="336"/>
      <c r="T821" s="336"/>
      <c r="U821" s="337" t="s">
        <v>1148</v>
      </c>
      <c r="V821" s="336"/>
    </row>
    <row r="822" ht="15.75" customHeight="1">
      <c r="A822" s="336"/>
      <c r="B822" s="336"/>
      <c r="C822" s="336"/>
      <c r="D822" s="336"/>
      <c r="E822" s="336"/>
      <c r="F822" s="336"/>
      <c r="G822" s="336"/>
      <c r="H822" s="336"/>
      <c r="I822" s="336"/>
      <c r="J822" s="336"/>
      <c r="K822" s="336"/>
      <c r="L822" s="336"/>
      <c r="M822" s="336"/>
      <c r="N822" s="336"/>
      <c r="O822" s="336"/>
      <c r="P822" s="336"/>
      <c r="Q822" s="336"/>
      <c r="R822" s="336"/>
      <c r="S822" s="336"/>
      <c r="T822" s="336"/>
      <c r="U822" s="337" t="s">
        <v>1149</v>
      </c>
      <c r="V822" s="336"/>
    </row>
    <row r="823" ht="15.75" customHeight="1">
      <c r="A823" s="336"/>
      <c r="B823" s="336"/>
      <c r="C823" s="336"/>
      <c r="D823" s="336"/>
      <c r="E823" s="336"/>
      <c r="F823" s="336"/>
      <c r="G823" s="336"/>
      <c r="H823" s="336"/>
      <c r="I823" s="336"/>
      <c r="J823" s="336"/>
      <c r="K823" s="336"/>
      <c r="L823" s="336"/>
      <c r="M823" s="336"/>
      <c r="N823" s="336"/>
      <c r="O823" s="336"/>
      <c r="P823" s="336"/>
      <c r="Q823" s="336"/>
      <c r="R823" s="336"/>
      <c r="S823" s="336"/>
      <c r="T823" s="336"/>
      <c r="U823" s="337" t="s">
        <v>1150</v>
      </c>
      <c r="V823" s="336"/>
    </row>
    <row r="824" ht="15.75" customHeight="1">
      <c r="A824" s="336"/>
      <c r="B824" s="336"/>
      <c r="C824" s="336"/>
      <c r="D824" s="336"/>
      <c r="E824" s="336"/>
      <c r="F824" s="336"/>
      <c r="G824" s="336"/>
      <c r="H824" s="336"/>
      <c r="I824" s="336"/>
      <c r="J824" s="336"/>
      <c r="K824" s="336"/>
      <c r="L824" s="336"/>
      <c r="M824" s="336"/>
      <c r="N824" s="336"/>
      <c r="O824" s="336"/>
      <c r="P824" s="336"/>
      <c r="Q824" s="336"/>
      <c r="R824" s="336"/>
      <c r="S824" s="336"/>
      <c r="T824" s="336"/>
      <c r="U824" s="337" t="s">
        <v>1151</v>
      </c>
      <c r="V824" s="336"/>
    </row>
    <row r="825" ht="15.75" customHeight="1">
      <c r="A825" s="336"/>
      <c r="B825" s="336"/>
      <c r="C825" s="336"/>
      <c r="D825" s="336"/>
      <c r="E825" s="336"/>
      <c r="F825" s="336"/>
      <c r="G825" s="336"/>
      <c r="H825" s="336"/>
      <c r="I825" s="336"/>
      <c r="J825" s="336"/>
      <c r="K825" s="336"/>
      <c r="L825" s="336"/>
      <c r="M825" s="336"/>
      <c r="N825" s="336"/>
      <c r="O825" s="336"/>
      <c r="P825" s="336"/>
      <c r="Q825" s="336"/>
      <c r="R825" s="336"/>
      <c r="S825" s="336"/>
      <c r="T825" s="336"/>
      <c r="U825" s="337" t="s">
        <v>1152</v>
      </c>
      <c r="V825" s="336"/>
    </row>
    <row r="826" ht="15.75" customHeight="1">
      <c r="A826" s="336"/>
      <c r="B826" s="336"/>
      <c r="C826" s="336"/>
      <c r="D826" s="336"/>
      <c r="E826" s="336"/>
      <c r="F826" s="336"/>
      <c r="G826" s="336"/>
      <c r="H826" s="336"/>
      <c r="I826" s="336"/>
      <c r="J826" s="336"/>
      <c r="K826" s="336"/>
      <c r="L826" s="336"/>
      <c r="M826" s="336"/>
      <c r="N826" s="336"/>
      <c r="O826" s="336"/>
      <c r="P826" s="336"/>
      <c r="Q826" s="336"/>
      <c r="R826" s="336"/>
      <c r="S826" s="336"/>
      <c r="T826" s="336"/>
      <c r="U826" s="337" t="s">
        <v>1153</v>
      </c>
      <c r="V826" s="336"/>
    </row>
    <row r="827" ht="15.75" customHeight="1">
      <c r="A827" s="336"/>
      <c r="B827" s="336"/>
      <c r="C827" s="336"/>
      <c r="D827" s="336"/>
      <c r="E827" s="336"/>
      <c r="F827" s="336"/>
      <c r="G827" s="336"/>
      <c r="H827" s="336"/>
      <c r="I827" s="336"/>
      <c r="J827" s="336"/>
      <c r="K827" s="336"/>
      <c r="L827" s="336"/>
      <c r="M827" s="336"/>
      <c r="N827" s="336"/>
      <c r="O827" s="336"/>
      <c r="P827" s="336"/>
      <c r="Q827" s="336"/>
      <c r="R827" s="336"/>
      <c r="S827" s="336"/>
      <c r="T827" s="336"/>
      <c r="U827" s="337" t="s">
        <v>1154</v>
      </c>
      <c r="V827" s="336"/>
    </row>
    <row r="828" ht="15.75" customHeight="1">
      <c r="A828" s="336"/>
      <c r="B828" s="336"/>
      <c r="C828" s="336"/>
      <c r="D828" s="336"/>
      <c r="E828" s="336"/>
      <c r="F828" s="336"/>
      <c r="G828" s="336"/>
      <c r="H828" s="336"/>
      <c r="I828" s="336"/>
      <c r="J828" s="336"/>
      <c r="K828" s="336"/>
      <c r="L828" s="336"/>
      <c r="M828" s="336"/>
      <c r="N828" s="336"/>
      <c r="O828" s="336"/>
      <c r="P828" s="336"/>
      <c r="Q828" s="336"/>
      <c r="R828" s="336"/>
      <c r="S828" s="336"/>
      <c r="T828" s="336"/>
      <c r="U828" s="337" t="s">
        <v>1155</v>
      </c>
      <c r="V828" s="336"/>
    </row>
    <row r="829" ht="15.75" customHeight="1">
      <c r="A829" s="336"/>
      <c r="B829" s="336"/>
      <c r="C829" s="336"/>
      <c r="D829" s="336"/>
      <c r="E829" s="336"/>
      <c r="F829" s="336"/>
      <c r="G829" s="336"/>
      <c r="H829" s="336"/>
      <c r="I829" s="336"/>
      <c r="J829" s="336"/>
      <c r="K829" s="336"/>
      <c r="L829" s="336"/>
      <c r="M829" s="336"/>
      <c r="N829" s="336"/>
      <c r="O829" s="336"/>
      <c r="P829" s="336"/>
      <c r="Q829" s="336"/>
      <c r="R829" s="336"/>
      <c r="S829" s="336"/>
      <c r="T829" s="336"/>
      <c r="U829" s="337" t="s">
        <v>1156</v>
      </c>
      <c r="V829" s="336"/>
    </row>
    <row r="830" ht="15.75" customHeight="1">
      <c r="A830" s="336"/>
      <c r="B830" s="336"/>
      <c r="C830" s="336"/>
      <c r="D830" s="336"/>
      <c r="E830" s="336"/>
      <c r="F830" s="336"/>
      <c r="G830" s="336"/>
      <c r="H830" s="336"/>
      <c r="I830" s="336"/>
      <c r="J830" s="336"/>
      <c r="K830" s="336"/>
      <c r="L830" s="336"/>
      <c r="M830" s="336"/>
      <c r="N830" s="336"/>
      <c r="O830" s="336"/>
      <c r="P830" s="336"/>
      <c r="Q830" s="336"/>
      <c r="R830" s="336"/>
      <c r="S830" s="336"/>
      <c r="T830" s="336"/>
      <c r="U830" s="337" t="s">
        <v>1157</v>
      </c>
      <c r="V830" s="336"/>
    </row>
    <row r="831" ht="15.75" customHeight="1">
      <c r="A831" s="336"/>
      <c r="B831" s="336"/>
      <c r="C831" s="336"/>
      <c r="D831" s="336"/>
      <c r="E831" s="336"/>
      <c r="F831" s="336"/>
      <c r="G831" s="336"/>
      <c r="H831" s="336"/>
      <c r="I831" s="336"/>
      <c r="J831" s="336"/>
      <c r="K831" s="336"/>
      <c r="L831" s="336"/>
      <c r="M831" s="336"/>
      <c r="N831" s="336"/>
      <c r="O831" s="336"/>
      <c r="P831" s="336"/>
      <c r="Q831" s="336"/>
      <c r="R831" s="336"/>
      <c r="S831" s="336"/>
      <c r="T831" s="336"/>
      <c r="U831" s="337" t="s">
        <v>1158</v>
      </c>
      <c r="V831" s="336"/>
    </row>
    <row r="832" ht="15.75" customHeight="1">
      <c r="A832" s="336"/>
      <c r="B832" s="336"/>
      <c r="C832" s="336"/>
      <c r="D832" s="336"/>
      <c r="E832" s="336"/>
      <c r="F832" s="336"/>
      <c r="G832" s="336"/>
      <c r="H832" s="336"/>
      <c r="I832" s="336"/>
      <c r="J832" s="336"/>
      <c r="K832" s="336"/>
      <c r="L832" s="336"/>
      <c r="M832" s="336"/>
      <c r="N832" s="336"/>
      <c r="O832" s="336"/>
      <c r="P832" s="336"/>
      <c r="Q832" s="336"/>
      <c r="R832" s="336"/>
      <c r="S832" s="336"/>
      <c r="T832" s="336"/>
      <c r="U832" s="337" t="s">
        <v>1159</v>
      </c>
      <c r="V832" s="336"/>
    </row>
    <row r="833" ht="15.75" customHeight="1">
      <c r="A833" s="336"/>
      <c r="B833" s="336"/>
      <c r="C833" s="336"/>
      <c r="D833" s="336"/>
      <c r="E833" s="336"/>
      <c r="F833" s="336"/>
      <c r="G833" s="336"/>
      <c r="H833" s="336"/>
      <c r="I833" s="336"/>
      <c r="J833" s="336"/>
      <c r="K833" s="336"/>
      <c r="L833" s="336"/>
      <c r="M833" s="336"/>
      <c r="N833" s="336"/>
      <c r="O833" s="336"/>
      <c r="P833" s="336"/>
      <c r="Q833" s="336"/>
      <c r="R833" s="336"/>
      <c r="S833" s="336"/>
      <c r="T833" s="336"/>
      <c r="U833" s="337" t="s">
        <v>1160</v>
      </c>
      <c r="V833" s="336"/>
    </row>
    <row r="834" ht="15.75" customHeight="1">
      <c r="A834" s="336"/>
      <c r="B834" s="336"/>
      <c r="C834" s="336"/>
      <c r="D834" s="336"/>
      <c r="E834" s="336"/>
      <c r="F834" s="336"/>
      <c r="G834" s="336"/>
      <c r="H834" s="336"/>
      <c r="I834" s="336"/>
      <c r="J834" s="336"/>
      <c r="K834" s="336"/>
      <c r="L834" s="336"/>
      <c r="M834" s="336"/>
      <c r="N834" s="336"/>
      <c r="O834" s="336"/>
      <c r="P834" s="336"/>
      <c r="Q834" s="336"/>
      <c r="R834" s="336"/>
      <c r="S834" s="336"/>
      <c r="T834" s="336"/>
      <c r="U834" s="337" t="s">
        <v>1161</v>
      </c>
      <c r="V834" s="336"/>
    </row>
    <row r="835" ht="15.75" customHeight="1">
      <c r="A835" s="336"/>
      <c r="B835" s="336"/>
      <c r="C835" s="336"/>
      <c r="D835" s="336"/>
      <c r="E835" s="336"/>
      <c r="F835" s="336"/>
      <c r="G835" s="336"/>
      <c r="H835" s="336"/>
      <c r="I835" s="336"/>
      <c r="J835" s="336"/>
      <c r="K835" s="336"/>
      <c r="L835" s="336"/>
      <c r="M835" s="336"/>
      <c r="N835" s="336"/>
      <c r="O835" s="336"/>
      <c r="P835" s="336"/>
      <c r="Q835" s="336"/>
      <c r="R835" s="336"/>
      <c r="S835" s="336"/>
      <c r="T835" s="336"/>
      <c r="U835" s="337" t="s">
        <v>1162</v>
      </c>
      <c r="V835" s="336"/>
    </row>
    <row r="836" ht="15.75" customHeight="1">
      <c r="A836" s="336"/>
      <c r="B836" s="336"/>
      <c r="C836" s="336"/>
      <c r="D836" s="336"/>
      <c r="E836" s="336"/>
      <c r="F836" s="336"/>
      <c r="G836" s="336"/>
      <c r="H836" s="336"/>
      <c r="I836" s="336"/>
      <c r="J836" s="336"/>
      <c r="K836" s="336"/>
      <c r="L836" s="336"/>
      <c r="M836" s="336"/>
      <c r="N836" s="336"/>
      <c r="O836" s="336"/>
      <c r="P836" s="336"/>
      <c r="Q836" s="336"/>
      <c r="R836" s="336"/>
      <c r="S836" s="336"/>
      <c r="T836" s="336"/>
      <c r="U836" s="337" t="s">
        <v>1163</v>
      </c>
      <c r="V836" s="336"/>
    </row>
    <row r="837" ht="15.75" customHeight="1">
      <c r="A837" s="336"/>
      <c r="B837" s="336"/>
      <c r="C837" s="336"/>
      <c r="D837" s="336"/>
      <c r="E837" s="336"/>
      <c r="F837" s="336"/>
      <c r="G837" s="336"/>
      <c r="H837" s="336"/>
      <c r="I837" s="336"/>
      <c r="J837" s="336"/>
      <c r="K837" s="336"/>
      <c r="L837" s="336"/>
      <c r="M837" s="336"/>
      <c r="N837" s="336"/>
      <c r="O837" s="336"/>
      <c r="P837" s="336"/>
      <c r="Q837" s="336"/>
      <c r="R837" s="336"/>
      <c r="S837" s="336"/>
      <c r="T837" s="336"/>
      <c r="U837" s="337" t="s">
        <v>1164</v>
      </c>
      <c r="V837" s="336"/>
    </row>
    <row r="838" ht="15.75" customHeight="1">
      <c r="A838" s="336"/>
      <c r="B838" s="336"/>
      <c r="C838" s="336"/>
      <c r="D838" s="336"/>
      <c r="E838" s="336"/>
      <c r="F838" s="336"/>
      <c r="G838" s="336"/>
      <c r="H838" s="336"/>
      <c r="I838" s="336"/>
      <c r="J838" s="336"/>
      <c r="K838" s="336"/>
      <c r="L838" s="336"/>
      <c r="M838" s="336"/>
      <c r="N838" s="336"/>
      <c r="O838" s="336"/>
      <c r="P838" s="336"/>
      <c r="Q838" s="336"/>
      <c r="R838" s="336"/>
      <c r="S838" s="336"/>
      <c r="T838" s="336"/>
      <c r="U838" s="337" t="s">
        <v>1165</v>
      </c>
      <c r="V838" s="336"/>
    </row>
    <row r="839" ht="15.75" customHeight="1">
      <c r="A839" s="336"/>
      <c r="B839" s="336"/>
      <c r="C839" s="336"/>
      <c r="D839" s="336"/>
      <c r="E839" s="336"/>
      <c r="F839" s="336"/>
      <c r="G839" s="336"/>
      <c r="H839" s="336"/>
      <c r="I839" s="336"/>
      <c r="J839" s="336"/>
      <c r="K839" s="336"/>
      <c r="L839" s="336"/>
      <c r="M839" s="336"/>
      <c r="N839" s="336"/>
      <c r="O839" s="336"/>
      <c r="P839" s="336"/>
      <c r="Q839" s="336"/>
      <c r="R839" s="336"/>
      <c r="S839" s="336"/>
      <c r="T839" s="336"/>
      <c r="U839" s="337" t="s">
        <v>1166</v>
      </c>
      <c r="V839" s="336"/>
    </row>
    <row r="840" ht="15.75" customHeight="1">
      <c r="A840" s="336"/>
      <c r="B840" s="336"/>
      <c r="C840" s="336"/>
      <c r="D840" s="336"/>
      <c r="E840" s="336"/>
      <c r="F840" s="336"/>
      <c r="G840" s="336"/>
      <c r="H840" s="336"/>
      <c r="I840" s="336"/>
      <c r="J840" s="336"/>
      <c r="K840" s="336"/>
      <c r="L840" s="336"/>
      <c r="M840" s="336"/>
      <c r="N840" s="336"/>
      <c r="O840" s="336"/>
      <c r="P840" s="336"/>
      <c r="Q840" s="336"/>
      <c r="R840" s="336"/>
      <c r="S840" s="336"/>
      <c r="T840" s="336"/>
      <c r="U840" s="337" t="s">
        <v>1167</v>
      </c>
      <c r="V840" s="336"/>
    </row>
    <row r="841" ht="15.75" customHeight="1">
      <c r="A841" s="336"/>
      <c r="B841" s="336"/>
      <c r="C841" s="336"/>
      <c r="D841" s="336"/>
      <c r="E841" s="336"/>
      <c r="F841" s="336"/>
      <c r="G841" s="336"/>
      <c r="H841" s="336"/>
      <c r="I841" s="336"/>
      <c r="J841" s="336"/>
      <c r="K841" s="336"/>
      <c r="L841" s="336"/>
      <c r="M841" s="336"/>
      <c r="N841" s="336"/>
      <c r="O841" s="336"/>
      <c r="P841" s="336"/>
      <c r="Q841" s="336"/>
      <c r="R841" s="336"/>
      <c r="S841" s="336"/>
      <c r="T841" s="336"/>
      <c r="U841" s="337" t="s">
        <v>1168</v>
      </c>
      <c r="V841" s="336"/>
    </row>
    <row r="842" ht="15.75" customHeight="1">
      <c r="A842" s="336"/>
      <c r="B842" s="336"/>
      <c r="C842" s="336"/>
      <c r="D842" s="336"/>
      <c r="E842" s="336"/>
      <c r="F842" s="336"/>
      <c r="G842" s="336"/>
      <c r="H842" s="336"/>
      <c r="I842" s="336"/>
      <c r="J842" s="336"/>
      <c r="K842" s="336"/>
      <c r="L842" s="336"/>
      <c r="M842" s="336"/>
      <c r="N842" s="336"/>
      <c r="O842" s="336"/>
      <c r="P842" s="336"/>
      <c r="Q842" s="336"/>
      <c r="R842" s="336"/>
      <c r="S842" s="336"/>
      <c r="T842" s="336"/>
      <c r="U842" s="337" t="s">
        <v>1169</v>
      </c>
      <c r="V842" s="336"/>
    </row>
    <row r="843" ht="15.75" customHeight="1">
      <c r="A843" s="336"/>
      <c r="B843" s="336"/>
      <c r="C843" s="336"/>
      <c r="D843" s="336"/>
      <c r="E843" s="336"/>
      <c r="F843" s="336"/>
      <c r="G843" s="336"/>
      <c r="H843" s="336"/>
      <c r="I843" s="336"/>
      <c r="J843" s="336"/>
      <c r="K843" s="336"/>
      <c r="L843" s="336"/>
      <c r="M843" s="336"/>
      <c r="N843" s="336"/>
      <c r="O843" s="336"/>
      <c r="P843" s="336"/>
      <c r="Q843" s="336"/>
      <c r="R843" s="336"/>
      <c r="S843" s="336"/>
      <c r="T843" s="336"/>
      <c r="U843" s="337" t="s">
        <v>1170</v>
      </c>
      <c r="V843" s="336"/>
    </row>
    <row r="844" ht="15.75" customHeight="1">
      <c r="A844" s="336"/>
      <c r="B844" s="336"/>
      <c r="C844" s="336"/>
      <c r="D844" s="336"/>
      <c r="E844" s="336"/>
      <c r="F844" s="336"/>
      <c r="G844" s="336"/>
      <c r="H844" s="336"/>
      <c r="I844" s="336"/>
      <c r="J844" s="336"/>
      <c r="K844" s="336"/>
      <c r="L844" s="336"/>
      <c r="M844" s="336"/>
      <c r="N844" s="336"/>
      <c r="O844" s="336"/>
      <c r="P844" s="336"/>
      <c r="Q844" s="336"/>
      <c r="R844" s="336"/>
      <c r="S844" s="336"/>
      <c r="T844" s="336"/>
      <c r="U844" s="337" t="s">
        <v>1171</v>
      </c>
      <c r="V844" s="336"/>
    </row>
    <row r="845" ht="15.75" customHeight="1">
      <c r="A845" s="336"/>
      <c r="B845" s="336"/>
      <c r="C845" s="336"/>
      <c r="D845" s="336"/>
      <c r="E845" s="336"/>
      <c r="F845" s="336"/>
      <c r="G845" s="336"/>
      <c r="H845" s="336"/>
      <c r="I845" s="336"/>
      <c r="J845" s="336"/>
      <c r="K845" s="336"/>
      <c r="L845" s="336"/>
      <c r="M845" s="336"/>
      <c r="N845" s="336"/>
      <c r="O845" s="336"/>
      <c r="P845" s="336"/>
      <c r="Q845" s="336"/>
      <c r="R845" s="336"/>
      <c r="S845" s="336"/>
      <c r="T845" s="336"/>
      <c r="U845" s="337" t="s">
        <v>1172</v>
      </c>
      <c r="V845" s="336"/>
    </row>
    <row r="846" ht="15.75" customHeight="1">
      <c r="A846" s="336"/>
      <c r="B846" s="336"/>
      <c r="C846" s="336"/>
      <c r="D846" s="336"/>
      <c r="E846" s="336"/>
      <c r="F846" s="336"/>
      <c r="G846" s="336"/>
      <c r="H846" s="336"/>
      <c r="I846" s="336"/>
      <c r="J846" s="336"/>
      <c r="K846" s="336"/>
      <c r="L846" s="336"/>
      <c r="M846" s="336"/>
      <c r="N846" s="336"/>
      <c r="O846" s="336"/>
      <c r="P846" s="336"/>
      <c r="Q846" s="336"/>
      <c r="R846" s="336"/>
      <c r="S846" s="336"/>
      <c r="T846" s="336"/>
      <c r="U846" s="337" t="s">
        <v>1173</v>
      </c>
      <c r="V846" s="336"/>
    </row>
    <row r="847" ht="15.75" customHeight="1">
      <c r="A847" s="336"/>
      <c r="B847" s="336"/>
      <c r="C847" s="336"/>
      <c r="D847" s="336"/>
      <c r="E847" s="336"/>
      <c r="F847" s="336"/>
      <c r="G847" s="336"/>
      <c r="H847" s="336"/>
      <c r="I847" s="336"/>
      <c r="J847" s="336"/>
      <c r="K847" s="336"/>
      <c r="L847" s="336"/>
      <c r="M847" s="336"/>
      <c r="N847" s="336"/>
      <c r="O847" s="336"/>
      <c r="P847" s="336"/>
      <c r="Q847" s="336"/>
      <c r="R847" s="336"/>
      <c r="S847" s="336"/>
      <c r="T847" s="336"/>
      <c r="U847" s="337" t="s">
        <v>1174</v>
      </c>
      <c r="V847" s="336"/>
    </row>
    <row r="848" ht="15.75" customHeight="1">
      <c r="A848" s="336"/>
      <c r="B848" s="336"/>
      <c r="C848" s="336"/>
      <c r="D848" s="336"/>
      <c r="E848" s="336"/>
      <c r="F848" s="336"/>
      <c r="G848" s="336"/>
      <c r="H848" s="336"/>
      <c r="I848" s="336"/>
      <c r="J848" s="336"/>
      <c r="K848" s="336"/>
      <c r="L848" s="336"/>
      <c r="M848" s="336"/>
      <c r="N848" s="336"/>
      <c r="O848" s="336"/>
      <c r="P848" s="336"/>
      <c r="Q848" s="336"/>
      <c r="R848" s="336"/>
      <c r="S848" s="336"/>
      <c r="T848" s="336"/>
      <c r="U848" s="337" t="s">
        <v>1175</v>
      </c>
      <c r="V848" s="336"/>
    </row>
    <row r="849" ht="15.75" customHeight="1">
      <c r="A849" s="336"/>
      <c r="B849" s="336"/>
      <c r="C849" s="336"/>
      <c r="D849" s="336"/>
      <c r="E849" s="336"/>
      <c r="F849" s="336"/>
      <c r="G849" s="336"/>
      <c r="H849" s="336"/>
      <c r="I849" s="336"/>
      <c r="J849" s="336"/>
      <c r="K849" s="336"/>
      <c r="L849" s="336"/>
      <c r="M849" s="336"/>
      <c r="N849" s="336"/>
      <c r="O849" s="336"/>
      <c r="P849" s="336"/>
      <c r="Q849" s="336"/>
      <c r="R849" s="336"/>
      <c r="S849" s="336"/>
      <c r="T849" s="336"/>
      <c r="U849" s="337" t="s">
        <v>1176</v>
      </c>
      <c r="V849" s="336"/>
    </row>
    <row r="850" ht="15.75" customHeight="1">
      <c r="A850" s="336"/>
      <c r="B850" s="336"/>
      <c r="C850" s="336"/>
      <c r="D850" s="336"/>
      <c r="E850" s="336"/>
      <c r="F850" s="336"/>
      <c r="G850" s="336"/>
      <c r="H850" s="336"/>
      <c r="I850" s="336"/>
      <c r="J850" s="336"/>
      <c r="K850" s="336"/>
      <c r="L850" s="336"/>
      <c r="M850" s="336"/>
      <c r="N850" s="336"/>
      <c r="O850" s="336"/>
      <c r="P850" s="336"/>
      <c r="Q850" s="336"/>
      <c r="R850" s="336"/>
      <c r="S850" s="336"/>
      <c r="T850" s="336"/>
      <c r="U850" s="337" t="s">
        <v>1177</v>
      </c>
      <c r="V850" s="336"/>
    </row>
    <row r="851" ht="15.75" customHeight="1">
      <c r="A851" s="336"/>
      <c r="B851" s="336"/>
      <c r="C851" s="336"/>
      <c r="D851" s="336"/>
      <c r="E851" s="336"/>
      <c r="F851" s="336"/>
      <c r="G851" s="336"/>
      <c r="H851" s="336"/>
      <c r="I851" s="336"/>
      <c r="J851" s="336"/>
      <c r="K851" s="336"/>
      <c r="L851" s="336"/>
      <c r="M851" s="336"/>
      <c r="N851" s="336"/>
      <c r="O851" s="336"/>
      <c r="P851" s="336"/>
      <c r="Q851" s="336"/>
      <c r="R851" s="336"/>
      <c r="S851" s="336"/>
      <c r="T851" s="336"/>
      <c r="U851" s="337" t="s">
        <v>1178</v>
      </c>
      <c r="V851" s="336"/>
    </row>
    <row r="852" ht="15.75" customHeight="1">
      <c r="A852" s="336"/>
      <c r="B852" s="336"/>
      <c r="C852" s="336"/>
      <c r="D852" s="336"/>
      <c r="E852" s="336"/>
      <c r="F852" s="336"/>
      <c r="G852" s="336"/>
      <c r="H852" s="336"/>
      <c r="I852" s="336"/>
      <c r="J852" s="336"/>
      <c r="K852" s="336"/>
      <c r="L852" s="336"/>
      <c r="M852" s="336"/>
      <c r="N852" s="336"/>
      <c r="O852" s="336"/>
      <c r="P852" s="336"/>
      <c r="Q852" s="336"/>
      <c r="R852" s="336"/>
      <c r="S852" s="336"/>
      <c r="T852" s="336"/>
      <c r="U852" s="337" t="s">
        <v>1179</v>
      </c>
      <c r="V852" s="336"/>
    </row>
    <row r="853" ht="15.75" customHeight="1">
      <c r="A853" s="336"/>
      <c r="B853" s="336"/>
      <c r="C853" s="336"/>
      <c r="D853" s="336"/>
      <c r="E853" s="336"/>
      <c r="F853" s="336"/>
      <c r="G853" s="336"/>
      <c r="H853" s="336"/>
      <c r="I853" s="336"/>
      <c r="J853" s="336"/>
      <c r="K853" s="336"/>
      <c r="L853" s="336"/>
      <c r="M853" s="336"/>
      <c r="N853" s="336"/>
      <c r="O853" s="336"/>
      <c r="P853" s="336"/>
      <c r="Q853" s="336"/>
      <c r="R853" s="336"/>
      <c r="S853" s="336"/>
      <c r="T853" s="336"/>
      <c r="U853" s="337" t="s">
        <v>1180</v>
      </c>
      <c r="V853" s="336"/>
    </row>
    <row r="854" ht="15.75" customHeight="1">
      <c r="A854" s="336"/>
      <c r="B854" s="336"/>
      <c r="C854" s="336"/>
      <c r="D854" s="336"/>
      <c r="E854" s="336"/>
      <c r="F854" s="336"/>
      <c r="G854" s="336"/>
      <c r="H854" s="336"/>
      <c r="I854" s="336"/>
      <c r="J854" s="336"/>
      <c r="K854" s="336"/>
      <c r="L854" s="336"/>
      <c r="M854" s="336"/>
      <c r="N854" s="336"/>
      <c r="O854" s="336"/>
      <c r="P854" s="336"/>
      <c r="Q854" s="336"/>
      <c r="R854" s="336"/>
      <c r="S854" s="336"/>
      <c r="T854" s="336"/>
      <c r="U854" s="337" t="s">
        <v>1181</v>
      </c>
      <c r="V854" s="336"/>
    </row>
    <row r="855" ht="15.75" customHeight="1">
      <c r="A855" s="336"/>
      <c r="B855" s="336"/>
      <c r="C855" s="336"/>
      <c r="D855" s="336"/>
      <c r="E855" s="336"/>
      <c r="F855" s="336"/>
      <c r="G855" s="336"/>
      <c r="H855" s="336"/>
      <c r="I855" s="336"/>
      <c r="J855" s="336"/>
      <c r="K855" s="336"/>
      <c r="L855" s="336"/>
      <c r="M855" s="336"/>
      <c r="N855" s="336"/>
      <c r="O855" s="336"/>
      <c r="P855" s="336"/>
      <c r="Q855" s="336"/>
      <c r="R855" s="336"/>
      <c r="S855" s="336"/>
      <c r="T855" s="336"/>
      <c r="U855" s="337" t="s">
        <v>1182</v>
      </c>
      <c r="V855" s="336"/>
    </row>
    <row r="856" ht="15.75" customHeight="1">
      <c r="A856" s="336"/>
      <c r="B856" s="336"/>
      <c r="C856" s="336"/>
      <c r="D856" s="336"/>
      <c r="E856" s="336"/>
      <c r="F856" s="336"/>
      <c r="G856" s="336"/>
      <c r="H856" s="336"/>
      <c r="I856" s="336"/>
      <c r="J856" s="336"/>
      <c r="K856" s="336"/>
      <c r="L856" s="336"/>
      <c r="M856" s="336"/>
      <c r="N856" s="336"/>
      <c r="O856" s="336"/>
      <c r="P856" s="336"/>
      <c r="Q856" s="336"/>
      <c r="R856" s="336"/>
      <c r="S856" s="336"/>
      <c r="T856" s="336"/>
      <c r="U856" s="337" t="s">
        <v>1183</v>
      </c>
      <c r="V856" s="336"/>
    </row>
    <row r="857" ht="15.75" customHeight="1">
      <c r="A857" s="336"/>
      <c r="B857" s="336"/>
      <c r="C857" s="336"/>
      <c r="D857" s="336"/>
      <c r="E857" s="336"/>
      <c r="F857" s="336"/>
      <c r="G857" s="336"/>
      <c r="H857" s="336"/>
      <c r="I857" s="336"/>
      <c r="J857" s="336"/>
      <c r="K857" s="336"/>
      <c r="L857" s="336"/>
      <c r="M857" s="336"/>
      <c r="N857" s="336"/>
      <c r="O857" s="336"/>
      <c r="P857" s="336"/>
      <c r="Q857" s="336"/>
      <c r="R857" s="336"/>
      <c r="S857" s="336"/>
      <c r="T857" s="336"/>
      <c r="U857" s="337" t="s">
        <v>1184</v>
      </c>
      <c r="V857" s="336"/>
    </row>
    <row r="858" ht="15.75" customHeight="1">
      <c r="A858" s="336"/>
      <c r="B858" s="336"/>
      <c r="C858" s="336"/>
      <c r="D858" s="336"/>
      <c r="E858" s="336"/>
      <c r="F858" s="336"/>
      <c r="G858" s="336"/>
      <c r="H858" s="336"/>
      <c r="I858" s="336"/>
      <c r="J858" s="336"/>
      <c r="K858" s="336"/>
      <c r="L858" s="336"/>
      <c r="M858" s="336"/>
      <c r="N858" s="336"/>
      <c r="O858" s="336"/>
      <c r="P858" s="336"/>
      <c r="Q858" s="336"/>
      <c r="R858" s="336"/>
      <c r="S858" s="336"/>
      <c r="T858" s="336"/>
      <c r="U858" s="337" t="s">
        <v>1185</v>
      </c>
      <c r="V858" s="336"/>
    </row>
    <row r="859" ht="15.75" customHeight="1">
      <c r="A859" s="336"/>
      <c r="B859" s="336"/>
      <c r="C859" s="336"/>
      <c r="D859" s="336"/>
      <c r="E859" s="336"/>
      <c r="F859" s="336"/>
      <c r="G859" s="336"/>
      <c r="H859" s="336"/>
      <c r="I859" s="336"/>
      <c r="J859" s="336"/>
      <c r="K859" s="336"/>
      <c r="L859" s="336"/>
      <c r="M859" s="336"/>
      <c r="N859" s="336"/>
      <c r="O859" s="336"/>
      <c r="P859" s="336"/>
      <c r="Q859" s="336"/>
      <c r="R859" s="336"/>
      <c r="S859" s="336"/>
      <c r="T859" s="336"/>
      <c r="U859" s="337" t="s">
        <v>1186</v>
      </c>
      <c r="V859" s="336"/>
    </row>
    <row r="860" ht="15.75" customHeight="1">
      <c r="A860" s="336"/>
      <c r="B860" s="336"/>
      <c r="C860" s="336"/>
      <c r="D860" s="336"/>
      <c r="E860" s="336"/>
      <c r="F860" s="336"/>
      <c r="G860" s="336"/>
      <c r="H860" s="336"/>
      <c r="I860" s="336"/>
      <c r="J860" s="336"/>
      <c r="K860" s="336"/>
      <c r="L860" s="336"/>
      <c r="M860" s="336"/>
      <c r="N860" s="336"/>
      <c r="O860" s="336"/>
      <c r="P860" s="336"/>
      <c r="Q860" s="336"/>
      <c r="R860" s="336"/>
      <c r="S860" s="336"/>
      <c r="T860" s="336"/>
      <c r="U860" s="337" t="s">
        <v>1187</v>
      </c>
      <c r="V860" s="336"/>
    </row>
    <row r="861" ht="15.75" customHeight="1">
      <c r="A861" s="336"/>
      <c r="B861" s="336"/>
      <c r="C861" s="336"/>
      <c r="D861" s="336"/>
      <c r="E861" s="336"/>
      <c r="F861" s="336"/>
      <c r="G861" s="336"/>
      <c r="H861" s="336"/>
      <c r="I861" s="336"/>
      <c r="J861" s="336"/>
      <c r="K861" s="336"/>
      <c r="L861" s="336"/>
      <c r="M861" s="336"/>
      <c r="N861" s="336"/>
      <c r="O861" s="336"/>
      <c r="P861" s="336"/>
      <c r="Q861" s="336"/>
      <c r="R861" s="336"/>
      <c r="S861" s="336"/>
      <c r="T861" s="336"/>
      <c r="U861" s="337" t="s">
        <v>1188</v>
      </c>
      <c r="V861" s="336"/>
    </row>
    <row r="862" ht="15.75" customHeight="1">
      <c r="A862" s="336"/>
      <c r="B862" s="336"/>
      <c r="C862" s="336"/>
      <c r="D862" s="336"/>
      <c r="E862" s="336"/>
      <c r="F862" s="336"/>
      <c r="G862" s="336"/>
      <c r="H862" s="336"/>
      <c r="I862" s="336"/>
      <c r="J862" s="336"/>
      <c r="K862" s="336"/>
      <c r="L862" s="336"/>
      <c r="M862" s="336"/>
      <c r="N862" s="336"/>
      <c r="O862" s="336"/>
      <c r="P862" s="336"/>
      <c r="Q862" s="336"/>
      <c r="R862" s="336"/>
      <c r="S862" s="336"/>
      <c r="T862" s="336"/>
      <c r="U862" s="337" t="s">
        <v>1189</v>
      </c>
      <c r="V862" s="336"/>
    </row>
    <row r="863" ht="15.75" customHeight="1">
      <c r="A863" s="336"/>
      <c r="B863" s="336"/>
      <c r="C863" s="336"/>
      <c r="D863" s="336"/>
      <c r="E863" s="336"/>
      <c r="F863" s="336"/>
      <c r="G863" s="336"/>
      <c r="H863" s="336"/>
      <c r="I863" s="336"/>
      <c r="J863" s="336"/>
      <c r="K863" s="336"/>
      <c r="L863" s="336"/>
      <c r="M863" s="336"/>
      <c r="N863" s="336"/>
      <c r="O863" s="336"/>
      <c r="P863" s="336"/>
      <c r="Q863" s="336"/>
      <c r="R863" s="336"/>
      <c r="S863" s="336"/>
      <c r="T863" s="336"/>
      <c r="U863" s="337" t="s">
        <v>1189</v>
      </c>
      <c r="V863" s="336"/>
    </row>
    <row r="864" ht="15.75" customHeight="1">
      <c r="A864" s="336"/>
      <c r="B864" s="336"/>
      <c r="C864" s="336"/>
      <c r="D864" s="336"/>
      <c r="E864" s="336"/>
      <c r="F864" s="336"/>
      <c r="G864" s="336"/>
      <c r="H864" s="336"/>
      <c r="I864" s="336"/>
      <c r="J864" s="336"/>
      <c r="K864" s="336"/>
      <c r="L864" s="336"/>
      <c r="M864" s="336"/>
      <c r="N864" s="336"/>
      <c r="O864" s="336"/>
      <c r="P864" s="336"/>
      <c r="Q864" s="336"/>
      <c r="R864" s="336"/>
      <c r="S864" s="336"/>
      <c r="T864" s="336"/>
      <c r="U864" s="337" t="s">
        <v>1190</v>
      </c>
      <c r="V864" s="336"/>
    </row>
    <row r="865" ht="15.75" customHeight="1">
      <c r="A865" s="336"/>
      <c r="B865" s="336"/>
      <c r="C865" s="336"/>
      <c r="D865" s="336"/>
      <c r="E865" s="336"/>
      <c r="F865" s="336"/>
      <c r="G865" s="336"/>
      <c r="H865" s="336"/>
      <c r="I865" s="336"/>
      <c r="J865" s="336"/>
      <c r="K865" s="336"/>
      <c r="L865" s="336"/>
      <c r="M865" s="336"/>
      <c r="N865" s="336"/>
      <c r="O865" s="336"/>
      <c r="P865" s="336"/>
      <c r="Q865" s="336"/>
      <c r="R865" s="336"/>
      <c r="S865" s="336"/>
      <c r="T865" s="336"/>
      <c r="U865" s="337" t="s">
        <v>1191</v>
      </c>
      <c r="V865" s="336"/>
    </row>
    <row r="866" ht="15.75" customHeight="1">
      <c r="A866" s="336"/>
      <c r="B866" s="336"/>
      <c r="C866" s="336"/>
      <c r="D866" s="336"/>
      <c r="E866" s="336"/>
      <c r="F866" s="336"/>
      <c r="G866" s="336"/>
      <c r="H866" s="336"/>
      <c r="I866" s="336"/>
      <c r="J866" s="336"/>
      <c r="K866" s="336"/>
      <c r="L866" s="336"/>
      <c r="M866" s="336"/>
      <c r="N866" s="336"/>
      <c r="O866" s="336"/>
      <c r="P866" s="336"/>
      <c r="Q866" s="336"/>
      <c r="R866" s="336"/>
      <c r="S866" s="336"/>
      <c r="T866" s="336"/>
      <c r="U866" s="337" t="s">
        <v>1192</v>
      </c>
      <c r="V866" s="336"/>
    </row>
    <row r="867" ht="15.75" customHeight="1">
      <c r="A867" s="336"/>
      <c r="B867" s="336"/>
      <c r="C867" s="336"/>
      <c r="D867" s="336"/>
      <c r="E867" s="336"/>
      <c r="F867" s="336"/>
      <c r="G867" s="336"/>
      <c r="H867" s="336"/>
      <c r="I867" s="336"/>
      <c r="J867" s="336"/>
      <c r="K867" s="336"/>
      <c r="L867" s="336"/>
      <c r="M867" s="336"/>
      <c r="N867" s="336"/>
      <c r="O867" s="336"/>
      <c r="P867" s="336"/>
      <c r="Q867" s="336"/>
      <c r="R867" s="336"/>
      <c r="S867" s="336"/>
      <c r="T867" s="336"/>
      <c r="U867" s="337" t="s">
        <v>1193</v>
      </c>
      <c r="V867" s="336"/>
    </row>
    <row r="868" ht="15.75" customHeight="1">
      <c r="A868" s="336"/>
      <c r="B868" s="336"/>
      <c r="C868" s="336"/>
      <c r="D868" s="336"/>
      <c r="E868" s="336"/>
      <c r="F868" s="336"/>
      <c r="G868" s="336"/>
      <c r="H868" s="336"/>
      <c r="I868" s="336"/>
      <c r="J868" s="336"/>
      <c r="K868" s="336"/>
      <c r="L868" s="336"/>
      <c r="M868" s="336"/>
      <c r="N868" s="336"/>
      <c r="O868" s="336"/>
      <c r="P868" s="336"/>
      <c r="Q868" s="336"/>
      <c r="R868" s="336"/>
      <c r="S868" s="336"/>
      <c r="T868" s="336"/>
      <c r="U868" s="337" t="s">
        <v>1194</v>
      </c>
      <c r="V868" s="336"/>
    </row>
    <row r="869" ht="15.75" customHeight="1">
      <c r="A869" s="336"/>
      <c r="B869" s="336"/>
      <c r="C869" s="336"/>
      <c r="D869" s="336"/>
      <c r="E869" s="336"/>
      <c r="F869" s="336"/>
      <c r="G869" s="336"/>
      <c r="H869" s="336"/>
      <c r="I869" s="336"/>
      <c r="J869" s="336"/>
      <c r="K869" s="336"/>
      <c r="L869" s="336"/>
      <c r="M869" s="336"/>
      <c r="N869" s="336"/>
      <c r="O869" s="336"/>
      <c r="P869" s="336"/>
      <c r="Q869" s="336"/>
      <c r="R869" s="336"/>
      <c r="S869" s="336"/>
      <c r="T869" s="336"/>
      <c r="U869" s="337" t="s">
        <v>1195</v>
      </c>
      <c r="V869" s="336"/>
    </row>
    <row r="870" ht="15.75" customHeight="1">
      <c r="A870" s="336"/>
      <c r="B870" s="336"/>
      <c r="C870" s="336"/>
      <c r="D870" s="336"/>
      <c r="E870" s="336"/>
      <c r="F870" s="336"/>
      <c r="G870" s="336"/>
      <c r="H870" s="336"/>
      <c r="I870" s="336"/>
      <c r="J870" s="336"/>
      <c r="K870" s="336"/>
      <c r="L870" s="336"/>
      <c r="M870" s="336"/>
      <c r="N870" s="336"/>
      <c r="O870" s="336"/>
      <c r="P870" s="336"/>
      <c r="Q870" s="336"/>
      <c r="R870" s="336"/>
      <c r="S870" s="336"/>
      <c r="T870" s="336"/>
      <c r="U870" s="337" t="s">
        <v>1196</v>
      </c>
      <c r="V870" s="336"/>
    </row>
    <row r="871" ht="15.75" customHeight="1">
      <c r="A871" s="336"/>
      <c r="B871" s="336"/>
      <c r="C871" s="336"/>
      <c r="D871" s="336"/>
      <c r="E871" s="336"/>
      <c r="F871" s="336"/>
      <c r="G871" s="336"/>
      <c r="H871" s="336"/>
      <c r="I871" s="336"/>
      <c r="J871" s="336"/>
      <c r="K871" s="336"/>
      <c r="L871" s="336"/>
      <c r="M871" s="336"/>
      <c r="N871" s="336"/>
      <c r="O871" s="336"/>
      <c r="P871" s="336"/>
      <c r="Q871" s="336"/>
      <c r="R871" s="336"/>
      <c r="S871" s="336"/>
      <c r="T871" s="336"/>
      <c r="U871" s="337" t="s">
        <v>1197</v>
      </c>
      <c r="V871" s="336"/>
    </row>
    <row r="872" ht="15.75" customHeight="1">
      <c r="A872" s="336"/>
      <c r="B872" s="336"/>
      <c r="C872" s="336"/>
      <c r="D872" s="336"/>
      <c r="E872" s="336"/>
      <c r="F872" s="336"/>
      <c r="G872" s="336"/>
      <c r="H872" s="336"/>
      <c r="I872" s="336"/>
      <c r="J872" s="336"/>
      <c r="K872" s="336"/>
      <c r="L872" s="336"/>
      <c r="M872" s="336"/>
      <c r="N872" s="336"/>
      <c r="O872" s="336"/>
      <c r="P872" s="336"/>
      <c r="Q872" s="336"/>
      <c r="R872" s="336"/>
      <c r="S872" s="336"/>
      <c r="T872" s="336"/>
      <c r="U872" s="337" t="s">
        <v>1198</v>
      </c>
      <c r="V872" s="336"/>
    </row>
    <row r="873" ht="15.75" customHeight="1">
      <c r="A873" s="336"/>
      <c r="B873" s="336"/>
      <c r="C873" s="336"/>
      <c r="D873" s="336"/>
      <c r="E873" s="336"/>
      <c r="F873" s="336"/>
      <c r="G873" s="336"/>
      <c r="H873" s="336"/>
      <c r="I873" s="336"/>
      <c r="J873" s="336"/>
      <c r="K873" s="336"/>
      <c r="L873" s="336"/>
      <c r="M873" s="336"/>
      <c r="N873" s="336"/>
      <c r="O873" s="336"/>
      <c r="P873" s="336"/>
      <c r="Q873" s="336"/>
      <c r="R873" s="336"/>
      <c r="S873" s="336"/>
      <c r="T873" s="336"/>
      <c r="U873" s="337" t="s">
        <v>1199</v>
      </c>
      <c r="V873" s="336"/>
    </row>
    <row r="874" ht="15.75" customHeight="1">
      <c r="A874" s="336"/>
      <c r="B874" s="336"/>
      <c r="C874" s="336"/>
      <c r="D874" s="336"/>
      <c r="E874" s="336"/>
      <c r="F874" s="336"/>
      <c r="G874" s="336"/>
      <c r="H874" s="336"/>
      <c r="I874" s="336"/>
      <c r="J874" s="336"/>
      <c r="K874" s="336"/>
      <c r="L874" s="336"/>
      <c r="M874" s="336"/>
      <c r="N874" s="336"/>
      <c r="O874" s="336"/>
      <c r="P874" s="336"/>
      <c r="Q874" s="336"/>
      <c r="R874" s="336"/>
      <c r="S874" s="336"/>
      <c r="T874" s="336"/>
      <c r="U874" s="337" t="s">
        <v>1200</v>
      </c>
      <c r="V874" s="336"/>
    </row>
    <row r="875" ht="15.75" customHeight="1">
      <c r="A875" s="336"/>
      <c r="B875" s="336"/>
      <c r="C875" s="336"/>
      <c r="D875" s="336"/>
      <c r="E875" s="336"/>
      <c r="F875" s="336"/>
      <c r="G875" s="336"/>
      <c r="H875" s="336"/>
      <c r="I875" s="336"/>
      <c r="J875" s="336"/>
      <c r="K875" s="336"/>
      <c r="L875" s="336"/>
      <c r="M875" s="336"/>
      <c r="N875" s="336"/>
      <c r="O875" s="336"/>
      <c r="P875" s="336"/>
      <c r="Q875" s="336"/>
      <c r="R875" s="336"/>
      <c r="S875" s="336"/>
      <c r="T875" s="336"/>
      <c r="U875" s="337" t="s">
        <v>1201</v>
      </c>
      <c r="V875" s="336"/>
    </row>
    <row r="876" ht="15.75" customHeight="1">
      <c r="A876" s="336"/>
      <c r="B876" s="336"/>
      <c r="C876" s="336"/>
      <c r="D876" s="336"/>
      <c r="E876" s="336"/>
      <c r="F876" s="336"/>
      <c r="G876" s="336"/>
      <c r="H876" s="336"/>
      <c r="I876" s="336"/>
      <c r="J876" s="336"/>
      <c r="K876" s="336"/>
      <c r="L876" s="336"/>
      <c r="M876" s="336"/>
      <c r="N876" s="336"/>
      <c r="O876" s="336"/>
      <c r="P876" s="336"/>
      <c r="Q876" s="336"/>
      <c r="R876" s="336"/>
      <c r="S876" s="336"/>
      <c r="T876" s="336"/>
      <c r="U876" s="337" t="s">
        <v>1202</v>
      </c>
      <c r="V876" s="336"/>
    </row>
    <row r="877" ht="15.75" customHeight="1">
      <c r="A877" s="336"/>
      <c r="B877" s="336"/>
      <c r="C877" s="336"/>
      <c r="D877" s="336"/>
      <c r="E877" s="336"/>
      <c r="F877" s="336"/>
      <c r="G877" s="336"/>
      <c r="H877" s="336"/>
      <c r="I877" s="336"/>
      <c r="J877" s="336"/>
      <c r="K877" s="336"/>
      <c r="L877" s="336"/>
      <c r="M877" s="336"/>
      <c r="N877" s="336"/>
      <c r="O877" s="336"/>
      <c r="P877" s="336"/>
      <c r="Q877" s="336"/>
      <c r="R877" s="336"/>
      <c r="S877" s="336"/>
      <c r="T877" s="336"/>
      <c r="U877" s="337" t="s">
        <v>1203</v>
      </c>
      <c r="V877" s="336"/>
    </row>
    <row r="878" ht="15.75" customHeight="1">
      <c r="A878" s="336"/>
      <c r="B878" s="336"/>
      <c r="C878" s="336"/>
      <c r="D878" s="336"/>
      <c r="E878" s="336"/>
      <c r="F878" s="336"/>
      <c r="G878" s="336"/>
      <c r="H878" s="336"/>
      <c r="I878" s="336"/>
      <c r="J878" s="336"/>
      <c r="K878" s="336"/>
      <c r="L878" s="336"/>
      <c r="M878" s="336"/>
      <c r="N878" s="336"/>
      <c r="O878" s="336"/>
      <c r="P878" s="336"/>
      <c r="Q878" s="336"/>
      <c r="R878" s="336"/>
      <c r="S878" s="336"/>
      <c r="T878" s="336"/>
      <c r="U878" s="337" t="s">
        <v>1204</v>
      </c>
      <c r="V878" s="336"/>
    </row>
    <row r="879" ht="15.75" customHeight="1">
      <c r="A879" s="336"/>
      <c r="B879" s="336"/>
      <c r="C879" s="336"/>
      <c r="D879" s="336"/>
      <c r="E879" s="336"/>
      <c r="F879" s="336"/>
      <c r="G879" s="336"/>
      <c r="H879" s="336"/>
      <c r="I879" s="336"/>
      <c r="J879" s="336"/>
      <c r="K879" s="336"/>
      <c r="L879" s="336"/>
      <c r="M879" s="336"/>
      <c r="N879" s="336"/>
      <c r="O879" s="336"/>
      <c r="P879" s="336"/>
      <c r="Q879" s="336"/>
      <c r="R879" s="336"/>
      <c r="S879" s="336"/>
      <c r="T879" s="336"/>
      <c r="U879" s="337" t="s">
        <v>1205</v>
      </c>
      <c r="V879" s="336"/>
    </row>
    <row r="880" ht="15.75" customHeight="1">
      <c r="A880" s="336"/>
      <c r="B880" s="336"/>
      <c r="C880" s="336"/>
      <c r="D880" s="336"/>
      <c r="E880" s="336"/>
      <c r="F880" s="336"/>
      <c r="G880" s="336"/>
      <c r="H880" s="336"/>
      <c r="I880" s="336"/>
      <c r="J880" s="336"/>
      <c r="K880" s="336"/>
      <c r="L880" s="336"/>
      <c r="M880" s="336"/>
      <c r="N880" s="336"/>
      <c r="O880" s="336"/>
      <c r="P880" s="336"/>
      <c r="Q880" s="336"/>
      <c r="R880" s="336"/>
      <c r="S880" s="336"/>
      <c r="T880" s="336"/>
      <c r="U880" s="337" t="s">
        <v>1206</v>
      </c>
      <c r="V880" s="336"/>
    </row>
    <row r="881" ht="15.75" customHeight="1">
      <c r="A881" s="336"/>
      <c r="B881" s="336"/>
      <c r="C881" s="336"/>
      <c r="D881" s="336"/>
      <c r="E881" s="336"/>
      <c r="F881" s="336"/>
      <c r="G881" s="336"/>
      <c r="H881" s="336"/>
      <c r="I881" s="336"/>
      <c r="J881" s="336"/>
      <c r="K881" s="336"/>
      <c r="L881" s="336"/>
      <c r="M881" s="336"/>
      <c r="N881" s="336"/>
      <c r="O881" s="336"/>
      <c r="P881" s="336"/>
      <c r="Q881" s="336"/>
      <c r="R881" s="336"/>
      <c r="S881" s="336"/>
      <c r="T881" s="336"/>
      <c r="U881" s="337" t="s">
        <v>1207</v>
      </c>
      <c r="V881" s="336"/>
    </row>
    <row r="882" ht="15.75" customHeight="1">
      <c r="A882" s="336"/>
      <c r="B882" s="336"/>
      <c r="C882" s="336"/>
      <c r="D882" s="336"/>
      <c r="E882" s="336"/>
      <c r="F882" s="336"/>
      <c r="G882" s="336"/>
      <c r="H882" s="336"/>
      <c r="I882" s="336"/>
      <c r="J882" s="336"/>
      <c r="K882" s="336"/>
      <c r="L882" s="336"/>
      <c r="M882" s="336"/>
      <c r="N882" s="336"/>
      <c r="O882" s="336"/>
      <c r="P882" s="336"/>
      <c r="Q882" s="336"/>
      <c r="R882" s="336"/>
      <c r="S882" s="336"/>
      <c r="T882" s="336"/>
      <c r="U882" s="337" t="s">
        <v>1208</v>
      </c>
      <c r="V882" s="336"/>
    </row>
    <row r="883" ht="15.75" customHeight="1">
      <c r="A883" s="336"/>
      <c r="B883" s="336"/>
      <c r="C883" s="336"/>
      <c r="D883" s="336"/>
      <c r="E883" s="336"/>
      <c r="F883" s="336"/>
      <c r="G883" s="336"/>
      <c r="H883" s="336"/>
      <c r="I883" s="336"/>
      <c r="J883" s="336"/>
      <c r="K883" s="336"/>
      <c r="L883" s="336"/>
      <c r="M883" s="336"/>
      <c r="N883" s="336"/>
      <c r="O883" s="336"/>
      <c r="P883" s="336"/>
      <c r="Q883" s="336"/>
      <c r="R883" s="336"/>
      <c r="S883" s="336"/>
      <c r="T883" s="336"/>
      <c r="U883" s="337" t="s">
        <v>1209</v>
      </c>
      <c r="V883" s="336"/>
    </row>
    <row r="884" ht="15.75" customHeight="1">
      <c r="A884" s="336"/>
      <c r="B884" s="336"/>
      <c r="C884" s="336"/>
      <c r="D884" s="336"/>
      <c r="E884" s="336"/>
      <c r="F884" s="336"/>
      <c r="G884" s="336"/>
      <c r="H884" s="336"/>
      <c r="I884" s="336"/>
      <c r="J884" s="336"/>
      <c r="K884" s="336"/>
      <c r="L884" s="336"/>
      <c r="M884" s="336"/>
      <c r="N884" s="336"/>
      <c r="O884" s="336"/>
      <c r="P884" s="336"/>
      <c r="Q884" s="336"/>
      <c r="R884" s="336"/>
      <c r="S884" s="336"/>
      <c r="T884" s="336"/>
      <c r="U884" s="337" t="s">
        <v>1210</v>
      </c>
      <c r="V884" s="336"/>
    </row>
    <row r="885" ht="15.75" customHeight="1">
      <c r="A885" s="336"/>
      <c r="B885" s="336"/>
      <c r="C885" s="336"/>
      <c r="D885" s="336"/>
      <c r="E885" s="336"/>
      <c r="F885" s="336"/>
      <c r="G885" s="336"/>
      <c r="H885" s="336"/>
      <c r="I885" s="336"/>
      <c r="J885" s="336"/>
      <c r="K885" s="336"/>
      <c r="L885" s="336"/>
      <c r="M885" s="336"/>
      <c r="N885" s="336"/>
      <c r="O885" s="336"/>
      <c r="P885" s="336"/>
      <c r="Q885" s="336"/>
      <c r="R885" s="336"/>
      <c r="S885" s="336"/>
      <c r="T885" s="336"/>
      <c r="U885" s="337" t="s">
        <v>1211</v>
      </c>
      <c r="V885" s="336"/>
    </row>
    <row r="886" ht="15.75" customHeight="1">
      <c r="A886" s="336"/>
      <c r="B886" s="336"/>
      <c r="C886" s="336"/>
      <c r="D886" s="336"/>
      <c r="E886" s="336"/>
      <c r="F886" s="336"/>
      <c r="G886" s="336"/>
      <c r="H886" s="336"/>
      <c r="I886" s="336"/>
      <c r="J886" s="336"/>
      <c r="K886" s="336"/>
      <c r="L886" s="336"/>
      <c r="M886" s="336"/>
      <c r="N886" s="336"/>
      <c r="O886" s="336"/>
      <c r="P886" s="336"/>
      <c r="Q886" s="336"/>
      <c r="R886" s="336"/>
      <c r="S886" s="336"/>
      <c r="T886" s="336"/>
      <c r="U886" s="337" t="s">
        <v>1212</v>
      </c>
      <c r="V886" s="336"/>
    </row>
    <row r="887" ht="15.75" customHeight="1">
      <c r="A887" s="336"/>
      <c r="B887" s="336"/>
      <c r="C887" s="336"/>
      <c r="D887" s="336"/>
      <c r="E887" s="336"/>
      <c r="F887" s="336"/>
      <c r="G887" s="336"/>
      <c r="H887" s="336"/>
      <c r="I887" s="336"/>
      <c r="J887" s="336"/>
      <c r="K887" s="336"/>
      <c r="L887" s="336"/>
      <c r="M887" s="336"/>
      <c r="N887" s="336"/>
      <c r="O887" s="336"/>
      <c r="P887" s="336"/>
      <c r="Q887" s="336"/>
      <c r="R887" s="336"/>
      <c r="S887" s="336"/>
      <c r="T887" s="336"/>
      <c r="U887" s="337" t="s">
        <v>1213</v>
      </c>
      <c r="V887" s="336"/>
    </row>
    <row r="888" ht="15.75" customHeight="1">
      <c r="A888" s="336"/>
      <c r="B888" s="336"/>
      <c r="C888" s="336"/>
      <c r="D888" s="336"/>
      <c r="E888" s="336"/>
      <c r="F888" s="336"/>
      <c r="G888" s="336"/>
      <c r="H888" s="336"/>
      <c r="I888" s="336"/>
      <c r="J888" s="336"/>
      <c r="K888" s="336"/>
      <c r="L888" s="336"/>
      <c r="M888" s="336"/>
      <c r="N888" s="336"/>
      <c r="O888" s="336"/>
      <c r="P888" s="336"/>
      <c r="Q888" s="336"/>
      <c r="R888" s="336"/>
      <c r="S888" s="336"/>
      <c r="T888" s="336"/>
      <c r="U888" s="337" t="s">
        <v>1214</v>
      </c>
      <c r="V888" s="336"/>
    </row>
    <row r="889" ht="15.75" customHeight="1">
      <c r="A889" s="336"/>
      <c r="B889" s="336"/>
      <c r="C889" s="336"/>
      <c r="D889" s="336"/>
      <c r="E889" s="336"/>
      <c r="F889" s="336"/>
      <c r="G889" s="336"/>
      <c r="H889" s="336"/>
      <c r="I889" s="336"/>
      <c r="J889" s="336"/>
      <c r="K889" s="336"/>
      <c r="L889" s="336"/>
      <c r="M889" s="336"/>
      <c r="N889" s="336"/>
      <c r="O889" s="336"/>
      <c r="P889" s="336"/>
      <c r="Q889" s="336"/>
      <c r="R889" s="336"/>
      <c r="S889" s="336"/>
      <c r="T889" s="336"/>
      <c r="U889" s="337" t="s">
        <v>1215</v>
      </c>
      <c r="V889" s="336"/>
    </row>
    <row r="890" ht="15.75" customHeight="1">
      <c r="A890" s="336"/>
      <c r="B890" s="336"/>
      <c r="C890" s="336"/>
      <c r="D890" s="336"/>
      <c r="E890" s="336"/>
      <c r="F890" s="336"/>
      <c r="G890" s="336"/>
      <c r="H890" s="336"/>
      <c r="I890" s="336"/>
      <c r="J890" s="336"/>
      <c r="K890" s="336"/>
      <c r="L890" s="336"/>
      <c r="M890" s="336"/>
      <c r="N890" s="336"/>
      <c r="O890" s="336"/>
      <c r="P890" s="336"/>
      <c r="Q890" s="336"/>
      <c r="R890" s="336"/>
      <c r="S890" s="336"/>
      <c r="T890" s="336"/>
      <c r="U890" s="337" t="s">
        <v>1216</v>
      </c>
      <c r="V890" s="336"/>
    </row>
    <row r="891" ht="15.75" customHeight="1">
      <c r="A891" s="336"/>
      <c r="B891" s="336"/>
      <c r="C891" s="336"/>
      <c r="D891" s="336"/>
      <c r="E891" s="336"/>
      <c r="F891" s="336"/>
      <c r="G891" s="336"/>
      <c r="H891" s="336"/>
      <c r="I891" s="336"/>
      <c r="J891" s="336"/>
      <c r="K891" s="336"/>
      <c r="L891" s="336"/>
      <c r="M891" s="336"/>
      <c r="N891" s="336"/>
      <c r="O891" s="336"/>
      <c r="P891" s="336"/>
      <c r="Q891" s="336"/>
      <c r="R891" s="336"/>
      <c r="S891" s="336"/>
      <c r="T891" s="336"/>
      <c r="U891" s="337" t="s">
        <v>1217</v>
      </c>
      <c r="V891" s="336"/>
    </row>
    <row r="892" ht="15.75" customHeight="1">
      <c r="A892" s="336"/>
      <c r="B892" s="336"/>
      <c r="C892" s="336"/>
      <c r="D892" s="336"/>
      <c r="E892" s="336"/>
      <c r="F892" s="336"/>
      <c r="G892" s="336"/>
      <c r="H892" s="336"/>
      <c r="I892" s="336"/>
      <c r="J892" s="336"/>
      <c r="K892" s="336"/>
      <c r="L892" s="336"/>
      <c r="M892" s="336"/>
      <c r="N892" s="336"/>
      <c r="O892" s="336"/>
      <c r="P892" s="336"/>
      <c r="Q892" s="336"/>
      <c r="R892" s="336"/>
      <c r="S892" s="336"/>
      <c r="T892" s="336"/>
      <c r="U892" s="337" t="s">
        <v>1218</v>
      </c>
      <c r="V892" s="336"/>
    </row>
    <row r="893" ht="15.75" customHeight="1">
      <c r="A893" s="336"/>
      <c r="B893" s="336"/>
      <c r="C893" s="336"/>
      <c r="D893" s="336"/>
      <c r="E893" s="336"/>
      <c r="F893" s="336"/>
      <c r="G893" s="336"/>
      <c r="H893" s="336"/>
      <c r="I893" s="336"/>
      <c r="J893" s="336"/>
      <c r="K893" s="336"/>
      <c r="L893" s="336"/>
      <c r="M893" s="336"/>
      <c r="N893" s="336"/>
      <c r="O893" s="336"/>
      <c r="P893" s="336"/>
      <c r="Q893" s="336"/>
      <c r="R893" s="336"/>
      <c r="S893" s="336"/>
      <c r="T893" s="336"/>
      <c r="U893" s="337" t="s">
        <v>1219</v>
      </c>
      <c r="V893" s="336"/>
    </row>
    <row r="894" ht="15.75" customHeight="1">
      <c r="A894" s="336"/>
      <c r="B894" s="336"/>
      <c r="C894" s="336"/>
      <c r="D894" s="336"/>
      <c r="E894" s="336"/>
      <c r="F894" s="336"/>
      <c r="G894" s="336"/>
      <c r="H894" s="336"/>
      <c r="I894" s="336"/>
      <c r="J894" s="336"/>
      <c r="K894" s="336"/>
      <c r="L894" s="336"/>
      <c r="M894" s="336"/>
      <c r="N894" s="336"/>
      <c r="O894" s="336"/>
      <c r="P894" s="336"/>
      <c r="Q894" s="336"/>
      <c r="R894" s="336"/>
      <c r="S894" s="336"/>
      <c r="T894" s="336"/>
      <c r="U894" s="337" t="s">
        <v>1220</v>
      </c>
      <c r="V894" s="336"/>
    </row>
    <row r="895" ht="15.75" customHeight="1">
      <c r="A895" s="336"/>
      <c r="B895" s="336"/>
      <c r="C895" s="336"/>
      <c r="D895" s="336"/>
      <c r="E895" s="336"/>
      <c r="F895" s="336"/>
      <c r="G895" s="336"/>
      <c r="H895" s="336"/>
      <c r="I895" s="336"/>
      <c r="J895" s="336"/>
      <c r="K895" s="336"/>
      <c r="L895" s="336"/>
      <c r="M895" s="336"/>
      <c r="N895" s="336"/>
      <c r="O895" s="336"/>
      <c r="P895" s="336"/>
      <c r="Q895" s="336"/>
      <c r="R895" s="336"/>
      <c r="S895" s="336"/>
      <c r="T895" s="336"/>
      <c r="U895" s="337" t="s">
        <v>1221</v>
      </c>
      <c r="V895" s="336"/>
    </row>
    <row r="896" ht="15.75" customHeight="1">
      <c r="A896" s="336"/>
      <c r="B896" s="336"/>
      <c r="C896" s="336"/>
      <c r="D896" s="336"/>
      <c r="E896" s="336"/>
      <c r="F896" s="336"/>
      <c r="G896" s="336"/>
      <c r="H896" s="336"/>
      <c r="I896" s="336"/>
      <c r="J896" s="336"/>
      <c r="K896" s="336"/>
      <c r="L896" s="336"/>
      <c r="M896" s="336"/>
      <c r="N896" s="336"/>
      <c r="O896" s="336"/>
      <c r="P896" s="336"/>
      <c r="Q896" s="336"/>
      <c r="R896" s="336"/>
      <c r="S896" s="336"/>
      <c r="T896" s="336"/>
      <c r="U896" s="337" t="s">
        <v>1222</v>
      </c>
      <c r="V896" s="336"/>
    </row>
    <row r="897" ht="15.75" customHeight="1">
      <c r="A897" s="336"/>
      <c r="B897" s="336"/>
      <c r="C897" s="336"/>
      <c r="D897" s="336"/>
      <c r="E897" s="336"/>
      <c r="F897" s="336"/>
      <c r="G897" s="336"/>
      <c r="H897" s="336"/>
      <c r="I897" s="336"/>
      <c r="J897" s="336"/>
      <c r="K897" s="336"/>
      <c r="L897" s="336"/>
      <c r="M897" s="336"/>
      <c r="N897" s="336"/>
      <c r="O897" s="336"/>
      <c r="P897" s="336"/>
      <c r="Q897" s="336"/>
      <c r="R897" s="336"/>
      <c r="S897" s="336"/>
      <c r="T897" s="336"/>
      <c r="U897" s="337" t="s">
        <v>1223</v>
      </c>
      <c r="V897" s="336"/>
    </row>
    <row r="898" ht="15.75" customHeight="1">
      <c r="A898" s="336"/>
      <c r="B898" s="336"/>
      <c r="C898" s="336"/>
      <c r="D898" s="336"/>
      <c r="E898" s="336"/>
      <c r="F898" s="336"/>
      <c r="G898" s="336"/>
      <c r="H898" s="336"/>
      <c r="I898" s="336"/>
      <c r="J898" s="336"/>
      <c r="K898" s="336"/>
      <c r="L898" s="336"/>
      <c r="M898" s="336"/>
      <c r="N898" s="336"/>
      <c r="O898" s="336"/>
      <c r="P898" s="336"/>
      <c r="Q898" s="336"/>
      <c r="R898" s="336"/>
      <c r="S898" s="336"/>
      <c r="T898" s="336"/>
      <c r="U898" s="337" t="s">
        <v>1224</v>
      </c>
      <c r="V898" s="336"/>
    </row>
    <row r="899" ht="15.75" customHeight="1">
      <c r="A899" s="336"/>
      <c r="B899" s="336"/>
      <c r="C899" s="336"/>
      <c r="D899" s="336"/>
      <c r="E899" s="336"/>
      <c r="F899" s="336"/>
      <c r="G899" s="336"/>
      <c r="H899" s="336"/>
      <c r="I899" s="336"/>
      <c r="J899" s="336"/>
      <c r="K899" s="336"/>
      <c r="L899" s="336"/>
      <c r="M899" s="336"/>
      <c r="N899" s="336"/>
      <c r="O899" s="336"/>
      <c r="P899" s="336"/>
      <c r="Q899" s="336"/>
      <c r="R899" s="336"/>
      <c r="S899" s="336"/>
      <c r="T899" s="336"/>
      <c r="U899" s="337" t="s">
        <v>1225</v>
      </c>
      <c r="V899" s="336"/>
    </row>
    <row r="900" ht="15.75" customHeight="1">
      <c r="A900" s="336"/>
      <c r="B900" s="336"/>
      <c r="C900" s="336"/>
      <c r="D900" s="336"/>
      <c r="E900" s="336"/>
      <c r="F900" s="336"/>
      <c r="G900" s="336"/>
      <c r="H900" s="336"/>
      <c r="I900" s="336"/>
      <c r="J900" s="336"/>
      <c r="K900" s="336"/>
      <c r="L900" s="336"/>
      <c r="M900" s="336"/>
      <c r="N900" s="336"/>
      <c r="O900" s="336"/>
      <c r="P900" s="336"/>
      <c r="Q900" s="336"/>
      <c r="R900" s="336"/>
      <c r="S900" s="336"/>
      <c r="T900" s="336"/>
      <c r="U900" s="337" t="s">
        <v>1226</v>
      </c>
      <c r="V900" s="336"/>
    </row>
    <row r="901" ht="15.75" customHeight="1">
      <c r="A901" s="336"/>
      <c r="B901" s="336"/>
      <c r="C901" s="336"/>
      <c r="D901" s="336"/>
      <c r="E901" s="336"/>
      <c r="F901" s="336"/>
      <c r="G901" s="336"/>
      <c r="H901" s="336"/>
      <c r="I901" s="336"/>
      <c r="J901" s="336"/>
      <c r="K901" s="336"/>
      <c r="L901" s="336"/>
      <c r="M901" s="336"/>
      <c r="N901" s="336"/>
      <c r="O901" s="336"/>
      <c r="P901" s="336"/>
      <c r="Q901" s="336"/>
      <c r="R901" s="336"/>
      <c r="S901" s="336"/>
      <c r="T901" s="336"/>
      <c r="U901" s="337" t="s">
        <v>1227</v>
      </c>
      <c r="V901" s="336"/>
    </row>
    <row r="902" ht="15.75" customHeight="1">
      <c r="A902" s="336"/>
      <c r="B902" s="336"/>
      <c r="C902" s="336"/>
      <c r="D902" s="336"/>
      <c r="E902" s="336"/>
      <c r="F902" s="336"/>
      <c r="G902" s="336"/>
      <c r="H902" s="336"/>
      <c r="I902" s="336"/>
      <c r="J902" s="336"/>
      <c r="K902" s="336"/>
      <c r="L902" s="336"/>
      <c r="M902" s="336"/>
      <c r="N902" s="336"/>
      <c r="O902" s="336"/>
      <c r="P902" s="336"/>
      <c r="Q902" s="336"/>
      <c r="R902" s="336"/>
      <c r="S902" s="336"/>
      <c r="T902" s="336"/>
      <c r="U902" s="337" t="s">
        <v>1228</v>
      </c>
      <c r="V902" s="336"/>
    </row>
    <row r="903" ht="15.75" customHeight="1">
      <c r="A903" s="336"/>
      <c r="B903" s="336"/>
      <c r="C903" s="336"/>
      <c r="D903" s="336"/>
      <c r="E903" s="336"/>
      <c r="F903" s="336"/>
      <c r="G903" s="336"/>
      <c r="H903" s="336"/>
      <c r="I903" s="336"/>
      <c r="J903" s="336"/>
      <c r="K903" s="336"/>
      <c r="L903" s="336"/>
      <c r="M903" s="336"/>
      <c r="N903" s="336"/>
      <c r="O903" s="336"/>
      <c r="P903" s="336"/>
      <c r="Q903" s="336"/>
      <c r="R903" s="336"/>
      <c r="S903" s="336"/>
      <c r="T903" s="336"/>
      <c r="U903" s="337" t="s">
        <v>1229</v>
      </c>
      <c r="V903" s="336"/>
    </row>
    <row r="904" ht="15.75" customHeight="1">
      <c r="A904" s="336"/>
      <c r="B904" s="336"/>
      <c r="C904" s="336"/>
      <c r="D904" s="336"/>
      <c r="E904" s="336"/>
      <c r="F904" s="336"/>
      <c r="G904" s="336"/>
      <c r="H904" s="336"/>
      <c r="I904" s="336"/>
      <c r="J904" s="336"/>
      <c r="K904" s="336"/>
      <c r="L904" s="336"/>
      <c r="M904" s="336"/>
      <c r="N904" s="336"/>
      <c r="O904" s="336"/>
      <c r="P904" s="336"/>
      <c r="Q904" s="336"/>
      <c r="R904" s="336"/>
      <c r="S904" s="336"/>
      <c r="T904" s="336"/>
      <c r="U904" s="337" t="s">
        <v>1230</v>
      </c>
      <c r="V904" s="336"/>
    </row>
    <row r="905" ht="15.75" customHeight="1">
      <c r="A905" s="336"/>
      <c r="B905" s="336"/>
      <c r="C905" s="336"/>
      <c r="D905" s="336"/>
      <c r="E905" s="336"/>
      <c r="F905" s="336"/>
      <c r="G905" s="336"/>
      <c r="H905" s="336"/>
      <c r="I905" s="336"/>
      <c r="J905" s="336"/>
      <c r="K905" s="336"/>
      <c r="L905" s="336"/>
      <c r="M905" s="336"/>
      <c r="N905" s="336"/>
      <c r="O905" s="336"/>
      <c r="P905" s="336"/>
      <c r="Q905" s="336"/>
      <c r="R905" s="336"/>
      <c r="S905" s="336"/>
      <c r="T905" s="336"/>
      <c r="U905" s="337" t="s">
        <v>1231</v>
      </c>
      <c r="V905" s="336"/>
    </row>
    <row r="906" ht="15.75" customHeight="1">
      <c r="A906" s="336"/>
      <c r="B906" s="336"/>
      <c r="C906" s="336"/>
      <c r="D906" s="336"/>
      <c r="E906" s="336"/>
      <c r="F906" s="336"/>
      <c r="G906" s="336"/>
      <c r="H906" s="336"/>
      <c r="I906" s="336"/>
      <c r="J906" s="336"/>
      <c r="K906" s="336"/>
      <c r="L906" s="336"/>
      <c r="M906" s="336"/>
      <c r="N906" s="336"/>
      <c r="O906" s="336"/>
      <c r="P906" s="336"/>
      <c r="Q906" s="336"/>
      <c r="R906" s="336"/>
      <c r="S906" s="336"/>
      <c r="T906" s="336"/>
      <c r="U906" s="337" t="s">
        <v>1232</v>
      </c>
      <c r="V906" s="336"/>
    </row>
    <row r="907" ht="15.75" customHeight="1">
      <c r="A907" s="336"/>
      <c r="B907" s="336"/>
      <c r="C907" s="336"/>
      <c r="D907" s="336"/>
      <c r="E907" s="336"/>
      <c r="F907" s="336"/>
      <c r="G907" s="336"/>
      <c r="H907" s="336"/>
      <c r="I907" s="336"/>
      <c r="J907" s="336"/>
      <c r="K907" s="336"/>
      <c r="L907" s="336"/>
      <c r="M907" s="336"/>
      <c r="N907" s="336"/>
      <c r="O907" s="336"/>
      <c r="P907" s="336"/>
      <c r="Q907" s="336"/>
      <c r="R907" s="336"/>
      <c r="S907" s="336"/>
      <c r="T907" s="336"/>
      <c r="U907" s="337" t="s">
        <v>1233</v>
      </c>
      <c r="V907" s="336"/>
    </row>
    <row r="908" ht="15.75" customHeight="1">
      <c r="A908" s="336"/>
      <c r="B908" s="336"/>
      <c r="C908" s="336"/>
      <c r="D908" s="336"/>
      <c r="E908" s="336"/>
      <c r="F908" s="336"/>
      <c r="G908" s="336"/>
      <c r="H908" s="336"/>
      <c r="I908" s="336"/>
      <c r="J908" s="336"/>
      <c r="K908" s="336"/>
      <c r="L908" s="336"/>
      <c r="M908" s="336"/>
      <c r="N908" s="336"/>
      <c r="O908" s="336"/>
      <c r="P908" s="336"/>
      <c r="Q908" s="336"/>
      <c r="R908" s="336"/>
      <c r="S908" s="336"/>
      <c r="T908" s="336"/>
      <c r="U908" s="337" t="s">
        <v>1234</v>
      </c>
      <c r="V908" s="336"/>
    </row>
    <row r="909" ht="15.75" customHeight="1">
      <c r="A909" s="336"/>
      <c r="B909" s="336"/>
      <c r="C909" s="336"/>
      <c r="D909" s="336"/>
      <c r="E909" s="336"/>
      <c r="F909" s="336"/>
      <c r="G909" s="336"/>
      <c r="H909" s="336"/>
      <c r="I909" s="336"/>
      <c r="J909" s="336"/>
      <c r="K909" s="336"/>
      <c r="L909" s="336"/>
      <c r="M909" s="336"/>
      <c r="N909" s="336"/>
      <c r="O909" s="336"/>
      <c r="P909" s="336"/>
      <c r="Q909" s="336"/>
      <c r="R909" s="336"/>
      <c r="S909" s="336"/>
      <c r="T909" s="336"/>
      <c r="U909" s="337" t="s">
        <v>1235</v>
      </c>
      <c r="V909" s="336"/>
    </row>
    <row r="910" ht="15.75" customHeight="1">
      <c r="A910" s="336"/>
      <c r="B910" s="336"/>
      <c r="C910" s="336"/>
      <c r="D910" s="336"/>
      <c r="E910" s="336"/>
      <c r="F910" s="336"/>
      <c r="G910" s="336"/>
      <c r="H910" s="336"/>
      <c r="I910" s="336"/>
      <c r="J910" s="336"/>
      <c r="K910" s="336"/>
      <c r="L910" s="336"/>
      <c r="M910" s="336"/>
      <c r="N910" s="336"/>
      <c r="O910" s="336"/>
      <c r="P910" s="336"/>
      <c r="Q910" s="336"/>
      <c r="R910" s="336"/>
      <c r="S910" s="336"/>
      <c r="T910" s="336"/>
      <c r="U910" s="337" t="s">
        <v>1236</v>
      </c>
      <c r="V910" s="336"/>
    </row>
    <row r="911" ht="15.75" customHeight="1">
      <c r="A911" s="336"/>
      <c r="B911" s="336"/>
      <c r="C911" s="336"/>
      <c r="D911" s="336"/>
      <c r="E911" s="336"/>
      <c r="F911" s="336"/>
      <c r="G911" s="336"/>
      <c r="H911" s="336"/>
      <c r="I911" s="336"/>
      <c r="J911" s="336"/>
      <c r="K911" s="336"/>
      <c r="L911" s="336"/>
      <c r="M911" s="336"/>
      <c r="N911" s="336"/>
      <c r="O911" s="336"/>
      <c r="P911" s="336"/>
      <c r="Q911" s="336"/>
      <c r="R911" s="336"/>
      <c r="S911" s="336"/>
      <c r="T911" s="336"/>
      <c r="U911" s="337" t="s">
        <v>1237</v>
      </c>
      <c r="V911" s="336"/>
    </row>
    <row r="912" ht="15.75" customHeight="1">
      <c r="A912" s="336"/>
      <c r="B912" s="336"/>
      <c r="C912" s="336"/>
      <c r="D912" s="336"/>
      <c r="E912" s="336"/>
      <c r="F912" s="336"/>
      <c r="G912" s="336"/>
      <c r="H912" s="336"/>
      <c r="I912" s="336"/>
      <c r="J912" s="336"/>
      <c r="K912" s="336"/>
      <c r="L912" s="336"/>
      <c r="M912" s="336"/>
      <c r="N912" s="336"/>
      <c r="O912" s="336"/>
      <c r="P912" s="336"/>
      <c r="Q912" s="336"/>
      <c r="R912" s="336"/>
      <c r="S912" s="336"/>
      <c r="T912" s="336"/>
      <c r="U912" s="337" t="s">
        <v>1238</v>
      </c>
      <c r="V912" s="336"/>
    </row>
    <row r="913" ht="15.75" customHeight="1">
      <c r="A913" s="336"/>
      <c r="B913" s="336"/>
      <c r="C913" s="336"/>
      <c r="D913" s="336"/>
      <c r="E913" s="336"/>
      <c r="F913" s="336"/>
      <c r="G913" s="336"/>
      <c r="H913" s="336"/>
      <c r="I913" s="336"/>
      <c r="J913" s="336"/>
      <c r="K913" s="336"/>
      <c r="L913" s="336"/>
      <c r="M913" s="336"/>
      <c r="N913" s="336"/>
      <c r="O913" s="336"/>
      <c r="P913" s="336"/>
      <c r="Q913" s="336"/>
      <c r="R913" s="336"/>
      <c r="S913" s="336"/>
      <c r="T913" s="336"/>
      <c r="U913" s="337" t="s">
        <v>1239</v>
      </c>
      <c r="V913" s="336"/>
    </row>
    <row r="914" ht="15.75" customHeight="1">
      <c r="A914" s="336"/>
      <c r="B914" s="336"/>
      <c r="C914" s="336"/>
      <c r="D914" s="336"/>
      <c r="E914" s="336"/>
      <c r="F914" s="336"/>
      <c r="G914" s="336"/>
      <c r="H914" s="336"/>
      <c r="I914" s="336"/>
      <c r="J914" s="336"/>
      <c r="K914" s="336"/>
      <c r="L914" s="336"/>
      <c r="M914" s="336"/>
      <c r="N914" s="336"/>
      <c r="O914" s="336"/>
      <c r="P914" s="336"/>
      <c r="Q914" s="336"/>
      <c r="R914" s="336"/>
      <c r="S914" s="336"/>
      <c r="T914" s="336"/>
      <c r="U914" s="337" t="s">
        <v>1240</v>
      </c>
      <c r="V914" s="336"/>
    </row>
    <row r="915" ht="15.75" customHeight="1">
      <c r="A915" s="336"/>
      <c r="B915" s="336"/>
      <c r="C915" s="336"/>
      <c r="D915" s="336"/>
      <c r="E915" s="336"/>
      <c r="F915" s="336"/>
      <c r="G915" s="336"/>
      <c r="H915" s="336"/>
      <c r="I915" s="336"/>
      <c r="J915" s="336"/>
      <c r="K915" s="336"/>
      <c r="L915" s="336"/>
      <c r="M915" s="336"/>
      <c r="N915" s="336"/>
      <c r="O915" s="336"/>
      <c r="P915" s="336"/>
      <c r="Q915" s="336"/>
      <c r="R915" s="336"/>
      <c r="S915" s="336"/>
      <c r="T915" s="336"/>
      <c r="U915" s="337" t="s">
        <v>1241</v>
      </c>
      <c r="V915" s="336"/>
    </row>
    <row r="916" ht="15.75" customHeight="1">
      <c r="A916" s="336"/>
      <c r="B916" s="336"/>
      <c r="C916" s="336"/>
      <c r="D916" s="336"/>
      <c r="E916" s="336"/>
      <c r="F916" s="336"/>
      <c r="G916" s="336"/>
      <c r="H916" s="336"/>
      <c r="I916" s="336"/>
      <c r="J916" s="336"/>
      <c r="K916" s="336"/>
      <c r="L916" s="336"/>
      <c r="M916" s="336"/>
      <c r="N916" s="336"/>
      <c r="O916" s="336"/>
      <c r="P916" s="336"/>
      <c r="Q916" s="336"/>
      <c r="R916" s="336"/>
      <c r="S916" s="336"/>
      <c r="T916" s="336"/>
      <c r="U916" s="337" t="s">
        <v>1242</v>
      </c>
      <c r="V916" s="336"/>
    </row>
    <row r="917" ht="15.75" customHeight="1">
      <c r="A917" s="336"/>
      <c r="B917" s="336"/>
      <c r="C917" s="336"/>
      <c r="D917" s="336"/>
      <c r="E917" s="336"/>
      <c r="F917" s="336"/>
      <c r="G917" s="336"/>
      <c r="H917" s="336"/>
      <c r="I917" s="336"/>
      <c r="J917" s="336"/>
      <c r="K917" s="336"/>
      <c r="L917" s="336"/>
      <c r="M917" s="336"/>
      <c r="N917" s="336"/>
      <c r="O917" s="336"/>
      <c r="P917" s="336"/>
      <c r="Q917" s="336"/>
      <c r="R917" s="336"/>
      <c r="S917" s="336"/>
      <c r="T917" s="336"/>
      <c r="U917" s="337" t="s">
        <v>1243</v>
      </c>
      <c r="V917" s="336"/>
    </row>
    <row r="918" ht="15.75" customHeight="1">
      <c r="A918" s="336"/>
      <c r="B918" s="336"/>
      <c r="C918" s="336"/>
      <c r="D918" s="336"/>
      <c r="E918" s="336"/>
      <c r="F918" s="336"/>
      <c r="G918" s="336"/>
      <c r="H918" s="336"/>
      <c r="I918" s="336"/>
      <c r="J918" s="336"/>
      <c r="K918" s="336"/>
      <c r="L918" s="336"/>
      <c r="M918" s="336"/>
      <c r="N918" s="336"/>
      <c r="O918" s="336"/>
      <c r="P918" s="336"/>
      <c r="Q918" s="336"/>
      <c r="R918" s="336"/>
      <c r="S918" s="336"/>
      <c r="T918" s="336"/>
      <c r="U918" s="337" t="s">
        <v>1244</v>
      </c>
      <c r="V918" s="336"/>
    </row>
    <row r="919" ht="15.75" customHeight="1">
      <c r="A919" s="336"/>
      <c r="B919" s="336"/>
      <c r="C919" s="336"/>
      <c r="D919" s="336"/>
      <c r="E919" s="336"/>
      <c r="F919" s="336"/>
      <c r="G919" s="336"/>
      <c r="H919" s="336"/>
      <c r="I919" s="336"/>
      <c r="J919" s="336"/>
      <c r="K919" s="336"/>
      <c r="L919" s="336"/>
      <c r="M919" s="336"/>
      <c r="N919" s="336"/>
      <c r="O919" s="336"/>
      <c r="P919" s="336"/>
      <c r="Q919" s="336"/>
      <c r="R919" s="336"/>
      <c r="S919" s="336"/>
      <c r="T919" s="336"/>
      <c r="U919" s="337" t="s">
        <v>1245</v>
      </c>
      <c r="V919" s="336"/>
    </row>
    <row r="920" ht="15.75" customHeight="1">
      <c r="A920" s="336"/>
      <c r="B920" s="336"/>
      <c r="C920" s="336"/>
      <c r="D920" s="336"/>
      <c r="E920" s="336"/>
      <c r="F920" s="336"/>
      <c r="G920" s="336"/>
      <c r="H920" s="336"/>
      <c r="I920" s="336"/>
      <c r="J920" s="336"/>
      <c r="K920" s="336"/>
      <c r="L920" s="336"/>
      <c r="M920" s="336"/>
      <c r="N920" s="336"/>
      <c r="O920" s="336"/>
      <c r="P920" s="336"/>
      <c r="Q920" s="336"/>
      <c r="R920" s="336"/>
      <c r="S920" s="336"/>
      <c r="T920" s="336"/>
      <c r="U920" s="337" t="s">
        <v>1246</v>
      </c>
      <c r="V920" s="336"/>
    </row>
    <row r="921" ht="15.75" customHeight="1">
      <c r="A921" s="336"/>
      <c r="B921" s="336"/>
      <c r="C921" s="336"/>
      <c r="D921" s="336"/>
      <c r="E921" s="336"/>
      <c r="F921" s="336"/>
      <c r="G921" s="336"/>
      <c r="H921" s="336"/>
      <c r="I921" s="336"/>
      <c r="J921" s="336"/>
      <c r="K921" s="336"/>
      <c r="L921" s="336"/>
      <c r="M921" s="336"/>
      <c r="N921" s="336"/>
      <c r="O921" s="336"/>
      <c r="P921" s="336"/>
      <c r="Q921" s="336"/>
      <c r="R921" s="336"/>
      <c r="S921" s="336"/>
      <c r="T921" s="336"/>
      <c r="U921" s="337" t="s">
        <v>1247</v>
      </c>
      <c r="V921" s="336"/>
    </row>
    <row r="922" ht="15.75" customHeight="1">
      <c r="A922" s="336"/>
      <c r="B922" s="336"/>
      <c r="C922" s="336"/>
      <c r="D922" s="336"/>
      <c r="E922" s="336"/>
      <c r="F922" s="336"/>
      <c r="G922" s="336"/>
      <c r="H922" s="336"/>
      <c r="I922" s="336"/>
      <c r="J922" s="336"/>
      <c r="K922" s="336"/>
      <c r="L922" s="336"/>
      <c r="M922" s="336"/>
      <c r="N922" s="336"/>
      <c r="O922" s="336"/>
      <c r="P922" s="336"/>
      <c r="Q922" s="336"/>
      <c r="R922" s="336"/>
      <c r="S922" s="336"/>
      <c r="T922" s="336"/>
      <c r="U922" s="337" t="s">
        <v>1248</v>
      </c>
      <c r="V922" s="336"/>
    </row>
    <row r="923" ht="15.75" customHeight="1">
      <c r="A923" s="336"/>
      <c r="B923" s="336"/>
      <c r="C923" s="336"/>
      <c r="D923" s="336"/>
      <c r="E923" s="336"/>
      <c r="F923" s="336"/>
      <c r="G923" s="336"/>
      <c r="H923" s="336"/>
      <c r="I923" s="336"/>
      <c r="J923" s="336"/>
      <c r="K923" s="336"/>
      <c r="L923" s="336"/>
      <c r="M923" s="336"/>
      <c r="N923" s="336"/>
      <c r="O923" s="336"/>
      <c r="P923" s="336"/>
      <c r="Q923" s="336"/>
      <c r="R923" s="336"/>
      <c r="S923" s="336"/>
      <c r="T923" s="336"/>
      <c r="U923" s="337" t="s">
        <v>1249</v>
      </c>
      <c r="V923" s="336"/>
    </row>
    <row r="924" ht="15.75" customHeight="1">
      <c r="A924" s="336"/>
      <c r="B924" s="336"/>
      <c r="C924" s="336"/>
      <c r="D924" s="336"/>
      <c r="E924" s="336"/>
      <c r="F924" s="336"/>
      <c r="G924" s="336"/>
      <c r="H924" s="336"/>
      <c r="I924" s="336"/>
      <c r="J924" s="336"/>
      <c r="K924" s="336"/>
      <c r="L924" s="336"/>
      <c r="M924" s="336"/>
      <c r="N924" s="336"/>
      <c r="O924" s="336"/>
      <c r="P924" s="336"/>
      <c r="Q924" s="336"/>
      <c r="R924" s="336"/>
      <c r="S924" s="336"/>
      <c r="T924" s="336"/>
      <c r="U924" s="337" t="s">
        <v>1250</v>
      </c>
      <c r="V924" s="336"/>
    </row>
    <row r="925" ht="15.75" customHeight="1">
      <c r="A925" s="336"/>
      <c r="B925" s="336"/>
      <c r="C925" s="336"/>
      <c r="D925" s="336"/>
      <c r="E925" s="336"/>
      <c r="F925" s="336"/>
      <c r="G925" s="336"/>
      <c r="H925" s="336"/>
      <c r="I925" s="336"/>
      <c r="J925" s="336"/>
      <c r="K925" s="336"/>
      <c r="L925" s="336"/>
      <c r="M925" s="336"/>
      <c r="N925" s="336"/>
      <c r="O925" s="336"/>
      <c r="P925" s="336"/>
      <c r="Q925" s="336"/>
      <c r="R925" s="336"/>
      <c r="S925" s="336"/>
      <c r="T925" s="336"/>
      <c r="U925" s="337" t="s">
        <v>1251</v>
      </c>
      <c r="V925" s="336"/>
    </row>
    <row r="926" ht="15.75" customHeight="1">
      <c r="A926" s="336"/>
      <c r="B926" s="336"/>
      <c r="C926" s="336"/>
      <c r="D926" s="336"/>
      <c r="E926" s="336"/>
      <c r="F926" s="336"/>
      <c r="G926" s="336"/>
      <c r="H926" s="336"/>
      <c r="I926" s="336"/>
      <c r="J926" s="336"/>
      <c r="K926" s="336"/>
      <c r="L926" s="336"/>
      <c r="M926" s="336"/>
      <c r="N926" s="336"/>
      <c r="O926" s="336"/>
      <c r="P926" s="336"/>
      <c r="Q926" s="336"/>
      <c r="R926" s="336"/>
      <c r="S926" s="336"/>
      <c r="T926" s="336"/>
      <c r="U926" s="337" t="s">
        <v>1252</v>
      </c>
      <c r="V926" s="336"/>
    </row>
    <row r="927" ht="15.75" customHeight="1">
      <c r="A927" s="336"/>
      <c r="B927" s="336"/>
      <c r="C927" s="336"/>
      <c r="D927" s="336"/>
      <c r="E927" s="336"/>
      <c r="F927" s="336"/>
      <c r="G927" s="336"/>
      <c r="H927" s="336"/>
      <c r="I927" s="336"/>
      <c r="J927" s="336"/>
      <c r="K927" s="336"/>
      <c r="L927" s="336"/>
      <c r="M927" s="336"/>
      <c r="N927" s="336"/>
      <c r="O927" s="336"/>
      <c r="P927" s="336"/>
      <c r="Q927" s="336"/>
      <c r="R927" s="336"/>
      <c r="S927" s="336"/>
      <c r="T927" s="336"/>
      <c r="U927" s="337" t="s">
        <v>1253</v>
      </c>
      <c r="V927" s="336"/>
    </row>
    <row r="928" ht="15.75" customHeight="1">
      <c r="A928" s="336"/>
      <c r="B928" s="336"/>
      <c r="C928" s="336"/>
      <c r="D928" s="336"/>
      <c r="E928" s="336"/>
      <c r="F928" s="336"/>
      <c r="G928" s="336"/>
      <c r="H928" s="336"/>
      <c r="I928" s="336"/>
      <c r="J928" s="336"/>
      <c r="K928" s="336"/>
      <c r="L928" s="336"/>
      <c r="M928" s="336"/>
      <c r="N928" s="336"/>
      <c r="O928" s="336"/>
      <c r="P928" s="336"/>
      <c r="Q928" s="336"/>
      <c r="R928" s="336"/>
      <c r="S928" s="336"/>
      <c r="T928" s="336"/>
      <c r="U928" s="337" t="s">
        <v>1254</v>
      </c>
      <c r="V928" s="336"/>
    </row>
    <row r="929" ht="15.75" customHeight="1">
      <c r="A929" s="336"/>
      <c r="B929" s="336"/>
      <c r="C929" s="336"/>
      <c r="D929" s="336"/>
      <c r="E929" s="336"/>
      <c r="F929" s="336"/>
      <c r="G929" s="336"/>
      <c r="H929" s="336"/>
      <c r="I929" s="336"/>
      <c r="J929" s="336"/>
      <c r="K929" s="336"/>
      <c r="L929" s="336"/>
      <c r="M929" s="336"/>
      <c r="N929" s="336"/>
      <c r="O929" s="336"/>
      <c r="P929" s="336"/>
      <c r="Q929" s="336"/>
      <c r="R929" s="336"/>
      <c r="S929" s="336"/>
      <c r="T929" s="336"/>
      <c r="U929" s="337" t="s">
        <v>1255</v>
      </c>
      <c r="V929" s="336"/>
    </row>
    <row r="930" ht="15.75" customHeight="1">
      <c r="A930" s="336"/>
      <c r="B930" s="336"/>
      <c r="C930" s="336"/>
      <c r="D930" s="336"/>
      <c r="E930" s="336"/>
      <c r="F930" s="336"/>
      <c r="G930" s="336"/>
      <c r="H930" s="336"/>
      <c r="I930" s="336"/>
      <c r="J930" s="336"/>
      <c r="K930" s="336"/>
      <c r="L930" s="336"/>
      <c r="M930" s="336"/>
      <c r="N930" s="336"/>
      <c r="O930" s="336"/>
      <c r="P930" s="336"/>
      <c r="Q930" s="336"/>
      <c r="R930" s="336"/>
      <c r="S930" s="336"/>
      <c r="T930" s="336"/>
      <c r="U930" s="337" t="s">
        <v>1256</v>
      </c>
      <c r="V930" s="336"/>
    </row>
    <row r="931" ht="15.75" customHeight="1">
      <c r="A931" s="336"/>
      <c r="B931" s="336"/>
      <c r="C931" s="336"/>
      <c r="D931" s="336"/>
      <c r="E931" s="336"/>
      <c r="F931" s="336"/>
      <c r="G931" s="336"/>
      <c r="H931" s="336"/>
      <c r="I931" s="336"/>
      <c r="J931" s="336"/>
      <c r="K931" s="336"/>
      <c r="L931" s="336"/>
      <c r="M931" s="336"/>
      <c r="N931" s="336"/>
      <c r="O931" s="336"/>
      <c r="P931" s="336"/>
      <c r="Q931" s="336"/>
      <c r="R931" s="336"/>
      <c r="S931" s="336"/>
      <c r="T931" s="336"/>
      <c r="U931" s="337" t="s">
        <v>1257</v>
      </c>
      <c r="V931" s="336"/>
    </row>
    <row r="932" ht="15.75" customHeight="1">
      <c r="A932" s="336"/>
      <c r="B932" s="336"/>
      <c r="C932" s="336"/>
      <c r="D932" s="336"/>
      <c r="E932" s="336"/>
      <c r="F932" s="336"/>
      <c r="G932" s="336"/>
      <c r="H932" s="336"/>
      <c r="I932" s="336"/>
      <c r="J932" s="336"/>
      <c r="K932" s="336"/>
      <c r="L932" s="336"/>
      <c r="M932" s="336"/>
      <c r="N932" s="336"/>
      <c r="O932" s="336"/>
      <c r="P932" s="336"/>
      <c r="Q932" s="336"/>
      <c r="R932" s="336"/>
      <c r="S932" s="336"/>
      <c r="T932" s="336"/>
      <c r="U932" s="337" t="s">
        <v>1258</v>
      </c>
      <c r="V932" s="336"/>
    </row>
    <row r="933" ht="15.75" customHeight="1">
      <c r="A933" s="336"/>
      <c r="B933" s="336"/>
      <c r="C933" s="336"/>
      <c r="D933" s="336"/>
      <c r="E933" s="336"/>
      <c r="F933" s="336"/>
      <c r="G933" s="336"/>
      <c r="H933" s="336"/>
      <c r="I933" s="336"/>
      <c r="J933" s="336"/>
      <c r="K933" s="336"/>
      <c r="L933" s="336"/>
      <c r="M933" s="336"/>
      <c r="N933" s="336"/>
      <c r="O933" s="336"/>
      <c r="P933" s="336"/>
      <c r="Q933" s="336"/>
      <c r="R933" s="336"/>
      <c r="S933" s="336"/>
      <c r="T933" s="336"/>
      <c r="U933" s="337" t="s">
        <v>1259</v>
      </c>
      <c r="V933" s="336"/>
    </row>
    <row r="934" ht="15.75" customHeight="1">
      <c r="A934" s="336"/>
      <c r="B934" s="336"/>
      <c r="C934" s="336"/>
      <c r="D934" s="336"/>
      <c r="E934" s="336"/>
      <c r="F934" s="336"/>
      <c r="G934" s="336"/>
      <c r="H934" s="336"/>
      <c r="I934" s="336"/>
      <c r="J934" s="336"/>
      <c r="K934" s="336"/>
      <c r="L934" s="336"/>
      <c r="M934" s="336"/>
      <c r="N934" s="336"/>
      <c r="O934" s="336"/>
      <c r="P934" s="336"/>
      <c r="Q934" s="336"/>
      <c r="R934" s="336"/>
      <c r="S934" s="336"/>
      <c r="T934" s="336"/>
      <c r="U934" s="337" t="s">
        <v>1260</v>
      </c>
      <c r="V934" s="336"/>
    </row>
    <row r="935" ht="15.75" customHeight="1">
      <c r="A935" s="336"/>
      <c r="B935" s="336"/>
      <c r="C935" s="336"/>
      <c r="D935" s="336"/>
      <c r="E935" s="336"/>
      <c r="F935" s="336"/>
      <c r="G935" s="336"/>
      <c r="H935" s="336"/>
      <c r="I935" s="336"/>
      <c r="J935" s="336"/>
      <c r="K935" s="336"/>
      <c r="L935" s="336"/>
      <c r="M935" s="336"/>
      <c r="N935" s="336"/>
      <c r="O935" s="336"/>
      <c r="P935" s="336"/>
      <c r="Q935" s="336"/>
      <c r="R935" s="336"/>
      <c r="S935" s="336"/>
      <c r="T935" s="336"/>
      <c r="U935" s="337" t="s">
        <v>1261</v>
      </c>
      <c r="V935" s="336"/>
    </row>
    <row r="936" ht="15.75" customHeight="1">
      <c r="A936" s="336"/>
      <c r="B936" s="336"/>
      <c r="C936" s="336"/>
      <c r="D936" s="336"/>
      <c r="E936" s="336"/>
      <c r="F936" s="336"/>
      <c r="G936" s="336"/>
      <c r="H936" s="336"/>
      <c r="I936" s="336"/>
      <c r="J936" s="336"/>
      <c r="K936" s="336"/>
      <c r="L936" s="336"/>
      <c r="M936" s="336"/>
      <c r="N936" s="336"/>
      <c r="O936" s="336"/>
      <c r="P936" s="336"/>
      <c r="Q936" s="336"/>
      <c r="R936" s="336"/>
      <c r="S936" s="336"/>
      <c r="T936" s="336"/>
      <c r="U936" s="337" t="s">
        <v>1262</v>
      </c>
      <c r="V936" s="336"/>
    </row>
    <row r="937" ht="15.75" customHeight="1">
      <c r="A937" s="336"/>
      <c r="B937" s="336"/>
      <c r="C937" s="336"/>
      <c r="D937" s="336"/>
      <c r="E937" s="336"/>
      <c r="F937" s="336"/>
      <c r="G937" s="336"/>
      <c r="H937" s="336"/>
      <c r="I937" s="336"/>
      <c r="J937" s="336"/>
      <c r="K937" s="336"/>
      <c r="L937" s="336"/>
      <c r="M937" s="336"/>
      <c r="N937" s="336"/>
      <c r="O937" s="336"/>
      <c r="P937" s="336"/>
      <c r="Q937" s="336"/>
      <c r="R937" s="336"/>
      <c r="S937" s="336"/>
      <c r="T937" s="336"/>
      <c r="U937" s="337" t="s">
        <v>1263</v>
      </c>
      <c r="V937" s="336"/>
    </row>
    <row r="938" ht="15.75" customHeight="1">
      <c r="A938" s="336"/>
      <c r="B938" s="336"/>
      <c r="C938" s="336"/>
      <c r="D938" s="336"/>
      <c r="E938" s="336"/>
      <c r="F938" s="336"/>
      <c r="G938" s="336"/>
      <c r="H938" s="336"/>
      <c r="I938" s="336"/>
      <c r="J938" s="336"/>
      <c r="K938" s="336"/>
      <c r="L938" s="336"/>
      <c r="M938" s="336"/>
      <c r="N938" s="336"/>
      <c r="O938" s="336"/>
      <c r="P938" s="336"/>
      <c r="Q938" s="336"/>
      <c r="R938" s="336"/>
      <c r="S938" s="336"/>
      <c r="T938" s="336"/>
      <c r="U938" s="337" t="s">
        <v>1264</v>
      </c>
      <c r="V938" s="336"/>
    </row>
    <row r="939" ht="15.75" customHeight="1">
      <c r="A939" s="336"/>
      <c r="B939" s="336"/>
      <c r="C939" s="336"/>
      <c r="D939" s="336"/>
      <c r="E939" s="336"/>
      <c r="F939" s="336"/>
      <c r="G939" s="336"/>
      <c r="H939" s="336"/>
      <c r="I939" s="336"/>
      <c r="J939" s="336"/>
      <c r="K939" s="336"/>
      <c r="L939" s="336"/>
      <c r="M939" s="336"/>
      <c r="N939" s="336"/>
      <c r="O939" s="336"/>
      <c r="P939" s="336"/>
      <c r="Q939" s="336"/>
      <c r="R939" s="336"/>
      <c r="S939" s="336"/>
      <c r="T939" s="336"/>
      <c r="U939" s="337" t="s">
        <v>1265</v>
      </c>
      <c r="V939" s="336"/>
    </row>
    <row r="940" ht="15.75" customHeight="1">
      <c r="A940" s="336"/>
      <c r="B940" s="336"/>
      <c r="C940" s="336"/>
      <c r="D940" s="336"/>
      <c r="E940" s="336"/>
      <c r="F940" s="336"/>
      <c r="G940" s="336"/>
      <c r="H940" s="336"/>
      <c r="I940" s="336"/>
      <c r="J940" s="336"/>
      <c r="K940" s="336"/>
      <c r="L940" s="336"/>
      <c r="M940" s="336"/>
      <c r="N940" s="336"/>
      <c r="O940" s="336"/>
      <c r="P940" s="336"/>
      <c r="Q940" s="336"/>
      <c r="R940" s="336"/>
      <c r="S940" s="336"/>
      <c r="T940" s="336"/>
      <c r="U940" s="337" t="s">
        <v>1266</v>
      </c>
      <c r="V940" s="336"/>
    </row>
    <row r="941" ht="15.75" customHeight="1">
      <c r="A941" s="336"/>
      <c r="B941" s="336"/>
      <c r="C941" s="336"/>
      <c r="D941" s="336"/>
      <c r="E941" s="336"/>
      <c r="F941" s="336"/>
      <c r="G941" s="336"/>
      <c r="H941" s="336"/>
      <c r="I941" s="336"/>
      <c r="J941" s="336"/>
      <c r="K941" s="336"/>
      <c r="L941" s="336"/>
      <c r="M941" s="336"/>
      <c r="N941" s="336"/>
      <c r="O941" s="336"/>
      <c r="P941" s="336"/>
      <c r="Q941" s="336"/>
      <c r="R941" s="336"/>
      <c r="S941" s="336"/>
      <c r="T941" s="336"/>
      <c r="U941" s="337" t="s">
        <v>1267</v>
      </c>
      <c r="V941" s="336"/>
    </row>
    <row r="942" ht="15.75" customHeight="1">
      <c r="A942" s="336"/>
      <c r="B942" s="336"/>
      <c r="C942" s="336"/>
      <c r="D942" s="336"/>
      <c r="E942" s="336"/>
      <c r="F942" s="336"/>
      <c r="G942" s="336"/>
      <c r="H942" s="336"/>
      <c r="I942" s="336"/>
      <c r="J942" s="336"/>
      <c r="K942" s="336"/>
      <c r="L942" s="336"/>
      <c r="M942" s="336"/>
      <c r="N942" s="336"/>
      <c r="O942" s="336"/>
      <c r="P942" s="336"/>
      <c r="Q942" s="336"/>
      <c r="R942" s="336"/>
      <c r="S942" s="336"/>
      <c r="T942" s="336"/>
      <c r="U942" s="337" t="s">
        <v>1268</v>
      </c>
      <c r="V942" s="336"/>
    </row>
    <row r="943" ht="15.75" customHeight="1">
      <c r="A943" s="336"/>
      <c r="B943" s="336"/>
      <c r="C943" s="336"/>
      <c r="D943" s="336"/>
      <c r="E943" s="336"/>
      <c r="F943" s="336"/>
      <c r="G943" s="336"/>
      <c r="H943" s="336"/>
      <c r="I943" s="336"/>
      <c r="J943" s="336"/>
      <c r="K943" s="336"/>
      <c r="L943" s="336"/>
      <c r="M943" s="336"/>
      <c r="N943" s="336"/>
      <c r="O943" s="336"/>
      <c r="P943" s="336"/>
      <c r="Q943" s="336"/>
      <c r="R943" s="336"/>
      <c r="S943" s="336"/>
      <c r="T943" s="336"/>
      <c r="U943" s="337" t="s">
        <v>1269</v>
      </c>
      <c r="V943" s="336"/>
    </row>
    <row r="944" ht="15.75" customHeight="1">
      <c r="A944" s="336"/>
      <c r="B944" s="336"/>
      <c r="C944" s="336"/>
      <c r="D944" s="336"/>
      <c r="E944" s="336"/>
      <c r="F944" s="336"/>
      <c r="G944" s="336"/>
      <c r="H944" s="336"/>
      <c r="I944" s="336"/>
      <c r="J944" s="336"/>
      <c r="K944" s="336"/>
      <c r="L944" s="336"/>
      <c r="M944" s="336"/>
      <c r="N944" s="336"/>
      <c r="O944" s="336"/>
      <c r="P944" s="336"/>
      <c r="Q944" s="336"/>
      <c r="R944" s="336"/>
      <c r="S944" s="336"/>
      <c r="T944" s="336"/>
      <c r="U944" s="337" t="s">
        <v>1270</v>
      </c>
      <c r="V944" s="336"/>
    </row>
    <row r="945" ht="15.75" customHeight="1">
      <c r="A945" s="336"/>
      <c r="B945" s="336"/>
      <c r="C945" s="336"/>
      <c r="D945" s="336"/>
      <c r="E945" s="336"/>
      <c r="F945" s="336"/>
      <c r="G945" s="336"/>
      <c r="H945" s="336"/>
      <c r="I945" s="336"/>
      <c r="J945" s="336"/>
      <c r="K945" s="336"/>
      <c r="L945" s="336"/>
      <c r="M945" s="336"/>
      <c r="N945" s="336"/>
      <c r="O945" s="336"/>
      <c r="P945" s="336"/>
      <c r="Q945" s="336"/>
      <c r="R945" s="336"/>
      <c r="S945" s="336"/>
      <c r="T945" s="336"/>
      <c r="U945" s="337" t="s">
        <v>1271</v>
      </c>
      <c r="V945" s="336"/>
    </row>
    <row r="946" ht="15.75" customHeight="1">
      <c r="A946" s="336"/>
      <c r="B946" s="336"/>
      <c r="C946" s="336"/>
      <c r="D946" s="336"/>
      <c r="E946" s="336"/>
      <c r="F946" s="336"/>
      <c r="G946" s="336"/>
      <c r="H946" s="336"/>
      <c r="I946" s="336"/>
      <c r="J946" s="336"/>
      <c r="K946" s="336"/>
      <c r="L946" s="336"/>
      <c r="M946" s="336"/>
      <c r="N946" s="336"/>
      <c r="O946" s="336"/>
      <c r="P946" s="336"/>
      <c r="Q946" s="336"/>
      <c r="R946" s="336"/>
      <c r="S946" s="336"/>
      <c r="T946" s="336"/>
      <c r="U946" s="337" t="s">
        <v>1272</v>
      </c>
      <c r="V946" s="336"/>
    </row>
    <row r="947" ht="15.75" customHeight="1">
      <c r="A947" s="336"/>
      <c r="B947" s="336"/>
      <c r="C947" s="336"/>
      <c r="D947" s="336"/>
      <c r="E947" s="336"/>
      <c r="F947" s="336"/>
      <c r="G947" s="336"/>
      <c r="H947" s="336"/>
      <c r="I947" s="336"/>
      <c r="J947" s="336"/>
      <c r="K947" s="336"/>
      <c r="L947" s="336"/>
      <c r="M947" s="336"/>
      <c r="N947" s="336"/>
      <c r="O947" s="336"/>
      <c r="P947" s="336"/>
      <c r="Q947" s="336"/>
      <c r="R947" s="336"/>
      <c r="S947" s="336"/>
      <c r="T947" s="336"/>
      <c r="U947" s="337" t="s">
        <v>1273</v>
      </c>
      <c r="V947" s="336"/>
    </row>
    <row r="948" ht="15.75" customHeight="1">
      <c r="A948" s="336"/>
      <c r="B948" s="336"/>
      <c r="C948" s="336"/>
      <c r="D948" s="336"/>
      <c r="E948" s="336"/>
      <c r="F948" s="336"/>
      <c r="G948" s="336"/>
      <c r="H948" s="336"/>
      <c r="I948" s="336"/>
      <c r="J948" s="336"/>
      <c r="K948" s="336"/>
      <c r="L948" s="336"/>
      <c r="M948" s="336"/>
      <c r="N948" s="336"/>
      <c r="O948" s="336"/>
      <c r="P948" s="336"/>
      <c r="Q948" s="336"/>
      <c r="R948" s="336"/>
      <c r="S948" s="336"/>
      <c r="T948" s="336"/>
      <c r="U948" s="337" t="s">
        <v>1274</v>
      </c>
      <c r="V948" s="336"/>
    </row>
    <row r="949" ht="15.75" customHeight="1">
      <c r="A949" s="336"/>
      <c r="B949" s="336"/>
      <c r="C949" s="336"/>
      <c r="D949" s="336"/>
      <c r="E949" s="336"/>
      <c r="F949" s="336"/>
      <c r="G949" s="336"/>
      <c r="H949" s="336"/>
      <c r="I949" s="336"/>
      <c r="J949" s="336"/>
      <c r="K949" s="336"/>
      <c r="L949" s="336"/>
      <c r="M949" s="336"/>
      <c r="N949" s="336"/>
      <c r="O949" s="336"/>
      <c r="P949" s="336"/>
      <c r="Q949" s="336"/>
      <c r="R949" s="336"/>
      <c r="S949" s="336"/>
      <c r="T949" s="336"/>
      <c r="U949" s="337" t="s">
        <v>1275</v>
      </c>
      <c r="V949" s="336"/>
    </row>
    <row r="950" ht="15.75" customHeight="1">
      <c r="A950" s="336"/>
      <c r="B950" s="336"/>
      <c r="C950" s="336"/>
      <c r="D950" s="336"/>
      <c r="E950" s="336"/>
      <c r="F950" s="336"/>
      <c r="G950" s="336"/>
      <c r="H950" s="336"/>
      <c r="I950" s="336"/>
      <c r="J950" s="336"/>
      <c r="K950" s="336"/>
      <c r="L950" s="336"/>
      <c r="M950" s="336"/>
      <c r="N950" s="336"/>
      <c r="O950" s="336"/>
      <c r="P950" s="336"/>
      <c r="Q950" s="336"/>
      <c r="R950" s="336"/>
      <c r="S950" s="336"/>
      <c r="T950" s="336"/>
      <c r="U950" s="337" t="s">
        <v>1276</v>
      </c>
      <c r="V950" s="336"/>
    </row>
    <row r="951" ht="15.75" customHeight="1">
      <c r="A951" s="336"/>
      <c r="B951" s="336"/>
      <c r="C951" s="336"/>
      <c r="D951" s="336"/>
      <c r="E951" s="336"/>
      <c r="F951" s="336"/>
      <c r="G951" s="336"/>
      <c r="H951" s="336"/>
      <c r="I951" s="336"/>
      <c r="J951" s="336"/>
      <c r="K951" s="336"/>
      <c r="L951" s="336"/>
      <c r="M951" s="336"/>
      <c r="N951" s="336"/>
      <c r="O951" s="336"/>
      <c r="P951" s="336"/>
      <c r="Q951" s="336"/>
      <c r="R951" s="336"/>
      <c r="S951" s="336"/>
      <c r="T951" s="336"/>
      <c r="U951" s="337" t="s">
        <v>1277</v>
      </c>
      <c r="V951" s="336"/>
    </row>
    <row r="952" ht="15.75" customHeight="1">
      <c r="A952" s="336"/>
      <c r="B952" s="336"/>
      <c r="C952" s="336"/>
      <c r="D952" s="336"/>
      <c r="E952" s="336"/>
      <c r="F952" s="336"/>
      <c r="G952" s="336"/>
      <c r="H952" s="336"/>
      <c r="I952" s="336"/>
      <c r="J952" s="336"/>
      <c r="K952" s="336"/>
      <c r="L952" s="336"/>
      <c r="M952" s="336"/>
      <c r="N952" s="336"/>
      <c r="O952" s="336"/>
      <c r="P952" s="336"/>
      <c r="Q952" s="336"/>
      <c r="R952" s="336"/>
      <c r="S952" s="336"/>
      <c r="T952" s="336"/>
      <c r="U952" s="337" t="s">
        <v>1278</v>
      </c>
      <c r="V952" s="336"/>
    </row>
    <row r="953" ht="15.75" customHeight="1">
      <c r="A953" s="336"/>
      <c r="B953" s="336"/>
      <c r="C953" s="336"/>
      <c r="D953" s="336"/>
      <c r="E953" s="336"/>
      <c r="F953" s="336"/>
      <c r="G953" s="336"/>
      <c r="H953" s="336"/>
      <c r="I953" s="336"/>
      <c r="J953" s="336"/>
      <c r="K953" s="336"/>
      <c r="L953" s="336"/>
      <c r="M953" s="336"/>
      <c r="N953" s="336"/>
      <c r="O953" s="336"/>
      <c r="P953" s="336"/>
      <c r="Q953" s="336"/>
      <c r="R953" s="336"/>
      <c r="S953" s="336"/>
      <c r="T953" s="336"/>
      <c r="U953" s="337" t="s">
        <v>1279</v>
      </c>
      <c r="V953" s="336"/>
    </row>
    <row r="954" ht="15.75" customHeight="1">
      <c r="A954" s="336"/>
      <c r="B954" s="336"/>
      <c r="C954" s="336"/>
      <c r="D954" s="336"/>
      <c r="E954" s="336"/>
      <c r="F954" s="336"/>
      <c r="G954" s="336"/>
      <c r="H954" s="336"/>
      <c r="I954" s="336"/>
      <c r="J954" s="336"/>
      <c r="K954" s="336"/>
      <c r="L954" s="336"/>
      <c r="M954" s="336"/>
      <c r="N954" s="336"/>
      <c r="O954" s="336"/>
      <c r="P954" s="336"/>
      <c r="Q954" s="336"/>
      <c r="R954" s="336"/>
      <c r="S954" s="336"/>
      <c r="T954" s="336"/>
      <c r="U954" s="337" t="s">
        <v>1280</v>
      </c>
      <c r="V954" s="336"/>
    </row>
    <row r="955" ht="15.75" customHeight="1">
      <c r="A955" s="336"/>
      <c r="B955" s="336"/>
      <c r="C955" s="336"/>
      <c r="D955" s="336"/>
      <c r="E955" s="336"/>
      <c r="F955" s="336"/>
      <c r="G955" s="336"/>
      <c r="H955" s="336"/>
      <c r="I955" s="336"/>
      <c r="J955" s="336"/>
      <c r="K955" s="336"/>
      <c r="L955" s="336"/>
      <c r="M955" s="336"/>
      <c r="N955" s="336"/>
      <c r="O955" s="336"/>
      <c r="P955" s="336"/>
      <c r="Q955" s="336"/>
      <c r="R955" s="336"/>
      <c r="S955" s="336"/>
      <c r="T955" s="336"/>
      <c r="U955" s="337" t="s">
        <v>1281</v>
      </c>
      <c r="V955" s="336"/>
    </row>
    <row r="956" ht="15.75" customHeight="1">
      <c r="A956" s="336"/>
      <c r="B956" s="336"/>
      <c r="C956" s="336"/>
      <c r="D956" s="336"/>
      <c r="E956" s="336"/>
      <c r="F956" s="336"/>
      <c r="G956" s="336"/>
      <c r="H956" s="336"/>
      <c r="I956" s="336"/>
      <c r="J956" s="336"/>
      <c r="K956" s="336"/>
      <c r="L956" s="336"/>
      <c r="M956" s="336"/>
      <c r="N956" s="336"/>
      <c r="O956" s="336"/>
      <c r="P956" s="336"/>
      <c r="Q956" s="336"/>
      <c r="R956" s="336"/>
      <c r="S956" s="336"/>
      <c r="T956" s="336"/>
      <c r="U956" s="337" t="s">
        <v>1282</v>
      </c>
      <c r="V956" s="336"/>
    </row>
    <row r="957" ht="15.75" customHeight="1">
      <c r="A957" s="336"/>
      <c r="B957" s="336"/>
      <c r="C957" s="336"/>
      <c r="D957" s="336"/>
      <c r="E957" s="336"/>
      <c r="F957" s="336"/>
      <c r="G957" s="336"/>
      <c r="H957" s="336"/>
      <c r="I957" s="336"/>
      <c r="J957" s="336"/>
      <c r="K957" s="336"/>
      <c r="L957" s="336"/>
      <c r="M957" s="336"/>
      <c r="N957" s="336"/>
      <c r="O957" s="336"/>
      <c r="P957" s="336"/>
      <c r="Q957" s="336"/>
      <c r="R957" s="336"/>
      <c r="S957" s="336"/>
      <c r="T957" s="336"/>
      <c r="U957" s="337" t="s">
        <v>1283</v>
      </c>
      <c r="V957" s="336"/>
    </row>
    <row r="958" ht="15.75" customHeight="1">
      <c r="A958" s="336"/>
      <c r="B958" s="336"/>
      <c r="C958" s="336"/>
      <c r="D958" s="336"/>
      <c r="E958" s="336"/>
      <c r="F958" s="336"/>
      <c r="G958" s="336"/>
      <c r="H958" s="336"/>
      <c r="I958" s="336"/>
      <c r="J958" s="336"/>
      <c r="K958" s="336"/>
      <c r="L958" s="336"/>
      <c r="M958" s="336"/>
      <c r="N958" s="336"/>
      <c r="O958" s="336"/>
      <c r="P958" s="336"/>
      <c r="Q958" s="336"/>
      <c r="R958" s="336"/>
      <c r="S958" s="336"/>
      <c r="T958" s="336"/>
      <c r="U958" s="337" t="s">
        <v>1284</v>
      </c>
      <c r="V958" s="336"/>
    </row>
    <row r="959" ht="15.75" customHeight="1">
      <c r="A959" s="336"/>
      <c r="B959" s="336"/>
      <c r="C959" s="336"/>
      <c r="D959" s="336"/>
      <c r="E959" s="336"/>
      <c r="F959" s="336"/>
      <c r="G959" s="336"/>
      <c r="H959" s="336"/>
      <c r="I959" s="336"/>
      <c r="J959" s="336"/>
      <c r="K959" s="336"/>
      <c r="L959" s="336"/>
      <c r="M959" s="336"/>
      <c r="N959" s="336"/>
      <c r="O959" s="336"/>
      <c r="P959" s="336"/>
      <c r="Q959" s="336"/>
      <c r="R959" s="336"/>
      <c r="S959" s="336"/>
      <c r="T959" s="336"/>
      <c r="U959" s="337" t="s">
        <v>1285</v>
      </c>
      <c r="V959" s="336"/>
    </row>
    <row r="960" ht="15.75" customHeight="1">
      <c r="A960" s="336"/>
      <c r="B960" s="336"/>
      <c r="C960" s="336"/>
      <c r="D960" s="336"/>
      <c r="E960" s="336"/>
      <c r="F960" s="336"/>
      <c r="G960" s="336"/>
      <c r="H960" s="336"/>
      <c r="I960" s="336"/>
      <c r="J960" s="336"/>
      <c r="K960" s="336"/>
      <c r="L960" s="336"/>
      <c r="M960" s="336"/>
      <c r="N960" s="336"/>
      <c r="O960" s="336"/>
      <c r="P960" s="336"/>
      <c r="Q960" s="336"/>
      <c r="R960" s="336"/>
      <c r="S960" s="336"/>
      <c r="T960" s="336"/>
      <c r="U960" s="337" t="s">
        <v>1286</v>
      </c>
      <c r="V960" s="336"/>
    </row>
    <row r="961" ht="15.75" customHeight="1">
      <c r="A961" s="336"/>
      <c r="B961" s="336"/>
      <c r="C961" s="336"/>
      <c r="D961" s="336"/>
      <c r="E961" s="336"/>
      <c r="F961" s="336"/>
      <c r="G961" s="336"/>
      <c r="H961" s="336"/>
      <c r="I961" s="336"/>
      <c r="J961" s="336"/>
      <c r="K961" s="336"/>
      <c r="L961" s="336"/>
      <c r="M961" s="336"/>
      <c r="N961" s="336"/>
      <c r="O961" s="336"/>
      <c r="P961" s="336"/>
      <c r="Q961" s="336"/>
      <c r="R961" s="336"/>
      <c r="S961" s="336"/>
      <c r="T961" s="336"/>
      <c r="U961" s="337" t="s">
        <v>1287</v>
      </c>
      <c r="V961" s="336"/>
    </row>
    <row r="962" ht="15.75" customHeight="1">
      <c r="A962" s="336"/>
      <c r="B962" s="336"/>
      <c r="C962" s="336"/>
      <c r="D962" s="336"/>
      <c r="E962" s="336"/>
      <c r="F962" s="336"/>
      <c r="G962" s="336"/>
      <c r="H962" s="336"/>
      <c r="I962" s="336"/>
      <c r="J962" s="336"/>
      <c r="K962" s="336"/>
      <c r="L962" s="336"/>
      <c r="M962" s="336"/>
      <c r="N962" s="336"/>
      <c r="O962" s="336"/>
      <c r="P962" s="336"/>
      <c r="Q962" s="336"/>
      <c r="R962" s="336"/>
      <c r="S962" s="336"/>
      <c r="T962" s="336"/>
      <c r="U962" s="337" t="s">
        <v>1288</v>
      </c>
      <c r="V962" s="336"/>
    </row>
    <row r="963" ht="15.75" customHeight="1">
      <c r="A963" s="336"/>
      <c r="B963" s="336"/>
      <c r="C963" s="336"/>
      <c r="D963" s="336"/>
      <c r="E963" s="336"/>
      <c r="F963" s="336"/>
      <c r="G963" s="336"/>
      <c r="H963" s="336"/>
      <c r="I963" s="336"/>
      <c r="J963" s="336"/>
      <c r="K963" s="336"/>
      <c r="L963" s="336"/>
      <c r="M963" s="336"/>
      <c r="N963" s="336"/>
      <c r="O963" s="336"/>
      <c r="P963" s="336"/>
      <c r="Q963" s="336"/>
      <c r="R963" s="336"/>
      <c r="S963" s="336"/>
      <c r="T963" s="336"/>
      <c r="U963" s="337" t="s">
        <v>1289</v>
      </c>
      <c r="V963" s="336"/>
    </row>
    <row r="964" ht="15.75" customHeight="1">
      <c r="A964" s="336"/>
      <c r="B964" s="336"/>
      <c r="C964" s="336"/>
      <c r="D964" s="336"/>
      <c r="E964" s="336"/>
      <c r="F964" s="336"/>
      <c r="G964" s="336"/>
      <c r="H964" s="336"/>
      <c r="I964" s="336"/>
      <c r="J964" s="336"/>
      <c r="K964" s="336"/>
      <c r="L964" s="336"/>
      <c r="M964" s="336"/>
      <c r="N964" s="336"/>
      <c r="O964" s="336"/>
      <c r="P964" s="336"/>
      <c r="Q964" s="336"/>
      <c r="R964" s="336"/>
      <c r="S964" s="336"/>
      <c r="T964" s="336"/>
      <c r="U964" s="337" t="s">
        <v>1290</v>
      </c>
      <c r="V964" s="336"/>
    </row>
    <row r="965" ht="15.75" customHeight="1">
      <c r="A965" s="336"/>
      <c r="B965" s="336"/>
      <c r="C965" s="336"/>
      <c r="D965" s="336"/>
      <c r="E965" s="336"/>
      <c r="F965" s="336"/>
      <c r="G965" s="336"/>
      <c r="H965" s="336"/>
      <c r="I965" s="336"/>
      <c r="J965" s="336"/>
      <c r="K965" s="336"/>
      <c r="L965" s="336"/>
      <c r="M965" s="336"/>
      <c r="N965" s="336"/>
      <c r="O965" s="336"/>
      <c r="P965" s="336"/>
      <c r="Q965" s="336"/>
      <c r="R965" s="336"/>
      <c r="S965" s="336"/>
      <c r="T965" s="336"/>
      <c r="U965" s="337" t="s">
        <v>1291</v>
      </c>
      <c r="V965" s="336"/>
    </row>
    <row r="966" ht="15.75" customHeight="1">
      <c r="A966" s="336"/>
      <c r="B966" s="336"/>
      <c r="C966" s="336"/>
      <c r="D966" s="336"/>
      <c r="E966" s="336"/>
      <c r="F966" s="336"/>
      <c r="G966" s="336"/>
      <c r="H966" s="336"/>
      <c r="I966" s="336"/>
      <c r="J966" s="336"/>
      <c r="K966" s="336"/>
      <c r="L966" s="336"/>
      <c r="M966" s="336"/>
      <c r="N966" s="336"/>
      <c r="O966" s="336"/>
      <c r="P966" s="336"/>
      <c r="Q966" s="336"/>
      <c r="R966" s="336"/>
      <c r="S966" s="336"/>
      <c r="T966" s="336"/>
      <c r="U966" s="337" t="s">
        <v>1292</v>
      </c>
      <c r="V966" s="336"/>
    </row>
    <row r="967" ht="15.75" customHeight="1">
      <c r="A967" s="336"/>
      <c r="B967" s="336"/>
      <c r="C967" s="336"/>
      <c r="D967" s="336"/>
      <c r="E967" s="336"/>
      <c r="F967" s="336"/>
      <c r="G967" s="336"/>
      <c r="H967" s="336"/>
      <c r="I967" s="336"/>
      <c r="J967" s="336"/>
      <c r="K967" s="336"/>
      <c r="L967" s="336"/>
      <c r="M967" s="336"/>
      <c r="N967" s="336"/>
      <c r="O967" s="336"/>
      <c r="P967" s="336"/>
      <c r="Q967" s="336"/>
      <c r="R967" s="336"/>
      <c r="S967" s="336"/>
      <c r="T967" s="336"/>
      <c r="U967" s="337" t="s">
        <v>1293</v>
      </c>
      <c r="V967" s="336"/>
    </row>
    <row r="968" ht="15.75" customHeight="1">
      <c r="A968" s="336"/>
      <c r="B968" s="336"/>
      <c r="C968" s="336"/>
      <c r="D968" s="336"/>
      <c r="E968" s="336"/>
      <c r="F968" s="336"/>
      <c r="G968" s="336"/>
      <c r="H968" s="336"/>
      <c r="I968" s="336"/>
      <c r="J968" s="336"/>
      <c r="K968" s="336"/>
      <c r="L968" s="336"/>
      <c r="M968" s="336"/>
      <c r="N968" s="336"/>
      <c r="O968" s="336"/>
      <c r="P968" s="336"/>
      <c r="Q968" s="336"/>
      <c r="R968" s="336"/>
      <c r="S968" s="336"/>
      <c r="T968" s="336"/>
      <c r="U968" s="337" t="s">
        <v>1294</v>
      </c>
      <c r="V968" s="336"/>
    </row>
    <row r="969" ht="15.75" customHeight="1">
      <c r="A969" s="336"/>
      <c r="B969" s="336"/>
      <c r="C969" s="336"/>
      <c r="D969" s="336"/>
      <c r="E969" s="336"/>
      <c r="F969" s="336"/>
      <c r="G969" s="336"/>
      <c r="H969" s="336"/>
      <c r="I969" s="336"/>
      <c r="J969" s="336"/>
      <c r="K969" s="336"/>
      <c r="L969" s="336"/>
      <c r="M969" s="336"/>
      <c r="N969" s="336"/>
      <c r="O969" s="336"/>
      <c r="P969" s="336"/>
      <c r="Q969" s="336"/>
      <c r="R969" s="336"/>
      <c r="S969" s="336"/>
      <c r="T969" s="336"/>
      <c r="U969" s="337" t="s">
        <v>1295</v>
      </c>
      <c r="V969" s="336"/>
    </row>
    <row r="970" ht="15.75" customHeight="1">
      <c r="A970" s="336"/>
      <c r="B970" s="336"/>
      <c r="C970" s="336"/>
      <c r="D970" s="336"/>
      <c r="E970" s="336"/>
      <c r="F970" s="336"/>
      <c r="G970" s="336"/>
      <c r="H970" s="336"/>
      <c r="I970" s="336"/>
      <c r="J970" s="336"/>
      <c r="K970" s="336"/>
      <c r="L970" s="336"/>
      <c r="M970" s="336"/>
      <c r="N970" s="336"/>
      <c r="O970" s="336"/>
      <c r="P970" s="336"/>
      <c r="Q970" s="336"/>
      <c r="R970" s="336"/>
      <c r="S970" s="336"/>
      <c r="T970" s="336"/>
      <c r="U970" s="337" t="s">
        <v>1296</v>
      </c>
      <c r="V970" s="336"/>
    </row>
    <row r="971" ht="15.75" customHeight="1">
      <c r="A971" s="336"/>
      <c r="B971" s="336"/>
      <c r="C971" s="336"/>
      <c r="D971" s="336"/>
      <c r="E971" s="336"/>
      <c r="F971" s="336"/>
      <c r="G971" s="336"/>
      <c r="H971" s="336"/>
      <c r="I971" s="336"/>
      <c r="J971" s="336"/>
      <c r="K971" s="336"/>
      <c r="L971" s="336"/>
      <c r="M971" s="336"/>
      <c r="N971" s="336"/>
      <c r="O971" s="336"/>
      <c r="P971" s="336"/>
      <c r="Q971" s="336"/>
      <c r="R971" s="336"/>
      <c r="S971" s="336"/>
      <c r="T971" s="336"/>
      <c r="U971" s="337" t="s">
        <v>1297</v>
      </c>
      <c r="V971" s="336"/>
    </row>
    <row r="972" ht="15.75" customHeight="1">
      <c r="A972" s="336"/>
      <c r="B972" s="336"/>
      <c r="C972" s="336"/>
      <c r="D972" s="336"/>
      <c r="E972" s="336"/>
      <c r="F972" s="336"/>
      <c r="G972" s="336"/>
      <c r="H972" s="336"/>
      <c r="I972" s="336"/>
      <c r="J972" s="336"/>
      <c r="K972" s="336"/>
      <c r="L972" s="336"/>
      <c r="M972" s="336"/>
      <c r="N972" s="336"/>
      <c r="O972" s="336"/>
      <c r="P972" s="336"/>
      <c r="Q972" s="336"/>
      <c r="R972" s="336"/>
      <c r="S972" s="336"/>
      <c r="T972" s="336"/>
      <c r="U972" s="337" t="s">
        <v>1298</v>
      </c>
      <c r="V972" s="336"/>
    </row>
    <row r="973" ht="15.75" customHeight="1">
      <c r="A973" s="336"/>
      <c r="B973" s="336"/>
      <c r="C973" s="336"/>
      <c r="D973" s="336"/>
      <c r="E973" s="336"/>
      <c r="F973" s="336"/>
      <c r="G973" s="336"/>
      <c r="H973" s="336"/>
      <c r="I973" s="336"/>
      <c r="J973" s="336"/>
      <c r="K973" s="336"/>
      <c r="L973" s="336"/>
      <c r="M973" s="336"/>
      <c r="N973" s="336"/>
      <c r="O973" s="336"/>
      <c r="P973" s="336"/>
      <c r="Q973" s="336"/>
      <c r="R973" s="336"/>
      <c r="S973" s="336"/>
      <c r="T973" s="336"/>
      <c r="U973" s="337" t="s">
        <v>1299</v>
      </c>
      <c r="V973" s="336"/>
    </row>
    <row r="974" ht="15.75" customHeight="1">
      <c r="A974" s="336"/>
      <c r="B974" s="336"/>
      <c r="C974" s="336"/>
      <c r="D974" s="336"/>
      <c r="E974" s="336"/>
      <c r="F974" s="336"/>
      <c r="G974" s="336"/>
      <c r="H974" s="336"/>
      <c r="I974" s="336"/>
      <c r="J974" s="336"/>
      <c r="K974" s="336"/>
      <c r="L974" s="336"/>
      <c r="M974" s="336"/>
      <c r="N974" s="336"/>
      <c r="O974" s="336"/>
      <c r="P974" s="336"/>
      <c r="Q974" s="336"/>
      <c r="R974" s="336"/>
      <c r="S974" s="336"/>
      <c r="T974" s="336"/>
      <c r="U974" s="337" t="s">
        <v>1300</v>
      </c>
      <c r="V974" s="336"/>
    </row>
    <row r="975" ht="15.75" customHeight="1">
      <c r="A975" s="336"/>
      <c r="B975" s="336"/>
      <c r="C975" s="336"/>
      <c r="D975" s="336"/>
      <c r="E975" s="336"/>
      <c r="F975" s="336"/>
      <c r="G975" s="336"/>
      <c r="H975" s="336"/>
      <c r="I975" s="336"/>
      <c r="J975" s="336"/>
      <c r="K975" s="336"/>
      <c r="L975" s="336"/>
      <c r="M975" s="336"/>
      <c r="N975" s="336"/>
      <c r="O975" s="336"/>
      <c r="P975" s="336"/>
      <c r="Q975" s="336"/>
      <c r="R975" s="336"/>
      <c r="S975" s="336"/>
      <c r="T975" s="336"/>
      <c r="U975" s="337" t="s">
        <v>1301</v>
      </c>
      <c r="V975" s="336"/>
    </row>
    <row r="976" ht="15.75" customHeight="1">
      <c r="A976" s="336"/>
      <c r="B976" s="336"/>
      <c r="C976" s="336"/>
      <c r="D976" s="336"/>
      <c r="E976" s="336"/>
      <c r="F976" s="336"/>
      <c r="G976" s="336"/>
      <c r="H976" s="336"/>
      <c r="I976" s="336"/>
      <c r="J976" s="336"/>
      <c r="K976" s="336"/>
      <c r="L976" s="336"/>
      <c r="M976" s="336"/>
      <c r="N976" s="336"/>
      <c r="O976" s="336"/>
      <c r="P976" s="336"/>
      <c r="Q976" s="336"/>
      <c r="R976" s="336"/>
      <c r="S976" s="336"/>
      <c r="T976" s="336"/>
      <c r="U976" s="337" t="s">
        <v>1302</v>
      </c>
      <c r="V976" s="336"/>
    </row>
    <row r="977" ht="15.75" customHeight="1">
      <c r="A977" s="336"/>
      <c r="B977" s="336"/>
      <c r="C977" s="336"/>
      <c r="D977" s="336"/>
      <c r="E977" s="336"/>
      <c r="F977" s="336"/>
      <c r="G977" s="336"/>
      <c r="H977" s="336"/>
      <c r="I977" s="336"/>
      <c r="J977" s="336"/>
      <c r="K977" s="336"/>
      <c r="L977" s="336"/>
      <c r="M977" s="336"/>
      <c r="N977" s="336"/>
      <c r="O977" s="336"/>
      <c r="P977" s="336"/>
      <c r="Q977" s="336"/>
      <c r="R977" s="336"/>
      <c r="S977" s="336"/>
      <c r="T977" s="336"/>
      <c r="U977" s="337" t="s">
        <v>1303</v>
      </c>
      <c r="V977" s="336"/>
    </row>
    <row r="978" ht="15.75" customHeight="1">
      <c r="A978" s="336"/>
      <c r="B978" s="336"/>
      <c r="C978" s="336"/>
      <c r="D978" s="336"/>
      <c r="E978" s="336"/>
      <c r="F978" s="336"/>
      <c r="G978" s="336"/>
      <c r="H978" s="336"/>
      <c r="I978" s="336"/>
      <c r="J978" s="336"/>
      <c r="K978" s="336"/>
      <c r="L978" s="336"/>
      <c r="M978" s="336"/>
      <c r="N978" s="336"/>
      <c r="O978" s="336"/>
      <c r="P978" s="336"/>
      <c r="Q978" s="336"/>
      <c r="R978" s="336"/>
      <c r="S978" s="336"/>
      <c r="T978" s="336"/>
      <c r="U978" s="337" t="s">
        <v>1304</v>
      </c>
      <c r="V978" s="336"/>
    </row>
    <row r="979" ht="15.75" customHeight="1">
      <c r="A979" s="336"/>
      <c r="B979" s="336"/>
      <c r="C979" s="336"/>
      <c r="D979" s="336"/>
      <c r="E979" s="336"/>
      <c r="F979" s="336"/>
      <c r="G979" s="336"/>
      <c r="H979" s="336"/>
      <c r="I979" s="336"/>
      <c r="J979" s="336"/>
      <c r="K979" s="336"/>
      <c r="L979" s="336"/>
      <c r="M979" s="336"/>
      <c r="N979" s="336"/>
      <c r="O979" s="336"/>
      <c r="P979" s="336"/>
      <c r="Q979" s="336"/>
      <c r="R979" s="336"/>
      <c r="S979" s="336"/>
      <c r="T979" s="336"/>
      <c r="U979" s="337" t="s">
        <v>1305</v>
      </c>
      <c r="V979" s="336"/>
    </row>
    <row r="980" ht="15.75" customHeight="1">
      <c r="A980" s="336"/>
      <c r="B980" s="336"/>
      <c r="C980" s="336"/>
      <c r="D980" s="336"/>
      <c r="E980" s="336"/>
      <c r="F980" s="336"/>
      <c r="G980" s="336"/>
      <c r="H980" s="336"/>
      <c r="I980" s="336"/>
      <c r="J980" s="336"/>
      <c r="K980" s="336"/>
      <c r="L980" s="336"/>
      <c r="M980" s="336"/>
      <c r="N980" s="336"/>
      <c r="O980" s="336"/>
      <c r="P980" s="336"/>
      <c r="Q980" s="336"/>
      <c r="R980" s="336"/>
      <c r="S980" s="336"/>
      <c r="T980" s="336"/>
      <c r="U980" s="337" t="s">
        <v>1306</v>
      </c>
      <c r="V980" s="336"/>
    </row>
    <row r="981" ht="15.75" customHeight="1">
      <c r="A981" s="336"/>
      <c r="B981" s="336"/>
      <c r="C981" s="336"/>
      <c r="D981" s="336"/>
      <c r="E981" s="336"/>
      <c r="F981" s="336"/>
      <c r="G981" s="336"/>
      <c r="H981" s="336"/>
      <c r="I981" s="336"/>
      <c r="J981" s="336"/>
      <c r="K981" s="336"/>
      <c r="L981" s="336"/>
      <c r="M981" s="336"/>
      <c r="N981" s="336"/>
      <c r="O981" s="336"/>
      <c r="P981" s="336"/>
      <c r="Q981" s="336"/>
      <c r="R981" s="336"/>
      <c r="S981" s="336"/>
      <c r="T981" s="336"/>
      <c r="U981" s="337" t="s">
        <v>1307</v>
      </c>
      <c r="V981" s="336"/>
    </row>
    <row r="982" ht="15.75" customHeight="1">
      <c r="A982" s="336"/>
      <c r="B982" s="336"/>
      <c r="C982" s="336"/>
      <c r="D982" s="336"/>
      <c r="E982" s="336"/>
      <c r="F982" s="336"/>
      <c r="G982" s="336"/>
      <c r="H982" s="336"/>
      <c r="I982" s="336"/>
      <c r="J982" s="336"/>
      <c r="K982" s="336"/>
      <c r="L982" s="336"/>
      <c r="M982" s="336"/>
      <c r="N982" s="336"/>
      <c r="O982" s="336"/>
      <c r="P982" s="336"/>
      <c r="Q982" s="336"/>
      <c r="R982" s="336"/>
      <c r="S982" s="336"/>
      <c r="T982" s="336"/>
      <c r="U982" s="337" t="s">
        <v>1308</v>
      </c>
      <c r="V982" s="336"/>
    </row>
    <row r="983" ht="15.75" customHeight="1">
      <c r="A983" s="336"/>
      <c r="B983" s="336"/>
      <c r="C983" s="336"/>
      <c r="D983" s="336"/>
      <c r="E983" s="336"/>
      <c r="F983" s="336"/>
      <c r="G983" s="336"/>
      <c r="H983" s="336"/>
      <c r="I983" s="336"/>
      <c r="J983" s="336"/>
      <c r="K983" s="336"/>
      <c r="L983" s="336"/>
      <c r="M983" s="336"/>
      <c r="N983" s="336"/>
      <c r="O983" s="336"/>
      <c r="P983" s="336"/>
      <c r="Q983" s="336"/>
      <c r="R983" s="336"/>
      <c r="S983" s="336"/>
      <c r="T983" s="336"/>
      <c r="U983" s="337" t="s">
        <v>1309</v>
      </c>
      <c r="V983" s="336"/>
    </row>
    <row r="984" ht="15.75" customHeight="1">
      <c r="A984" s="336"/>
      <c r="B984" s="336"/>
      <c r="C984" s="336"/>
      <c r="D984" s="336"/>
      <c r="E984" s="336"/>
      <c r="F984" s="336"/>
      <c r="G984" s="336"/>
      <c r="H984" s="336"/>
      <c r="I984" s="336"/>
      <c r="J984" s="336"/>
      <c r="K984" s="336"/>
      <c r="L984" s="336"/>
      <c r="M984" s="336"/>
      <c r="N984" s="336"/>
      <c r="O984" s="336"/>
      <c r="P984" s="336"/>
      <c r="Q984" s="336"/>
      <c r="R984" s="336"/>
      <c r="S984" s="336"/>
      <c r="T984" s="336"/>
      <c r="U984" s="337" t="s">
        <v>1310</v>
      </c>
      <c r="V984" s="336"/>
    </row>
    <row r="985" ht="15.75" customHeight="1">
      <c r="A985" s="336"/>
      <c r="B985" s="336"/>
      <c r="C985" s="336"/>
      <c r="D985" s="336"/>
      <c r="E985" s="336"/>
      <c r="F985" s="336"/>
      <c r="G985" s="336"/>
      <c r="H985" s="336"/>
      <c r="I985" s="336"/>
      <c r="J985" s="336"/>
      <c r="K985" s="336"/>
      <c r="L985" s="336"/>
      <c r="M985" s="336"/>
      <c r="N985" s="336"/>
      <c r="O985" s="336"/>
      <c r="P985" s="336"/>
      <c r="Q985" s="336"/>
      <c r="R985" s="336"/>
      <c r="S985" s="336"/>
      <c r="T985" s="336"/>
      <c r="U985" s="337" t="s">
        <v>1311</v>
      </c>
      <c r="V985" s="336"/>
    </row>
    <row r="986" ht="15.75" customHeight="1">
      <c r="A986" s="336"/>
      <c r="B986" s="336"/>
      <c r="C986" s="336"/>
      <c r="D986" s="336"/>
      <c r="E986" s="336"/>
      <c r="F986" s="336"/>
      <c r="G986" s="336"/>
      <c r="H986" s="336"/>
      <c r="I986" s="336"/>
      <c r="J986" s="336"/>
      <c r="K986" s="336"/>
      <c r="L986" s="336"/>
      <c r="M986" s="336"/>
      <c r="N986" s="336"/>
      <c r="O986" s="336"/>
      <c r="P986" s="336"/>
      <c r="Q986" s="336"/>
      <c r="R986" s="336"/>
      <c r="S986" s="336"/>
      <c r="T986" s="336"/>
      <c r="U986" s="337" t="s">
        <v>1312</v>
      </c>
      <c r="V986" s="336"/>
    </row>
    <row r="987" ht="15.75" customHeight="1">
      <c r="A987" s="336"/>
      <c r="B987" s="336"/>
      <c r="C987" s="336"/>
      <c r="D987" s="336"/>
      <c r="E987" s="336"/>
      <c r="F987" s="336"/>
      <c r="G987" s="336"/>
      <c r="H987" s="336"/>
      <c r="I987" s="336"/>
      <c r="J987" s="336"/>
      <c r="K987" s="336"/>
      <c r="L987" s="336"/>
      <c r="M987" s="336"/>
      <c r="N987" s="336"/>
      <c r="O987" s="336"/>
      <c r="P987" s="336"/>
      <c r="Q987" s="336"/>
      <c r="R987" s="336"/>
      <c r="S987" s="336"/>
      <c r="T987" s="336"/>
      <c r="U987" s="337" t="s">
        <v>1313</v>
      </c>
      <c r="V987" s="336"/>
    </row>
    <row r="988" ht="15.75" customHeight="1">
      <c r="A988" s="336"/>
      <c r="B988" s="336"/>
      <c r="C988" s="336"/>
      <c r="D988" s="336"/>
      <c r="E988" s="336"/>
      <c r="F988" s="336"/>
      <c r="G988" s="336"/>
      <c r="H988" s="336"/>
      <c r="I988" s="336"/>
      <c r="J988" s="336"/>
      <c r="K988" s="336"/>
      <c r="L988" s="336"/>
      <c r="M988" s="336"/>
      <c r="N988" s="336"/>
      <c r="O988" s="336"/>
      <c r="P988" s="336"/>
      <c r="Q988" s="336"/>
      <c r="R988" s="336"/>
      <c r="S988" s="336"/>
      <c r="T988" s="336"/>
      <c r="U988" s="337" t="s">
        <v>1314</v>
      </c>
      <c r="V988" s="336"/>
    </row>
    <row r="989" ht="15.75" customHeight="1">
      <c r="A989" s="336"/>
      <c r="B989" s="336"/>
      <c r="C989" s="336"/>
      <c r="D989" s="336"/>
      <c r="E989" s="336"/>
      <c r="F989" s="336"/>
      <c r="G989" s="336"/>
      <c r="H989" s="336"/>
      <c r="I989" s="336"/>
      <c r="J989" s="336"/>
      <c r="K989" s="336"/>
      <c r="L989" s="336"/>
      <c r="M989" s="336"/>
      <c r="N989" s="336"/>
      <c r="O989" s="336"/>
      <c r="P989" s="336"/>
      <c r="Q989" s="336"/>
      <c r="R989" s="336"/>
      <c r="S989" s="336"/>
      <c r="T989" s="336"/>
      <c r="U989" s="337" t="s">
        <v>1315</v>
      </c>
      <c r="V989" s="336"/>
    </row>
    <row r="990" ht="15.75" customHeight="1">
      <c r="A990" s="336"/>
      <c r="B990" s="336"/>
      <c r="C990" s="336"/>
      <c r="D990" s="336"/>
      <c r="E990" s="336"/>
      <c r="F990" s="336"/>
      <c r="G990" s="336"/>
      <c r="H990" s="336"/>
      <c r="I990" s="336"/>
      <c r="J990" s="336"/>
      <c r="K990" s="336"/>
      <c r="L990" s="336"/>
      <c r="M990" s="336"/>
      <c r="N990" s="336"/>
      <c r="O990" s="336"/>
      <c r="P990" s="336"/>
      <c r="Q990" s="336"/>
      <c r="R990" s="336"/>
      <c r="S990" s="336"/>
      <c r="T990" s="336"/>
      <c r="U990" s="337" t="s">
        <v>1316</v>
      </c>
      <c r="V990" s="336"/>
    </row>
    <row r="991" ht="15.75" customHeight="1">
      <c r="A991" s="336"/>
      <c r="B991" s="336"/>
      <c r="C991" s="336"/>
      <c r="D991" s="336"/>
      <c r="E991" s="336"/>
      <c r="F991" s="336"/>
      <c r="G991" s="336"/>
      <c r="H991" s="336"/>
      <c r="I991" s="336"/>
      <c r="J991" s="336"/>
      <c r="K991" s="336"/>
      <c r="L991" s="336"/>
      <c r="M991" s="336"/>
      <c r="N991" s="336"/>
      <c r="O991" s="336"/>
      <c r="P991" s="336"/>
      <c r="Q991" s="336"/>
      <c r="R991" s="336"/>
      <c r="S991" s="336"/>
      <c r="T991" s="336"/>
      <c r="U991" s="337" t="s">
        <v>1317</v>
      </c>
      <c r="V991" s="336"/>
    </row>
    <row r="992" ht="15.75" customHeight="1">
      <c r="A992" s="336"/>
      <c r="B992" s="336"/>
      <c r="C992" s="336"/>
      <c r="D992" s="336"/>
      <c r="E992" s="336"/>
      <c r="F992" s="336"/>
      <c r="G992" s="336"/>
      <c r="H992" s="336"/>
      <c r="I992" s="336"/>
      <c r="J992" s="336"/>
      <c r="K992" s="336"/>
      <c r="L992" s="336"/>
      <c r="M992" s="336"/>
      <c r="N992" s="336"/>
      <c r="O992" s="336"/>
      <c r="P992" s="336"/>
      <c r="Q992" s="336"/>
      <c r="R992" s="336"/>
      <c r="S992" s="336"/>
      <c r="T992" s="336"/>
      <c r="U992" s="337" t="s">
        <v>1318</v>
      </c>
      <c r="V992" s="336"/>
    </row>
    <row r="993" ht="15.75" customHeight="1">
      <c r="A993" s="336"/>
      <c r="B993" s="336"/>
      <c r="C993" s="336"/>
      <c r="D993" s="336"/>
      <c r="E993" s="336"/>
      <c r="F993" s="336"/>
      <c r="G993" s="336"/>
      <c r="H993" s="336"/>
      <c r="I993" s="336"/>
      <c r="J993" s="336"/>
      <c r="K993" s="336"/>
      <c r="L993" s="336"/>
      <c r="M993" s="336"/>
      <c r="N993" s="336"/>
      <c r="O993" s="336"/>
      <c r="P993" s="336"/>
      <c r="Q993" s="336"/>
      <c r="R993" s="336"/>
      <c r="S993" s="336"/>
      <c r="T993" s="336"/>
      <c r="U993" s="337" t="s">
        <v>1319</v>
      </c>
      <c r="V993" s="336"/>
    </row>
    <row r="994" ht="15.75" customHeight="1">
      <c r="A994" s="336"/>
      <c r="B994" s="336"/>
      <c r="C994" s="336"/>
      <c r="D994" s="336"/>
      <c r="E994" s="336"/>
      <c r="F994" s="336"/>
      <c r="G994" s="336"/>
      <c r="H994" s="336"/>
      <c r="I994" s="336"/>
      <c r="J994" s="336"/>
      <c r="K994" s="336"/>
      <c r="L994" s="336"/>
      <c r="M994" s="336"/>
      <c r="N994" s="336"/>
      <c r="O994" s="336"/>
      <c r="P994" s="336"/>
      <c r="Q994" s="336"/>
      <c r="R994" s="336"/>
      <c r="S994" s="336"/>
      <c r="T994" s="336"/>
      <c r="U994" s="337" t="s">
        <v>1320</v>
      </c>
      <c r="V994" s="336"/>
    </row>
    <row r="995" ht="15.75" customHeight="1">
      <c r="A995" s="336"/>
      <c r="B995" s="336"/>
      <c r="C995" s="336"/>
      <c r="D995" s="336"/>
      <c r="E995" s="336"/>
      <c r="F995" s="336"/>
      <c r="G995" s="336"/>
      <c r="H995" s="336"/>
      <c r="I995" s="336"/>
      <c r="J995" s="336"/>
      <c r="K995" s="336"/>
      <c r="L995" s="336"/>
      <c r="M995" s="336"/>
      <c r="N995" s="336"/>
      <c r="O995" s="336"/>
      <c r="P995" s="336"/>
      <c r="Q995" s="336"/>
      <c r="R995" s="336"/>
      <c r="S995" s="336"/>
      <c r="T995" s="336"/>
      <c r="U995" s="337" t="s">
        <v>1321</v>
      </c>
      <c r="V995" s="336"/>
    </row>
    <row r="996" ht="15.75" customHeight="1">
      <c r="A996" s="336"/>
      <c r="B996" s="336"/>
      <c r="C996" s="336"/>
      <c r="D996" s="336"/>
      <c r="E996" s="336"/>
      <c r="F996" s="336"/>
      <c r="G996" s="336"/>
      <c r="H996" s="336"/>
      <c r="I996" s="336"/>
      <c r="J996" s="336"/>
      <c r="K996" s="336"/>
      <c r="L996" s="336"/>
      <c r="M996" s="336"/>
      <c r="N996" s="336"/>
      <c r="O996" s="336"/>
      <c r="P996" s="336"/>
      <c r="Q996" s="336"/>
      <c r="R996" s="336"/>
      <c r="S996" s="336"/>
      <c r="T996" s="336"/>
      <c r="U996" s="337" t="s">
        <v>1322</v>
      </c>
      <c r="V996" s="336"/>
    </row>
    <row r="997" ht="15.75" customHeight="1">
      <c r="A997" s="336"/>
      <c r="B997" s="336"/>
      <c r="C997" s="336"/>
      <c r="D997" s="336"/>
      <c r="E997" s="336"/>
      <c r="F997" s="336"/>
      <c r="G997" s="336"/>
      <c r="H997" s="336"/>
      <c r="I997" s="336"/>
      <c r="J997" s="336"/>
      <c r="K997" s="336"/>
      <c r="L997" s="336"/>
      <c r="M997" s="336"/>
      <c r="N997" s="336"/>
      <c r="O997" s="336"/>
      <c r="P997" s="336"/>
      <c r="Q997" s="336"/>
      <c r="R997" s="336"/>
      <c r="S997" s="336"/>
      <c r="T997" s="336"/>
      <c r="U997" s="337" t="s">
        <v>1323</v>
      </c>
      <c r="V997" s="336"/>
    </row>
    <row r="998" ht="15.75" customHeight="1">
      <c r="A998" s="336"/>
      <c r="B998" s="336"/>
      <c r="C998" s="336"/>
      <c r="D998" s="336"/>
      <c r="E998" s="336"/>
      <c r="F998" s="336"/>
      <c r="G998" s="336"/>
      <c r="H998" s="336"/>
      <c r="I998" s="336"/>
      <c r="J998" s="336"/>
      <c r="K998" s="336"/>
      <c r="L998" s="336"/>
      <c r="M998" s="336"/>
      <c r="N998" s="336"/>
      <c r="O998" s="336"/>
      <c r="P998" s="336"/>
      <c r="Q998" s="336"/>
      <c r="R998" s="336"/>
      <c r="S998" s="336"/>
      <c r="T998" s="336"/>
      <c r="U998" s="337" t="s">
        <v>1324</v>
      </c>
      <c r="V998" s="336"/>
    </row>
    <row r="999" ht="15.75" customHeight="1">
      <c r="A999" s="336"/>
      <c r="B999" s="336"/>
      <c r="C999" s="336"/>
      <c r="D999" s="336"/>
      <c r="E999" s="336"/>
      <c r="F999" s="336"/>
      <c r="G999" s="336"/>
      <c r="H999" s="336"/>
      <c r="I999" s="336"/>
      <c r="J999" s="336"/>
      <c r="K999" s="336"/>
      <c r="L999" s="336"/>
      <c r="M999" s="336"/>
      <c r="N999" s="336"/>
      <c r="O999" s="336"/>
      <c r="P999" s="336"/>
      <c r="Q999" s="336"/>
      <c r="R999" s="336"/>
      <c r="S999" s="336"/>
      <c r="T999" s="336"/>
      <c r="U999" s="337" t="s">
        <v>1325</v>
      </c>
      <c r="V999" s="336"/>
    </row>
    <row r="1000" ht="15.75" customHeight="1">
      <c r="A1000" s="336"/>
      <c r="B1000" s="336"/>
      <c r="C1000" s="336"/>
      <c r="D1000" s="336"/>
      <c r="E1000" s="336"/>
      <c r="F1000" s="336"/>
      <c r="G1000" s="336"/>
      <c r="H1000" s="336"/>
      <c r="I1000" s="336"/>
      <c r="J1000" s="336"/>
      <c r="K1000" s="336"/>
      <c r="L1000" s="336"/>
      <c r="M1000" s="336"/>
      <c r="N1000" s="336"/>
      <c r="O1000" s="336"/>
      <c r="P1000" s="336"/>
      <c r="Q1000" s="336"/>
      <c r="R1000" s="336"/>
      <c r="S1000" s="336"/>
      <c r="T1000" s="336"/>
      <c r="U1000" s="337" t="s">
        <v>1326</v>
      </c>
      <c r="V1000" s="336"/>
    </row>
    <row r="1001" ht="15.75" customHeight="1">
      <c r="A1001" s="336"/>
      <c r="B1001" s="336"/>
      <c r="C1001" s="336"/>
      <c r="D1001" s="336"/>
      <c r="E1001" s="336"/>
      <c r="F1001" s="336"/>
      <c r="G1001" s="336"/>
      <c r="H1001" s="336"/>
      <c r="I1001" s="336"/>
      <c r="J1001" s="336"/>
      <c r="K1001" s="336"/>
      <c r="L1001" s="336"/>
      <c r="M1001" s="336"/>
      <c r="N1001" s="336"/>
      <c r="O1001" s="336"/>
      <c r="P1001" s="336"/>
      <c r="Q1001" s="336"/>
      <c r="R1001" s="336"/>
      <c r="S1001" s="336"/>
      <c r="T1001" s="336"/>
      <c r="U1001" s="337" t="s">
        <v>1327</v>
      </c>
      <c r="V1001" s="336"/>
    </row>
    <row r="1002" ht="15.75" customHeight="1">
      <c r="A1002" s="336"/>
      <c r="B1002" s="336"/>
      <c r="C1002" s="336"/>
      <c r="D1002" s="336"/>
      <c r="E1002" s="336"/>
      <c r="F1002" s="336"/>
      <c r="G1002" s="336"/>
      <c r="H1002" s="336"/>
      <c r="I1002" s="336"/>
      <c r="J1002" s="336"/>
      <c r="K1002" s="336"/>
      <c r="L1002" s="336"/>
      <c r="M1002" s="336"/>
      <c r="N1002" s="336"/>
      <c r="O1002" s="336"/>
      <c r="P1002" s="336"/>
      <c r="Q1002" s="336"/>
      <c r="R1002" s="336"/>
      <c r="S1002" s="336"/>
      <c r="T1002" s="336"/>
      <c r="U1002" s="337" t="s">
        <v>1328</v>
      </c>
      <c r="V1002" s="336"/>
    </row>
    <row r="1003" ht="15.75" customHeight="1">
      <c r="A1003" s="336"/>
      <c r="B1003" s="336"/>
      <c r="C1003" s="336"/>
      <c r="D1003" s="336"/>
      <c r="E1003" s="336"/>
      <c r="F1003" s="336"/>
      <c r="G1003" s="336"/>
      <c r="H1003" s="336"/>
      <c r="I1003" s="336"/>
      <c r="J1003" s="336"/>
      <c r="K1003" s="336"/>
      <c r="L1003" s="336"/>
      <c r="M1003" s="336"/>
      <c r="N1003" s="336"/>
      <c r="O1003" s="336"/>
      <c r="P1003" s="336"/>
      <c r="Q1003" s="336"/>
      <c r="R1003" s="336"/>
      <c r="S1003" s="336"/>
      <c r="T1003" s="336"/>
      <c r="U1003" s="337" t="s">
        <v>1329</v>
      </c>
      <c r="V1003" s="336"/>
    </row>
    <row r="1004" ht="15.75" customHeight="1">
      <c r="A1004" s="336"/>
      <c r="B1004" s="336"/>
      <c r="C1004" s="336"/>
      <c r="D1004" s="336"/>
      <c r="E1004" s="336"/>
      <c r="F1004" s="336"/>
      <c r="G1004" s="336"/>
      <c r="H1004" s="336"/>
      <c r="I1004" s="336"/>
      <c r="J1004" s="336"/>
      <c r="K1004" s="336"/>
      <c r="L1004" s="336"/>
      <c r="M1004" s="336"/>
      <c r="N1004" s="336"/>
      <c r="O1004" s="336"/>
      <c r="P1004" s="336"/>
      <c r="Q1004" s="336"/>
      <c r="R1004" s="336"/>
      <c r="S1004" s="336"/>
      <c r="T1004" s="336"/>
      <c r="U1004" s="337" t="s">
        <v>1330</v>
      </c>
      <c r="V1004" s="336"/>
    </row>
    <row r="1005" ht="15.75" customHeight="1">
      <c r="A1005" s="336"/>
      <c r="B1005" s="336"/>
      <c r="C1005" s="336"/>
      <c r="D1005" s="336"/>
      <c r="E1005" s="336"/>
      <c r="F1005" s="336"/>
      <c r="G1005" s="336"/>
      <c r="H1005" s="336"/>
      <c r="I1005" s="336"/>
      <c r="J1005" s="336"/>
      <c r="K1005" s="336"/>
      <c r="L1005" s="336"/>
      <c r="M1005" s="336"/>
      <c r="N1005" s="336"/>
      <c r="O1005" s="336"/>
      <c r="P1005" s="336"/>
      <c r="Q1005" s="336"/>
      <c r="R1005" s="336"/>
      <c r="S1005" s="336"/>
      <c r="T1005" s="336"/>
      <c r="U1005" s="337" t="s">
        <v>1331</v>
      </c>
      <c r="V1005" s="336"/>
    </row>
    <row r="1006" ht="15.75" customHeight="1">
      <c r="A1006" s="336"/>
      <c r="B1006" s="336"/>
      <c r="C1006" s="336"/>
      <c r="D1006" s="336"/>
      <c r="E1006" s="336"/>
      <c r="F1006" s="336"/>
      <c r="G1006" s="336"/>
      <c r="H1006" s="336"/>
      <c r="I1006" s="336"/>
      <c r="J1006" s="336"/>
      <c r="K1006" s="336"/>
      <c r="L1006" s="336"/>
      <c r="M1006" s="336"/>
      <c r="N1006" s="336"/>
      <c r="O1006" s="336"/>
      <c r="P1006" s="336"/>
      <c r="Q1006" s="336"/>
      <c r="R1006" s="336"/>
      <c r="S1006" s="336"/>
      <c r="T1006" s="336"/>
      <c r="U1006" s="337" t="s">
        <v>1332</v>
      </c>
      <c r="V1006" s="336"/>
    </row>
    <row r="1007" ht="15.75" customHeight="1">
      <c r="A1007" s="336"/>
      <c r="B1007" s="336"/>
      <c r="C1007" s="336"/>
      <c r="D1007" s="336"/>
      <c r="E1007" s="336"/>
      <c r="F1007" s="336"/>
      <c r="G1007" s="336"/>
      <c r="H1007" s="336"/>
      <c r="I1007" s="336"/>
      <c r="J1007" s="336"/>
      <c r="K1007" s="336"/>
      <c r="L1007" s="336"/>
      <c r="M1007" s="336"/>
      <c r="N1007" s="336"/>
      <c r="O1007" s="336"/>
      <c r="P1007" s="336"/>
      <c r="Q1007" s="336"/>
      <c r="R1007" s="336"/>
      <c r="S1007" s="336"/>
      <c r="T1007" s="336"/>
      <c r="U1007" s="337" t="s">
        <v>1333</v>
      </c>
      <c r="V1007" s="336"/>
    </row>
    <row r="1008" ht="15.75" customHeight="1">
      <c r="A1008" s="336"/>
      <c r="B1008" s="336"/>
      <c r="C1008" s="336"/>
      <c r="D1008" s="336"/>
      <c r="E1008" s="336"/>
      <c r="F1008" s="336"/>
      <c r="G1008" s="336"/>
      <c r="H1008" s="336"/>
      <c r="I1008" s="336"/>
      <c r="J1008" s="336"/>
      <c r="K1008" s="336"/>
      <c r="L1008" s="336"/>
      <c r="M1008" s="336"/>
      <c r="N1008" s="336"/>
      <c r="O1008" s="336"/>
      <c r="P1008" s="336"/>
      <c r="Q1008" s="336"/>
      <c r="R1008" s="336"/>
      <c r="S1008" s="336"/>
      <c r="T1008" s="336"/>
      <c r="U1008" s="337" t="s">
        <v>1334</v>
      </c>
      <c r="V1008" s="336"/>
    </row>
    <row r="1009" ht="15.75" customHeight="1">
      <c r="A1009" s="336"/>
      <c r="B1009" s="336"/>
      <c r="C1009" s="336"/>
      <c r="D1009" s="336"/>
      <c r="E1009" s="336"/>
      <c r="F1009" s="336"/>
      <c r="G1009" s="336"/>
      <c r="H1009" s="336"/>
      <c r="I1009" s="336"/>
      <c r="J1009" s="336"/>
      <c r="K1009" s="336"/>
      <c r="L1009" s="336"/>
      <c r="M1009" s="336"/>
      <c r="N1009" s="336"/>
      <c r="O1009" s="336"/>
      <c r="P1009" s="336"/>
      <c r="Q1009" s="336"/>
      <c r="R1009" s="336"/>
      <c r="S1009" s="336"/>
      <c r="T1009" s="336"/>
      <c r="U1009" s="337" t="s">
        <v>1335</v>
      </c>
      <c r="V1009" s="336"/>
    </row>
    <row r="1010" ht="15.75" customHeight="1">
      <c r="A1010" s="336"/>
      <c r="B1010" s="336"/>
      <c r="C1010" s="336"/>
      <c r="D1010" s="336"/>
      <c r="E1010" s="336"/>
      <c r="F1010" s="336"/>
      <c r="G1010" s="336"/>
      <c r="H1010" s="336"/>
      <c r="I1010" s="336"/>
      <c r="J1010" s="336"/>
      <c r="K1010" s="336"/>
      <c r="L1010" s="336"/>
      <c r="M1010" s="336"/>
      <c r="N1010" s="336"/>
      <c r="O1010" s="336"/>
      <c r="P1010" s="336"/>
      <c r="Q1010" s="336"/>
      <c r="R1010" s="336"/>
      <c r="S1010" s="336"/>
      <c r="T1010" s="336"/>
      <c r="U1010" s="337" t="s">
        <v>1336</v>
      </c>
      <c r="V1010" s="336"/>
    </row>
    <row r="1011" ht="15.75" customHeight="1">
      <c r="A1011" s="336"/>
      <c r="B1011" s="336"/>
      <c r="C1011" s="336"/>
      <c r="D1011" s="336"/>
      <c r="E1011" s="336"/>
      <c r="F1011" s="336"/>
      <c r="G1011" s="336"/>
      <c r="H1011" s="336"/>
      <c r="I1011" s="336"/>
      <c r="J1011" s="336"/>
      <c r="K1011" s="336"/>
      <c r="L1011" s="336"/>
      <c r="M1011" s="336"/>
      <c r="N1011" s="336"/>
      <c r="O1011" s="336"/>
      <c r="P1011" s="336"/>
      <c r="Q1011" s="336"/>
      <c r="R1011" s="336"/>
      <c r="S1011" s="336"/>
      <c r="T1011" s="336"/>
      <c r="U1011" s="337" t="s">
        <v>1337</v>
      </c>
      <c r="V1011" s="336"/>
    </row>
    <row r="1012" ht="15.75" customHeight="1">
      <c r="A1012" s="336"/>
      <c r="B1012" s="336"/>
      <c r="C1012" s="336"/>
      <c r="D1012" s="336"/>
      <c r="E1012" s="336"/>
      <c r="F1012" s="336"/>
      <c r="G1012" s="336"/>
      <c r="H1012" s="336"/>
      <c r="I1012" s="336"/>
      <c r="J1012" s="336"/>
      <c r="K1012" s="336"/>
      <c r="L1012" s="336"/>
      <c r="M1012" s="336"/>
      <c r="N1012" s="336"/>
      <c r="O1012" s="336"/>
      <c r="P1012" s="336"/>
      <c r="Q1012" s="336"/>
      <c r="R1012" s="336"/>
      <c r="S1012" s="336"/>
      <c r="T1012" s="336"/>
      <c r="U1012" s="337" t="s">
        <v>1338</v>
      </c>
      <c r="V1012" s="336"/>
    </row>
    <row r="1013" ht="15.75" customHeight="1">
      <c r="A1013" s="336"/>
      <c r="B1013" s="336"/>
      <c r="C1013" s="336"/>
      <c r="D1013" s="336"/>
      <c r="E1013" s="336"/>
      <c r="F1013" s="336"/>
      <c r="G1013" s="336"/>
      <c r="H1013" s="336"/>
      <c r="I1013" s="336"/>
      <c r="J1013" s="336"/>
      <c r="K1013" s="336"/>
      <c r="L1013" s="336"/>
      <c r="M1013" s="336"/>
      <c r="N1013" s="336"/>
      <c r="O1013" s="336"/>
      <c r="P1013" s="336"/>
      <c r="Q1013" s="336"/>
      <c r="R1013" s="336"/>
      <c r="S1013" s="336"/>
      <c r="T1013" s="336"/>
      <c r="U1013" s="337" t="s">
        <v>1339</v>
      </c>
      <c r="V1013" s="336"/>
    </row>
    <row r="1014" ht="15.75" customHeight="1">
      <c r="A1014" s="336"/>
      <c r="B1014" s="336"/>
      <c r="C1014" s="336"/>
      <c r="D1014" s="336"/>
      <c r="E1014" s="336"/>
      <c r="F1014" s="336"/>
      <c r="G1014" s="336"/>
      <c r="H1014" s="336"/>
      <c r="I1014" s="336"/>
      <c r="J1014" s="336"/>
      <c r="K1014" s="336"/>
      <c r="L1014" s="336"/>
      <c r="M1014" s="336"/>
      <c r="N1014" s="336"/>
      <c r="O1014" s="336"/>
      <c r="P1014" s="336"/>
      <c r="Q1014" s="336"/>
      <c r="R1014" s="336"/>
      <c r="S1014" s="336"/>
      <c r="T1014" s="336"/>
      <c r="U1014" s="337" t="s">
        <v>1340</v>
      </c>
      <c r="V1014" s="336"/>
    </row>
    <row r="1015" ht="15.75" customHeight="1">
      <c r="A1015" s="336"/>
      <c r="B1015" s="336"/>
      <c r="C1015" s="336"/>
      <c r="D1015" s="336"/>
      <c r="E1015" s="336"/>
      <c r="F1015" s="336"/>
      <c r="G1015" s="336"/>
      <c r="H1015" s="336"/>
      <c r="I1015" s="336"/>
      <c r="J1015" s="336"/>
      <c r="K1015" s="336"/>
      <c r="L1015" s="336"/>
      <c r="M1015" s="336"/>
      <c r="N1015" s="336"/>
      <c r="O1015" s="336"/>
      <c r="P1015" s="336"/>
      <c r="Q1015" s="336"/>
      <c r="R1015" s="336"/>
      <c r="S1015" s="336"/>
      <c r="T1015" s="336"/>
      <c r="U1015" s="337" t="s">
        <v>1341</v>
      </c>
      <c r="V1015" s="336"/>
    </row>
    <row r="1016" ht="15.75" customHeight="1">
      <c r="A1016" s="336"/>
      <c r="B1016" s="336"/>
      <c r="C1016" s="336"/>
      <c r="D1016" s="336"/>
      <c r="E1016" s="336"/>
      <c r="F1016" s="336"/>
      <c r="G1016" s="336"/>
      <c r="H1016" s="336"/>
      <c r="I1016" s="336"/>
      <c r="J1016" s="336"/>
      <c r="K1016" s="336"/>
      <c r="L1016" s="336"/>
      <c r="M1016" s="336"/>
      <c r="N1016" s="336"/>
      <c r="O1016" s="336"/>
      <c r="P1016" s="336"/>
      <c r="Q1016" s="336"/>
      <c r="R1016" s="336"/>
      <c r="S1016" s="336"/>
      <c r="T1016" s="336"/>
      <c r="U1016" s="337" t="s">
        <v>1342</v>
      </c>
      <c r="V1016" s="336"/>
    </row>
    <row r="1017" ht="15.75" customHeight="1">
      <c r="A1017" s="336"/>
      <c r="B1017" s="336"/>
      <c r="C1017" s="336"/>
      <c r="D1017" s="336"/>
      <c r="E1017" s="336"/>
      <c r="F1017" s="336"/>
      <c r="G1017" s="336"/>
      <c r="H1017" s="336"/>
      <c r="I1017" s="336"/>
      <c r="J1017" s="336"/>
      <c r="K1017" s="336"/>
      <c r="L1017" s="336"/>
      <c r="M1017" s="336"/>
      <c r="N1017" s="336"/>
      <c r="O1017" s="336"/>
      <c r="P1017" s="336"/>
      <c r="Q1017" s="336"/>
      <c r="R1017" s="336"/>
      <c r="S1017" s="336"/>
      <c r="T1017" s="336"/>
      <c r="U1017" s="337" t="s">
        <v>1343</v>
      </c>
      <c r="V1017" s="336"/>
    </row>
    <row r="1018" ht="15.75" customHeight="1">
      <c r="A1018" s="336"/>
      <c r="B1018" s="336"/>
      <c r="C1018" s="336"/>
      <c r="D1018" s="336"/>
      <c r="E1018" s="336"/>
      <c r="F1018" s="336"/>
      <c r="G1018" s="336"/>
      <c r="H1018" s="336"/>
      <c r="I1018" s="336"/>
      <c r="J1018" s="336"/>
      <c r="K1018" s="336"/>
      <c r="L1018" s="336"/>
      <c r="M1018" s="336"/>
      <c r="N1018" s="336"/>
      <c r="O1018" s="336"/>
      <c r="P1018" s="336"/>
      <c r="Q1018" s="336"/>
      <c r="R1018" s="336"/>
      <c r="S1018" s="336"/>
      <c r="T1018" s="336"/>
      <c r="U1018" s="337" t="s">
        <v>1344</v>
      </c>
      <c r="V1018" s="336"/>
    </row>
    <row r="1019" ht="15.75" customHeight="1">
      <c r="A1019" s="336"/>
      <c r="B1019" s="336"/>
      <c r="C1019" s="336"/>
      <c r="D1019" s="336"/>
      <c r="E1019" s="336"/>
      <c r="F1019" s="336"/>
      <c r="G1019" s="336"/>
      <c r="H1019" s="336"/>
      <c r="I1019" s="336"/>
      <c r="J1019" s="336"/>
      <c r="K1019" s="336"/>
      <c r="L1019" s="336"/>
      <c r="M1019" s="336"/>
      <c r="N1019" s="336"/>
      <c r="O1019" s="336"/>
      <c r="P1019" s="336"/>
      <c r="Q1019" s="336"/>
      <c r="R1019" s="336"/>
      <c r="S1019" s="336"/>
      <c r="T1019" s="336"/>
      <c r="U1019" s="337" t="s">
        <v>1345</v>
      </c>
      <c r="V1019" s="336"/>
    </row>
    <row r="1020" ht="15.75" customHeight="1">
      <c r="A1020" s="336"/>
      <c r="B1020" s="336"/>
      <c r="C1020" s="336"/>
      <c r="D1020" s="336"/>
      <c r="E1020" s="336"/>
      <c r="F1020" s="336"/>
      <c r="G1020" s="336"/>
      <c r="H1020" s="336"/>
      <c r="I1020" s="336"/>
      <c r="J1020" s="336"/>
      <c r="K1020" s="336"/>
      <c r="L1020" s="336"/>
      <c r="M1020" s="336"/>
      <c r="N1020" s="336"/>
      <c r="O1020" s="336"/>
      <c r="P1020" s="336"/>
      <c r="Q1020" s="336"/>
      <c r="R1020" s="336"/>
      <c r="S1020" s="336"/>
      <c r="T1020" s="336"/>
      <c r="U1020" s="337" t="s">
        <v>1346</v>
      </c>
      <c r="V1020" s="336"/>
    </row>
    <row r="1021" ht="15.75" customHeight="1">
      <c r="A1021" s="336"/>
      <c r="B1021" s="336"/>
      <c r="C1021" s="336"/>
      <c r="D1021" s="336"/>
      <c r="E1021" s="336"/>
      <c r="F1021" s="336"/>
      <c r="G1021" s="336"/>
      <c r="H1021" s="336"/>
      <c r="I1021" s="336"/>
      <c r="J1021" s="336"/>
      <c r="K1021" s="336"/>
      <c r="L1021" s="336"/>
      <c r="M1021" s="336"/>
      <c r="N1021" s="336"/>
      <c r="O1021" s="336"/>
      <c r="P1021" s="336"/>
      <c r="Q1021" s="336"/>
      <c r="R1021" s="336"/>
      <c r="S1021" s="336"/>
      <c r="T1021" s="336"/>
      <c r="U1021" s="337" t="s">
        <v>1347</v>
      </c>
      <c r="V1021" s="336"/>
    </row>
    <row r="1022" ht="15.75" customHeight="1">
      <c r="A1022" s="336"/>
      <c r="B1022" s="336"/>
      <c r="C1022" s="336"/>
      <c r="D1022" s="336"/>
      <c r="E1022" s="336"/>
      <c r="F1022" s="336"/>
      <c r="G1022" s="336"/>
      <c r="H1022" s="336"/>
      <c r="I1022" s="336"/>
      <c r="J1022" s="336"/>
      <c r="K1022" s="336"/>
      <c r="L1022" s="336"/>
      <c r="M1022" s="336"/>
      <c r="N1022" s="336"/>
      <c r="O1022" s="336"/>
      <c r="P1022" s="336"/>
      <c r="Q1022" s="336"/>
      <c r="R1022" s="336"/>
      <c r="S1022" s="336"/>
      <c r="T1022" s="336"/>
      <c r="U1022" s="337" t="s">
        <v>1348</v>
      </c>
      <c r="V1022" s="336"/>
    </row>
    <row r="1023" ht="15.75" customHeight="1">
      <c r="A1023" s="336"/>
      <c r="B1023" s="336"/>
      <c r="C1023" s="336"/>
      <c r="D1023" s="336"/>
      <c r="E1023" s="336"/>
      <c r="F1023" s="336"/>
      <c r="G1023" s="336"/>
      <c r="H1023" s="336"/>
      <c r="I1023" s="336"/>
      <c r="J1023" s="336"/>
      <c r="K1023" s="336"/>
      <c r="L1023" s="336"/>
      <c r="M1023" s="336"/>
      <c r="N1023" s="336"/>
      <c r="O1023" s="336"/>
      <c r="P1023" s="336"/>
      <c r="Q1023" s="336"/>
      <c r="R1023" s="336"/>
      <c r="S1023" s="336"/>
      <c r="T1023" s="336"/>
      <c r="U1023" s="337" t="s">
        <v>1349</v>
      </c>
      <c r="V1023" s="336"/>
    </row>
    <row r="1024" ht="15.75" customHeight="1">
      <c r="A1024" s="336"/>
      <c r="B1024" s="336"/>
      <c r="C1024" s="336"/>
      <c r="D1024" s="336"/>
      <c r="E1024" s="336"/>
      <c r="F1024" s="336"/>
      <c r="G1024" s="336"/>
      <c r="H1024" s="336"/>
      <c r="I1024" s="336"/>
      <c r="J1024" s="336"/>
      <c r="K1024" s="336"/>
      <c r="L1024" s="336"/>
      <c r="M1024" s="336"/>
      <c r="N1024" s="336"/>
      <c r="O1024" s="336"/>
      <c r="P1024" s="336"/>
      <c r="Q1024" s="336"/>
      <c r="R1024" s="336"/>
      <c r="S1024" s="336"/>
      <c r="T1024" s="336"/>
      <c r="U1024" s="337" t="s">
        <v>1350</v>
      </c>
      <c r="V1024" s="336"/>
    </row>
    <row r="1025" ht="15.75" customHeight="1">
      <c r="A1025" s="336"/>
      <c r="B1025" s="336"/>
      <c r="C1025" s="336"/>
      <c r="D1025" s="336"/>
      <c r="E1025" s="336"/>
      <c r="F1025" s="336"/>
      <c r="G1025" s="336"/>
      <c r="H1025" s="336"/>
      <c r="I1025" s="336"/>
      <c r="J1025" s="336"/>
      <c r="K1025" s="336"/>
      <c r="L1025" s="336"/>
      <c r="M1025" s="336"/>
      <c r="N1025" s="336"/>
      <c r="O1025" s="336"/>
      <c r="P1025" s="336"/>
      <c r="Q1025" s="336"/>
      <c r="R1025" s="336"/>
      <c r="S1025" s="336"/>
      <c r="T1025" s="336"/>
      <c r="U1025" s="337" t="s">
        <v>1351</v>
      </c>
      <c r="V1025" s="336"/>
    </row>
    <row r="1026" ht="15.75" customHeight="1">
      <c r="A1026" s="336"/>
      <c r="B1026" s="336"/>
      <c r="C1026" s="336"/>
      <c r="D1026" s="336"/>
      <c r="E1026" s="336"/>
      <c r="F1026" s="336"/>
      <c r="G1026" s="336"/>
      <c r="H1026" s="336"/>
      <c r="I1026" s="336"/>
      <c r="J1026" s="336"/>
      <c r="K1026" s="336"/>
      <c r="L1026" s="336"/>
      <c r="M1026" s="336"/>
      <c r="N1026" s="336"/>
      <c r="O1026" s="336"/>
      <c r="P1026" s="336"/>
      <c r="Q1026" s="336"/>
      <c r="R1026" s="336"/>
      <c r="S1026" s="336"/>
      <c r="T1026" s="336"/>
      <c r="U1026" s="337" t="s">
        <v>1352</v>
      </c>
      <c r="V1026" s="336"/>
    </row>
    <row r="1027" ht="15.75" customHeight="1">
      <c r="A1027" s="336"/>
      <c r="B1027" s="336"/>
      <c r="C1027" s="336"/>
      <c r="D1027" s="336"/>
      <c r="E1027" s="336"/>
      <c r="F1027" s="336"/>
      <c r="G1027" s="336"/>
      <c r="H1027" s="336"/>
      <c r="I1027" s="336"/>
      <c r="J1027" s="336"/>
      <c r="K1027" s="336"/>
      <c r="L1027" s="336"/>
      <c r="M1027" s="336"/>
      <c r="N1027" s="336"/>
      <c r="O1027" s="336"/>
      <c r="P1027" s="336"/>
      <c r="Q1027" s="336"/>
      <c r="R1027" s="336"/>
      <c r="S1027" s="336"/>
      <c r="T1027" s="336"/>
      <c r="U1027" s="337" t="s">
        <v>1353</v>
      </c>
      <c r="V1027" s="336"/>
    </row>
    <row r="1028" ht="15.75" customHeight="1">
      <c r="A1028" s="336"/>
      <c r="B1028" s="336"/>
      <c r="C1028" s="336"/>
      <c r="D1028" s="336"/>
      <c r="E1028" s="336"/>
      <c r="F1028" s="336"/>
      <c r="G1028" s="336"/>
      <c r="H1028" s="336"/>
      <c r="I1028" s="336"/>
      <c r="J1028" s="336"/>
      <c r="K1028" s="336"/>
      <c r="L1028" s="336"/>
      <c r="M1028" s="336"/>
      <c r="N1028" s="336"/>
      <c r="O1028" s="336"/>
      <c r="P1028" s="336"/>
      <c r="Q1028" s="336"/>
      <c r="R1028" s="336"/>
      <c r="S1028" s="336"/>
      <c r="T1028" s="336"/>
      <c r="U1028" s="337" t="s">
        <v>1354</v>
      </c>
      <c r="V1028" s="336"/>
    </row>
    <row r="1029" ht="15.75" customHeight="1">
      <c r="A1029" s="336"/>
      <c r="B1029" s="336"/>
      <c r="C1029" s="336"/>
      <c r="D1029" s="336"/>
      <c r="E1029" s="336"/>
      <c r="F1029" s="336"/>
      <c r="G1029" s="336"/>
      <c r="H1029" s="336"/>
      <c r="I1029" s="336"/>
      <c r="J1029" s="336"/>
      <c r="K1029" s="336"/>
      <c r="L1029" s="336"/>
      <c r="M1029" s="336"/>
      <c r="N1029" s="336"/>
      <c r="O1029" s="336"/>
      <c r="P1029" s="336"/>
      <c r="Q1029" s="336"/>
      <c r="R1029" s="336"/>
      <c r="S1029" s="336"/>
      <c r="T1029" s="336"/>
      <c r="U1029" s="337" t="s">
        <v>1355</v>
      </c>
      <c r="V1029" s="336"/>
    </row>
    <row r="1030" ht="15.75" customHeight="1">
      <c r="A1030" s="336"/>
      <c r="B1030" s="336"/>
      <c r="C1030" s="336"/>
      <c r="D1030" s="336"/>
      <c r="E1030" s="336"/>
      <c r="F1030" s="336"/>
      <c r="G1030" s="336"/>
      <c r="H1030" s="336"/>
      <c r="I1030" s="336"/>
      <c r="J1030" s="336"/>
      <c r="K1030" s="336"/>
      <c r="L1030" s="336"/>
      <c r="M1030" s="336"/>
      <c r="N1030" s="336"/>
      <c r="O1030" s="336"/>
      <c r="P1030" s="336"/>
      <c r="Q1030" s="336"/>
      <c r="R1030" s="336"/>
      <c r="S1030" s="336"/>
      <c r="T1030" s="336"/>
      <c r="U1030" s="337" t="s">
        <v>1356</v>
      </c>
      <c r="V1030" s="336"/>
    </row>
    <row r="1031" ht="15.75" customHeight="1">
      <c r="A1031" s="336"/>
      <c r="B1031" s="336"/>
      <c r="C1031" s="336"/>
      <c r="D1031" s="336"/>
      <c r="E1031" s="336"/>
      <c r="F1031" s="336"/>
      <c r="G1031" s="336"/>
      <c r="H1031" s="336"/>
      <c r="I1031" s="336"/>
      <c r="J1031" s="336"/>
      <c r="K1031" s="336"/>
      <c r="L1031" s="336"/>
      <c r="M1031" s="336"/>
      <c r="N1031" s="336"/>
      <c r="O1031" s="336"/>
      <c r="P1031" s="336"/>
      <c r="Q1031" s="336"/>
      <c r="R1031" s="336"/>
      <c r="S1031" s="336"/>
      <c r="T1031" s="336"/>
      <c r="U1031" s="337" t="s">
        <v>1357</v>
      </c>
      <c r="V1031" s="336"/>
    </row>
    <row r="1032" ht="15.75" customHeight="1">
      <c r="A1032" s="336"/>
      <c r="B1032" s="336"/>
      <c r="C1032" s="336"/>
      <c r="D1032" s="336"/>
      <c r="E1032" s="336"/>
      <c r="F1032" s="336"/>
      <c r="G1032" s="336"/>
      <c r="H1032" s="336"/>
      <c r="I1032" s="336"/>
      <c r="J1032" s="336"/>
      <c r="K1032" s="336"/>
      <c r="L1032" s="336"/>
      <c r="M1032" s="336"/>
      <c r="N1032" s="336"/>
      <c r="O1032" s="336"/>
      <c r="P1032" s="336"/>
      <c r="Q1032" s="336"/>
      <c r="R1032" s="336"/>
      <c r="S1032" s="336"/>
      <c r="T1032" s="336"/>
      <c r="U1032" s="337" t="s">
        <v>1358</v>
      </c>
      <c r="V1032" s="336"/>
    </row>
    <row r="1033" ht="15.75" customHeight="1">
      <c r="A1033" s="336"/>
      <c r="B1033" s="336"/>
      <c r="C1033" s="336"/>
      <c r="D1033" s="336"/>
      <c r="E1033" s="336"/>
      <c r="F1033" s="336"/>
      <c r="G1033" s="336"/>
      <c r="H1033" s="336"/>
      <c r="I1033" s="336"/>
      <c r="J1033" s="336"/>
      <c r="K1033" s="336"/>
      <c r="L1033" s="336"/>
      <c r="M1033" s="336"/>
      <c r="N1033" s="336"/>
      <c r="O1033" s="336"/>
      <c r="P1033" s="336"/>
      <c r="Q1033" s="336"/>
      <c r="R1033" s="336"/>
      <c r="S1033" s="336"/>
      <c r="T1033" s="336"/>
      <c r="U1033" s="337" t="s">
        <v>1359</v>
      </c>
      <c r="V1033" s="336"/>
    </row>
    <row r="1034" ht="15.75" customHeight="1">
      <c r="A1034" s="336"/>
      <c r="B1034" s="336"/>
      <c r="C1034" s="336"/>
      <c r="D1034" s="336"/>
      <c r="E1034" s="336"/>
      <c r="F1034" s="336"/>
      <c r="G1034" s="336"/>
      <c r="H1034" s="336"/>
      <c r="I1034" s="336"/>
      <c r="J1034" s="336"/>
      <c r="K1034" s="336"/>
      <c r="L1034" s="336"/>
      <c r="M1034" s="336"/>
      <c r="N1034" s="336"/>
      <c r="O1034" s="336"/>
      <c r="P1034" s="336"/>
      <c r="Q1034" s="336"/>
      <c r="R1034" s="336"/>
      <c r="S1034" s="336"/>
      <c r="T1034" s="336"/>
      <c r="U1034" s="337" t="s">
        <v>1360</v>
      </c>
      <c r="V1034" s="336"/>
    </row>
    <row r="1035" ht="15.75" customHeight="1">
      <c r="A1035" s="336"/>
      <c r="B1035" s="336"/>
      <c r="C1035" s="336"/>
      <c r="D1035" s="336"/>
      <c r="E1035" s="336"/>
      <c r="F1035" s="336"/>
      <c r="G1035" s="336"/>
      <c r="H1035" s="336"/>
      <c r="I1035" s="336"/>
      <c r="J1035" s="336"/>
      <c r="K1035" s="336"/>
      <c r="L1035" s="336"/>
      <c r="M1035" s="336"/>
      <c r="N1035" s="336"/>
      <c r="O1035" s="336"/>
      <c r="P1035" s="336"/>
      <c r="Q1035" s="336"/>
      <c r="R1035" s="336"/>
      <c r="S1035" s="336"/>
      <c r="T1035" s="336"/>
      <c r="U1035" s="337" t="s">
        <v>1361</v>
      </c>
      <c r="V1035" s="336"/>
    </row>
    <row r="1036" ht="15.75" customHeight="1">
      <c r="A1036" s="336"/>
      <c r="B1036" s="336"/>
      <c r="C1036" s="336"/>
      <c r="D1036" s="336"/>
      <c r="E1036" s="336"/>
      <c r="F1036" s="336"/>
      <c r="G1036" s="336"/>
      <c r="H1036" s="336"/>
      <c r="I1036" s="336"/>
      <c r="J1036" s="336"/>
      <c r="K1036" s="336"/>
      <c r="L1036" s="336"/>
      <c r="M1036" s="336"/>
      <c r="N1036" s="336"/>
      <c r="O1036" s="336"/>
      <c r="P1036" s="336"/>
      <c r="Q1036" s="336"/>
      <c r="R1036" s="336"/>
      <c r="S1036" s="336"/>
      <c r="T1036" s="336"/>
      <c r="U1036" s="337" t="s">
        <v>1362</v>
      </c>
      <c r="V1036" s="336"/>
    </row>
    <row r="1037" ht="15.75" customHeight="1">
      <c r="A1037" s="336"/>
      <c r="B1037" s="336"/>
      <c r="C1037" s="336"/>
      <c r="D1037" s="336"/>
      <c r="E1037" s="336"/>
      <c r="F1037" s="336"/>
      <c r="G1037" s="336"/>
      <c r="H1037" s="336"/>
      <c r="I1037" s="336"/>
      <c r="J1037" s="336"/>
      <c r="K1037" s="336"/>
      <c r="L1037" s="336"/>
      <c r="M1037" s="336"/>
      <c r="N1037" s="336"/>
      <c r="O1037" s="336"/>
      <c r="P1037" s="336"/>
      <c r="Q1037" s="336"/>
      <c r="R1037" s="336"/>
      <c r="S1037" s="336"/>
      <c r="T1037" s="336"/>
      <c r="U1037" s="337" t="s">
        <v>1363</v>
      </c>
      <c r="V1037" s="336"/>
    </row>
    <row r="1038" ht="15.75" customHeight="1">
      <c r="A1038" s="336"/>
      <c r="B1038" s="336"/>
      <c r="C1038" s="336"/>
      <c r="D1038" s="336"/>
      <c r="E1038" s="336"/>
      <c r="F1038" s="336"/>
      <c r="G1038" s="336"/>
      <c r="H1038" s="336"/>
      <c r="I1038" s="336"/>
      <c r="J1038" s="336"/>
      <c r="K1038" s="336"/>
      <c r="L1038" s="336"/>
      <c r="M1038" s="336"/>
      <c r="N1038" s="336"/>
      <c r="O1038" s="336"/>
      <c r="P1038" s="336"/>
      <c r="Q1038" s="336"/>
      <c r="R1038" s="336"/>
      <c r="S1038" s="336"/>
      <c r="T1038" s="336"/>
      <c r="U1038" s="337" t="s">
        <v>1364</v>
      </c>
      <c r="V1038" s="336"/>
    </row>
    <row r="1039" ht="15.75" customHeight="1">
      <c r="A1039" s="336"/>
      <c r="B1039" s="336"/>
      <c r="C1039" s="336"/>
      <c r="D1039" s="336"/>
      <c r="E1039" s="336"/>
      <c r="F1039" s="336"/>
      <c r="G1039" s="336"/>
      <c r="H1039" s="336"/>
      <c r="I1039" s="336"/>
      <c r="J1039" s="336"/>
      <c r="K1039" s="336"/>
      <c r="L1039" s="336"/>
      <c r="M1039" s="336"/>
      <c r="N1039" s="336"/>
      <c r="O1039" s="336"/>
      <c r="P1039" s="336"/>
      <c r="Q1039" s="336"/>
      <c r="R1039" s="336"/>
      <c r="S1039" s="336"/>
      <c r="T1039" s="336"/>
      <c r="U1039" s="337" t="s">
        <v>1365</v>
      </c>
      <c r="V1039" s="336"/>
    </row>
    <row r="1040" ht="15.75" customHeight="1">
      <c r="A1040" s="336"/>
      <c r="B1040" s="336"/>
      <c r="C1040" s="336"/>
      <c r="D1040" s="336"/>
      <c r="E1040" s="336"/>
      <c r="F1040" s="336"/>
      <c r="G1040" s="336"/>
      <c r="H1040" s="336"/>
      <c r="I1040" s="336"/>
      <c r="J1040" s="336"/>
      <c r="K1040" s="336"/>
      <c r="L1040" s="336"/>
      <c r="M1040" s="336"/>
      <c r="N1040" s="336"/>
      <c r="O1040" s="336"/>
      <c r="P1040" s="336"/>
      <c r="Q1040" s="336"/>
      <c r="R1040" s="336"/>
      <c r="S1040" s="336"/>
      <c r="T1040" s="336"/>
      <c r="U1040" s="337" t="s">
        <v>1366</v>
      </c>
      <c r="V1040" s="336"/>
    </row>
    <row r="1041" ht="15.75" customHeight="1">
      <c r="A1041" s="336"/>
      <c r="B1041" s="336"/>
      <c r="C1041" s="336"/>
      <c r="D1041" s="336"/>
      <c r="E1041" s="336"/>
      <c r="F1041" s="336"/>
      <c r="G1041" s="336"/>
      <c r="H1041" s="336"/>
      <c r="I1041" s="336"/>
      <c r="J1041" s="336"/>
      <c r="K1041" s="336"/>
      <c r="L1041" s="336"/>
      <c r="M1041" s="336"/>
      <c r="N1041" s="336"/>
      <c r="O1041" s="336"/>
      <c r="P1041" s="336"/>
      <c r="Q1041" s="336"/>
      <c r="R1041" s="336"/>
      <c r="S1041" s="336"/>
      <c r="T1041" s="336"/>
      <c r="U1041" s="337" t="s">
        <v>1367</v>
      </c>
      <c r="V1041" s="336"/>
    </row>
    <row r="1042" ht="15.75" customHeight="1">
      <c r="A1042" s="336"/>
      <c r="B1042" s="336"/>
      <c r="C1042" s="336"/>
      <c r="D1042" s="336"/>
      <c r="E1042" s="336"/>
      <c r="F1042" s="336"/>
      <c r="G1042" s="336"/>
      <c r="H1042" s="336"/>
      <c r="I1042" s="336"/>
      <c r="J1042" s="336"/>
      <c r="K1042" s="336"/>
      <c r="L1042" s="336"/>
      <c r="M1042" s="336"/>
      <c r="N1042" s="336"/>
      <c r="O1042" s="336"/>
      <c r="P1042" s="336"/>
      <c r="Q1042" s="336"/>
      <c r="R1042" s="336"/>
      <c r="S1042" s="336"/>
      <c r="T1042" s="336"/>
      <c r="U1042" s="337" t="s">
        <v>1368</v>
      </c>
      <c r="V1042" s="336"/>
    </row>
    <row r="1043" ht="15.75" customHeight="1">
      <c r="A1043" s="336"/>
      <c r="B1043" s="336"/>
      <c r="C1043" s="336"/>
      <c r="D1043" s="336"/>
      <c r="E1043" s="336"/>
      <c r="F1043" s="336"/>
      <c r="G1043" s="336"/>
      <c r="H1043" s="336"/>
      <c r="I1043" s="336"/>
      <c r="J1043" s="336"/>
      <c r="K1043" s="336"/>
      <c r="L1043" s="336"/>
      <c r="M1043" s="336"/>
      <c r="N1043" s="336"/>
      <c r="O1043" s="336"/>
      <c r="P1043" s="336"/>
      <c r="Q1043" s="336"/>
      <c r="R1043" s="336"/>
      <c r="S1043" s="336"/>
      <c r="T1043" s="336"/>
      <c r="U1043" s="337" t="s">
        <v>1369</v>
      </c>
      <c r="V1043" s="336"/>
    </row>
    <row r="1044" ht="15.75" customHeight="1">
      <c r="A1044" s="336"/>
      <c r="B1044" s="336"/>
      <c r="C1044" s="336"/>
      <c r="D1044" s="336"/>
      <c r="E1044" s="336"/>
      <c r="F1044" s="336"/>
      <c r="G1044" s="336"/>
      <c r="H1044" s="336"/>
      <c r="I1044" s="336"/>
      <c r="J1044" s="336"/>
      <c r="K1044" s="336"/>
      <c r="L1044" s="336"/>
      <c r="M1044" s="336"/>
      <c r="N1044" s="336"/>
      <c r="O1044" s="336"/>
      <c r="P1044" s="336"/>
      <c r="Q1044" s="336"/>
      <c r="R1044" s="336"/>
      <c r="S1044" s="336"/>
      <c r="T1044" s="336"/>
      <c r="U1044" s="337" t="s">
        <v>1370</v>
      </c>
      <c r="V1044" s="336"/>
    </row>
    <row r="1045" ht="15.75" customHeight="1">
      <c r="A1045" s="336"/>
      <c r="B1045" s="336"/>
      <c r="C1045" s="336"/>
      <c r="D1045" s="336"/>
      <c r="E1045" s="336"/>
      <c r="F1045" s="336"/>
      <c r="G1045" s="336"/>
      <c r="H1045" s="336"/>
      <c r="I1045" s="336"/>
      <c r="J1045" s="336"/>
      <c r="K1045" s="336"/>
      <c r="L1045" s="336"/>
      <c r="M1045" s="336"/>
      <c r="N1045" s="336"/>
      <c r="O1045" s="336"/>
      <c r="P1045" s="336"/>
      <c r="Q1045" s="336"/>
      <c r="R1045" s="336"/>
      <c r="S1045" s="336"/>
      <c r="T1045" s="336"/>
      <c r="U1045" s="337" t="s">
        <v>1371</v>
      </c>
      <c r="V1045" s="336"/>
    </row>
    <row r="1046" ht="15.75" customHeight="1">
      <c r="A1046" s="336"/>
      <c r="B1046" s="336"/>
      <c r="C1046" s="336"/>
      <c r="D1046" s="336"/>
      <c r="E1046" s="336"/>
      <c r="F1046" s="336"/>
      <c r="G1046" s="336"/>
      <c r="H1046" s="336"/>
      <c r="I1046" s="336"/>
      <c r="J1046" s="336"/>
      <c r="K1046" s="336"/>
      <c r="L1046" s="336"/>
      <c r="M1046" s="336"/>
      <c r="N1046" s="336"/>
      <c r="O1046" s="336"/>
      <c r="P1046" s="336"/>
      <c r="Q1046" s="336"/>
      <c r="R1046" s="336"/>
      <c r="S1046" s="336"/>
      <c r="T1046" s="336"/>
      <c r="U1046" s="337" t="s">
        <v>1372</v>
      </c>
      <c r="V1046" s="336"/>
    </row>
    <row r="1047" ht="15.75" customHeight="1">
      <c r="A1047" s="336"/>
      <c r="B1047" s="336"/>
      <c r="C1047" s="336"/>
      <c r="D1047" s="336"/>
      <c r="E1047" s="336"/>
      <c r="F1047" s="336"/>
      <c r="G1047" s="336"/>
      <c r="H1047" s="336"/>
      <c r="I1047" s="336"/>
      <c r="J1047" s="336"/>
      <c r="K1047" s="336"/>
      <c r="L1047" s="336"/>
      <c r="M1047" s="336"/>
      <c r="N1047" s="336"/>
      <c r="O1047" s="336"/>
      <c r="P1047" s="336"/>
      <c r="Q1047" s="336"/>
      <c r="R1047" s="336"/>
      <c r="S1047" s="336"/>
      <c r="T1047" s="336"/>
      <c r="U1047" s="337" t="s">
        <v>1373</v>
      </c>
      <c r="V1047" s="336"/>
    </row>
    <row r="1048" ht="15.75" customHeight="1">
      <c r="A1048" s="336"/>
      <c r="B1048" s="336"/>
      <c r="C1048" s="336"/>
      <c r="D1048" s="336"/>
      <c r="E1048" s="336"/>
      <c r="F1048" s="336"/>
      <c r="G1048" s="336"/>
      <c r="H1048" s="336"/>
      <c r="I1048" s="336"/>
      <c r="J1048" s="336"/>
      <c r="K1048" s="336"/>
      <c r="L1048" s="336"/>
      <c r="M1048" s="336"/>
      <c r="N1048" s="336"/>
      <c r="O1048" s="336"/>
      <c r="P1048" s="336"/>
      <c r="Q1048" s="336"/>
      <c r="R1048" s="336"/>
      <c r="S1048" s="336"/>
      <c r="T1048" s="336"/>
      <c r="U1048" s="337" t="s">
        <v>1374</v>
      </c>
      <c r="V1048" s="336"/>
    </row>
    <row r="1049" ht="15.75" customHeight="1">
      <c r="A1049" s="336"/>
      <c r="B1049" s="336"/>
      <c r="C1049" s="336"/>
      <c r="D1049" s="336"/>
      <c r="E1049" s="336"/>
      <c r="F1049" s="336"/>
      <c r="G1049" s="336"/>
      <c r="H1049" s="336"/>
      <c r="I1049" s="336"/>
      <c r="J1049" s="336"/>
      <c r="K1049" s="336"/>
      <c r="L1049" s="336"/>
      <c r="M1049" s="336"/>
      <c r="N1049" s="336"/>
      <c r="O1049" s="336"/>
      <c r="P1049" s="336"/>
      <c r="Q1049" s="336"/>
      <c r="R1049" s="336"/>
      <c r="S1049" s="336"/>
      <c r="T1049" s="336"/>
      <c r="U1049" s="337" t="s">
        <v>1375</v>
      </c>
      <c r="V1049" s="336"/>
    </row>
    <row r="1050" ht="15.75" customHeight="1">
      <c r="A1050" s="336"/>
      <c r="B1050" s="336"/>
      <c r="C1050" s="336"/>
      <c r="D1050" s="336"/>
      <c r="E1050" s="336"/>
      <c r="F1050" s="336"/>
      <c r="G1050" s="336"/>
      <c r="H1050" s="336"/>
      <c r="I1050" s="336"/>
      <c r="J1050" s="336"/>
      <c r="K1050" s="336"/>
      <c r="L1050" s="336"/>
      <c r="M1050" s="336"/>
      <c r="N1050" s="336"/>
      <c r="O1050" s="336"/>
      <c r="P1050" s="336"/>
      <c r="Q1050" s="336"/>
      <c r="R1050" s="336"/>
      <c r="S1050" s="336"/>
      <c r="T1050" s="336"/>
      <c r="U1050" s="337" t="s">
        <v>1376</v>
      </c>
      <c r="V1050" s="336"/>
    </row>
    <row r="1051" ht="15.75" customHeight="1">
      <c r="A1051" s="336"/>
      <c r="B1051" s="336"/>
      <c r="C1051" s="336"/>
      <c r="D1051" s="336"/>
      <c r="E1051" s="336"/>
      <c r="F1051" s="336"/>
      <c r="G1051" s="336"/>
      <c r="H1051" s="336"/>
      <c r="I1051" s="336"/>
      <c r="J1051" s="336"/>
      <c r="K1051" s="336"/>
      <c r="L1051" s="336"/>
      <c r="M1051" s="336"/>
      <c r="N1051" s="336"/>
      <c r="O1051" s="336"/>
      <c r="P1051" s="336"/>
      <c r="Q1051" s="336"/>
      <c r="R1051" s="336"/>
      <c r="S1051" s="336"/>
      <c r="T1051" s="336"/>
      <c r="U1051" s="337" t="s">
        <v>1377</v>
      </c>
      <c r="V1051" s="336"/>
    </row>
    <row r="1052" ht="15.75" customHeight="1">
      <c r="A1052" s="336"/>
      <c r="B1052" s="336"/>
      <c r="C1052" s="336"/>
      <c r="D1052" s="336"/>
      <c r="E1052" s="336"/>
      <c r="F1052" s="336"/>
      <c r="G1052" s="336"/>
      <c r="H1052" s="336"/>
      <c r="I1052" s="336"/>
      <c r="J1052" s="336"/>
      <c r="K1052" s="336"/>
      <c r="L1052" s="336"/>
      <c r="M1052" s="336"/>
      <c r="N1052" s="336"/>
      <c r="O1052" s="336"/>
      <c r="P1052" s="336"/>
      <c r="Q1052" s="336"/>
      <c r="R1052" s="336"/>
      <c r="S1052" s="336"/>
      <c r="T1052" s="336"/>
      <c r="U1052" s="337" t="s">
        <v>1378</v>
      </c>
      <c r="V1052" s="336"/>
    </row>
    <row r="1053" ht="15.75" customHeight="1">
      <c r="A1053" s="336"/>
      <c r="B1053" s="336"/>
      <c r="C1053" s="336"/>
      <c r="D1053" s="336"/>
      <c r="E1053" s="336"/>
      <c r="F1053" s="336"/>
      <c r="G1053" s="336"/>
      <c r="H1053" s="336"/>
      <c r="I1053" s="336"/>
      <c r="J1053" s="336"/>
      <c r="K1053" s="336"/>
      <c r="L1053" s="336"/>
      <c r="M1053" s="336"/>
      <c r="N1053" s="336"/>
      <c r="O1053" s="336"/>
      <c r="P1053" s="336"/>
      <c r="Q1053" s="336"/>
      <c r="R1053" s="336"/>
      <c r="S1053" s="336"/>
      <c r="T1053" s="336"/>
      <c r="U1053" s="337" t="s">
        <v>1379</v>
      </c>
      <c r="V1053" s="336"/>
    </row>
    <row r="1054" ht="15.75" customHeight="1">
      <c r="A1054" s="336"/>
      <c r="B1054" s="336"/>
      <c r="C1054" s="336"/>
      <c r="D1054" s="336"/>
      <c r="E1054" s="336"/>
      <c r="F1054" s="336"/>
      <c r="G1054" s="336"/>
      <c r="H1054" s="336"/>
      <c r="I1054" s="336"/>
      <c r="J1054" s="336"/>
      <c r="K1054" s="336"/>
      <c r="L1054" s="336"/>
      <c r="M1054" s="336"/>
      <c r="N1054" s="336"/>
      <c r="O1054" s="336"/>
      <c r="P1054" s="336"/>
      <c r="Q1054" s="336"/>
      <c r="R1054" s="336"/>
      <c r="S1054" s="336"/>
      <c r="T1054" s="336"/>
      <c r="U1054" s="337" t="s">
        <v>1380</v>
      </c>
      <c r="V1054" s="336"/>
    </row>
    <row r="1055" ht="15.75" customHeight="1">
      <c r="A1055" s="336"/>
      <c r="B1055" s="336"/>
      <c r="C1055" s="336"/>
      <c r="D1055" s="336"/>
      <c r="E1055" s="336"/>
      <c r="F1055" s="336"/>
      <c r="G1055" s="336"/>
      <c r="H1055" s="336"/>
      <c r="I1055" s="336"/>
      <c r="J1055" s="336"/>
      <c r="K1055" s="336"/>
      <c r="L1055" s="336"/>
      <c r="M1055" s="336"/>
      <c r="N1055" s="336"/>
      <c r="O1055" s="336"/>
      <c r="P1055" s="336"/>
      <c r="Q1055" s="336"/>
      <c r="R1055" s="336"/>
      <c r="S1055" s="336"/>
      <c r="T1055" s="336"/>
      <c r="U1055" s="337" t="s">
        <v>1381</v>
      </c>
      <c r="V1055" s="336"/>
    </row>
    <row r="1056" ht="15.75" customHeight="1">
      <c r="A1056" s="336"/>
      <c r="B1056" s="336"/>
      <c r="C1056" s="336"/>
      <c r="D1056" s="336"/>
      <c r="E1056" s="336"/>
      <c r="F1056" s="336"/>
      <c r="G1056" s="336"/>
      <c r="H1056" s="336"/>
      <c r="I1056" s="336"/>
      <c r="J1056" s="336"/>
      <c r="K1056" s="336"/>
      <c r="L1056" s="336"/>
      <c r="M1056" s="336"/>
      <c r="N1056" s="336"/>
      <c r="O1056" s="336"/>
      <c r="P1056" s="336"/>
      <c r="Q1056" s="336"/>
      <c r="R1056" s="336"/>
      <c r="S1056" s="336"/>
      <c r="T1056" s="336"/>
      <c r="U1056" s="337" t="s">
        <v>1382</v>
      </c>
      <c r="V1056" s="336"/>
    </row>
    <row r="1057" ht="15.75" customHeight="1">
      <c r="A1057" s="336"/>
      <c r="B1057" s="336"/>
      <c r="C1057" s="336"/>
      <c r="D1057" s="336"/>
      <c r="E1057" s="336"/>
      <c r="F1057" s="336"/>
      <c r="G1057" s="336"/>
      <c r="H1057" s="336"/>
      <c r="I1057" s="336"/>
      <c r="J1057" s="336"/>
      <c r="K1057" s="336"/>
      <c r="L1057" s="336"/>
      <c r="M1057" s="336"/>
      <c r="N1057" s="336"/>
      <c r="O1057" s="336"/>
      <c r="P1057" s="336"/>
      <c r="Q1057" s="336"/>
      <c r="R1057" s="336"/>
      <c r="S1057" s="336"/>
      <c r="T1057" s="336"/>
      <c r="U1057" s="337" t="s">
        <v>1383</v>
      </c>
      <c r="V1057" s="336"/>
    </row>
    <row r="1058" ht="15.75" customHeight="1">
      <c r="A1058" s="336"/>
      <c r="B1058" s="336"/>
      <c r="C1058" s="336"/>
      <c r="D1058" s="336"/>
      <c r="E1058" s="336"/>
      <c r="F1058" s="336"/>
      <c r="G1058" s="336"/>
      <c r="H1058" s="336"/>
      <c r="I1058" s="336"/>
      <c r="J1058" s="336"/>
      <c r="K1058" s="336"/>
      <c r="L1058" s="336"/>
      <c r="M1058" s="336"/>
      <c r="N1058" s="336"/>
      <c r="O1058" s="336"/>
      <c r="P1058" s="336"/>
      <c r="Q1058" s="336"/>
      <c r="R1058" s="336"/>
      <c r="S1058" s="336"/>
      <c r="T1058" s="336"/>
      <c r="U1058" s="337" t="s">
        <v>1384</v>
      </c>
      <c r="V1058" s="336"/>
    </row>
    <row r="1059" ht="15.75" customHeight="1">
      <c r="A1059" s="336"/>
      <c r="B1059" s="336"/>
      <c r="C1059" s="336"/>
      <c r="D1059" s="336"/>
      <c r="E1059" s="336"/>
      <c r="F1059" s="336"/>
      <c r="G1059" s="336"/>
      <c r="H1059" s="336"/>
      <c r="I1059" s="336"/>
      <c r="J1059" s="336"/>
      <c r="K1059" s="336"/>
      <c r="L1059" s="336"/>
      <c r="M1059" s="336"/>
      <c r="N1059" s="336"/>
      <c r="O1059" s="336"/>
      <c r="P1059" s="336"/>
      <c r="Q1059" s="336"/>
      <c r="R1059" s="336"/>
      <c r="S1059" s="336"/>
      <c r="T1059" s="336"/>
      <c r="U1059" s="337" t="s">
        <v>1385</v>
      </c>
      <c r="V1059" s="336"/>
    </row>
    <row r="1060" ht="15.75" customHeight="1">
      <c r="A1060" s="336"/>
      <c r="B1060" s="336"/>
      <c r="C1060" s="336"/>
      <c r="D1060" s="336"/>
      <c r="E1060" s="336"/>
      <c r="F1060" s="336"/>
      <c r="G1060" s="336"/>
      <c r="H1060" s="336"/>
      <c r="I1060" s="336"/>
      <c r="J1060" s="336"/>
      <c r="K1060" s="336"/>
      <c r="L1060" s="336"/>
      <c r="M1060" s="336"/>
      <c r="N1060" s="336"/>
      <c r="O1060" s="336"/>
      <c r="P1060" s="336"/>
      <c r="Q1060" s="336"/>
      <c r="R1060" s="336"/>
      <c r="S1060" s="336"/>
      <c r="T1060" s="336"/>
      <c r="U1060" s="337" t="s">
        <v>1386</v>
      </c>
      <c r="V1060" s="336"/>
    </row>
    <row r="1061" ht="15.75" customHeight="1">
      <c r="A1061" s="336"/>
      <c r="B1061" s="336"/>
      <c r="C1061" s="336"/>
      <c r="D1061" s="336"/>
      <c r="E1061" s="336"/>
      <c r="F1061" s="336"/>
      <c r="G1061" s="336"/>
      <c r="H1061" s="336"/>
      <c r="I1061" s="336"/>
      <c r="J1061" s="336"/>
      <c r="K1061" s="336"/>
      <c r="L1061" s="336"/>
      <c r="M1061" s="336"/>
      <c r="N1061" s="336"/>
      <c r="O1061" s="336"/>
      <c r="P1061" s="336"/>
      <c r="Q1061" s="336"/>
      <c r="R1061" s="336"/>
      <c r="S1061" s="336"/>
      <c r="T1061" s="336"/>
      <c r="U1061" s="337" t="s">
        <v>1387</v>
      </c>
      <c r="V1061" s="336"/>
    </row>
    <row r="1062" ht="15.75" customHeight="1">
      <c r="A1062" s="336"/>
      <c r="B1062" s="336"/>
      <c r="C1062" s="336"/>
      <c r="D1062" s="336"/>
      <c r="E1062" s="336"/>
      <c r="F1062" s="336"/>
      <c r="G1062" s="336"/>
      <c r="H1062" s="336"/>
      <c r="I1062" s="336"/>
      <c r="J1062" s="336"/>
      <c r="K1062" s="336"/>
      <c r="L1062" s="336"/>
      <c r="M1062" s="336"/>
      <c r="N1062" s="336"/>
      <c r="O1062" s="336"/>
      <c r="P1062" s="336"/>
      <c r="Q1062" s="336"/>
      <c r="R1062" s="336"/>
      <c r="S1062" s="336"/>
      <c r="T1062" s="336"/>
      <c r="U1062" s="337" t="s">
        <v>1388</v>
      </c>
      <c r="V1062" s="336"/>
    </row>
    <row r="1063" ht="15.75" customHeight="1">
      <c r="A1063" s="336"/>
      <c r="B1063" s="336"/>
      <c r="C1063" s="336"/>
      <c r="D1063" s="336"/>
      <c r="E1063" s="336"/>
      <c r="F1063" s="336"/>
      <c r="G1063" s="336"/>
      <c r="H1063" s="336"/>
      <c r="I1063" s="336"/>
      <c r="J1063" s="336"/>
      <c r="K1063" s="336"/>
      <c r="L1063" s="336"/>
      <c r="M1063" s="336"/>
      <c r="N1063" s="336"/>
      <c r="O1063" s="336"/>
      <c r="P1063" s="336"/>
      <c r="Q1063" s="336"/>
      <c r="R1063" s="336"/>
      <c r="S1063" s="336"/>
      <c r="T1063" s="336"/>
      <c r="U1063" s="337" t="s">
        <v>1389</v>
      </c>
      <c r="V1063" s="336"/>
    </row>
    <row r="1064" ht="15.75" customHeight="1">
      <c r="A1064" s="336"/>
      <c r="B1064" s="336"/>
      <c r="C1064" s="336"/>
      <c r="D1064" s="336"/>
      <c r="E1064" s="336"/>
      <c r="F1064" s="336"/>
      <c r="G1064" s="336"/>
      <c r="H1064" s="336"/>
      <c r="I1064" s="336"/>
      <c r="J1064" s="336"/>
      <c r="K1064" s="336"/>
      <c r="L1064" s="336"/>
      <c r="M1064" s="336"/>
      <c r="N1064" s="336"/>
      <c r="O1064" s="336"/>
      <c r="P1064" s="336"/>
      <c r="Q1064" s="336"/>
      <c r="R1064" s="336"/>
      <c r="S1064" s="336"/>
      <c r="T1064" s="336"/>
      <c r="U1064" s="337" t="s">
        <v>1390</v>
      </c>
      <c r="V1064" s="336"/>
    </row>
    <row r="1065" ht="15.75" customHeight="1">
      <c r="A1065" s="336"/>
      <c r="B1065" s="336"/>
      <c r="C1065" s="336"/>
      <c r="D1065" s="336"/>
      <c r="E1065" s="336"/>
      <c r="F1065" s="336"/>
      <c r="G1065" s="336"/>
      <c r="H1065" s="336"/>
      <c r="I1065" s="336"/>
      <c r="J1065" s="336"/>
      <c r="K1065" s="336"/>
      <c r="L1065" s="336"/>
      <c r="M1065" s="336"/>
      <c r="N1065" s="336"/>
      <c r="O1065" s="336"/>
      <c r="P1065" s="336"/>
      <c r="Q1065" s="336"/>
      <c r="R1065" s="336"/>
      <c r="S1065" s="336"/>
      <c r="T1065" s="336"/>
      <c r="U1065" s="337" t="s">
        <v>1391</v>
      </c>
      <c r="V1065" s="336"/>
    </row>
    <row r="1066" ht="15.75" customHeight="1">
      <c r="A1066" s="336"/>
      <c r="B1066" s="336"/>
      <c r="C1066" s="336"/>
      <c r="D1066" s="336"/>
      <c r="E1066" s="336"/>
      <c r="F1066" s="336"/>
      <c r="G1066" s="336"/>
      <c r="H1066" s="336"/>
      <c r="I1066" s="336"/>
      <c r="J1066" s="336"/>
      <c r="K1066" s="336"/>
      <c r="L1066" s="336"/>
      <c r="M1066" s="336"/>
      <c r="N1066" s="336"/>
      <c r="O1066" s="336"/>
      <c r="P1066" s="336"/>
      <c r="Q1066" s="336"/>
      <c r="R1066" s="336"/>
      <c r="S1066" s="336"/>
      <c r="T1066" s="336"/>
      <c r="U1066" s="337" t="s">
        <v>1392</v>
      </c>
      <c r="V1066" s="336"/>
    </row>
    <row r="1067" ht="15.75" customHeight="1">
      <c r="A1067" s="336"/>
      <c r="B1067" s="336"/>
      <c r="C1067" s="336"/>
      <c r="D1067" s="336"/>
      <c r="E1067" s="336"/>
      <c r="F1067" s="336"/>
      <c r="G1067" s="336"/>
      <c r="H1067" s="336"/>
      <c r="I1067" s="336"/>
      <c r="J1067" s="336"/>
      <c r="K1067" s="336"/>
      <c r="L1067" s="336"/>
      <c r="M1067" s="336"/>
      <c r="N1067" s="336"/>
      <c r="O1067" s="336"/>
      <c r="P1067" s="336"/>
      <c r="Q1067" s="336"/>
      <c r="R1067" s="336"/>
      <c r="S1067" s="336"/>
      <c r="T1067" s="336"/>
      <c r="U1067" s="337" t="s">
        <v>1393</v>
      </c>
      <c r="V1067" s="336"/>
    </row>
    <row r="1068" ht="15.75" customHeight="1">
      <c r="A1068" s="336"/>
      <c r="B1068" s="336"/>
      <c r="C1068" s="336"/>
      <c r="D1068" s="336"/>
      <c r="E1068" s="336"/>
      <c r="F1068" s="336"/>
      <c r="G1068" s="336"/>
      <c r="H1068" s="336"/>
      <c r="I1068" s="336"/>
      <c r="J1068" s="336"/>
      <c r="K1068" s="336"/>
      <c r="L1068" s="336"/>
      <c r="M1068" s="336"/>
      <c r="N1068" s="336"/>
      <c r="O1068" s="336"/>
      <c r="P1068" s="336"/>
      <c r="Q1068" s="336"/>
      <c r="R1068" s="336"/>
      <c r="S1068" s="336"/>
      <c r="T1068" s="336"/>
      <c r="U1068" s="337" t="s">
        <v>1394</v>
      </c>
      <c r="V1068" s="336"/>
    </row>
    <row r="1069" ht="15.75" customHeight="1">
      <c r="A1069" s="336"/>
      <c r="B1069" s="336"/>
      <c r="C1069" s="336"/>
      <c r="D1069" s="336"/>
      <c r="E1069" s="336"/>
      <c r="F1069" s="336"/>
      <c r="G1069" s="336"/>
      <c r="H1069" s="336"/>
      <c r="I1069" s="336"/>
      <c r="J1069" s="336"/>
      <c r="K1069" s="336"/>
      <c r="L1069" s="336"/>
      <c r="M1069" s="336"/>
      <c r="N1069" s="336"/>
      <c r="O1069" s="336"/>
      <c r="P1069" s="336"/>
      <c r="Q1069" s="336"/>
      <c r="R1069" s="336"/>
      <c r="S1069" s="336"/>
      <c r="T1069" s="336"/>
      <c r="U1069" s="337" t="s">
        <v>1395</v>
      </c>
      <c r="V1069" s="336"/>
    </row>
    <row r="1070" ht="15.75" customHeight="1">
      <c r="A1070" s="336"/>
      <c r="B1070" s="336"/>
      <c r="C1070" s="336"/>
      <c r="D1070" s="336"/>
      <c r="E1070" s="336"/>
      <c r="F1070" s="336"/>
      <c r="G1070" s="336"/>
      <c r="H1070" s="336"/>
      <c r="I1070" s="336"/>
      <c r="J1070" s="336"/>
      <c r="K1070" s="336"/>
      <c r="L1070" s="336"/>
      <c r="M1070" s="336"/>
      <c r="N1070" s="336"/>
      <c r="O1070" s="336"/>
      <c r="P1070" s="336"/>
      <c r="Q1070" s="336"/>
      <c r="R1070" s="336"/>
      <c r="S1070" s="336"/>
      <c r="T1070" s="336"/>
      <c r="U1070" s="337" t="s">
        <v>1396</v>
      </c>
      <c r="V1070" s="336"/>
    </row>
    <row r="1071" ht="15.75" customHeight="1">
      <c r="A1071" s="336"/>
      <c r="B1071" s="336"/>
      <c r="C1071" s="336"/>
      <c r="D1071" s="336"/>
      <c r="E1071" s="336"/>
      <c r="F1071" s="336"/>
      <c r="G1071" s="336"/>
      <c r="H1071" s="336"/>
      <c r="I1071" s="336"/>
      <c r="J1071" s="336"/>
      <c r="K1071" s="336"/>
      <c r="L1071" s="336"/>
      <c r="M1071" s="336"/>
      <c r="N1071" s="336"/>
      <c r="O1071" s="336"/>
      <c r="P1071" s="336"/>
      <c r="Q1071" s="336"/>
      <c r="R1071" s="336"/>
      <c r="S1071" s="336"/>
      <c r="T1071" s="336"/>
      <c r="U1071" s="337" t="s">
        <v>1397</v>
      </c>
      <c r="V1071" s="336"/>
    </row>
    <row r="1072" ht="15.75" customHeight="1">
      <c r="A1072" s="336"/>
      <c r="B1072" s="336"/>
      <c r="C1072" s="336"/>
      <c r="D1072" s="336"/>
      <c r="E1072" s="336"/>
      <c r="F1072" s="336"/>
      <c r="G1072" s="336"/>
      <c r="H1072" s="336"/>
      <c r="I1072" s="336"/>
      <c r="J1072" s="336"/>
      <c r="K1072" s="336"/>
      <c r="L1072" s="336"/>
      <c r="M1072" s="336"/>
      <c r="N1072" s="336"/>
      <c r="O1072" s="336"/>
      <c r="P1072" s="336"/>
      <c r="Q1072" s="336"/>
      <c r="R1072" s="336"/>
      <c r="S1072" s="336"/>
      <c r="T1072" s="336"/>
      <c r="U1072" s="337" t="s">
        <v>1398</v>
      </c>
      <c r="V1072" s="336"/>
    </row>
    <row r="1073" ht="15.75" customHeight="1">
      <c r="A1073" s="336"/>
      <c r="B1073" s="336"/>
      <c r="C1073" s="336"/>
      <c r="D1073" s="336"/>
      <c r="E1073" s="336"/>
      <c r="F1073" s="336"/>
      <c r="G1073" s="336"/>
      <c r="H1073" s="336"/>
      <c r="I1073" s="336"/>
      <c r="J1073" s="336"/>
      <c r="K1073" s="336"/>
      <c r="L1073" s="336"/>
      <c r="M1073" s="336"/>
      <c r="N1073" s="336"/>
      <c r="O1073" s="336"/>
      <c r="P1073" s="336"/>
      <c r="Q1073" s="336"/>
      <c r="R1073" s="336"/>
      <c r="S1073" s="336"/>
      <c r="T1073" s="336"/>
      <c r="U1073" s="337" t="s">
        <v>1399</v>
      </c>
      <c r="V1073" s="336"/>
    </row>
    <row r="1074" ht="15.75" customHeight="1">
      <c r="A1074" s="336"/>
      <c r="B1074" s="336"/>
      <c r="C1074" s="336"/>
      <c r="D1074" s="336"/>
      <c r="E1074" s="336"/>
      <c r="F1074" s="336"/>
      <c r="G1074" s="336"/>
      <c r="H1074" s="336"/>
      <c r="I1074" s="336"/>
      <c r="J1074" s="336"/>
      <c r="K1074" s="336"/>
      <c r="L1074" s="336"/>
      <c r="M1074" s="336"/>
      <c r="N1074" s="336"/>
      <c r="O1074" s="336"/>
      <c r="P1074" s="336"/>
      <c r="Q1074" s="336"/>
      <c r="R1074" s="336"/>
      <c r="S1074" s="336"/>
      <c r="T1074" s="336"/>
      <c r="U1074" s="337" t="s">
        <v>1400</v>
      </c>
      <c r="V1074" s="336"/>
    </row>
    <row r="1075" ht="15.75" customHeight="1">
      <c r="A1075" s="336"/>
      <c r="B1075" s="336"/>
      <c r="C1075" s="336"/>
      <c r="D1075" s="336"/>
      <c r="E1075" s="336"/>
      <c r="F1075" s="336"/>
      <c r="G1075" s="336"/>
      <c r="H1075" s="336"/>
      <c r="I1075" s="336"/>
      <c r="J1075" s="336"/>
      <c r="K1075" s="336"/>
      <c r="L1075" s="336"/>
      <c r="M1075" s="336"/>
      <c r="N1075" s="336"/>
      <c r="O1075" s="336"/>
      <c r="P1075" s="336"/>
      <c r="Q1075" s="336"/>
      <c r="R1075" s="336"/>
      <c r="S1075" s="336"/>
      <c r="T1075" s="336"/>
      <c r="U1075" s="337" t="s">
        <v>1401</v>
      </c>
      <c r="V1075" s="336"/>
    </row>
    <row r="1076" ht="15.75" customHeight="1">
      <c r="A1076" s="336"/>
      <c r="B1076" s="336"/>
      <c r="C1076" s="336"/>
      <c r="D1076" s="336"/>
      <c r="E1076" s="336"/>
      <c r="F1076" s="336"/>
      <c r="G1076" s="336"/>
      <c r="H1076" s="336"/>
      <c r="I1076" s="336"/>
      <c r="J1076" s="336"/>
      <c r="K1076" s="336"/>
      <c r="L1076" s="336"/>
      <c r="M1076" s="336"/>
      <c r="N1076" s="336"/>
      <c r="O1076" s="336"/>
      <c r="P1076" s="336"/>
      <c r="Q1076" s="336"/>
      <c r="R1076" s="336"/>
      <c r="S1076" s="336"/>
      <c r="T1076" s="336"/>
      <c r="U1076" s="337" t="s">
        <v>1402</v>
      </c>
      <c r="V1076" s="336"/>
    </row>
    <row r="1077" ht="15.75" customHeight="1">
      <c r="A1077" s="336"/>
      <c r="B1077" s="336"/>
      <c r="C1077" s="336"/>
      <c r="D1077" s="336"/>
      <c r="E1077" s="336"/>
      <c r="F1077" s="336"/>
      <c r="G1077" s="336"/>
      <c r="H1077" s="336"/>
      <c r="I1077" s="336"/>
      <c r="J1077" s="336"/>
      <c r="K1077" s="336"/>
      <c r="L1077" s="336"/>
      <c r="M1077" s="336"/>
      <c r="N1077" s="336"/>
      <c r="O1077" s="336"/>
      <c r="P1077" s="336"/>
      <c r="Q1077" s="336"/>
      <c r="R1077" s="336"/>
      <c r="S1077" s="336"/>
      <c r="T1077" s="336"/>
      <c r="U1077" s="337" t="s">
        <v>1403</v>
      </c>
      <c r="V1077" s="336"/>
    </row>
    <row r="1078" ht="15.75" customHeight="1">
      <c r="A1078" s="336"/>
      <c r="B1078" s="336"/>
      <c r="C1078" s="336"/>
      <c r="D1078" s="336"/>
      <c r="E1078" s="336"/>
      <c r="F1078" s="336"/>
      <c r="G1078" s="336"/>
      <c r="H1078" s="336"/>
      <c r="I1078" s="336"/>
      <c r="J1078" s="336"/>
      <c r="K1078" s="336"/>
      <c r="L1078" s="336"/>
      <c r="M1078" s="336"/>
      <c r="N1078" s="336"/>
      <c r="O1078" s="336"/>
      <c r="P1078" s="336"/>
      <c r="Q1078" s="336"/>
      <c r="R1078" s="336"/>
      <c r="S1078" s="336"/>
      <c r="T1078" s="336"/>
      <c r="U1078" s="337" t="s">
        <v>1404</v>
      </c>
      <c r="V1078" s="336"/>
    </row>
    <row r="1079" ht="15.75" customHeight="1">
      <c r="A1079" s="336"/>
      <c r="B1079" s="336"/>
      <c r="C1079" s="336"/>
      <c r="D1079" s="336"/>
      <c r="E1079" s="336"/>
      <c r="F1079" s="336"/>
      <c r="G1079" s="336"/>
      <c r="H1079" s="336"/>
      <c r="I1079" s="336"/>
      <c r="J1079" s="336"/>
      <c r="K1079" s="336"/>
      <c r="L1079" s="336"/>
      <c r="M1079" s="336"/>
      <c r="N1079" s="336"/>
      <c r="O1079" s="336"/>
      <c r="P1079" s="336"/>
      <c r="Q1079" s="336"/>
      <c r="R1079" s="336"/>
      <c r="S1079" s="336"/>
      <c r="T1079" s="336"/>
      <c r="U1079" s="337" t="s">
        <v>1405</v>
      </c>
      <c r="V1079" s="336"/>
    </row>
    <row r="1080" ht="15.75" customHeight="1">
      <c r="A1080" s="336"/>
      <c r="B1080" s="336"/>
      <c r="C1080" s="336"/>
      <c r="D1080" s="336"/>
      <c r="E1080" s="336"/>
      <c r="F1080" s="336"/>
      <c r="G1080" s="336"/>
      <c r="H1080" s="336"/>
      <c r="I1080" s="336"/>
      <c r="J1080" s="336"/>
      <c r="K1080" s="336"/>
      <c r="L1080" s="336"/>
      <c r="M1080" s="336"/>
      <c r="N1080" s="336"/>
      <c r="O1080" s="336"/>
      <c r="P1080" s="336"/>
      <c r="Q1080" s="336"/>
      <c r="R1080" s="336"/>
      <c r="S1080" s="336"/>
      <c r="T1080" s="336"/>
      <c r="U1080" s="337" t="s">
        <v>1406</v>
      </c>
      <c r="V1080" s="336"/>
    </row>
    <row r="1081" ht="15.75" customHeight="1">
      <c r="A1081" s="336"/>
      <c r="B1081" s="336"/>
      <c r="C1081" s="336"/>
      <c r="D1081" s="336"/>
      <c r="E1081" s="336"/>
      <c r="F1081" s="336"/>
      <c r="G1081" s="336"/>
      <c r="H1081" s="336"/>
      <c r="I1081" s="336"/>
      <c r="J1081" s="336"/>
      <c r="K1081" s="336"/>
      <c r="L1081" s="336"/>
      <c r="M1081" s="336"/>
      <c r="N1081" s="336"/>
      <c r="O1081" s="336"/>
      <c r="P1081" s="336"/>
      <c r="Q1081" s="336"/>
      <c r="R1081" s="336"/>
      <c r="S1081" s="336"/>
      <c r="T1081" s="336"/>
      <c r="U1081" s="337" t="s">
        <v>1407</v>
      </c>
      <c r="V1081" s="336"/>
    </row>
    <row r="1082" ht="15.75" customHeight="1">
      <c r="A1082" s="336"/>
      <c r="B1082" s="336"/>
      <c r="C1082" s="336"/>
      <c r="D1082" s="336"/>
      <c r="E1082" s="336"/>
      <c r="F1082" s="336"/>
      <c r="G1082" s="336"/>
      <c r="H1082" s="336"/>
      <c r="I1082" s="336"/>
      <c r="J1082" s="336"/>
      <c r="K1082" s="336"/>
      <c r="L1082" s="336"/>
      <c r="M1082" s="336"/>
      <c r="N1082" s="336"/>
      <c r="O1082" s="336"/>
      <c r="P1082" s="336"/>
      <c r="Q1082" s="336"/>
      <c r="R1082" s="336"/>
      <c r="S1082" s="336"/>
      <c r="T1082" s="336"/>
      <c r="U1082" s="337" t="s">
        <v>1408</v>
      </c>
      <c r="V1082" s="336"/>
    </row>
    <row r="1083" ht="15.75" customHeight="1">
      <c r="A1083" s="336"/>
      <c r="B1083" s="336"/>
      <c r="C1083" s="336"/>
      <c r="D1083" s="336"/>
      <c r="E1083" s="336"/>
      <c r="F1083" s="336"/>
      <c r="G1083" s="336"/>
      <c r="H1083" s="336"/>
      <c r="I1083" s="336"/>
      <c r="J1083" s="336"/>
      <c r="K1083" s="336"/>
      <c r="L1083" s="336"/>
      <c r="M1083" s="336"/>
      <c r="N1083" s="336"/>
      <c r="O1083" s="336"/>
      <c r="P1083" s="336"/>
      <c r="Q1083" s="336"/>
      <c r="R1083" s="336"/>
      <c r="S1083" s="336"/>
      <c r="T1083" s="336"/>
      <c r="U1083" s="337" t="s">
        <v>1409</v>
      </c>
      <c r="V1083" s="336"/>
    </row>
    <row r="1084" ht="15.75" customHeight="1">
      <c r="A1084" s="336"/>
      <c r="B1084" s="336"/>
      <c r="C1084" s="336"/>
      <c r="D1084" s="336"/>
      <c r="E1084" s="336"/>
      <c r="F1084" s="336"/>
      <c r="G1084" s="336"/>
      <c r="H1084" s="336"/>
      <c r="I1084" s="336"/>
      <c r="J1084" s="336"/>
      <c r="K1084" s="336"/>
      <c r="L1084" s="336"/>
      <c r="M1084" s="336"/>
      <c r="N1084" s="336"/>
      <c r="O1084" s="336"/>
      <c r="P1084" s="336"/>
      <c r="Q1084" s="336"/>
      <c r="R1084" s="336"/>
      <c r="S1084" s="336"/>
      <c r="T1084" s="336"/>
      <c r="U1084" s="337" t="s">
        <v>1410</v>
      </c>
      <c r="V1084" s="336"/>
    </row>
    <row r="1085" ht="15.75" customHeight="1">
      <c r="A1085" s="336"/>
      <c r="B1085" s="336"/>
      <c r="C1085" s="336"/>
      <c r="D1085" s="336"/>
      <c r="E1085" s="336"/>
      <c r="F1085" s="336"/>
      <c r="G1085" s="336"/>
      <c r="H1085" s="336"/>
      <c r="I1085" s="336"/>
      <c r="J1085" s="336"/>
      <c r="K1085" s="336"/>
      <c r="L1085" s="336"/>
      <c r="M1085" s="336"/>
      <c r="N1085" s="336"/>
      <c r="O1085" s="336"/>
      <c r="P1085" s="336"/>
      <c r="Q1085" s="336"/>
      <c r="R1085" s="336"/>
      <c r="S1085" s="336"/>
      <c r="T1085" s="336"/>
      <c r="U1085" s="337" t="s">
        <v>1411</v>
      </c>
      <c r="V1085" s="336"/>
    </row>
    <row r="1086" ht="15.75" customHeight="1">
      <c r="A1086" s="336"/>
      <c r="B1086" s="336"/>
      <c r="C1086" s="336"/>
      <c r="D1086" s="336"/>
      <c r="E1086" s="336"/>
      <c r="F1086" s="336"/>
      <c r="G1086" s="336"/>
      <c r="H1086" s="336"/>
      <c r="I1086" s="336"/>
      <c r="J1086" s="336"/>
      <c r="K1086" s="336"/>
      <c r="L1086" s="336"/>
      <c r="M1086" s="336"/>
      <c r="N1086" s="336"/>
      <c r="O1086" s="336"/>
      <c r="P1086" s="336"/>
      <c r="Q1086" s="336"/>
      <c r="R1086" s="336"/>
      <c r="S1086" s="336"/>
      <c r="T1086" s="336"/>
      <c r="U1086" s="337" t="s">
        <v>1412</v>
      </c>
      <c r="V1086" s="336"/>
    </row>
    <row r="1087" ht="15.75" customHeight="1">
      <c r="A1087" s="336"/>
      <c r="B1087" s="336"/>
      <c r="C1087" s="336"/>
      <c r="D1087" s="336"/>
      <c r="E1087" s="336"/>
      <c r="F1087" s="336"/>
      <c r="G1087" s="336"/>
      <c r="H1087" s="336"/>
      <c r="I1087" s="336"/>
      <c r="J1087" s="336"/>
      <c r="K1087" s="336"/>
      <c r="L1087" s="336"/>
      <c r="M1087" s="336"/>
      <c r="N1087" s="336"/>
      <c r="O1087" s="336"/>
      <c r="P1087" s="336"/>
      <c r="Q1087" s="336"/>
      <c r="R1087" s="336"/>
      <c r="S1087" s="336"/>
      <c r="T1087" s="336"/>
      <c r="U1087" s="337" t="s">
        <v>1413</v>
      </c>
      <c r="V1087" s="336"/>
    </row>
    <row r="1088" ht="15.75" customHeight="1">
      <c r="A1088" s="336"/>
      <c r="B1088" s="336"/>
      <c r="C1088" s="336"/>
      <c r="D1088" s="336"/>
      <c r="E1088" s="336"/>
      <c r="F1088" s="336"/>
      <c r="G1088" s="336"/>
      <c r="H1088" s="336"/>
      <c r="I1088" s="336"/>
      <c r="J1088" s="336"/>
      <c r="K1088" s="336"/>
      <c r="L1088" s="336"/>
      <c r="M1088" s="336"/>
      <c r="N1088" s="336"/>
      <c r="O1088" s="336"/>
      <c r="P1088" s="336"/>
      <c r="Q1088" s="336"/>
      <c r="R1088" s="336"/>
      <c r="S1088" s="336"/>
      <c r="T1088" s="336"/>
      <c r="U1088" s="337" t="s">
        <v>1414</v>
      </c>
      <c r="V1088" s="336"/>
    </row>
    <row r="1089" ht="15.75" customHeight="1">
      <c r="A1089" s="336"/>
      <c r="B1089" s="336"/>
      <c r="C1089" s="336"/>
      <c r="D1089" s="336"/>
      <c r="E1089" s="336"/>
      <c r="F1089" s="336"/>
      <c r="G1089" s="336"/>
      <c r="H1089" s="336"/>
      <c r="I1089" s="336"/>
      <c r="J1089" s="336"/>
      <c r="K1089" s="336"/>
      <c r="L1089" s="336"/>
      <c r="M1089" s="336"/>
      <c r="N1089" s="336"/>
      <c r="O1089" s="336"/>
      <c r="P1089" s="336"/>
      <c r="Q1089" s="336"/>
      <c r="R1089" s="336"/>
      <c r="S1089" s="336"/>
      <c r="T1089" s="336"/>
      <c r="U1089" s="337" t="s">
        <v>1415</v>
      </c>
      <c r="V1089" s="336"/>
    </row>
    <row r="1090" ht="15.75" customHeight="1">
      <c r="A1090" s="336"/>
      <c r="B1090" s="336"/>
      <c r="C1090" s="336"/>
      <c r="D1090" s="336"/>
      <c r="E1090" s="336"/>
      <c r="F1090" s="336"/>
      <c r="G1090" s="336"/>
      <c r="H1090" s="336"/>
      <c r="I1090" s="336"/>
      <c r="J1090" s="336"/>
      <c r="K1090" s="336"/>
      <c r="L1090" s="336"/>
      <c r="M1090" s="336"/>
      <c r="N1090" s="336"/>
      <c r="O1090" s="336"/>
      <c r="P1090" s="336"/>
      <c r="Q1090" s="336"/>
      <c r="R1090" s="336"/>
      <c r="S1090" s="336"/>
      <c r="T1090" s="336"/>
      <c r="U1090" s="337" t="s">
        <v>1416</v>
      </c>
      <c r="V1090" s="336"/>
    </row>
    <row r="1091" ht="15.75" customHeight="1">
      <c r="A1091" s="336"/>
      <c r="B1091" s="336"/>
      <c r="C1091" s="336"/>
      <c r="D1091" s="336"/>
      <c r="E1091" s="336"/>
      <c r="F1091" s="336"/>
      <c r="G1091" s="336"/>
      <c r="H1091" s="336"/>
      <c r="I1091" s="336"/>
      <c r="J1091" s="336"/>
      <c r="K1091" s="336"/>
      <c r="L1091" s="336"/>
      <c r="M1091" s="336"/>
      <c r="N1091" s="336"/>
      <c r="O1091" s="336"/>
      <c r="P1091" s="336"/>
      <c r="Q1091" s="336"/>
      <c r="R1091" s="336"/>
      <c r="S1091" s="336"/>
      <c r="T1091" s="336"/>
      <c r="U1091" s="337" t="s">
        <v>1417</v>
      </c>
      <c r="V1091" s="336"/>
    </row>
    <row r="1092" ht="15.75" customHeight="1">
      <c r="A1092" s="336"/>
      <c r="B1092" s="336"/>
      <c r="C1092" s="336"/>
      <c r="D1092" s="336"/>
      <c r="E1092" s="336"/>
      <c r="F1092" s="336"/>
      <c r="G1092" s="336"/>
      <c r="H1092" s="336"/>
      <c r="I1092" s="336"/>
      <c r="J1092" s="336"/>
      <c r="K1092" s="336"/>
      <c r="L1092" s="336"/>
      <c r="M1092" s="336"/>
      <c r="N1092" s="336"/>
      <c r="O1092" s="336"/>
      <c r="P1092" s="336"/>
      <c r="Q1092" s="336"/>
      <c r="R1092" s="336"/>
      <c r="S1092" s="336"/>
      <c r="T1092" s="336"/>
      <c r="U1092" s="337" t="s">
        <v>1418</v>
      </c>
      <c r="V1092" s="336"/>
    </row>
    <row r="1093" ht="15.75" customHeight="1">
      <c r="A1093" s="336"/>
      <c r="B1093" s="336"/>
      <c r="C1093" s="336"/>
      <c r="D1093" s="336"/>
      <c r="E1093" s="336"/>
      <c r="F1093" s="336"/>
      <c r="G1093" s="336"/>
      <c r="H1093" s="336"/>
      <c r="I1093" s="336"/>
      <c r="J1093" s="336"/>
      <c r="K1093" s="336"/>
      <c r="L1093" s="336"/>
      <c r="M1093" s="336"/>
      <c r="N1093" s="336"/>
      <c r="O1093" s="336"/>
      <c r="P1093" s="336"/>
      <c r="Q1093" s="336"/>
      <c r="R1093" s="336"/>
      <c r="S1093" s="336"/>
      <c r="T1093" s="336"/>
      <c r="U1093" s="337" t="s">
        <v>1419</v>
      </c>
      <c r="V1093" s="336"/>
    </row>
    <row r="1094" ht="15.75" customHeight="1">
      <c r="A1094" s="336"/>
      <c r="B1094" s="336"/>
      <c r="C1094" s="336"/>
      <c r="D1094" s="336"/>
      <c r="E1094" s="336"/>
      <c r="F1094" s="336"/>
      <c r="G1094" s="336"/>
      <c r="H1094" s="336"/>
      <c r="I1094" s="336"/>
      <c r="J1094" s="336"/>
      <c r="K1094" s="336"/>
      <c r="L1094" s="336"/>
      <c r="M1094" s="336"/>
      <c r="N1094" s="336"/>
      <c r="O1094" s="336"/>
      <c r="P1094" s="336"/>
      <c r="Q1094" s="336"/>
      <c r="R1094" s="336"/>
      <c r="S1094" s="336"/>
      <c r="T1094" s="336"/>
      <c r="U1094" s="337" t="s">
        <v>1420</v>
      </c>
      <c r="V1094" s="336"/>
    </row>
    <row r="1095" ht="15.75" customHeight="1">
      <c r="A1095" s="336"/>
      <c r="B1095" s="336"/>
      <c r="C1095" s="336"/>
      <c r="D1095" s="336"/>
      <c r="E1095" s="336"/>
      <c r="F1095" s="336"/>
      <c r="G1095" s="336"/>
      <c r="H1095" s="336"/>
      <c r="I1095" s="336"/>
      <c r="J1095" s="336"/>
      <c r="K1095" s="336"/>
      <c r="L1095" s="336"/>
      <c r="M1095" s="336"/>
      <c r="N1095" s="336"/>
      <c r="O1095" s="336"/>
      <c r="P1095" s="336"/>
      <c r="Q1095" s="336"/>
      <c r="R1095" s="336"/>
      <c r="S1095" s="336"/>
      <c r="T1095" s="336"/>
      <c r="U1095" s="337" t="s">
        <v>1421</v>
      </c>
      <c r="V1095" s="336"/>
    </row>
    <row r="1096" ht="15.75" customHeight="1">
      <c r="A1096" s="336"/>
      <c r="B1096" s="336"/>
      <c r="C1096" s="336"/>
      <c r="D1096" s="336"/>
      <c r="E1096" s="336"/>
      <c r="F1096" s="336"/>
      <c r="G1096" s="336"/>
      <c r="H1096" s="336"/>
      <c r="I1096" s="336"/>
      <c r="J1096" s="336"/>
      <c r="K1096" s="336"/>
      <c r="L1096" s="336"/>
      <c r="M1096" s="336"/>
      <c r="N1096" s="336"/>
      <c r="O1096" s="336"/>
      <c r="P1096" s="336"/>
      <c r="Q1096" s="336"/>
      <c r="R1096" s="336"/>
      <c r="S1096" s="336"/>
      <c r="T1096" s="336"/>
      <c r="U1096" s="337" t="s">
        <v>1422</v>
      </c>
      <c r="V1096" s="336"/>
    </row>
    <row r="1097" ht="15.75" customHeight="1">
      <c r="A1097" s="336"/>
      <c r="B1097" s="336"/>
      <c r="C1097" s="336"/>
      <c r="D1097" s="336"/>
      <c r="E1097" s="336"/>
      <c r="F1097" s="336"/>
      <c r="G1097" s="336"/>
      <c r="H1097" s="336"/>
      <c r="I1097" s="336"/>
      <c r="J1097" s="336"/>
      <c r="K1097" s="336"/>
      <c r="L1097" s="336"/>
      <c r="M1097" s="336"/>
      <c r="N1097" s="336"/>
      <c r="O1097" s="336"/>
      <c r="P1097" s="336"/>
      <c r="Q1097" s="336"/>
      <c r="R1097" s="336"/>
      <c r="S1097" s="336"/>
      <c r="T1097" s="336"/>
      <c r="U1097" s="337" t="s">
        <v>1423</v>
      </c>
      <c r="V1097" s="336"/>
    </row>
    <row r="1098" ht="15.75" customHeight="1">
      <c r="A1098" s="336"/>
      <c r="B1098" s="336"/>
      <c r="C1098" s="336"/>
      <c r="D1098" s="336"/>
      <c r="E1098" s="336"/>
      <c r="F1098" s="336"/>
      <c r="G1098" s="336"/>
      <c r="H1098" s="336"/>
      <c r="I1098" s="336"/>
      <c r="J1098" s="336"/>
      <c r="K1098" s="336"/>
      <c r="L1098" s="336"/>
      <c r="M1098" s="336"/>
      <c r="N1098" s="336"/>
      <c r="O1098" s="336"/>
      <c r="P1098" s="336"/>
      <c r="Q1098" s="336"/>
      <c r="R1098" s="336"/>
      <c r="S1098" s="336"/>
      <c r="T1098" s="336"/>
      <c r="U1098" s="337" t="s">
        <v>1424</v>
      </c>
      <c r="V1098" s="336"/>
    </row>
    <row r="1099" ht="15.75" customHeight="1">
      <c r="A1099" s="336"/>
      <c r="B1099" s="336"/>
      <c r="C1099" s="336"/>
      <c r="D1099" s="336"/>
      <c r="E1099" s="336"/>
      <c r="F1099" s="336"/>
      <c r="G1099" s="336"/>
      <c r="H1099" s="336"/>
      <c r="I1099" s="336"/>
      <c r="J1099" s="336"/>
      <c r="K1099" s="336"/>
      <c r="L1099" s="336"/>
      <c r="M1099" s="336"/>
      <c r="N1099" s="336"/>
      <c r="O1099" s="336"/>
      <c r="P1099" s="336"/>
      <c r="Q1099" s="336"/>
      <c r="R1099" s="336"/>
      <c r="S1099" s="336"/>
      <c r="T1099" s="336"/>
      <c r="U1099" s="337" t="s">
        <v>1425</v>
      </c>
      <c r="V1099" s="336"/>
    </row>
    <row r="1100" ht="15.75" customHeight="1">
      <c r="A1100" s="336"/>
      <c r="B1100" s="336"/>
      <c r="C1100" s="336"/>
      <c r="D1100" s="336"/>
      <c r="E1100" s="336"/>
      <c r="F1100" s="336"/>
      <c r="G1100" s="336"/>
      <c r="H1100" s="336"/>
      <c r="I1100" s="336"/>
      <c r="J1100" s="336"/>
      <c r="K1100" s="336"/>
      <c r="L1100" s="336"/>
      <c r="M1100" s="336"/>
      <c r="N1100" s="336"/>
      <c r="O1100" s="336"/>
      <c r="P1100" s="336"/>
      <c r="Q1100" s="336"/>
      <c r="R1100" s="336"/>
      <c r="S1100" s="336"/>
      <c r="T1100" s="336"/>
      <c r="U1100" s="337" t="s">
        <v>1426</v>
      </c>
      <c r="V1100" s="336"/>
    </row>
    <row r="1101" ht="15.75" customHeight="1">
      <c r="A1101" s="336"/>
      <c r="B1101" s="336"/>
      <c r="C1101" s="336"/>
      <c r="D1101" s="336"/>
      <c r="E1101" s="336"/>
      <c r="F1101" s="336"/>
      <c r="G1101" s="336"/>
      <c r="H1101" s="336"/>
      <c r="I1101" s="336"/>
      <c r="J1101" s="336"/>
      <c r="K1101" s="336"/>
      <c r="L1101" s="336"/>
      <c r="M1101" s="336"/>
      <c r="N1101" s="336"/>
      <c r="O1101" s="336"/>
      <c r="P1101" s="336"/>
      <c r="Q1101" s="336"/>
      <c r="R1101" s="336"/>
      <c r="S1101" s="336"/>
      <c r="T1101" s="336"/>
      <c r="U1101" s="337" t="s">
        <v>1427</v>
      </c>
      <c r="V1101" s="336"/>
    </row>
    <row r="1102" ht="15.75" customHeight="1">
      <c r="A1102" s="336"/>
      <c r="B1102" s="336"/>
      <c r="C1102" s="336"/>
      <c r="D1102" s="336"/>
      <c r="E1102" s="336"/>
      <c r="F1102" s="336"/>
      <c r="G1102" s="336"/>
      <c r="H1102" s="336"/>
      <c r="I1102" s="336"/>
      <c r="J1102" s="336"/>
      <c r="K1102" s="336"/>
      <c r="L1102" s="336"/>
      <c r="M1102" s="336"/>
      <c r="N1102" s="336"/>
      <c r="O1102" s="336"/>
      <c r="P1102" s="336"/>
      <c r="Q1102" s="336"/>
      <c r="R1102" s="336"/>
      <c r="S1102" s="336"/>
      <c r="T1102" s="336"/>
      <c r="U1102" s="337" t="s">
        <v>1428</v>
      </c>
      <c r="V1102" s="336"/>
    </row>
    <row r="1103" ht="15.75" customHeight="1">
      <c r="A1103" s="336"/>
      <c r="B1103" s="336"/>
      <c r="C1103" s="336"/>
      <c r="D1103" s="336"/>
      <c r="E1103" s="336"/>
      <c r="F1103" s="336"/>
      <c r="G1103" s="336"/>
      <c r="H1103" s="336"/>
      <c r="I1103" s="336"/>
      <c r="J1103" s="336"/>
      <c r="K1103" s="336"/>
      <c r="L1103" s="336"/>
      <c r="M1103" s="336"/>
      <c r="N1103" s="336"/>
      <c r="O1103" s="336"/>
      <c r="P1103" s="336"/>
      <c r="Q1103" s="336"/>
      <c r="R1103" s="336"/>
      <c r="S1103" s="336"/>
      <c r="T1103" s="336"/>
      <c r="U1103" s="337" t="s">
        <v>1429</v>
      </c>
      <c r="V1103" s="336"/>
    </row>
    <row r="1104" ht="15.75" customHeight="1">
      <c r="A1104" s="336"/>
      <c r="B1104" s="336"/>
      <c r="C1104" s="336"/>
      <c r="D1104" s="336"/>
      <c r="E1104" s="336"/>
      <c r="F1104" s="336"/>
      <c r="G1104" s="336"/>
      <c r="H1104" s="336"/>
      <c r="I1104" s="336"/>
      <c r="J1104" s="336"/>
      <c r="K1104" s="336"/>
      <c r="L1104" s="336"/>
      <c r="M1104" s="336"/>
      <c r="N1104" s="336"/>
      <c r="O1104" s="336"/>
      <c r="P1104" s="336"/>
      <c r="Q1104" s="336"/>
      <c r="R1104" s="336"/>
      <c r="S1104" s="336"/>
      <c r="T1104" s="336"/>
      <c r="U1104" s="337" t="s">
        <v>1430</v>
      </c>
      <c r="V1104" s="336"/>
    </row>
    <row r="1105" ht="15.75" customHeight="1">
      <c r="A1105" s="336"/>
      <c r="B1105" s="336"/>
      <c r="C1105" s="336"/>
      <c r="D1105" s="336"/>
      <c r="E1105" s="336"/>
      <c r="F1105" s="336"/>
      <c r="G1105" s="336"/>
      <c r="H1105" s="336"/>
      <c r="I1105" s="336"/>
      <c r="J1105" s="336"/>
      <c r="K1105" s="336"/>
      <c r="L1105" s="336"/>
      <c r="M1105" s="336"/>
      <c r="N1105" s="336"/>
      <c r="O1105" s="336"/>
      <c r="P1105" s="336"/>
      <c r="Q1105" s="336"/>
      <c r="R1105" s="336"/>
      <c r="S1105" s="336"/>
      <c r="T1105" s="336"/>
      <c r="U1105" s="337" t="s">
        <v>1431</v>
      </c>
      <c r="V1105" s="336"/>
    </row>
    <row r="1106" ht="15.75" customHeight="1">
      <c r="A1106" s="336"/>
      <c r="B1106" s="336"/>
      <c r="C1106" s="336"/>
      <c r="D1106" s="336"/>
      <c r="E1106" s="336"/>
      <c r="F1106" s="336"/>
      <c r="G1106" s="336"/>
      <c r="H1106" s="336"/>
      <c r="I1106" s="336"/>
      <c r="J1106" s="336"/>
      <c r="K1106" s="336"/>
      <c r="L1106" s="336"/>
      <c r="M1106" s="336"/>
      <c r="N1106" s="336"/>
      <c r="O1106" s="336"/>
      <c r="P1106" s="336"/>
      <c r="Q1106" s="336"/>
      <c r="R1106" s="336"/>
      <c r="S1106" s="336"/>
      <c r="T1106" s="336"/>
      <c r="U1106" s="337" t="s">
        <v>1432</v>
      </c>
      <c r="V1106" s="336"/>
    </row>
    <row r="1107" ht="15.75" customHeight="1">
      <c r="A1107" s="336"/>
      <c r="B1107" s="336"/>
      <c r="C1107" s="336"/>
      <c r="D1107" s="336"/>
      <c r="E1107" s="336"/>
      <c r="F1107" s="336"/>
      <c r="G1107" s="336"/>
      <c r="H1107" s="336"/>
      <c r="I1107" s="336"/>
      <c r="J1107" s="336"/>
      <c r="K1107" s="336"/>
      <c r="L1107" s="336"/>
      <c r="M1107" s="336"/>
      <c r="N1107" s="336"/>
      <c r="O1107" s="336"/>
      <c r="P1107" s="336"/>
      <c r="Q1107" s="336"/>
      <c r="R1107" s="336"/>
      <c r="S1107" s="336"/>
      <c r="T1107" s="336"/>
      <c r="U1107" s="337" t="s">
        <v>1433</v>
      </c>
      <c r="V1107" s="336"/>
    </row>
    <row r="1108" ht="15.75" customHeight="1">
      <c r="A1108" s="336"/>
      <c r="B1108" s="336"/>
      <c r="C1108" s="336"/>
      <c r="D1108" s="336"/>
      <c r="E1108" s="336"/>
      <c r="F1108" s="336"/>
      <c r="G1108" s="336"/>
      <c r="H1108" s="336"/>
      <c r="I1108" s="336"/>
      <c r="J1108" s="336"/>
      <c r="K1108" s="336"/>
      <c r="L1108" s="336"/>
      <c r="M1108" s="336"/>
      <c r="N1108" s="336"/>
      <c r="O1108" s="336"/>
      <c r="P1108" s="336"/>
      <c r="Q1108" s="336"/>
      <c r="R1108" s="336"/>
      <c r="S1108" s="336"/>
      <c r="T1108" s="336"/>
      <c r="U1108" s="337" t="s">
        <v>1434</v>
      </c>
      <c r="V1108" s="336"/>
    </row>
    <row r="1109" ht="15.75" customHeight="1">
      <c r="A1109" s="336"/>
      <c r="B1109" s="336"/>
      <c r="C1109" s="336"/>
      <c r="D1109" s="336"/>
      <c r="E1109" s="336"/>
      <c r="F1109" s="336"/>
      <c r="G1109" s="336"/>
      <c r="H1109" s="336"/>
      <c r="I1109" s="336"/>
      <c r="J1109" s="336"/>
      <c r="K1109" s="336"/>
      <c r="L1109" s="336"/>
      <c r="M1109" s="336"/>
      <c r="N1109" s="336"/>
      <c r="O1109" s="336"/>
      <c r="P1109" s="336"/>
      <c r="Q1109" s="336"/>
      <c r="R1109" s="336"/>
      <c r="S1109" s="336"/>
      <c r="T1109" s="336"/>
      <c r="U1109" s="337" t="s">
        <v>1435</v>
      </c>
      <c r="V1109" s="336"/>
    </row>
    <row r="1110" ht="15.75" customHeight="1">
      <c r="A1110" s="336"/>
      <c r="B1110" s="336"/>
      <c r="C1110" s="336"/>
      <c r="D1110" s="336"/>
      <c r="E1110" s="336"/>
      <c r="F1110" s="336"/>
      <c r="G1110" s="336"/>
      <c r="H1110" s="336"/>
      <c r="I1110" s="336"/>
      <c r="J1110" s="336"/>
      <c r="K1110" s="336"/>
      <c r="L1110" s="336"/>
      <c r="M1110" s="336"/>
      <c r="N1110" s="336"/>
      <c r="O1110" s="336"/>
      <c r="P1110" s="336"/>
      <c r="Q1110" s="336"/>
      <c r="R1110" s="336"/>
      <c r="S1110" s="336"/>
      <c r="T1110" s="336"/>
      <c r="U1110" s="337" t="s">
        <v>1436</v>
      </c>
      <c r="V1110" s="336"/>
    </row>
    <row r="1111" ht="15.75" customHeight="1">
      <c r="A1111" s="336"/>
      <c r="B1111" s="336"/>
      <c r="C1111" s="336"/>
      <c r="D1111" s="336"/>
      <c r="E1111" s="336"/>
      <c r="F1111" s="336"/>
      <c r="G1111" s="336"/>
      <c r="H1111" s="336"/>
      <c r="I1111" s="336"/>
      <c r="J1111" s="336"/>
      <c r="K1111" s="336"/>
      <c r="L1111" s="336"/>
      <c r="M1111" s="336"/>
      <c r="N1111" s="336"/>
      <c r="O1111" s="336"/>
      <c r="P1111" s="336"/>
      <c r="Q1111" s="336"/>
      <c r="R1111" s="336"/>
      <c r="S1111" s="336"/>
      <c r="T1111" s="336"/>
      <c r="U1111" s="337" t="s">
        <v>1437</v>
      </c>
      <c r="V1111" s="336"/>
    </row>
    <row r="1112" ht="15.75" customHeight="1">
      <c r="A1112" s="336"/>
      <c r="B1112" s="336"/>
      <c r="C1112" s="336"/>
      <c r="D1112" s="336"/>
      <c r="E1112" s="336"/>
      <c r="F1112" s="336"/>
      <c r="G1112" s="336"/>
      <c r="H1112" s="336"/>
      <c r="I1112" s="336"/>
      <c r="J1112" s="336"/>
      <c r="K1112" s="336"/>
      <c r="L1112" s="336"/>
      <c r="M1112" s="336"/>
      <c r="N1112" s="336"/>
      <c r="O1112" s="336"/>
      <c r="P1112" s="336"/>
      <c r="Q1112" s="336"/>
      <c r="R1112" s="336"/>
      <c r="S1112" s="336"/>
      <c r="T1112" s="336"/>
      <c r="U1112" s="337" t="s">
        <v>1438</v>
      </c>
      <c r="V1112" s="336"/>
    </row>
    <row r="1113" ht="15.75" customHeight="1">
      <c r="A1113" s="336"/>
      <c r="B1113" s="336"/>
      <c r="C1113" s="336"/>
      <c r="D1113" s="336"/>
      <c r="E1113" s="336"/>
      <c r="F1113" s="336"/>
      <c r="G1113" s="336"/>
      <c r="H1113" s="336"/>
      <c r="I1113" s="336"/>
      <c r="J1113" s="336"/>
      <c r="K1113" s="336"/>
      <c r="L1113" s="336"/>
      <c r="M1113" s="336"/>
      <c r="N1113" s="336"/>
      <c r="O1113" s="336"/>
      <c r="P1113" s="336"/>
      <c r="Q1113" s="336"/>
      <c r="R1113" s="336"/>
      <c r="S1113" s="336"/>
      <c r="T1113" s="336"/>
      <c r="U1113" s="337" t="s">
        <v>1439</v>
      </c>
      <c r="V1113" s="336"/>
    </row>
    <row r="1114" ht="15.75" customHeight="1">
      <c r="A1114" s="336"/>
      <c r="B1114" s="336"/>
      <c r="C1114" s="336"/>
      <c r="D1114" s="336"/>
      <c r="E1114" s="336"/>
      <c r="F1114" s="336"/>
      <c r="G1114" s="336"/>
      <c r="H1114" s="336"/>
      <c r="I1114" s="336"/>
      <c r="J1114" s="336"/>
      <c r="K1114" s="336"/>
      <c r="L1114" s="336"/>
      <c r="M1114" s="336"/>
      <c r="N1114" s="336"/>
      <c r="O1114" s="336"/>
      <c r="P1114" s="336"/>
      <c r="Q1114" s="336"/>
      <c r="R1114" s="336"/>
      <c r="S1114" s="336"/>
      <c r="T1114" s="336"/>
      <c r="U1114" s="337" t="s">
        <v>1440</v>
      </c>
      <c r="V1114" s="336"/>
    </row>
    <row r="1115" ht="15.75" customHeight="1">
      <c r="A1115" s="336"/>
      <c r="B1115" s="336"/>
      <c r="C1115" s="336"/>
      <c r="D1115" s="336"/>
      <c r="E1115" s="336"/>
      <c r="F1115" s="336"/>
      <c r="G1115" s="336"/>
      <c r="H1115" s="336"/>
      <c r="I1115" s="336"/>
      <c r="J1115" s="336"/>
      <c r="K1115" s="336"/>
      <c r="L1115" s="336"/>
      <c r="M1115" s="336"/>
      <c r="N1115" s="336"/>
      <c r="O1115" s="336"/>
      <c r="P1115" s="336"/>
      <c r="Q1115" s="336"/>
      <c r="R1115" s="336"/>
      <c r="S1115" s="336"/>
      <c r="T1115" s="336"/>
      <c r="U1115" s="337" t="s">
        <v>1441</v>
      </c>
      <c r="V1115" s="336"/>
    </row>
    <row r="1116" ht="15.75" customHeight="1">
      <c r="A1116" s="336"/>
      <c r="B1116" s="336"/>
      <c r="C1116" s="336"/>
      <c r="D1116" s="336"/>
      <c r="E1116" s="336"/>
      <c r="F1116" s="336"/>
      <c r="G1116" s="336"/>
      <c r="H1116" s="336"/>
      <c r="I1116" s="336"/>
      <c r="J1116" s="336"/>
      <c r="K1116" s="336"/>
      <c r="L1116" s="336"/>
      <c r="M1116" s="336"/>
      <c r="N1116" s="336"/>
      <c r="O1116" s="336"/>
      <c r="P1116" s="336"/>
      <c r="Q1116" s="336"/>
      <c r="R1116" s="336"/>
      <c r="S1116" s="336"/>
      <c r="T1116" s="336"/>
      <c r="U1116" s="337" t="s">
        <v>1442</v>
      </c>
      <c r="V1116" s="336"/>
    </row>
    <row r="1117" ht="15.75" customHeight="1">
      <c r="A1117" s="336"/>
      <c r="B1117" s="336"/>
      <c r="C1117" s="336"/>
      <c r="D1117" s="336"/>
      <c r="E1117" s="336"/>
      <c r="F1117" s="336"/>
      <c r="G1117" s="336"/>
      <c r="H1117" s="336"/>
      <c r="I1117" s="336"/>
      <c r="J1117" s="336"/>
      <c r="K1117" s="336"/>
      <c r="L1117" s="336"/>
      <c r="M1117" s="336"/>
      <c r="N1117" s="336"/>
      <c r="O1117" s="336"/>
      <c r="P1117" s="336"/>
      <c r="Q1117" s="336"/>
      <c r="R1117" s="336"/>
      <c r="S1117" s="336"/>
      <c r="T1117" s="336"/>
      <c r="U1117" s="337" t="s">
        <v>1443</v>
      </c>
      <c r="V1117" s="336"/>
    </row>
    <row r="1118" ht="15.75" customHeight="1">
      <c r="A1118" s="336"/>
      <c r="B1118" s="336"/>
      <c r="C1118" s="336"/>
      <c r="D1118" s="336"/>
      <c r="E1118" s="336"/>
      <c r="F1118" s="336"/>
      <c r="G1118" s="336"/>
      <c r="H1118" s="336"/>
      <c r="I1118" s="336"/>
      <c r="J1118" s="336"/>
      <c r="K1118" s="336"/>
      <c r="L1118" s="336"/>
      <c r="M1118" s="336"/>
      <c r="N1118" s="336"/>
      <c r="O1118" s="336"/>
      <c r="P1118" s="336"/>
      <c r="Q1118" s="336"/>
      <c r="R1118" s="336"/>
      <c r="S1118" s="336"/>
      <c r="T1118" s="336"/>
      <c r="U1118" s="337" t="s">
        <v>1444</v>
      </c>
      <c r="V1118" s="336"/>
    </row>
    <row r="1119" ht="15.75" customHeight="1">
      <c r="A1119" s="336"/>
      <c r="B1119" s="336"/>
      <c r="C1119" s="336"/>
      <c r="D1119" s="336"/>
      <c r="E1119" s="336"/>
      <c r="F1119" s="336"/>
      <c r="G1119" s="336"/>
      <c r="H1119" s="336"/>
      <c r="I1119" s="336"/>
      <c r="J1119" s="336"/>
      <c r="K1119" s="336"/>
      <c r="L1119" s="336"/>
      <c r="M1119" s="336"/>
      <c r="N1119" s="336"/>
      <c r="O1119" s="336"/>
      <c r="P1119" s="336"/>
      <c r="Q1119" s="336"/>
      <c r="R1119" s="336"/>
      <c r="S1119" s="336"/>
      <c r="T1119" s="336"/>
      <c r="U1119" s="337" t="s">
        <v>1445</v>
      </c>
      <c r="V1119" s="336"/>
    </row>
    <row r="1120" ht="15.75" customHeight="1">
      <c r="A1120" s="336"/>
      <c r="B1120" s="336"/>
      <c r="C1120" s="336"/>
      <c r="D1120" s="336"/>
      <c r="E1120" s="336"/>
      <c r="F1120" s="336"/>
      <c r="G1120" s="336"/>
      <c r="H1120" s="336"/>
      <c r="I1120" s="336"/>
      <c r="J1120" s="336"/>
      <c r="K1120" s="336"/>
      <c r="L1120" s="336"/>
      <c r="M1120" s="336"/>
      <c r="N1120" s="336"/>
      <c r="O1120" s="336"/>
      <c r="P1120" s="336"/>
      <c r="Q1120" s="336"/>
      <c r="R1120" s="336"/>
      <c r="S1120" s="336"/>
      <c r="T1120" s="336"/>
      <c r="U1120" s="337" t="s">
        <v>1446</v>
      </c>
      <c r="V1120" s="336"/>
    </row>
    <row r="1121" ht="15.75" customHeight="1">
      <c r="A1121" s="336"/>
      <c r="B1121" s="336"/>
      <c r="C1121" s="336"/>
      <c r="D1121" s="336"/>
      <c r="E1121" s="336"/>
      <c r="F1121" s="336"/>
      <c r="G1121" s="336"/>
      <c r="H1121" s="336"/>
      <c r="I1121" s="336"/>
      <c r="J1121" s="336"/>
      <c r="K1121" s="336"/>
      <c r="L1121" s="336"/>
      <c r="M1121" s="336"/>
      <c r="N1121" s="336"/>
      <c r="O1121" s="336"/>
      <c r="P1121" s="336"/>
      <c r="Q1121" s="336"/>
      <c r="R1121" s="336"/>
      <c r="S1121" s="336"/>
      <c r="T1121" s="336"/>
      <c r="U1121" s="337" t="s">
        <v>1447</v>
      </c>
      <c r="V1121" s="336"/>
    </row>
    <row r="1122" ht="15.75" customHeight="1">
      <c r="A1122" s="336"/>
      <c r="B1122" s="336"/>
      <c r="C1122" s="336"/>
      <c r="D1122" s="336"/>
      <c r="E1122" s="336"/>
      <c r="F1122" s="336"/>
      <c r="G1122" s="336"/>
      <c r="H1122" s="336"/>
      <c r="I1122" s="336"/>
      <c r="J1122" s="336"/>
      <c r="K1122" s="336"/>
      <c r="L1122" s="336"/>
      <c r="M1122" s="336"/>
      <c r="N1122" s="336"/>
      <c r="O1122" s="336"/>
      <c r="P1122" s="336"/>
      <c r="Q1122" s="336"/>
      <c r="R1122" s="336"/>
      <c r="S1122" s="336"/>
      <c r="T1122" s="336"/>
      <c r="U1122" s="337" t="s">
        <v>1448</v>
      </c>
      <c r="V1122" s="336"/>
    </row>
    <row r="1123" ht="15.75" customHeight="1">
      <c r="A1123" s="336"/>
      <c r="B1123" s="336"/>
      <c r="C1123" s="336"/>
      <c r="D1123" s="336"/>
      <c r="E1123" s="336"/>
      <c r="F1123" s="336"/>
      <c r="G1123" s="336"/>
      <c r="H1123" s="336"/>
      <c r="I1123" s="336"/>
      <c r="J1123" s="336"/>
      <c r="K1123" s="336"/>
      <c r="L1123" s="336"/>
      <c r="M1123" s="336"/>
      <c r="N1123" s="336"/>
      <c r="O1123" s="336"/>
      <c r="P1123" s="336"/>
      <c r="Q1123" s="336"/>
      <c r="R1123" s="336"/>
      <c r="S1123" s="336"/>
      <c r="T1123" s="336"/>
      <c r="U1123" s="337" t="s">
        <v>1449</v>
      </c>
      <c r="V1123" s="336"/>
    </row>
    <row r="1124" ht="15.75" customHeight="1">
      <c r="A1124" s="336"/>
      <c r="B1124" s="336"/>
      <c r="C1124" s="336"/>
      <c r="D1124" s="336"/>
      <c r="E1124" s="336"/>
      <c r="F1124" s="336"/>
      <c r="G1124" s="336"/>
      <c r="H1124" s="336"/>
      <c r="I1124" s="336"/>
      <c r="J1124" s="336"/>
      <c r="K1124" s="336"/>
      <c r="L1124" s="336"/>
      <c r="M1124" s="336"/>
      <c r="N1124" s="336"/>
      <c r="O1124" s="336"/>
      <c r="P1124" s="336"/>
      <c r="Q1124" s="336"/>
      <c r="R1124" s="336"/>
      <c r="S1124" s="336"/>
      <c r="T1124" s="336"/>
      <c r="U1124" s="337" t="s">
        <v>1450</v>
      </c>
      <c r="V1124" s="336"/>
    </row>
    <row r="1125" ht="15.75" customHeight="1">
      <c r="A1125" s="336"/>
      <c r="B1125" s="336"/>
      <c r="C1125" s="336"/>
      <c r="D1125" s="336"/>
      <c r="E1125" s="336"/>
      <c r="F1125" s="336"/>
      <c r="G1125" s="336"/>
      <c r="H1125" s="336"/>
      <c r="I1125" s="336"/>
      <c r="J1125" s="336"/>
      <c r="K1125" s="336"/>
      <c r="L1125" s="336"/>
      <c r="M1125" s="336"/>
      <c r="N1125" s="336"/>
      <c r="O1125" s="336"/>
      <c r="P1125" s="336"/>
      <c r="Q1125" s="336"/>
      <c r="R1125" s="336"/>
      <c r="S1125" s="336"/>
      <c r="T1125" s="336"/>
      <c r="U1125" s="337" t="s">
        <v>1451</v>
      </c>
      <c r="V1125" s="336"/>
    </row>
    <row r="1126" ht="15.75" customHeight="1">
      <c r="A1126" s="336"/>
      <c r="B1126" s="336"/>
      <c r="C1126" s="336"/>
      <c r="D1126" s="336"/>
      <c r="E1126" s="336"/>
      <c r="F1126" s="336"/>
      <c r="G1126" s="336"/>
      <c r="H1126" s="336"/>
      <c r="I1126" s="336"/>
      <c r="J1126" s="336"/>
      <c r="K1126" s="336"/>
      <c r="L1126" s="336"/>
      <c r="M1126" s="336"/>
      <c r="N1126" s="336"/>
      <c r="O1126" s="336"/>
      <c r="P1126" s="336"/>
      <c r="Q1126" s="336"/>
      <c r="R1126" s="336"/>
      <c r="S1126" s="336"/>
      <c r="T1126" s="336"/>
      <c r="U1126" s="337" t="s">
        <v>1452</v>
      </c>
      <c r="V1126" s="336"/>
    </row>
    <row r="1127" ht="15.75" customHeight="1">
      <c r="A1127" s="336"/>
      <c r="B1127" s="336"/>
      <c r="C1127" s="336"/>
      <c r="D1127" s="336"/>
      <c r="E1127" s="336"/>
      <c r="F1127" s="336"/>
      <c r="G1127" s="336"/>
      <c r="H1127" s="336"/>
      <c r="I1127" s="336"/>
      <c r="J1127" s="336"/>
      <c r="K1127" s="336"/>
      <c r="L1127" s="336"/>
      <c r="M1127" s="336"/>
      <c r="N1127" s="336"/>
      <c r="O1127" s="336"/>
      <c r="P1127" s="336"/>
      <c r="Q1127" s="336"/>
      <c r="R1127" s="336"/>
      <c r="S1127" s="336"/>
      <c r="T1127" s="336"/>
      <c r="U1127" s="337" t="s">
        <v>1453</v>
      </c>
      <c r="V1127" s="336"/>
    </row>
    <row r="1128" ht="15.75" customHeight="1">
      <c r="A1128" s="336"/>
      <c r="B1128" s="336"/>
      <c r="C1128" s="336"/>
      <c r="D1128" s="336"/>
      <c r="E1128" s="336"/>
      <c r="F1128" s="336"/>
      <c r="G1128" s="336"/>
      <c r="H1128" s="336"/>
      <c r="I1128" s="336"/>
      <c r="J1128" s="336"/>
      <c r="K1128" s="336"/>
      <c r="L1128" s="336"/>
      <c r="M1128" s="336"/>
      <c r="N1128" s="336"/>
      <c r="O1128" s="336"/>
      <c r="P1128" s="336"/>
      <c r="Q1128" s="336"/>
      <c r="R1128" s="336"/>
      <c r="S1128" s="336"/>
      <c r="T1128" s="336"/>
      <c r="U1128" s="337" t="s">
        <v>1454</v>
      </c>
      <c r="V1128" s="336"/>
    </row>
    <row r="1129" ht="15.75" customHeight="1">
      <c r="A1129" s="336"/>
      <c r="B1129" s="336"/>
      <c r="C1129" s="336"/>
      <c r="D1129" s="336"/>
      <c r="E1129" s="336"/>
      <c r="F1129" s="336"/>
      <c r="G1129" s="336"/>
      <c r="H1129" s="336"/>
      <c r="I1129" s="336"/>
      <c r="J1129" s="336"/>
      <c r="K1129" s="336"/>
      <c r="L1129" s="336"/>
      <c r="M1129" s="336"/>
      <c r="N1129" s="336"/>
      <c r="O1129" s="336"/>
      <c r="P1129" s="336"/>
      <c r="Q1129" s="336"/>
      <c r="R1129" s="336"/>
      <c r="S1129" s="336"/>
      <c r="T1129" s="336"/>
      <c r="U1129" s="337" t="s">
        <v>1455</v>
      </c>
      <c r="V1129" s="336"/>
    </row>
    <row r="1130" ht="15.75" customHeight="1">
      <c r="A1130" s="336"/>
      <c r="B1130" s="336"/>
      <c r="C1130" s="336"/>
      <c r="D1130" s="336"/>
      <c r="E1130" s="336"/>
      <c r="F1130" s="336"/>
      <c r="G1130" s="336"/>
      <c r="H1130" s="336"/>
      <c r="I1130" s="336"/>
      <c r="J1130" s="336"/>
      <c r="K1130" s="336"/>
      <c r="L1130" s="336"/>
      <c r="M1130" s="336"/>
      <c r="N1130" s="336"/>
      <c r="O1130" s="336"/>
      <c r="P1130" s="336"/>
      <c r="Q1130" s="336"/>
      <c r="R1130" s="336"/>
      <c r="S1130" s="336"/>
      <c r="T1130" s="336"/>
      <c r="U1130" s="337" t="s">
        <v>1456</v>
      </c>
      <c r="V1130" s="336"/>
    </row>
    <row r="1131" ht="15.75" customHeight="1">
      <c r="A1131" s="336"/>
      <c r="B1131" s="336"/>
      <c r="C1131" s="336"/>
      <c r="D1131" s="336"/>
      <c r="E1131" s="336"/>
      <c r="F1131" s="336"/>
      <c r="G1131" s="336"/>
      <c r="H1131" s="336"/>
      <c r="I1131" s="336"/>
      <c r="J1131" s="336"/>
      <c r="K1131" s="336"/>
      <c r="L1131" s="336"/>
      <c r="M1131" s="336"/>
      <c r="N1131" s="336"/>
      <c r="O1131" s="336"/>
      <c r="P1131" s="336"/>
      <c r="Q1131" s="336"/>
      <c r="R1131" s="336"/>
      <c r="S1131" s="336"/>
      <c r="T1131" s="336"/>
      <c r="U1131" s="337" t="s">
        <v>1457</v>
      </c>
      <c r="V1131" s="336"/>
    </row>
    <row r="1132" ht="15.75" customHeight="1">
      <c r="A1132" s="336"/>
      <c r="B1132" s="336"/>
      <c r="C1132" s="336"/>
      <c r="D1132" s="336"/>
      <c r="E1132" s="336"/>
      <c r="F1132" s="336"/>
      <c r="G1132" s="336"/>
      <c r="H1132" s="336"/>
      <c r="I1132" s="336"/>
      <c r="J1132" s="336"/>
      <c r="K1132" s="336"/>
      <c r="L1132" s="336"/>
      <c r="M1132" s="336"/>
      <c r="N1132" s="336"/>
      <c r="O1132" s="336"/>
      <c r="P1132" s="336"/>
      <c r="Q1132" s="336"/>
      <c r="R1132" s="336"/>
      <c r="S1132" s="336"/>
      <c r="T1132" s="336"/>
      <c r="U1132" s="337" t="s">
        <v>1458</v>
      </c>
      <c r="V1132" s="336"/>
    </row>
    <row r="1133" ht="15.75" customHeight="1">
      <c r="A1133" s="336"/>
      <c r="B1133" s="336"/>
      <c r="C1133" s="336"/>
      <c r="D1133" s="336"/>
      <c r="E1133" s="336"/>
      <c r="F1133" s="336"/>
      <c r="G1133" s="336"/>
      <c r="H1133" s="336"/>
      <c r="I1133" s="336"/>
      <c r="J1133" s="336"/>
      <c r="K1133" s="336"/>
      <c r="L1133" s="336"/>
      <c r="M1133" s="336"/>
      <c r="N1133" s="336"/>
      <c r="O1133" s="336"/>
      <c r="P1133" s="336"/>
      <c r="Q1133" s="336"/>
      <c r="R1133" s="336"/>
      <c r="S1133" s="336"/>
      <c r="T1133" s="336"/>
      <c r="U1133" s="337" t="s">
        <v>1459</v>
      </c>
      <c r="V1133" s="336"/>
    </row>
    <row r="1134" ht="15.75" customHeight="1">
      <c r="A1134" s="336"/>
      <c r="B1134" s="336"/>
      <c r="C1134" s="336"/>
      <c r="D1134" s="336"/>
      <c r="E1134" s="336"/>
      <c r="F1134" s="336"/>
      <c r="G1134" s="336"/>
      <c r="H1134" s="336"/>
      <c r="I1134" s="336"/>
      <c r="J1134" s="336"/>
      <c r="K1134" s="336"/>
      <c r="L1134" s="336"/>
      <c r="M1134" s="336"/>
      <c r="N1134" s="336"/>
      <c r="O1134" s="336"/>
      <c r="P1134" s="336"/>
      <c r="Q1134" s="336"/>
      <c r="R1134" s="336"/>
      <c r="S1134" s="336"/>
      <c r="T1134" s="336"/>
      <c r="U1134" s="337" t="s">
        <v>1460</v>
      </c>
      <c r="V1134" s="336"/>
    </row>
    <row r="1135" ht="15.75" customHeight="1">
      <c r="A1135" s="336"/>
      <c r="B1135" s="336"/>
      <c r="C1135" s="336"/>
      <c r="D1135" s="336"/>
      <c r="E1135" s="336"/>
      <c r="F1135" s="336"/>
      <c r="G1135" s="336"/>
      <c r="H1135" s="336"/>
      <c r="I1135" s="336"/>
      <c r="J1135" s="336"/>
      <c r="K1135" s="336"/>
      <c r="L1135" s="336"/>
      <c r="M1135" s="336"/>
      <c r="N1135" s="336"/>
      <c r="O1135" s="336"/>
      <c r="P1135" s="336"/>
      <c r="Q1135" s="336"/>
      <c r="R1135" s="336"/>
      <c r="S1135" s="336"/>
      <c r="T1135" s="336"/>
      <c r="U1135" s="337" t="s">
        <v>1461</v>
      </c>
      <c r="V1135" s="336"/>
    </row>
    <row r="1136" ht="15.75" customHeight="1">
      <c r="A1136" s="336"/>
      <c r="B1136" s="336"/>
      <c r="C1136" s="336"/>
      <c r="D1136" s="336"/>
      <c r="E1136" s="336"/>
      <c r="F1136" s="336"/>
      <c r="G1136" s="336"/>
      <c r="H1136" s="336"/>
      <c r="I1136" s="336"/>
      <c r="J1136" s="336"/>
      <c r="K1136" s="336"/>
      <c r="L1136" s="336"/>
      <c r="M1136" s="336"/>
      <c r="N1136" s="336"/>
      <c r="O1136" s="336"/>
      <c r="P1136" s="336"/>
      <c r="Q1136" s="336"/>
      <c r="R1136" s="336"/>
      <c r="S1136" s="336"/>
      <c r="T1136" s="336"/>
      <c r="U1136" s="337" t="s">
        <v>1462</v>
      </c>
      <c r="V1136" s="336"/>
    </row>
    <row r="1137" ht="15.75" customHeight="1">
      <c r="A1137" s="336"/>
      <c r="B1137" s="336"/>
      <c r="C1137" s="336"/>
      <c r="D1137" s="336"/>
      <c r="E1137" s="336"/>
      <c r="F1137" s="336"/>
      <c r="G1137" s="336"/>
      <c r="H1137" s="336"/>
      <c r="I1137" s="336"/>
      <c r="J1137" s="336"/>
      <c r="K1137" s="336"/>
      <c r="L1137" s="336"/>
      <c r="M1137" s="336"/>
      <c r="N1137" s="336"/>
      <c r="O1137" s="336"/>
      <c r="P1137" s="336"/>
      <c r="Q1137" s="336"/>
      <c r="R1137" s="336"/>
      <c r="S1137" s="336"/>
      <c r="T1137" s="336"/>
      <c r="U1137" s="337" t="s">
        <v>1463</v>
      </c>
      <c r="V1137" s="336"/>
    </row>
    <row r="1138" ht="15.75" customHeight="1">
      <c r="A1138" s="336"/>
      <c r="B1138" s="336"/>
      <c r="C1138" s="336"/>
      <c r="D1138" s="336"/>
      <c r="E1138" s="336"/>
      <c r="F1138" s="336"/>
      <c r="G1138" s="336"/>
      <c r="H1138" s="336"/>
      <c r="I1138" s="336"/>
      <c r="J1138" s="336"/>
      <c r="K1138" s="336"/>
      <c r="L1138" s="336"/>
      <c r="M1138" s="336"/>
      <c r="N1138" s="336"/>
      <c r="O1138" s="336"/>
      <c r="P1138" s="336"/>
      <c r="Q1138" s="336"/>
      <c r="R1138" s="336"/>
      <c r="S1138" s="336"/>
      <c r="T1138" s="336"/>
      <c r="U1138" s="337" t="s">
        <v>1464</v>
      </c>
      <c r="V1138" s="336"/>
    </row>
    <row r="1139" ht="15.75" customHeight="1">
      <c r="A1139" s="336"/>
      <c r="B1139" s="336"/>
      <c r="C1139" s="336"/>
      <c r="D1139" s="336"/>
      <c r="E1139" s="336"/>
      <c r="F1139" s="336"/>
      <c r="G1139" s="336"/>
      <c r="H1139" s="336"/>
      <c r="I1139" s="336"/>
      <c r="J1139" s="336"/>
      <c r="K1139" s="336"/>
      <c r="L1139" s="336"/>
      <c r="M1139" s="336"/>
      <c r="N1139" s="336"/>
      <c r="O1139" s="336"/>
      <c r="P1139" s="336"/>
      <c r="Q1139" s="336"/>
      <c r="R1139" s="336"/>
      <c r="S1139" s="336"/>
      <c r="T1139" s="336"/>
      <c r="U1139" s="337" t="s">
        <v>1465</v>
      </c>
      <c r="V1139" s="336"/>
    </row>
    <row r="1140" ht="15.75" customHeight="1">
      <c r="A1140" s="336"/>
      <c r="B1140" s="336"/>
      <c r="C1140" s="336"/>
      <c r="D1140" s="336"/>
      <c r="E1140" s="336"/>
      <c r="F1140" s="336"/>
      <c r="G1140" s="336"/>
      <c r="H1140" s="336"/>
      <c r="I1140" s="336"/>
      <c r="J1140" s="336"/>
      <c r="K1140" s="336"/>
      <c r="L1140" s="336"/>
      <c r="M1140" s="336"/>
      <c r="N1140" s="336"/>
      <c r="O1140" s="336"/>
      <c r="P1140" s="336"/>
      <c r="Q1140" s="336"/>
      <c r="R1140" s="336"/>
      <c r="S1140" s="336"/>
      <c r="T1140" s="336"/>
      <c r="U1140" s="337" t="s">
        <v>1466</v>
      </c>
      <c r="V1140" s="336"/>
    </row>
    <row r="1141" ht="15.75" customHeight="1">
      <c r="A1141" s="336"/>
      <c r="B1141" s="336"/>
      <c r="C1141" s="336"/>
      <c r="D1141" s="336"/>
      <c r="E1141" s="336"/>
      <c r="F1141" s="336"/>
      <c r="G1141" s="336"/>
      <c r="H1141" s="336"/>
      <c r="I1141" s="336"/>
      <c r="J1141" s="336"/>
      <c r="K1141" s="336"/>
      <c r="L1141" s="336"/>
      <c r="M1141" s="336"/>
      <c r="N1141" s="336"/>
      <c r="O1141" s="336"/>
      <c r="P1141" s="336"/>
      <c r="Q1141" s="336"/>
      <c r="R1141" s="336"/>
      <c r="S1141" s="336"/>
      <c r="T1141" s="336"/>
      <c r="U1141" s="337" t="s">
        <v>1467</v>
      </c>
      <c r="V1141" s="336"/>
    </row>
    <row r="1142" ht="15.75" customHeight="1">
      <c r="A1142" s="336"/>
      <c r="B1142" s="336"/>
      <c r="C1142" s="336"/>
      <c r="D1142" s="336"/>
      <c r="E1142" s="336"/>
      <c r="F1142" s="336"/>
      <c r="G1142" s="336"/>
      <c r="H1142" s="336"/>
      <c r="I1142" s="336"/>
      <c r="J1142" s="336"/>
      <c r="K1142" s="336"/>
      <c r="L1142" s="336"/>
      <c r="M1142" s="336"/>
      <c r="N1142" s="336"/>
      <c r="O1142" s="336"/>
      <c r="P1142" s="336"/>
      <c r="Q1142" s="336"/>
      <c r="R1142" s="336"/>
      <c r="S1142" s="336"/>
      <c r="T1142" s="336"/>
      <c r="U1142" s="337" t="s">
        <v>1468</v>
      </c>
      <c r="V1142" s="336"/>
    </row>
    <row r="1143" ht="15.75" customHeight="1">
      <c r="A1143" s="336"/>
      <c r="B1143" s="336"/>
      <c r="C1143" s="336"/>
      <c r="D1143" s="336"/>
      <c r="E1143" s="336"/>
      <c r="F1143" s="336"/>
      <c r="G1143" s="336"/>
      <c r="H1143" s="336"/>
      <c r="I1143" s="336"/>
      <c r="J1143" s="336"/>
      <c r="K1143" s="336"/>
      <c r="L1143" s="336"/>
      <c r="M1143" s="336"/>
      <c r="N1143" s="336"/>
      <c r="O1143" s="336"/>
      <c r="P1143" s="336"/>
      <c r="Q1143" s="336"/>
      <c r="R1143" s="336"/>
      <c r="S1143" s="336"/>
      <c r="T1143" s="336"/>
      <c r="U1143" s="337" t="s">
        <v>1469</v>
      </c>
      <c r="V1143" s="336"/>
    </row>
    <row r="1144" ht="15.75" customHeight="1">
      <c r="A1144" s="336"/>
      <c r="B1144" s="336"/>
      <c r="C1144" s="336"/>
      <c r="D1144" s="336"/>
      <c r="E1144" s="336"/>
      <c r="F1144" s="336"/>
      <c r="G1144" s="336"/>
      <c r="H1144" s="336"/>
      <c r="I1144" s="336"/>
      <c r="J1144" s="336"/>
      <c r="K1144" s="336"/>
      <c r="L1144" s="336"/>
      <c r="M1144" s="336"/>
      <c r="N1144" s="336"/>
      <c r="O1144" s="336"/>
      <c r="P1144" s="336"/>
      <c r="Q1144" s="336"/>
      <c r="R1144" s="336"/>
      <c r="S1144" s="336"/>
      <c r="T1144" s="336"/>
      <c r="U1144" s="337" t="s">
        <v>1470</v>
      </c>
      <c r="V1144" s="336"/>
    </row>
    <row r="1145" ht="15.75" customHeight="1">
      <c r="A1145" s="336"/>
      <c r="B1145" s="336"/>
      <c r="C1145" s="336"/>
      <c r="D1145" s="336"/>
      <c r="E1145" s="336"/>
      <c r="F1145" s="336"/>
      <c r="G1145" s="336"/>
      <c r="H1145" s="336"/>
      <c r="I1145" s="336"/>
      <c r="J1145" s="336"/>
      <c r="K1145" s="336"/>
      <c r="L1145" s="336"/>
      <c r="M1145" s="336"/>
      <c r="N1145" s="336"/>
      <c r="O1145" s="336"/>
      <c r="P1145" s="336"/>
      <c r="Q1145" s="336"/>
      <c r="R1145" s="336"/>
      <c r="S1145" s="336"/>
      <c r="T1145" s="336"/>
      <c r="U1145" s="337" t="s">
        <v>1471</v>
      </c>
      <c r="V1145" s="336"/>
    </row>
    <row r="1146" ht="15.75" customHeight="1">
      <c r="A1146" s="336"/>
      <c r="B1146" s="336"/>
      <c r="C1146" s="336"/>
      <c r="D1146" s="336"/>
      <c r="E1146" s="336"/>
      <c r="F1146" s="336"/>
      <c r="G1146" s="336"/>
      <c r="H1146" s="336"/>
      <c r="I1146" s="336"/>
      <c r="J1146" s="336"/>
      <c r="K1146" s="336"/>
      <c r="L1146" s="336"/>
      <c r="M1146" s="336"/>
      <c r="N1146" s="336"/>
      <c r="O1146" s="336"/>
      <c r="P1146" s="336"/>
      <c r="Q1146" s="336"/>
      <c r="R1146" s="336"/>
      <c r="S1146" s="336"/>
      <c r="T1146" s="336"/>
      <c r="U1146" s="337" t="s">
        <v>1472</v>
      </c>
      <c r="V1146" s="336"/>
    </row>
    <row r="1147" ht="15.75" customHeight="1">
      <c r="A1147" s="336"/>
      <c r="B1147" s="336"/>
      <c r="C1147" s="336"/>
      <c r="D1147" s="336"/>
      <c r="E1147" s="336"/>
      <c r="F1147" s="336"/>
      <c r="G1147" s="336"/>
      <c r="H1147" s="336"/>
      <c r="I1147" s="336"/>
      <c r="J1147" s="336"/>
      <c r="K1147" s="336"/>
      <c r="L1147" s="336"/>
      <c r="M1147" s="336"/>
      <c r="N1147" s="336"/>
      <c r="O1147" s="336"/>
      <c r="P1147" s="336"/>
      <c r="Q1147" s="336"/>
      <c r="R1147" s="336"/>
      <c r="S1147" s="336"/>
      <c r="T1147" s="336"/>
      <c r="U1147" s="337" t="s">
        <v>1473</v>
      </c>
      <c r="V1147" s="336"/>
    </row>
    <row r="1148" ht="15.75" customHeight="1">
      <c r="A1148" s="336"/>
      <c r="B1148" s="336"/>
      <c r="C1148" s="336"/>
      <c r="D1148" s="336"/>
      <c r="E1148" s="336"/>
      <c r="F1148" s="336"/>
      <c r="G1148" s="336"/>
      <c r="H1148" s="336"/>
      <c r="I1148" s="336"/>
      <c r="J1148" s="336"/>
      <c r="K1148" s="336"/>
      <c r="L1148" s="336"/>
      <c r="M1148" s="336"/>
      <c r="N1148" s="336"/>
      <c r="O1148" s="336"/>
      <c r="P1148" s="336"/>
      <c r="Q1148" s="336"/>
      <c r="R1148" s="336"/>
      <c r="S1148" s="336"/>
      <c r="T1148" s="336"/>
      <c r="U1148" s="337" t="s">
        <v>1474</v>
      </c>
      <c r="V1148" s="336"/>
    </row>
    <row r="1149" ht="15.75" customHeight="1">
      <c r="A1149" s="336"/>
      <c r="B1149" s="336"/>
      <c r="C1149" s="336"/>
      <c r="D1149" s="336"/>
      <c r="E1149" s="336"/>
      <c r="F1149" s="336"/>
      <c r="G1149" s="336"/>
      <c r="H1149" s="336"/>
      <c r="I1149" s="336"/>
      <c r="J1149" s="336"/>
      <c r="K1149" s="336"/>
      <c r="L1149" s="336"/>
      <c r="M1149" s="336"/>
      <c r="N1149" s="336"/>
      <c r="O1149" s="336"/>
      <c r="P1149" s="336"/>
      <c r="Q1149" s="336"/>
      <c r="R1149" s="336"/>
      <c r="S1149" s="336"/>
      <c r="T1149" s="336"/>
      <c r="U1149" s="337" t="s">
        <v>1475</v>
      </c>
      <c r="V1149" s="336"/>
    </row>
    <row r="1150" ht="15.75" customHeight="1">
      <c r="A1150" s="336"/>
      <c r="B1150" s="336"/>
      <c r="C1150" s="336"/>
      <c r="D1150" s="336"/>
      <c r="E1150" s="336"/>
      <c r="F1150" s="336"/>
      <c r="G1150" s="336"/>
      <c r="H1150" s="336"/>
      <c r="I1150" s="336"/>
      <c r="J1150" s="336"/>
      <c r="K1150" s="336"/>
      <c r="L1150" s="336"/>
      <c r="M1150" s="336"/>
      <c r="N1150" s="336"/>
      <c r="O1150" s="336"/>
      <c r="P1150" s="336"/>
      <c r="Q1150" s="336"/>
      <c r="R1150" s="336"/>
      <c r="S1150" s="336"/>
      <c r="T1150" s="336"/>
      <c r="U1150" s="337" t="s">
        <v>1476</v>
      </c>
      <c r="V1150" s="336"/>
    </row>
    <row r="1151" ht="15.75" customHeight="1">
      <c r="A1151" s="336"/>
      <c r="B1151" s="336"/>
      <c r="C1151" s="336"/>
      <c r="D1151" s="336"/>
      <c r="E1151" s="336"/>
      <c r="F1151" s="336"/>
      <c r="G1151" s="336"/>
      <c r="H1151" s="336"/>
      <c r="I1151" s="336"/>
      <c r="J1151" s="336"/>
      <c r="K1151" s="336"/>
      <c r="L1151" s="336"/>
      <c r="M1151" s="336"/>
      <c r="N1151" s="336"/>
      <c r="O1151" s="336"/>
      <c r="P1151" s="336"/>
      <c r="Q1151" s="336"/>
      <c r="R1151" s="336"/>
      <c r="S1151" s="336"/>
      <c r="T1151" s="336"/>
      <c r="U1151" s="337" t="s">
        <v>1477</v>
      </c>
      <c r="V1151" s="336"/>
    </row>
    <row r="1152" ht="15.75" customHeight="1">
      <c r="A1152" s="336"/>
      <c r="B1152" s="336"/>
      <c r="C1152" s="336"/>
      <c r="D1152" s="336"/>
      <c r="E1152" s="336"/>
      <c r="F1152" s="336"/>
      <c r="G1152" s="336"/>
      <c r="H1152" s="336"/>
      <c r="I1152" s="336"/>
      <c r="J1152" s="336"/>
      <c r="K1152" s="336"/>
      <c r="L1152" s="336"/>
      <c r="M1152" s="336"/>
      <c r="N1152" s="336"/>
      <c r="O1152" s="336"/>
      <c r="P1152" s="336"/>
      <c r="Q1152" s="336"/>
      <c r="R1152" s="336"/>
      <c r="S1152" s="336"/>
      <c r="T1152" s="336"/>
      <c r="U1152" s="337" t="s">
        <v>1478</v>
      </c>
      <c r="V1152" s="336"/>
    </row>
    <row r="1153" ht="15.75" customHeight="1">
      <c r="A1153" s="336"/>
      <c r="B1153" s="336"/>
      <c r="C1153" s="336"/>
      <c r="D1153" s="336"/>
      <c r="E1153" s="336"/>
      <c r="F1153" s="336"/>
      <c r="G1153" s="336"/>
      <c r="H1153" s="336"/>
      <c r="I1153" s="336"/>
      <c r="J1153" s="336"/>
      <c r="K1153" s="336"/>
      <c r="L1153" s="336"/>
      <c r="M1153" s="336"/>
      <c r="N1153" s="336"/>
      <c r="O1153" s="336"/>
      <c r="P1153" s="336"/>
      <c r="Q1153" s="336"/>
      <c r="R1153" s="336"/>
      <c r="S1153" s="336"/>
      <c r="T1153" s="336"/>
      <c r="U1153" s="337" t="s">
        <v>1479</v>
      </c>
      <c r="V1153" s="336"/>
    </row>
    <row r="1154" ht="15.75" customHeight="1">
      <c r="A1154" s="336"/>
      <c r="B1154" s="336"/>
      <c r="C1154" s="336"/>
      <c r="D1154" s="336"/>
      <c r="E1154" s="336"/>
      <c r="F1154" s="336"/>
      <c r="G1154" s="336"/>
      <c r="H1154" s="336"/>
      <c r="I1154" s="336"/>
      <c r="J1154" s="336"/>
      <c r="K1154" s="336"/>
      <c r="L1154" s="336"/>
      <c r="M1154" s="336"/>
      <c r="N1154" s="336"/>
      <c r="O1154" s="336"/>
      <c r="P1154" s="336"/>
      <c r="Q1154" s="336"/>
      <c r="R1154" s="336"/>
      <c r="S1154" s="336"/>
      <c r="T1154" s="336"/>
      <c r="U1154" s="337"/>
      <c r="V1154" s="336"/>
    </row>
    <row r="1155" ht="15.75" customHeight="1">
      <c r="A1155" s="336"/>
      <c r="B1155" s="336"/>
      <c r="C1155" s="336"/>
      <c r="D1155" s="336"/>
      <c r="E1155" s="336"/>
      <c r="F1155" s="336"/>
      <c r="G1155" s="336"/>
      <c r="H1155" s="336"/>
      <c r="I1155" s="336"/>
      <c r="J1155" s="336"/>
      <c r="K1155" s="336"/>
      <c r="L1155" s="336"/>
      <c r="M1155" s="336"/>
      <c r="N1155" s="336"/>
      <c r="O1155" s="336"/>
      <c r="P1155" s="336"/>
      <c r="Q1155" s="336"/>
      <c r="R1155" s="336"/>
      <c r="S1155" s="336"/>
      <c r="T1155" s="336"/>
      <c r="U1155" s="337"/>
      <c r="V1155" s="336"/>
    </row>
    <row r="1156" ht="15.75" customHeight="1">
      <c r="A1156" s="336"/>
      <c r="B1156" s="336"/>
      <c r="C1156" s="336"/>
      <c r="D1156" s="336"/>
      <c r="E1156" s="336"/>
      <c r="F1156" s="336"/>
      <c r="G1156" s="336"/>
      <c r="H1156" s="336"/>
      <c r="I1156" s="336"/>
      <c r="J1156" s="336"/>
      <c r="K1156" s="336"/>
      <c r="L1156" s="336"/>
      <c r="M1156" s="336"/>
      <c r="N1156" s="336"/>
      <c r="O1156" s="336"/>
      <c r="P1156" s="336"/>
      <c r="Q1156" s="336"/>
      <c r="R1156" s="336"/>
      <c r="S1156" s="336"/>
      <c r="T1156" s="336"/>
      <c r="U1156" s="337"/>
      <c r="V1156" s="336"/>
    </row>
    <row r="1157" ht="15.75" customHeight="1">
      <c r="A1157" s="336"/>
      <c r="B1157" s="336"/>
      <c r="C1157" s="336"/>
      <c r="D1157" s="336"/>
      <c r="E1157" s="336"/>
      <c r="F1157" s="336"/>
      <c r="G1157" s="336"/>
      <c r="H1157" s="336"/>
      <c r="I1157" s="336"/>
      <c r="J1157" s="336"/>
      <c r="K1157" s="336"/>
      <c r="L1157" s="336"/>
      <c r="M1157" s="336"/>
      <c r="N1157" s="336"/>
      <c r="O1157" s="336"/>
      <c r="P1157" s="336"/>
      <c r="Q1157" s="336"/>
      <c r="R1157" s="336"/>
      <c r="S1157" s="336"/>
      <c r="T1157" s="336"/>
      <c r="U1157" s="337"/>
      <c r="V1157" s="336"/>
    </row>
    <row r="1158" ht="15.75" customHeight="1">
      <c r="A1158" s="336"/>
      <c r="B1158" s="336"/>
      <c r="C1158" s="336"/>
      <c r="D1158" s="336"/>
      <c r="E1158" s="336"/>
      <c r="F1158" s="336"/>
      <c r="G1158" s="336"/>
      <c r="H1158" s="336"/>
      <c r="I1158" s="336"/>
      <c r="J1158" s="336"/>
      <c r="K1158" s="336"/>
      <c r="L1158" s="336"/>
      <c r="M1158" s="336"/>
      <c r="N1158" s="336"/>
      <c r="O1158" s="336"/>
      <c r="P1158" s="336"/>
      <c r="Q1158" s="336"/>
      <c r="R1158" s="336"/>
      <c r="S1158" s="336"/>
      <c r="T1158" s="336"/>
      <c r="U1158" s="337"/>
      <c r="V1158" s="336"/>
    </row>
    <row r="1159" ht="15.75" customHeight="1">
      <c r="A1159" s="336"/>
      <c r="B1159" s="336"/>
      <c r="C1159" s="336"/>
      <c r="D1159" s="336"/>
      <c r="E1159" s="336"/>
      <c r="F1159" s="336"/>
      <c r="G1159" s="336"/>
      <c r="H1159" s="336"/>
      <c r="I1159" s="336"/>
      <c r="J1159" s="336"/>
      <c r="K1159" s="336"/>
      <c r="L1159" s="336"/>
      <c r="M1159" s="336"/>
      <c r="N1159" s="336"/>
      <c r="O1159" s="336"/>
      <c r="P1159" s="336"/>
      <c r="Q1159" s="336"/>
      <c r="R1159" s="336"/>
      <c r="S1159" s="336"/>
      <c r="T1159" s="336"/>
      <c r="U1159" s="337"/>
      <c r="V1159" s="336"/>
    </row>
    <row r="1160" ht="15.75" customHeight="1">
      <c r="A1160" s="336"/>
      <c r="B1160" s="336"/>
      <c r="C1160" s="336"/>
      <c r="D1160" s="336"/>
      <c r="E1160" s="336"/>
      <c r="F1160" s="336"/>
      <c r="G1160" s="336"/>
      <c r="H1160" s="336"/>
      <c r="I1160" s="336"/>
      <c r="J1160" s="336"/>
      <c r="K1160" s="336"/>
      <c r="L1160" s="336"/>
      <c r="M1160" s="336"/>
      <c r="N1160" s="336"/>
      <c r="O1160" s="336"/>
      <c r="P1160" s="336"/>
      <c r="Q1160" s="336"/>
      <c r="R1160" s="336"/>
      <c r="S1160" s="336"/>
      <c r="T1160" s="336"/>
      <c r="U1160" s="337"/>
      <c r="V1160" s="336"/>
    </row>
    <row r="1161" ht="15.75" customHeight="1">
      <c r="A1161" s="336"/>
      <c r="B1161" s="336"/>
      <c r="C1161" s="336"/>
      <c r="D1161" s="336"/>
      <c r="E1161" s="336"/>
      <c r="F1161" s="336"/>
      <c r="G1161" s="336"/>
      <c r="H1161" s="336"/>
      <c r="I1161" s="336"/>
      <c r="J1161" s="336"/>
      <c r="K1161" s="336"/>
      <c r="L1161" s="336"/>
      <c r="M1161" s="336"/>
      <c r="N1161" s="336"/>
      <c r="O1161" s="336"/>
      <c r="P1161" s="336"/>
      <c r="Q1161" s="336"/>
      <c r="R1161" s="336"/>
      <c r="S1161" s="336"/>
      <c r="T1161" s="336"/>
      <c r="U1161" s="337"/>
      <c r="V1161" s="336"/>
    </row>
    <row r="1162" ht="15.75" customHeight="1">
      <c r="A1162" s="336"/>
      <c r="B1162" s="336"/>
      <c r="C1162" s="336"/>
      <c r="D1162" s="336"/>
      <c r="E1162" s="336"/>
      <c r="F1162" s="336"/>
      <c r="G1162" s="336"/>
      <c r="H1162" s="336"/>
      <c r="I1162" s="336"/>
      <c r="J1162" s="336"/>
      <c r="K1162" s="336"/>
      <c r="L1162" s="336"/>
      <c r="M1162" s="336"/>
      <c r="N1162" s="336"/>
      <c r="O1162" s="336"/>
      <c r="P1162" s="336"/>
      <c r="Q1162" s="336"/>
      <c r="R1162" s="336"/>
      <c r="S1162" s="336"/>
      <c r="T1162" s="336"/>
      <c r="U1162" s="337"/>
      <c r="V1162" s="336"/>
    </row>
    <row r="1163" ht="15.75" customHeight="1">
      <c r="A1163" s="336"/>
      <c r="B1163" s="336"/>
      <c r="C1163" s="336"/>
      <c r="D1163" s="336"/>
      <c r="E1163" s="336"/>
      <c r="F1163" s="336"/>
      <c r="G1163" s="336"/>
      <c r="H1163" s="336"/>
      <c r="I1163" s="336"/>
      <c r="J1163" s="336"/>
      <c r="K1163" s="336"/>
      <c r="L1163" s="336"/>
      <c r="M1163" s="336"/>
      <c r="N1163" s="336"/>
      <c r="O1163" s="336"/>
      <c r="P1163" s="336"/>
      <c r="Q1163" s="336"/>
      <c r="R1163" s="336"/>
      <c r="S1163" s="336"/>
      <c r="T1163" s="336"/>
      <c r="U1163" s="337"/>
      <c r="V1163" s="336"/>
    </row>
    <row r="1164" ht="15.75" customHeight="1">
      <c r="A1164" s="336"/>
      <c r="B1164" s="336"/>
      <c r="C1164" s="336"/>
      <c r="D1164" s="336"/>
      <c r="E1164" s="336"/>
      <c r="F1164" s="336"/>
      <c r="G1164" s="336"/>
      <c r="H1164" s="336"/>
      <c r="I1164" s="336"/>
      <c r="J1164" s="336"/>
      <c r="K1164" s="336"/>
      <c r="L1164" s="336"/>
      <c r="M1164" s="336"/>
      <c r="N1164" s="336"/>
      <c r="O1164" s="336"/>
      <c r="P1164" s="336"/>
      <c r="Q1164" s="336"/>
      <c r="R1164" s="336"/>
      <c r="S1164" s="336"/>
      <c r="T1164" s="336"/>
      <c r="U1164" s="337"/>
      <c r="V1164" s="336"/>
    </row>
    <row r="1165" ht="15.75" customHeight="1">
      <c r="A1165" s="336"/>
      <c r="B1165" s="336"/>
      <c r="C1165" s="336"/>
      <c r="D1165" s="336"/>
      <c r="E1165" s="336"/>
      <c r="F1165" s="336"/>
      <c r="G1165" s="336"/>
      <c r="H1165" s="336"/>
      <c r="I1165" s="336"/>
      <c r="J1165" s="336"/>
      <c r="K1165" s="336"/>
      <c r="L1165" s="336"/>
      <c r="M1165" s="336"/>
      <c r="N1165" s="336"/>
      <c r="O1165" s="336"/>
      <c r="P1165" s="336"/>
      <c r="Q1165" s="336"/>
      <c r="R1165" s="336"/>
      <c r="S1165" s="336"/>
      <c r="T1165" s="336"/>
      <c r="U1165" s="337"/>
      <c r="V1165" s="336"/>
    </row>
    <row r="1166" ht="15.75" customHeight="1">
      <c r="A1166" s="336"/>
      <c r="B1166" s="336"/>
      <c r="C1166" s="336"/>
      <c r="D1166" s="336"/>
      <c r="E1166" s="336"/>
      <c r="F1166" s="336"/>
      <c r="G1166" s="336"/>
      <c r="H1166" s="336"/>
      <c r="I1166" s="336"/>
      <c r="J1166" s="336"/>
      <c r="K1166" s="336"/>
      <c r="L1166" s="336"/>
      <c r="M1166" s="336"/>
      <c r="N1166" s="336"/>
      <c r="O1166" s="336"/>
      <c r="P1166" s="336"/>
      <c r="Q1166" s="336"/>
      <c r="R1166" s="336"/>
      <c r="S1166" s="336"/>
      <c r="T1166" s="336"/>
      <c r="U1166" s="337"/>
      <c r="V1166" s="336"/>
    </row>
    <row r="1167" ht="15.75" customHeight="1">
      <c r="A1167" s="336"/>
      <c r="B1167" s="336"/>
      <c r="C1167" s="336"/>
      <c r="D1167" s="336"/>
      <c r="E1167" s="336"/>
      <c r="F1167" s="336"/>
      <c r="G1167" s="336"/>
      <c r="H1167" s="336"/>
      <c r="I1167" s="336"/>
      <c r="J1167" s="336"/>
      <c r="K1167" s="336"/>
      <c r="L1167" s="336"/>
      <c r="M1167" s="336"/>
      <c r="N1167" s="336"/>
      <c r="O1167" s="336"/>
      <c r="P1167" s="336"/>
      <c r="Q1167" s="336"/>
      <c r="R1167" s="336"/>
      <c r="S1167" s="336"/>
      <c r="T1167" s="336"/>
      <c r="U1167" s="337"/>
      <c r="V1167" s="336"/>
    </row>
    <row r="1168" ht="15.75" customHeight="1">
      <c r="A1168" s="336"/>
      <c r="B1168" s="336"/>
      <c r="C1168" s="336"/>
      <c r="D1168" s="336"/>
      <c r="E1168" s="336"/>
      <c r="F1168" s="336"/>
      <c r="G1168" s="336"/>
      <c r="H1168" s="336"/>
      <c r="I1168" s="336"/>
      <c r="J1168" s="336"/>
      <c r="K1168" s="336"/>
      <c r="L1168" s="336"/>
      <c r="M1168" s="336"/>
      <c r="N1168" s="336"/>
      <c r="O1168" s="336"/>
      <c r="P1168" s="336"/>
      <c r="Q1168" s="336"/>
      <c r="R1168" s="336"/>
      <c r="S1168" s="336"/>
      <c r="T1168" s="336"/>
      <c r="U1168" s="337"/>
      <c r="V1168" s="336"/>
    </row>
    <row r="1169" ht="15.75" customHeight="1">
      <c r="A1169" s="336"/>
      <c r="B1169" s="336"/>
      <c r="C1169" s="336"/>
      <c r="D1169" s="336"/>
      <c r="E1169" s="336"/>
      <c r="F1169" s="336"/>
      <c r="G1169" s="336"/>
      <c r="H1169" s="336"/>
      <c r="I1169" s="336"/>
      <c r="J1169" s="336"/>
      <c r="K1169" s="336"/>
      <c r="L1169" s="336"/>
      <c r="M1169" s="336"/>
      <c r="N1169" s="336"/>
      <c r="O1169" s="336"/>
      <c r="P1169" s="336"/>
      <c r="Q1169" s="336"/>
      <c r="R1169" s="336"/>
      <c r="S1169" s="336"/>
      <c r="T1169" s="336"/>
      <c r="U1169" s="337"/>
      <c r="V1169" s="336"/>
    </row>
    <row r="1170" ht="15.75" customHeight="1">
      <c r="A1170" s="336"/>
      <c r="B1170" s="336"/>
      <c r="C1170" s="336"/>
      <c r="D1170" s="336"/>
      <c r="E1170" s="336"/>
      <c r="F1170" s="336"/>
      <c r="G1170" s="336"/>
      <c r="H1170" s="336"/>
      <c r="I1170" s="336"/>
      <c r="J1170" s="336"/>
      <c r="K1170" s="336"/>
      <c r="L1170" s="336"/>
      <c r="M1170" s="336"/>
      <c r="N1170" s="336"/>
      <c r="O1170" s="336"/>
      <c r="P1170" s="336"/>
      <c r="Q1170" s="336"/>
      <c r="R1170" s="336"/>
      <c r="S1170" s="336"/>
      <c r="T1170" s="336"/>
      <c r="U1170" s="337"/>
      <c r="V1170" s="336"/>
    </row>
    <row r="1171" ht="15.75" customHeight="1">
      <c r="A1171" s="336"/>
      <c r="B1171" s="336"/>
      <c r="C1171" s="336"/>
      <c r="D1171" s="336"/>
      <c r="E1171" s="336"/>
      <c r="F1171" s="336"/>
      <c r="G1171" s="336"/>
      <c r="H1171" s="336"/>
      <c r="I1171" s="336"/>
      <c r="J1171" s="336"/>
      <c r="K1171" s="336"/>
      <c r="L1171" s="336"/>
      <c r="M1171" s="336"/>
      <c r="N1171" s="336"/>
      <c r="O1171" s="336"/>
      <c r="P1171" s="336"/>
      <c r="Q1171" s="336"/>
      <c r="R1171" s="336"/>
      <c r="S1171" s="336"/>
      <c r="T1171" s="336"/>
      <c r="U1171" s="337"/>
      <c r="V1171" s="336"/>
    </row>
    <row r="1172" ht="15.75" customHeight="1">
      <c r="A1172" s="336"/>
      <c r="B1172" s="336"/>
      <c r="C1172" s="336"/>
      <c r="D1172" s="336"/>
      <c r="E1172" s="336"/>
      <c r="F1172" s="336"/>
      <c r="G1172" s="336"/>
      <c r="H1172" s="336"/>
      <c r="I1172" s="336"/>
      <c r="J1172" s="336"/>
      <c r="K1172" s="336"/>
      <c r="L1172" s="336"/>
      <c r="M1172" s="336"/>
      <c r="N1172" s="336"/>
      <c r="O1172" s="336"/>
      <c r="P1172" s="336"/>
      <c r="Q1172" s="336"/>
      <c r="R1172" s="336"/>
      <c r="S1172" s="336"/>
      <c r="T1172" s="336"/>
      <c r="U1172" s="337"/>
      <c r="V1172" s="336"/>
    </row>
    <row r="1173" ht="15.75" customHeight="1">
      <c r="A1173" s="336"/>
      <c r="B1173" s="336"/>
      <c r="C1173" s="336"/>
      <c r="D1173" s="336"/>
      <c r="E1173" s="336"/>
      <c r="F1173" s="336"/>
      <c r="G1173" s="336"/>
      <c r="H1173" s="336"/>
      <c r="I1173" s="336"/>
      <c r="J1173" s="336"/>
      <c r="K1173" s="336"/>
      <c r="L1173" s="336"/>
      <c r="M1173" s="336"/>
      <c r="N1173" s="336"/>
      <c r="O1173" s="336"/>
      <c r="P1173" s="336"/>
      <c r="Q1173" s="336"/>
      <c r="R1173" s="336"/>
      <c r="S1173" s="336"/>
      <c r="T1173" s="336"/>
      <c r="U1173" s="337"/>
      <c r="V1173" s="336"/>
    </row>
    <row r="1174" ht="15.75" customHeight="1">
      <c r="A1174" s="336"/>
      <c r="B1174" s="336"/>
      <c r="C1174" s="336"/>
      <c r="D1174" s="336"/>
      <c r="E1174" s="336"/>
      <c r="F1174" s="336"/>
      <c r="G1174" s="336"/>
      <c r="H1174" s="336"/>
      <c r="I1174" s="336"/>
      <c r="J1174" s="336"/>
      <c r="K1174" s="336"/>
      <c r="L1174" s="336"/>
      <c r="M1174" s="336"/>
      <c r="N1174" s="336"/>
      <c r="O1174" s="336"/>
      <c r="P1174" s="336"/>
      <c r="Q1174" s="336"/>
      <c r="R1174" s="336"/>
      <c r="S1174" s="336"/>
      <c r="T1174" s="336"/>
      <c r="U1174" s="337"/>
      <c r="V1174" s="336"/>
    </row>
    <row r="1175" ht="15.75" customHeight="1">
      <c r="A1175" s="336"/>
      <c r="B1175" s="336"/>
      <c r="C1175" s="336"/>
      <c r="D1175" s="336"/>
      <c r="E1175" s="336"/>
      <c r="F1175" s="336"/>
      <c r="G1175" s="336"/>
      <c r="H1175" s="336"/>
      <c r="I1175" s="336"/>
      <c r="J1175" s="336"/>
      <c r="K1175" s="336"/>
      <c r="L1175" s="336"/>
      <c r="M1175" s="336"/>
      <c r="N1175" s="336"/>
      <c r="O1175" s="336"/>
      <c r="P1175" s="336"/>
      <c r="Q1175" s="336"/>
      <c r="R1175" s="336"/>
      <c r="S1175" s="336"/>
      <c r="T1175" s="336"/>
      <c r="U1175" s="337"/>
      <c r="V1175" s="336"/>
    </row>
    <row r="1176" ht="15.75" customHeight="1">
      <c r="A1176" s="336"/>
      <c r="B1176" s="336"/>
      <c r="C1176" s="336"/>
      <c r="D1176" s="336"/>
      <c r="E1176" s="336"/>
      <c r="F1176" s="336"/>
      <c r="G1176" s="336"/>
      <c r="H1176" s="336"/>
      <c r="I1176" s="336"/>
      <c r="J1176" s="336"/>
      <c r="K1176" s="336"/>
      <c r="L1176" s="336"/>
      <c r="M1176" s="336"/>
      <c r="N1176" s="336"/>
      <c r="O1176" s="336"/>
      <c r="P1176" s="336"/>
      <c r="Q1176" s="336"/>
      <c r="R1176" s="336"/>
      <c r="S1176" s="336"/>
      <c r="T1176" s="336"/>
      <c r="U1176" s="337"/>
      <c r="V1176" s="336"/>
    </row>
    <row r="1177" ht="15.75" customHeight="1">
      <c r="A1177" s="336"/>
      <c r="B1177" s="336"/>
      <c r="C1177" s="336"/>
      <c r="D1177" s="336"/>
      <c r="E1177" s="336"/>
      <c r="F1177" s="336"/>
      <c r="G1177" s="336"/>
      <c r="H1177" s="336"/>
      <c r="I1177" s="336"/>
      <c r="J1177" s="336"/>
      <c r="K1177" s="336"/>
      <c r="L1177" s="336"/>
      <c r="M1177" s="336"/>
      <c r="N1177" s="336"/>
      <c r="O1177" s="336"/>
      <c r="P1177" s="336"/>
      <c r="Q1177" s="336"/>
      <c r="R1177" s="336"/>
      <c r="S1177" s="336"/>
      <c r="T1177" s="336"/>
      <c r="U1177" s="337"/>
      <c r="V1177" s="336"/>
    </row>
    <row r="1178" ht="15.75" customHeight="1">
      <c r="A1178" s="336"/>
      <c r="B1178" s="336"/>
      <c r="C1178" s="336"/>
      <c r="D1178" s="336"/>
      <c r="E1178" s="336"/>
      <c r="F1178" s="336"/>
      <c r="G1178" s="336"/>
      <c r="H1178" s="336"/>
      <c r="I1178" s="336"/>
      <c r="J1178" s="336"/>
      <c r="K1178" s="336"/>
      <c r="L1178" s="336"/>
      <c r="M1178" s="336"/>
      <c r="N1178" s="336"/>
      <c r="O1178" s="336"/>
      <c r="P1178" s="336"/>
      <c r="Q1178" s="336"/>
      <c r="R1178" s="336"/>
      <c r="S1178" s="336"/>
      <c r="T1178" s="336"/>
      <c r="U1178" s="337"/>
      <c r="V1178" s="336"/>
    </row>
    <row r="1179" ht="15.75" customHeight="1">
      <c r="A1179" s="336"/>
      <c r="B1179" s="336"/>
      <c r="C1179" s="336"/>
      <c r="D1179" s="336"/>
      <c r="E1179" s="336"/>
      <c r="F1179" s="336"/>
      <c r="G1179" s="336"/>
      <c r="H1179" s="336"/>
      <c r="I1179" s="336"/>
      <c r="J1179" s="336"/>
      <c r="K1179" s="336"/>
      <c r="L1179" s="336"/>
      <c r="M1179" s="336"/>
      <c r="N1179" s="336"/>
      <c r="O1179" s="336"/>
      <c r="P1179" s="336"/>
      <c r="Q1179" s="336"/>
      <c r="R1179" s="336"/>
      <c r="S1179" s="336"/>
      <c r="T1179" s="336"/>
      <c r="U1179" s="337"/>
      <c r="V1179" s="336"/>
    </row>
    <row r="1180" ht="15.75" customHeight="1">
      <c r="A1180" s="336"/>
      <c r="B1180" s="336"/>
      <c r="C1180" s="336"/>
      <c r="D1180" s="336"/>
      <c r="E1180" s="336"/>
      <c r="F1180" s="336"/>
      <c r="G1180" s="336"/>
      <c r="H1180" s="336"/>
      <c r="I1180" s="336"/>
      <c r="J1180" s="336"/>
      <c r="K1180" s="336"/>
      <c r="L1180" s="336"/>
      <c r="M1180" s="336"/>
      <c r="N1180" s="336"/>
      <c r="O1180" s="336"/>
      <c r="P1180" s="336"/>
      <c r="Q1180" s="336"/>
      <c r="R1180" s="336"/>
      <c r="S1180" s="336"/>
      <c r="T1180" s="336"/>
      <c r="U1180" s="337"/>
      <c r="V1180" s="336"/>
    </row>
    <row r="1181" ht="15.75" customHeight="1">
      <c r="A1181" s="336"/>
      <c r="B1181" s="336"/>
      <c r="C1181" s="336"/>
      <c r="D1181" s="336"/>
      <c r="E1181" s="336"/>
      <c r="F1181" s="336"/>
      <c r="G1181" s="336"/>
      <c r="H1181" s="336"/>
      <c r="I1181" s="336"/>
      <c r="J1181" s="336"/>
      <c r="K1181" s="336"/>
      <c r="L1181" s="336"/>
      <c r="M1181" s="336"/>
      <c r="N1181" s="336"/>
      <c r="O1181" s="336"/>
      <c r="P1181" s="336"/>
      <c r="Q1181" s="336"/>
      <c r="R1181" s="336"/>
      <c r="S1181" s="336"/>
      <c r="T1181" s="336"/>
      <c r="U1181" s="337"/>
      <c r="V1181" s="336"/>
    </row>
    <row r="1182" ht="15.75" customHeight="1">
      <c r="A1182" s="336"/>
      <c r="B1182" s="336"/>
      <c r="C1182" s="336"/>
      <c r="D1182" s="336"/>
      <c r="E1182" s="336"/>
      <c r="F1182" s="336"/>
      <c r="G1182" s="336"/>
      <c r="H1182" s="336"/>
      <c r="I1182" s="336"/>
      <c r="J1182" s="336"/>
      <c r="K1182" s="336"/>
      <c r="L1182" s="336"/>
      <c r="M1182" s="336"/>
      <c r="N1182" s="336"/>
      <c r="O1182" s="336"/>
      <c r="P1182" s="336"/>
      <c r="Q1182" s="336"/>
      <c r="R1182" s="336"/>
      <c r="S1182" s="336"/>
      <c r="T1182" s="336"/>
      <c r="U1182" s="337"/>
      <c r="V1182" s="336"/>
    </row>
    <row r="1183" ht="15.75" customHeight="1">
      <c r="A1183" s="336"/>
      <c r="B1183" s="336"/>
      <c r="C1183" s="336"/>
      <c r="D1183" s="336"/>
      <c r="E1183" s="336"/>
      <c r="F1183" s="336"/>
      <c r="G1183" s="336"/>
      <c r="H1183" s="336"/>
      <c r="I1183" s="336"/>
      <c r="J1183" s="336"/>
      <c r="K1183" s="336"/>
      <c r="L1183" s="336"/>
      <c r="M1183" s="336"/>
      <c r="N1183" s="336"/>
      <c r="O1183" s="336"/>
      <c r="P1183" s="336"/>
      <c r="Q1183" s="336"/>
      <c r="R1183" s="336"/>
      <c r="S1183" s="336"/>
      <c r="T1183" s="336"/>
      <c r="U1183" s="337"/>
      <c r="V1183" s="336"/>
    </row>
    <row r="1184" ht="15.75" customHeight="1">
      <c r="A1184" s="336"/>
      <c r="B1184" s="336"/>
      <c r="C1184" s="336"/>
      <c r="D1184" s="336"/>
      <c r="E1184" s="336"/>
      <c r="F1184" s="336"/>
      <c r="G1184" s="336"/>
      <c r="H1184" s="336"/>
      <c r="I1184" s="336"/>
      <c r="J1184" s="336"/>
      <c r="K1184" s="336"/>
      <c r="L1184" s="336"/>
      <c r="M1184" s="336"/>
      <c r="N1184" s="336"/>
      <c r="O1184" s="336"/>
      <c r="P1184" s="336"/>
      <c r="Q1184" s="336"/>
      <c r="R1184" s="336"/>
      <c r="S1184" s="336"/>
      <c r="T1184" s="336"/>
      <c r="U1184" s="337"/>
      <c r="V1184" s="336"/>
    </row>
    <row r="1185" ht="15.75" customHeight="1">
      <c r="A1185" s="336"/>
      <c r="B1185" s="336"/>
      <c r="C1185" s="336"/>
      <c r="D1185" s="336"/>
      <c r="E1185" s="336"/>
      <c r="F1185" s="336"/>
      <c r="G1185" s="336"/>
      <c r="H1185" s="336"/>
      <c r="I1185" s="336"/>
      <c r="J1185" s="336"/>
      <c r="K1185" s="336"/>
      <c r="L1185" s="336"/>
      <c r="M1185" s="336"/>
      <c r="N1185" s="336"/>
      <c r="O1185" s="336"/>
      <c r="P1185" s="336"/>
      <c r="Q1185" s="336"/>
      <c r="R1185" s="336"/>
      <c r="S1185" s="336"/>
      <c r="T1185" s="336"/>
      <c r="U1185" s="337"/>
      <c r="V1185" s="336"/>
    </row>
    <row r="1186" ht="15.75" customHeight="1">
      <c r="A1186" s="336"/>
      <c r="B1186" s="336"/>
      <c r="C1186" s="336"/>
      <c r="D1186" s="336"/>
      <c r="E1186" s="336"/>
      <c r="F1186" s="336"/>
      <c r="G1186" s="336"/>
      <c r="H1186" s="336"/>
      <c r="I1186" s="336"/>
      <c r="J1186" s="336"/>
      <c r="K1186" s="336"/>
      <c r="L1186" s="336"/>
      <c r="M1186" s="336"/>
      <c r="N1186" s="336"/>
      <c r="O1186" s="336"/>
      <c r="P1186" s="336"/>
      <c r="Q1186" s="336"/>
      <c r="R1186" s="336"/>
      <c r="S1186" s="336"/>
      <c r="T1186" s="336"/>
      <c r="U1186" s="337"/>
      <c r="V1186" s="336"/>
    </row>
    <row r="1187" ht="15.75" customHeight="1">
      <c r="A1187" s="336"/>
      <c r="B1187" s="336"/>
      <c r="C1187" s="336"/>
      <c r="D1187" s="336"/>
      <c r="E1187" s="336"/>
      <c r="F1187" s="336"/>
      <c r="G1187" s="336"/>
      <c r="H1187" s="336"/>
      <c r="I1187" s="336"/>
      <c r="J1187" s="336"/>
      <c r="K1187" s="336"/>
      <c r="L1187" s="336"/>
      <c r="M1187" s="336"/>
      <c r="N1187" s="336"/>
      <c r="O1187" s="336"/>
      <c r="P1187" s="336"/>
      <c r="Q1187" s="336"/>
      <c r="R1187" s="336"/>
      <c r="S1187" s="336"/>
      <c r="T1187" s="336"/>
      <c r="U1187" s="337"/>
      <c r="V1187" s="336"/>
    </row>
    <row r="1188" ht="15.75" customHeight="1">
      <c r="A1188" s="336"/>
      <c r="B1188" s="336"/>
      <c r="C1188" s="336"/>
      <c r="D1188" s="336"/>
      <c r="E1188" s="336"/>
      <c r="F1188" s="336"/>
      <c r="G1188" s="336"/>
      <c r="H1188" s="336"/>
      <c r="I1188" s="336"/>
      <c r="J1188" s="336"/>
      <c r="K1188" s="336"/>
      <c r="L1188" s="336"/>
      <c r="M1188" s="336"/>
      <c r="N1188" s="336"/>
      <c r="O1188" s="336"/>
      <c r="P1188" s="336"/>
      <c r="Q1188" s="336"/>
      <c r="R1188" s="336"/>
      <c r="S1188" s="336"/>
      <c r="T1188" s="336"/>
      <c r="U1188" s="337"/>
      <c r="V1188" s="336"/>
    </row>
    <row r="1189" ht="15.75" customHeight="1">
      <c r="A1189" s="336"/>
      <c r="B1189" s="336"/>
      <c r="C1189" s="336"/>
      <c r="D1189" s="336"/>
      <c r="E1189" s="336"/>
      <c r="F1189" s="336"/>
      <c r="G1189" s="336"/>
      <c r="H1189" s="336"/>
      <c r="I1189" s="336"/>
      <c r="J1189" s="336"/>
      <c r="K1189" s="336"/>
      <c r="L1189" s="336"/>
      <c r="M1189" s="336"/>
      <c r="N1189" s="336"/>
      <c r="O1189" s="336"/>
      <c r="P1189" s="336"/>
      <c r="Q1189" s="336"/>
      <c r="R1189" s="336"/>
      <c r="S1189" s="336"/>
      <c r="T1189" s="336"/>
      <c r="U1189" s="337"/>
      <c r="V1189" s="336"/>
    </row>
    <row r="1190" ht="15.75" customHeight="1">
      <c r="A1190" s="336"/>
      <c r="B1190" s="336"/>
      <c r="C1190" s="336"/>
      <c r="D1190" s="336"/>
      <c r="E1190" s="336"/>
      <c r="F1190" s="336"/>
      <c r="G1190" s="336"/>
      <c r="H1190" s="336"/>
      <c r="I1190" s="336"/>
      <c r="J1190" s="336"/>
      <c r="K1190" s="336"/>
      <c r="L1190" s="336"/>
      <c r="M1190" s="336"/>
      <c r="N1190" s="336"/>
      <c r="O1190" s="336"/>
      <c r="P1190" s="336"/>
      <c r="Q1190" s="336"/>
      <c r="R1190" s="336"/>
      <c r="S1190" s="336"/>
      <c r="T1190" s="336"/>
      <c r="U1190" s="337"/>
      <c r="V1190" s="336"/>
    </row>
    <row r="1191" ht="15.75" customHeight="1">
      <c r="A1191" s="336"/>
      <c r="B1191" s="336"/>
      <c r="C1191" s="336"/>
      <c r="D1191" s="336"/>
      <c r="E1191" s="336"/>
      <c r="F1191" s="336"/>
      <c r="G1191" s="336"/>
      <c r="H1191" s="336"/>
      <c r="I1191" s="336"/>
      <c r="J1191" s="336"/>
      <c r="K1191" s="336"/>
      <c r="L1191" s="336"/>
      <c r="M1191" s="336"/>
      <c r="N1191" s="336"/>
      <c r="O1191" s="336"/>
      <c r="P1191" s="336"/>
      <c r="Q1191" s="336"/>
      <c r="R1191" s="336"/>
      <c r="S1191" s="336"/>
      <c r="T1191" s="336"/>
      <c r="U1191" s="337"/>
      <c r="V1191" s="336"/>
    </row>
    <row r="1192" ht="15.75" customHeight="1">
      <c r="A1192" s="336"/>
      <c r="B1192" s="336"/>
      <c r="C1192" s="336"/>
      <c r="D1192" s="336"/>
      <c r="E1192" s="336"/>
      <c r="F1192" s="336"/>
      <c r="G1192" s="336"/>
      <c r="H1192" s="336"/>
      <c r="I1192" s="336"/>
      <c r="J1192" s="336"/>
      <c r="K1192" s="336"/>
      <c r="L1192" s="336"/>
      <c r="M1192" s="336"/>
      <c r="N1192" s="336"/>
      <c r="O1192" s="336"/>
      <c r="P1192" s="336"/>
      <c r="Q1192" s="336"/>
      <c r="R1192" s="336"/>
      <c r="S1192" s="336"/>
      <c r="T1192" s="336"/>
      <c r="U1192" s="337"/>
      <c r="V1192" s="336"/>
    </row>
    <row r="1193" ht="15.75" customHeight="1">
      <c r="A1193" s="336"/>
      <c r="B1193" s="336"/>
      <c r="C1193" s="336"/>
      <c r="D1193" s="336"/>
      <c r="E1193" s="336"/>
      <c r="F1193" s="336"/>
      <c r="G1193" s="336"/>
      <c r="H1193" s="336"/>
      <c r="I1193" s="336"/>
      <c r="J1193" s="336"/>
      <c r="K1193" s="336"/>
      <c r="L1193" s="336"/>
      <c r="M1193" s="336"/>
      <c r="N1193" s="336"/>
      <c r="O1193" s="336"/>
      <c r="P1193" s="336"/>
      <c r="Q1193" s="336"/>
      <c r="R1193" s="336"/>
      <c r="S1193" s="336"/>
      <c r="T1193" s="336"/>
      <c r="U1193" s="337"/>
      <c r="V1193" s="336"/>
    </row>
    <row r="1194" ht="15.75" customHeight="1">
      <c r="A1194" s="336"/>
      <c r="B1194" s="336"/>
      <c r="C1194" s="336"/>
      <c r="D1194" s="336"/>
      <c r="E1194" s="336"/>
      <c r="F1194" s="336"/>
      <c r="G1194" s="336"/>
      <c r="H1194" s="336"/>
      <c r="I1194" s="336"/>
      <c r="J1194" s="336"/>
      <c r="K1194" s="336"/>
      <c r="L1194" s="336"/>
      <c r="M1194" s="336"/>
      <c r="N1194" s="336"/>
      <c r="O1194" s="336"/>
      <c r="P1194" s="336"/>
      <c r="Q1194" s="336"/>
      <c r="R1194" s="336"/>
      <c r="S1194" s="336"/>
      <c r="T1194" s="336"/>
      <c r="U1194" s="337"/>
      <c r="V1194" s="336"/>
    </row>
    <row r="1195" ht="15.75" customHeight="1">
      <c r="A1195" s="336"/>
      <c r="B1195" s="336"/>
      <c r="C1195" s="336"/>
      <c r="D1195" s="336"/>
      <c r="E1195" s="336"/>
      <c r="F1195" s="336"/>
      <c r="G1195" s="336"/>
      <c r="H1195" s="336"/>
      <c r="I1195" s="336"/>
      <c r="J1195" s="336"/>
      <c r="K1195" s="336"/>
      <c r="L1195" s="336"/>
      <c r="M1195" s="336"/>
      <c r="N1195" s="336"/>
      <c r="O1195" s="336"/>
      <c r="P1195" s="336"/>
      <c r="Q1195" s="336"/>
      <c r="R1195" s="336"/>
      <c r="S1195" s="336"/>
      <c r="T1195" s="336"/>
      <c r="U1195" s="337"/>
      <c r="V1195" s="336"/>
    </row>
    <row r="1196" ht="15.75" customHeight="1">
      <c r="A1196" s="336"/>
      <c r="B1196" s="336"/>
      <c r="C1196" s="336"/>
      <c r="D1196" s="336"/>
      <c r="E1196" s="336"/>
      <c r="F1196" s="336"/>
      <c r="G1196" s="336"/>
      <c r="H1196" s="336"/>
      <c r="I1196" s="336"/>
      <c r="J1196" s="336"/>
      <c r="K1196" s="336"/>
      <c r="L1196" s="336"/>
      <c r="M1196" s="336"/>
      <c r="N1196" s="336"/>
      <c r="O1196" s="336"/>
      <c r="P1196" s="336"/>
      <c r="Q1196" s="336"/>
      <c r="R1196" s="336"/>
      <c r="S1196" s="336"/>
      <c r="T1196" s="336"/>
      <c r="U1196" s="337"/>
      <c r="V1196" s="336"/>
    </row>
    <row r="1197" ht="15.75" customHeight="1">
      <c r="A1197" s="336"/>
      <c r="B1197" s="336"/>
      <c r="C1197" s="336"/>
      <c r="D1197" s="336"/>
      <c r="E1197" s="336"/>
      <c r="F1197" s="336"/>
      <c r="G1197" s="336"/>
      <c r="H1197" s="336"/>
      <c r="I1197" s="336"/>
      <c r="J1197" s="336"/>
      <c r="K1197" s="336"/>
      <c r="L1197" s="336"/>
      <c r="M1197" s="336"/>
      <c r="N1197" s="336"/>
      <c r="O1197" s="336"/>
      <c r="P1197" s="336"/>
      <c r="Q1197" s="336"/>
      <c r="R1197" s="336"/>
      <c r="S1197" s="336"/>
      <c r="T1197" s="336"/>
      <c r="U1197" s="337"/>
      <c r="V1197" s="336"/>
    </row>
    <row r="1198" ht="15.75" customHeight="1">
      <c r="A1198" s="336"/>
      <c r="B1198" s="336"/>
      <c r="C1198" s="336"/>
      <c r="D1198" s="336"/>
      <c r="E1198" s="336"/>
      <c r="F1198" s="336"/>
      <c r="G1198" s="336"/>
      <c r="H1198" s="336"/>
      <c r="I1198" s="336"/>
      <c r="J1198" s="336"/>
      <c r="K1198" s="336"/>
      <c r="L1198" s="336"/>
      <c r="M1198" s="336"/>
      <c r="N1198" s="336"/>
      <c r="O1198" s="336"/>
      <c r="P1198" s="336"/>
      <c r="Q1198" s="336"/>
      <c r="R1198" s="336"/>
      <c r="S1198" s="336"/>
      <c r="T1198" s="336"/>
      <c r="U1198" s="337"/>
      <c r="V1198" s="336"/>
    </row>
    <row r="1199" ht="15.75" customHeight="1">
      <c r="A1199" s="336"/>
      <c r="B1199" s="336"/>
      <c r="C1199" s="336"/>
      <c r="D1199" s="336"/>
      <c r="E1199" s="336"/>
      <c r="F1199" s="336"/>
      <c r="G1199" s="336"/>
      <c r="H1199" s="336"/>
      <c r="I1199" s="336"/>
      <c r="J1199" s="336"/>
      <c r="K1199" s="336"/>
      <c r="L1199" s="336"/>
      <c r="M1199" s="336"/>
      <c r="N1199" s="336"/>
      <c r="O1199" s="336"/>
      <c r="P1199" s="336"/>
      <c r="Q1199" s="336"/>
      <c r="R1199" s="336"/>
      <c r="S1199" s="336"/>
      <c r="T1199" s="336"/>
      <c r="U1199" s="337"/>
      <c r="V1199" s="336"/>
    </row>
    <row r="1200" ht="15.75" customHeight="1">
      <c r="A1200" s="336"/>
      <c r="B1200" s="336"/>
      <c r="C1200" s="336"/>
      <c r="D1200" s="336"/>
      <c r="E1200" s="336"/>
      <c r="F1200" s="336"/>
      <c r="G1200" s="336"/>
      <c r="H1200" s="336"/>
      <c r="I1200" s="336"/>
      <c r="J1200" s="336"/>
      <c r="K1200" s="336"/>
      <c r="L1200" s="336"/>
      <c r="M1200" s="336"/>
      <c r="N1200" s="336"/>
      <c r="O1200" s="336"/>
      <c r="P1200" s="336"/>
      <c r="Q1200" s="336"/>
      <c r="R1200" s="336"/>
      <c r="S1200" s="336"/>
      <c r="T1200" s="336"/>
      <c r="U1200" s="337"/>
      <c r="V1200" s="336"/>
    </row>
    <row r="1201" ht="15.75" customHeight="1">
      <c r="A1201" s="336"/>
      <c r="B1201" s="336"/>
      <c r="C1201" s="336"/>
      <c r="D1201" s="336"/>
      <c r="E1201" s="336"/>
      <c r="F1201" s="336"/>
      <c r="G1201" s="336"/>
      <c r="H1201" s="336"/>
      <c r="I1201" s="336"/>
      <c r="J1201" s="336"/>
      <c r="K1201" s="336"/>
      <c r="L1201" s="336"/>
      <c r="M1201" s="336"/>
      <c r="N1201" s="336"/>
      <c r="O1201" s="336"/>
      <c r="P1201" s="336"/>
      <c r="Q1201" s="336"/>
      <c r="R1201" s="336"/>
      <c r="S1201" s="336"/>
      <c r="T1201" s="336"/>
      <c r="U1201" s="337"/>
      <c r="V1201" s="336"/>
    </row>
    <row r="1202" ht="15.75" customHeight="1">
      <c r="A1202" s="336"/>
      <c r="B1202" s="336"/>
      <c r="C1202" s="336"/>
      <c r="D1202" s="336"/>
      <c r="E1202" s="336"/>
      <c r="F1202" s="336"/>
      <c r="G1202" s="336"/>
      <c r="H1202" s="336"/>
      <c r="I1202" s="336"/>
      <c r="J1202" s="336"/>
      <c r="K1202" s="336"/>
      <c r="L1202" s="336"/>
      <c r="M1202" s="336"/>
      <c r="N1202" s="336"/>
      <c r="O1202" s="336"/>
      <c r="P1202" s="336"/>
      <c r="Q1202" s="336"/>
      <c r="R1202" s="336"/>
      <c r="S1202" s="336"/>
      <c r="T1202" s="336"/>
      <c r="U1202" s="337"/>
      <c r="V1202" s="336"/>
    </row>
    <row r="1203" ht="15.75" customHeight="1">
      <c r="A1203" s="336"/>
      <c r="B1203" s="336"/>
      <c r="C1203" s="336"/>
      <c r="D1203" s="336"/>
      <c r="E1203" s="336"/>
      <c r="F1203" s="336"/>
      <c r="G1203" s="336"/>
      <c r="H1203" s="336"/>
      <c r="I1203" s="336"/>
      <c r="J1203" s="336"/>
      <c r="K1203" s="336"/>
      <c r="L1203" s="336"/>
      <c r="M1203" s="336"/>
      <c r="N1203" s="336"/>
      <c r="O1203" s="336"/>
      <c r="P1203" s="336"/>
      <c r="Q1203" s="336"/>
      <c r="R1203" s="336"/>
      <c r="S1203" s="336"/>
      <c r="T1203" s="336"/>
      <c r="U1203" s="337"/>
      <c r="V1203" s="336"/>
    </row>
    <row r="1204" ht="15.75" customHeight="1">
      <c r="A1204" s="336"/>
      <c r="B1204" s="336"/>
      <c r="C1204" s="336"/>
      <c r="D1204" s="336"/>
      <c r="E1204" s="336"/>
      <c r="F1204" s="336"/>
      <c r="G1204" s="336"/>
      <c r="H1204" s="336"/>
      <c r="I1204" s="336"/>
      <c r="J1204" s="336"/>
      <c r="K1204" s="336"/>
      <c r="L1204" s="336"/>
      <c r="M1204" s="336"/>
      <c r="N1204" s="336"/>
      <c r="O1204" s="336"/>
      <c r="P1204" s="336"/>
      <c r="Q1204" s="336"/>
      <c r="R1204" s="336"/>
      <c r="S1204" s="336"/>
      <c r="T1204" s="336"/>
      <c r="U1204" s="337"/>
      <c r="V1204" s="336"/>
    </row>
    <row r="1205" ht="15.75" customHeight="1">
      <c r="A1205" s="336"/>
      <c r="B1205" s="336"/>
      <c r="C1205" s="336"/>
      <c r="D1205" s="336"/>
      <c r="E1205" s="336"/>
      <c r="F1205" s="336"/>
      <c r="G1205" s="336"/>
      <c r="H1205" s="336"/>
      <c r="I1205" s="336"/>
      <c r="J1205" s="336"/>
      <c r="K1205" s="336"/>
      <c r="L1205" s="336"/>
      <c r="M1205" s="336"/>
      <c r="N1205" s="336"/>
      <c r="O1205" s="336"/>
      <c r="P1205" s="336"/>
      <c r="Q1205" s="336"/>
      <c r="R1205" s="336"/>
      <c r="S1205" s="336"/>
      <c r="T1205" s="336"/>
      <c r="U1205" s="337"/>
      <c r="V1205" s="336"/>
    </row>
    <row r="1206" ht="15.75" customHeight="1">
      <c r="A1206" s="336"/>
      <c r="B1206" s="336"/>
      <c r="C1206" s="336"/>
      <c r="D1206" s="336"/>
      <c r="E1206" s="336"/>
      <c r="F1206" s="336"/>
      <c r="G1206" s="336"/>
      <c r="H1206" s="336"/>
      <c r="I1206" s="336"/>
      <c r="J1206" s="336"/>
      <c r="K1206" s="336"/>
      <c r="L1206" s="336"/>
      <c r="M1206" s="336"/>
      <c r="N1206" s="336"/>
      <c r="O1206" s="336"/>
      <c r="P1206" s="336"/>
      <c r="Q1206" s="336"/>
      <c r="R1206" s="336"/>
      <c r="S1206" s="336"/>
      <c r="T1206" s="336"/>
      <c r="U1206" s="337"/>
      <c r="V1206" s="336"/>
    </row>
    <row r="1207" ht="15.75" customHeight="1">
      <c r="A1207" s="336"/>
      <c r="B1207" s="336"/>
      <c r="C1207" s="336"/>
      <c r="D1207" s="336"/>
      <c r="E1207" s="336"/>
      <c r="F1207" s="336"/>
      <c r="G1207" s="336"/>
      <c r="H1207" s="336"/>
      <c r="I1207" s="336"/>
      <c r="J1207" s="336"/>
      <c r="K1207" s="336"/>
      <c r="L1207" s="336"/>
      <c r="M1207" s="336"/>
      <c r="N1207" s="336"/>
      <c r="O1207" s="336"/>
      <c r="P1207" s="336"/>
      <c r="Q1207" s="336"/>
      <c r="R1207" s="336"/>
      <c r="S1207" s="336"/>
      <c r="T1207" s="336"/>
      <c r="U1207" s="337"/>
      <c r="V1207" s="336"/>
    </row>
    <row r="1208" ht="15.75" customHeight="1">
      <c r="A1208" s="336"/>
      <c r="B1208" s="336"/>
      <c r="C1208" s="336"/>
      <c r="D1208" s="336"/>
      <c r="E1208" s="336"/>
      <c r="F1208" s="336"/>
      <c r="G1208" s="336"/>
      <c r="H1208" s="336"/>
      <c r="I1208" s="336"/>
      <c r="J1208" s="336"/>
      <c r="K1208" s="336"/>
      <c r="L1208" s="336"/>
      <c r="M1208" s="336"/>
      <c r="N1208" s="336"/>
      <c r="O1208" s="336"/>
      <c r="P1208" s="336"/>
      <c r="Q1208" s="336"/>
      <c r="R1208" s="336"/>
      <c r="S1208" s="336"/>
      <c r="T1208" s="336"/>
      <c r="U1208" s="337"/>
      <c r="V1208" s="336"/>
    </row>
    <row r="1209" ht="15.75" customHeight="1">
      <c r="A1209" s="336"/>
      <c r="B1209" s="336"/>
      <c r="C1209" s="336"/>
      <c r="D1209" s="336"/>
      <c r="E1209" s="336"/>
      <c r="F1209" s="336"/>
      <c r="G1209" s="336"/>
      <c r="H1209" s="336"/>
      <c r="I1209" s="336"/>
      <c r="J1209" s="336"/>
      <c r="K1209" s="336"/>
      <c r="L1209" s="336"/>
      <c r="M1209" s="336"/>
      <c r="N1209" s="336"/>
      <c r="O1209" s="336"/>
      <c r="P1209" s="336"/>
      <c r="Q1209" s="336"/>
      <c r="R1209" s="336"/>
      <c r="S1209" s="336"/>
      <c r="T1209" s="336"/>
      <c r="U1209" s="337"/>
      <c r="V1209" s="336"/>
    </row>
    <row r="1210" ht="15.75" customHeight="1">
      <c r="A1210" s="336"/>
      <c r="B1210" s="336"/>
      <c r="C1210" s="336"/>
      <c r="D1210" s="336"/>
      <c r="E1210" s="336"/>
      <c r="F1210" s="336"/>
      <c r="G1210" s="336"/>
      <c r="H1210" s="336"/>
      <c r="I1210" s="336"/>
      <c r="J1210" s="336"/>
      <c r="K1210" s="336"/>
      <c r="L1210" s="336"/>
      <c r="M1210" s="336"/>
      <c r="N1210" s="336"/>
      <c r="O1210" s="336"/>
      <c r="P1210" s="336"/>
      <c r="Q1210" s="336"/>
      <c r="R1210" s="336"/>
      <c r="S1210" s="336"/>
      <c r="T1210" s="336"/>
      <c r="U1210" s="337"/>
      <c r="V1210" s="336"/>
    </row>
    <row r="1211" ht="15.75" customHeight="1">
      <c r="A1211" s="336"/>
      <c r="B1211" s="336"/>
      <c r="C1211" s="336"/>
      <c r="D1211" s="336"/>
      <c r="E1211" s="336"/>
      <c r="F1211" s="336"/>
      <c r="G1211" s="336"/>
      <c r="H1211" s="336"/>
      <c r="I1211" s="336"/>
      <c r="J1211" s="336"/>
      <c r="K1211" s="336"/>
      <c r="L1211" s="336"/>
      <c r="M1211" s="336"/>
      <c r="N1211" s="336"/>
      <c r="O1211" s="336"/>
      <c r="P1211" s="336"/>
      <c r="Q1211" s="336"/>
      <c r="R1211" s="336"/>
      <c r="S1211" s="336"/>
      <c r="T1211" s="336"/>
      <c r="U1211" s="337"/>
      <c r="V1211" s="336"/>
    </row>
    <row r="1212" ht="15.75" customHeight="1">
      <c r="A1212" s="336"/>
      <c r="B1212" s="336"/>
      <c r="C1212" s="336"/>
      <c r="D1212" s="336"/>
      <c r="E1212" s="336"/>
      <c r="F1212" s="336"/>
      <c r="G1212" s="336"/>
      <c r="H1212" s="336"/>
      <c r="I1212" s="336"/>
      <c r="J1212" s="336"/>
      <c r="K1212" s="336"/>
      <c r="L1212" s="336"/>
      <c r="M1212" s="336"/>
      <c r="N1212" s="336"/>
      <c r="O1212" s="336"/>
      <c r="P1212" s="336"/>
      <c r="Q1212" s="336"/>
      <c r="R1212" s="336"/>
      <c r="S1212" s="336"/>
      <c r="T1212" s="336"/>
      <c r="U1212" s="337"/>
      <c r="V1212" s="336"/>
    </row>
    <row r="1213" ht="15.75" customHeight="1">
      <c r="A1213" s="336"/>
      <c r="B1213" s="336"/>
      <c r="C1213" s="336"/>
      <c r="D1213" s="336"/>
      <c r="E1213" s="336"/>
      <c r="F1213" s="336"/>
      <c r="G1213" s="336"/>
      <c r="H1213" s="336"/>
      <c r="I1213" s="336"/>
      <c r="J1213" s="336"/>
      <c r="K1213" s="336"/>
      <c r="L1213" s="336"/>
      <c r="M1213" s="336"/>
      <c r="N1213" s="336"/>
      <c r="O1213" s="336"/>
      <c r="P1213" s="336"/>
      <c r="Q1213" s="336"/>
      <c r="R1213" s="336"/>
      <c r="S1213" s="336"/>
      <c r="T1213" s="336"/>
      <c r="U1213" s="337"/>
      <c r="V1213" s="336"/>
    </row>
    <row r="1214" ht="15.75" customHeight="1">
      <c r="A1214" s="336"/>
      <c r="B1214" s="336"/>
      <c r="C1214" s="336"/>
      <c r="D1214" s="336"/>
      <c r="E1214" s="336"/>
      <c r="F1214" s="336"/>
      <c r="G1214" s="336"/>
      <c r="H1214" s="336"/>
      <c r="I1214" s="336"/>
      <c r="J1214" s="336"/>
      <c r="K1214" s="336"/>
      <c r="L1214" s="336"/>
      <c r="M1214" s="336"/>
      <c r="N1214" s="336"/>
      <c r="O1214" s="336"/>
      <c r="P1214" s="336"/>
      <c r="Q1214" s="336"/>
      <c r="R1214" s="336"/>
      <c r="S1214" s="336"/>
      <c r="T1214" s="336"/>
      <c r="U1214" s="337"/>
      <c r="V1214" s="336"/>
    </row>
    <row r="1215" ht="15.75" customHeight="1">
      <c r="A1215" s="336"/>
      <c r="B1215" s="336"/>
      <c r="C1215" s="336"/>
      <c r="D1215" s="336"/>
      <c r="E1215" s="336"/>
      <c r="F1215" s="336"/>
      <c r="G1215" s="336"/>
      <c r="H1215" s="336"/>
      <c r="I1215" s="336"/>
      <c r="J1215" s="336"/>
      <c r="K1215" s="336"/>
      <c r="L1215" s="336"/>
      <c r="M1215" s="336"/>
      <c r="N1215" s="336"/>
      <c r="O1215" s="336"/>
      <c r="P1215" s="336"/>
      <c r="Q1215" s="336"/>
      <c r="R1215" s="336"/>
      <c r="S1215" s="336"/>
      <c r="T1215" s="336"/>
      <c r="U1215" s="337"/>
      <c r="V1215" s="336"/>
    </row>
    <row r="1216" ht="15.75" customHeight="1">
      <c r="A1216" s="336"/>
      <c r="B1216" s="336"/>
      <c r="C1216" s="336"/>
      <c r="D1216" s="336"/>
      <c r="E1216" s="336"/>
      <c r="F1216" s="336"/>
      <c r="G1216" s="336"/>
      <c r="H1216" s="336"/>
      <c r="I1216" s="336"/>
      <c r="J1216" s="336"/>
      <c r="K1216" s="336"/>
      <c r="L1216" s="336"/>
      <c r="M1216" s="336"/>
      <c r="N1216" s="336"/>
      <c r="O1216" s="336"/>
      <c r="P1216" s="336"/>
      <c r="Q1216" s="336"/>
      <c r="R1216" s="336"/>
      <c r="S1216" s="336"/>
      <c r="T1216" s="336"/>
      <c r="U1216" s="337"/>
      <c r="V1216" s="336"/>
    </row>
    <row r="1217" ht="15.75" customHeight="1">
      <c r="A1217" s="336"/>
      <c r="B1217" s="336"/>
      <c r="C1217" s="336"/>
      <c r="D1217" s="336"/>
      <c r="E1217" s="336"/>
      <c r="F1217" s="336"/>
      <c r="G1217" s="336"/>
      <c r="H1217" s="336"/>
      <c r="I1217" s="336"/>
      <c r="J1217" s="336"/>
      <c r="K1217" s="336"/>
      <c r="L1217" s="336"/>
      <c r="M1217" s="336"/>
      <c r="N1217" s="336"/>
      <c r="O1217" s="336"/>
      <c r="P1217" s="336"/>
      <c r="Q1217" s="336"/>
      <c r="R1217" s="336"/>
      <c r="S1217" s="336"/>
      <c r="T1217" s="336"/>
      <c r="U1217" s="337"/>
      <c r="V1217" s="336"/>
    </row>
    <row r="1218" ht="15.75" customHeight="1">
      <c r="A1218" s="336"/>
      <c r="B1218" s="336"/>
      <c r="C1218" s="336"/>
      <c r="D1218" s="336"/>
      <c r="E1218" s="336"/>
      <c r="F1218" s="336"/>
      <c r="G1218" s="336"/>
      <c r="H1218" s="336"/>
      <c r="I1218" s="336"/>
      <c r="J1218" s="336"/>
      <c r="K1218" s="336"/>
      <c r="L1218" s="336"/>
      <c r="M1218" s="336"/>
      <c r="N1218" s="336"/>
      <c r="O1218" s="336"/>
      <c r="P1218" s="336"/>
      <c r="Q1218" s="336"/>
      <c r="R1218" s="336"/>
      <c r="S1218" s="336"/>
      <c r="T1218" s="336"/>
      <c r="U1218" s="337"/>
      <c r="V1218" s="336"/>
    </row>
    <row r="1219" ht="15.75" customHeight="1">
      <c r="A1219" s="336"/>
      <c r="B1219" s="336"/>
      <c r="C1219" s="336"/>
      <c r="D1219" s="336"/>
      <c r="E1219" s="336"/>
      <c r="F1219" s="336"/>
      <c r="G1219" s="336"/>
      <c r="H1219" s="336"/>
      <c r="I1219" s="336"/>
      <c r="J1219" s="336"/>
      <c r="K1219" s="336"/>
      <c r="L1219" s="336"/>
      <c r="M1219" s="336"/>
      <c r="N1219" s="336"/>
      <c r="O1219" s="336"/>
      <c r="P1219" s="336"/>
      <c r="Q1219" s="336"/>
      <c r="R1219" s="336"/>
      <c r="S1219" s="336"/>
      <c r="T1219" s="336"/>
      <c r="U1219" s="337"/>
      <c r="V1219" s="336"/>
    </row>
    <row r="1220" ht="15.75" customHeight="1">
      <c r="A1220" s="336"/>
      <c r="B1220" s="336"/>
      <c r="C1220" s="336"/>
      <c r="D1220" s="336"/>
      <c r="E1220" s="336"/>
      <c r="F1220" s="336"/>
      <c r="G1220" s="336"/>
      <c r="H1220" s="336"/>
      <c r="I1220" s="336"/>
      <c r="J1220" s="336"/>
      <c r="K1220" s="336"/>
      <c r="L1220" s="336"/>
      <c r="M1220" s="336"/>
      <c r="N1220" s="336"/>
      <c r="O1220" s="336"/>
      <c r="P1220" s="336"/>
      <c r="Q1220" s="336"/>
      <c r="R1220" s="336"/>
      <c r="S1220" s="336"/>
      <c r="T1220" s="336"/>
      <c r="U1220" s="337"/>
      <c r="V1220" s="336"/>
    </row>
    <row r="1221" ht="15.75" customHeight="1">
      <c r="A1221" s="336"/>
      <c r="B1221" s="336"/>
      <c r="C1221" s="336"/>
      <c r="D1221" s="336"/>
      <c r="E1221" s="336"/>
      <c r="F1221" s="336"/>
      <c r="G1221" s="336"/>
      <c r="H1221" s="336"/>
      <c r="I1221" s="336"/>
      <c r="J1221" s="336"/>
      <c r="K1221" s="336"/>
      <c r="L1221" s="336"/>
      <c r="M1221" s="336"/>
      <c r="N1221" s="336"/>
      <c r="O1221" s="336"/>
      <c r="P1221" s="336"/>
      <c r="Q1221" s="336"/>
      <c r="R1221" s="336"/>
      <c r="S1221" s="336"/>
      <c r="T1221" s="336"/>
      <c r="U1221" s="337"/>
      <c r="V1221" s="336"/>
    </row>
    <row r="1222" ht="15.75" customHeight="1">
      <c r="A1222" s="336"/>
      <c r="B1222" s="336"/>
      <c r="C1222" s="336"/>
      <c r="D1222" s="336"/>
      <c r="E1222" s="336"/>
      <c r="F1222" s="336"/>
      <c r="G1222" s="336"/>
      <c r="H1222" s="336"/>
      <c r="I1222" s="336"/>
      <c r="J1222" s="336"/>
      <c r="K1222" s="336"/>
      <c r="L1222" s="336"/>
      <c r="M1222" s="336"/>
      <c r="N1222" s="336"/>
      <c r="O1222" s="336"/>
      <c r="P1222" s="336"/>
      <c r="Q1222" s="336"/>
      <c r="R1222" s="336"/>
      <c r="S1222" s="336"/>
      <c r="T1222" s="336"/>
      <c r="U1222" s="337"/>
      <c r="V1222" s="336"/>
    </row>
    <row r="1223" ht="15.75" customHeight="1">
      <c r="A1223" s="336"/>
      <c r="B1223" s="336"/>
      <c r="C1223" s="336"/>
      <c r="D1223" s="336"/>
      <c r="E1223" s="336"/>
      <c r="F1223" s="336"/>
      <c r="G1223" s="336"/>
      <c r="H1223" s="336"/>
      <c r="I1223" s="336"/>
      <c r="J1223" s="336"/>
      <c r="K1223" s="336"/>
      <c r="L1223" s="336"/>
      <c r="M1223" s="336"/>
      <c r="N1223" s="336"/>
      <c r="O1223" s="336"/>
      <c r="P1223" s="336"/>
      <c r="Q1223" s="336"/>
      <c r="R1223" s="336"/>
      <c r="S1223" s="336"/>
      <c r="T1223" s="336"/>
      <c r="U1223" s="337"/>
      <c r="V1223" s="336"/>
    </row>
    <row r="1224" ht="15.75" customHeight="1">
      <c r="A1224" s="336"/>
      <c r="B1224" s="336"/>
      <c r="C1224" s="336"/>
      <c r="D1224" s="336"/>
      <c r="E1224" s="336"/>
      <c r="F1224" s="336"/>
      <c r="G1224" s="336"/>
      <c r="H1224" s="336"/>
      <c r="I1224" s="336"/>
      <c r="J1224" s="336"/>
      <c r="K1224" s="336"/>
      <c r="L1224" s="336"/>
      <c r="M1224" s="336"/>
      <c r="N1224" s="336"/>
      <c r="O1224" s="336"/>
      <c r="P1224" s="336"/>
      <c r="Q1224" s="336"/>
      <c r="R1224" s="336"/>
      <c r="S1224" s="336"/>
      <c r="T1224" s="336"/>
      <c r="U1224" s="337"/>
      <c r="V1224" s="336"/>
    </row>
    <row r="1225" ht="15.75" customHeight="1">
      <c r="A1225" s="336"/>
      <c r="B1225" s="336"/>
      <c r="C1225" s="336"/>
      <c r="D1225" s="336"/>
      <c r="E1225" s="336"/>
      <c r="F1225" s="336"/>
      <c r="G1225" s="336"/>
      <c r="H1225" s="336"/>
      <c r="I1225" s="336"/>
      <c r="J1225" s="336"/>
      <c r="K1225" s="336"/>
      <c r="L1225" s="336"/>
      <c r="M1225" s="336"/>
      <c r="N1225" s="336"/>
      <c r="O1225" s="336"/>
      <c r="P1225" s="336"/>
      <c r="Q1225" s="336"/>
      <c r="R1225" s="336"/>
      <c r="S1225" s="336"/>
      <c r="T1225" s="336"/>
      <c r="U1225" s="337"/>
      <c r="V1225" s="336"/>
    </row>
    <row r="1226" ht="15.75" customHeight="1">
      <c r="A1226" s="336"/>
      <c r="B1226" s="336"/>
      <c r="C1226" s="336"/>
      <c r="D1226" s="336"/>
      <c r="E1226" s="336"/>
      <c r="F1226" s="336"/>
      <c r="G1226" s="336"/>
      <c r="H1226" s="336"/>
      <c r="I1226" s="336"/>
      <c r="J1226" s="336"/>
      <c r="K1226" s="336"/>
      <c r="L1226" s="336"/>
      <c r="M1226" s="336"/>
      <c r="N1226" s="336"/>
      <c r="O1226" s="336"/>
      <c r="P1226" s="336"/>
      <c r="Q1226" s="336"/>
      <c r="R1226" s="336"/>
      <c r="S1226" s="336"/>
      <c r="T1226" s="336"/>
      <c r="U1226" s="337"/>
      <c r="V1226" s="336"/>
    </row>
    <row r="1227" ht="15.75" customHeight="1">
      <c r="A1227" s="336"/>
      <c r="B1227" s="336"/>
      <c r="C1227" s="336"/>
      <c r="D1227" s="336"/>
      <c r="E1227" s="336"/>
      <c r="F1227" s="336"/>
      <c r="G1227" s="336"/>
      <c r="H1227" s="336"/>
      <c r="I1227" s="336"/>
      <c r="J1227" s="336"/>
      <c r="K1227" s="336"/>
      <c r="L1227" s="336"/>
      <c r="M1227" s="336"/>
      <c r="N1227" s="336"/>
      <c r="O1227" s="336"/>
      <c r="P1227" s="336"/>
      <c r="Q1227" s="336"/>
      <c r="R1227" s="336"/>
      <c r="S1227" s="336"/>
      <c r="T1227" s="336"/>
      <c r="U1227" s="337"/>
      <c r="V1227" s="336"/>
    </row>
    <row r="1228" ht="15.75" customHeight="1">
      <c r="A1228" s="336"/>
      <c r="B1228" s="336"/>
      <c r="C1228" s="336"/>
      <c r="D1228" s="336"/>
      <c r="E1228" s="336"/>
      <c r="F1228" s="336"/>
      <c r="G1228" s="336"/>
      <c r="H1228" s="336"/>
      <c r="I1228" s="336"/>
      <c r="J1228" s="336"/>
      <c r="K1228" s="336"/>
      <c r="L1228" s="336"/>
      <c r="M1228" s="336"/>
      <c r="N1228" s="336"/>
      <c r="O1228" s="336"/>
      <c r="P1228" s="336"/>
      <c r="Q1228" s="336"/>
      <c r="R1228" s="336"/>
      <c r="S1228" s="336"/>
      <c r="T1228" s="336"/>
      <c r="U1228" s="337"/>
      <c r="V1228" s="336"/>
    </row>
    <row r="1229" ht="15.75" customHeight="1">
      <c r="A1229" s="336"/>
      <c r="B1229" s="336"/>
      <c r="C1229" s="336"/>
      <c r="D1229" s="336"/>
      <c r="E1229" s="336"/>
      <c r="F1229" s="336"/>
      <c r="G1229" s="336"/>
      <c r="H1229" s="336"/>
      <c r="I1229" s="336"/>
      <c r="J1229" s="336"/>
      <c r="K1229" s="336"/>
      <c r="L1229" s="336"/>
      <c r="M1229" s="336"/>
      <c r="N1229" s="336"/>
      <c r="O1229" s="336"/>
      <c r="P1229" s="336"/>
      <c r="Q1229" s="336"/>
      <c r="R1229" s="336"/>
      <c r="S1229" s="336"/>
      <c r="T1229" s="336"/>
      <c r="U1229" s="337"/>
      <c r="V1229" s="336"/>
    </row>
    <row r="1230" ht="15.75" customHeight="1">
      <c r="A1230" s="336"/>
      <c r="B1230" s="336"/>
      <c r="C1230" s="336"/>
      <c r="D1230" s="336"/>
      <c r="E1230" s="336"/>
      <c r="F1230" s="336"/>
      <c r="G1230" s="336"/>
      <c r="H1230" s="336"/>
      <c r="I1230" s="336"/>
      <c r="J1230" s="336"/>
      <c r="K1230" s="336"/>
      <c r="L1230" s="336"/>
      <c r="M1230" s="336"/>
      <c r="N1230" s="336"/>
      <c r="O1230" s="336"/>
      <c r="P1230" s="336"/>
      <c r="Q1230" s="336"/>
      <c r="R1230" s="336"/>
      <c r="S1230" s="336"/>
      <c r="T1230" s="336"/>
      <c r="U1230" s="337"/>
      <c r="V1230" s="336"/>
    </row>
    <row r="1231" ht="15.75" customHeight="1">
      <c r="A1231" s="336"/>
      <c r="B1231" s="336"/>
      <c r="C1231" s="336"/>
      <c r="D1231" s="336"/>
      <c r="E1231" s="336"/>
      <c r="F1231" s="336"/>
      <c r="G1231" s="336"/>
      <c r="H1231" s="336"/>
      <c r="I1231" s="336"/>
      <c r="J1231" s="336"/>
      <c r="K1231" s="336"/>
      <c r="L1231" s="336"/>
      <c r="M1231" s="336"/>
      <c r="N1231" s="336"/>
      <c r="O1231" s="336"/>
      <c r="P1231" s="336"/>
      <c r="Q1231" s="336"/>
      <c r="R1231" s="336"/>
      <c r="S1231" s="336"/>
      <c r="T1231" s="336"/>
      <c r="U1231" s="337"/>
      <c r="V1231" s="336"/>
    </row>
    <row r="1232" ht="15.75" customHeight="1">
      <c r="A1232" s="336"/>
      <c r="B1232" s="336"/>
      <c r="C1232" s="336"/>
      <c r="D1232" s="336"/>
      <c r="E1232" s="336"/>
      <c r="F1232" s="336"/>
      <c r="G1232" s="336"/>
      <c r="H1232" s="336"/>
      <c r="I1232" s="336"/>
      <c r="J1232" s="336"/>
      <c r="K1232" s="336"/>
      <c r="L1232" s="336"/>
      <c r="M1232" s="336"/>
      <c r="N1232" s="336"/>
      <c r="O1232" s="336"/>
      <c r="P1232" s="336"/>
      <c r="Q1232" s="336"/>
      <c r="R1232" s="336"/>
      <c r="S1232" s="336"/>
      <c r="T1232" s="336"/>
      <c r="U1232" s="337"/>
      <c r="V1232" s="336"/>
    </row>
    <row r="1233" ht="15.75" customHeight="1">
      <c r="A1233" s="336"/>
      <c r="B1233" s="336"/>
      <c r="C1233" s="336"/>
      <c r="D1233" s="336"/>
      <c r="E1233" s="336"/>
      <c r="F1233" s="336"/>
      <c r="G1233" s="336"/>
      <c r="H1233" s="336"/>
      <c r="I1233" s="336"/>
      <c r="J1233" s="336"/>
      <c r="K1233" s="336"/>
      <c r="L1233" s="336"/>
      <c r="M1233" s="336"/>
      <c r="N1233" s="336"/>
      <c r="O1233" s="336"/>
      <c r="P1233" s="336"/>
      <c r="Q1233" s="336"/>
      <c r="R1233" s="336"/>
      <c r="S1233" s="336"/>
      <c r="T1233" s="336"/>
      <c r="U1233" s="337"/>
      <c r="V1233" s="336"/>
    </row>
    <row r="1234" ht="15.75" customHeight="1">
      <c r="A1234" s="336"/>
      <c r="B1234" s="336"/>
      <c r="C1234" s="336"/>
      <c r="D1234" s="336"/>
      <c r="E1234" s="336"/>
      <c r="F1234" s="336"/>
      <c r="G1234" s="336"/>
      <c r="H1234" s="336"/>
      <c r="I1234" s="336"/>
      <c r="J1234" s="336"/>
      <c r="K1234" s="336"/>
      <c r="L1234" s="336"/>
      <c r="M1234" s="336"/>
      <c r="N1234" s="336"/>
      <c r="O1234" s="336"/>
      <c r="P1234" s="336"/>
      <c r="Q1234" s="336"/>
      <c r="R1234" s="336"/>
      <c r="S1234" s="336"/>
      <c r="T1234" s="336"/>
      <c r="U1234" s="337"/>
      <c r="V1234" s="336"/>
    </row>
    <row r="1235" ht="15.75" customHeight="1">
      <c r="A1235" s="336"/>
      <c r="B1235" s="336"/>
      <c r="C1235" s="336"/>
      <c r="D1235" s="336"/>
      <c r="E1235" s="336"/>
      <c r="F1235" s="336"/>
      <c r="G1235" s="336"/>
      <c r="H1235" s="336"/>
      <c r="I1235" s="336"/>
      <c r="J1235" s="336"/>
      <c r="K1235" s="336"/>
      <c r="L1235" s="336"/>
      <c r="M1235" s="336"/>
      <c r="N1235" s="336"/>
      <c r="O1235" s="336"/>
      <c r="P1235" s="336"/>
      <c r="Q1235" s="336"/>
      <c r="R1235" s="336"/>
      <c r="S1235" s="336"/>
      <c r="T1235" s="336"/>
      <c r="U1235" s="337"/>
      <c r="V1235" s="336"/>
    </row>
    <row r="1236" ht="15.75" customHeight="1">
      <c r="A1236" s="336"/>
      <c r="B1236" s="336"/>
      <c r="C1236" s="336"/>
      <c r="D1236" s="336"/>
      <c r="E1236" s="336"/>
      <c r="F1236" s="336"/>
      <c r="G1236" s="336"/>
      <c r="H1236" s="336"/>
      <c r="I1236" s="336"/>
      <c r="J1236" s="336"/>
      <c r="K1236" s="336"/>
      <c r="L1236" s="336"/>
      <c r="M1236" s="336"/>
      <c r="N1236" s="336"/>
      <c r="O1236" s="336"/>
      <c r="P1236" s="336"/>
      <c r="Q1236" s="336"/>
      <c r="R1236" s="336"/>
      <c r="S1236" s="336"/>
      <c r="T1236" s="336"/>
      <c r="U1236" s="337"/>
      <c r="V1236" s="336"/>
    </row>
    <row r="1237" ht="15.75" customHeight="1">
      <c r="A1237" s="336"/>
      <c r="B1237" s="336"/>
      <c r="C1237" s="336"/>
      <c r="D1237" s="336"/>
      <c r="E1237" s="336"/>
      <c r="F1237" s="336"/>
      <c r="G1237" s="336"/>
      <c r="H1237" s="336"/>
      <c r="I1237" s="336"/>
      <c r="J1237" s="336"/>
      <c r="K1237" s="336"/>
      <c r="L1237" s="336"/>
      <c r="M1237" s="336"/>
      <c r="N1237" s="336"/>
      <c r="O1237" s="336"/>
      <c r="P1237" s="336"/>
      <c r="Q1237" s="336"/>
      <c r="R1237" s="336"/>
      <c r="S1237" s="336"/>
      <c r="T1237" s="336"/>
      <c r="U1237" s="337"/>
      <c r="V1237" s="336"/>
    </row>
    <row r="1238" ht="15.75" customHeight="1">
      <c r="A1238" s="336"/>
      <c r="B1238" s="336"/>
      <c r="C1238" s="336"/>
      <c r="D1238" s="336"/>
      <c r="E1238" s="336"/>
      <c r="F1238" s="336"/>
      <c r="G1238" s="336"/>
      <c r="H1238" s="336"/>
      <c r="I1238" s="336"/>
      <c r="J1238" s="336"/>
      <c r="K1238" s="336"/>
      <c r="L1238" s="336"/>
      <c r="M1238" s="336"/>
      <c r="N1238" s="336"/>
      <c r="O1238" s="336"/>
      <c r="P1238" s="336"/>
      <c r="Q1238" s="336"/>
      <c r="R1238" s="336"/>
      <c r="S1238" s="336"/>
      <c r="T1238" s="336"/>
      <c r="U1238" s="337"/>
      <c r="V1238" s="336"/>
    </row>
    <row r="1239" ht="15.75" customHeight="1">
      <c r="A1239" s="336"/>
      <c r="B1239" s="336"/>
      <c r="C1239" s="336"/>
      <c r="D1239" s="336"/>
      <c r="E1239" s="336"/>
      <c r="F1239" s="336"/>
      <c r="G1239" s="336"/>
      <c r="H1239" s="336"/>
      <c r="I1239" s="336"/>
      <c r="J1239" s="336"/>
      <c r="K1239" s="336"/>
      <c r="L1239" s="336"/>
      <c r="M1239" s="336"/>
      <c r="N1239" s="336"/>
      <c r="O1239" s="336"/>
      <c r="P1239" s="336"/>
      <c r="Q1239" s="336"/>
      <c r="R1239" s="336"/>
      <c r="S1239" s="336"/>
      <c r="T1239" s="336"/>
      <c r="U1239" s="337"/>
      <c r="V1239" s="336"/>
    </row>
    <row r="1240" ht="15.75" customHeight="1">
      <c r="A1240" s="336"/>
      <c r="B1240" s="336"/>
      <c r="C1240" s="336"/>
      <c r="D1240" s="336"/>
      <c r="E1240" s="336"/>
      <c r="F1240" s="336"/>
      <c r="G1240" s="336"/>
      <c r="H1240" s="336"/>
      <c r="I1240" s="336"/>
      <c r="J1240" s="336"/>
      <c r="K1240" s="336"/>
      <c r="L1240" s="336"/>
      <c r="M1240" s="336"/>
      <c r="N1240" s="336"/>
      <c r="O1240" s="336"/>
      <c r="P1240" s="336"/>
      <c r="Q1240" s="336"/>
      <c r="R1240" s="336"/>
      <c r="S1240" s="336"/>
      <c r="T1240" s="336"/>
      <c r="U1240" s="337"/>
      <c r="V1240" s="336"/>
    </row>
    <row r="1241" ht="15.75" customHeight="1">
      <c r="A1241" s="336"/>
      <c r="B1241" s="336"/>
      <c r="C1241" s="336"/>
      <c r="D1241" s="336"/>
      <c r="E1241" s="336"/>
      <c r="F1241" s="336"/>
      <c r="G1241" s="336"/>
      <c r="H1241" s="336"/>
      <c r="I1241" s="336"/>
      <c r="J1241" s="336"/>
      <c r="K1241" s="336"/>
      <c r="L1241" s="336"/>
      <c r="M1241" s="336"/>
      <c r="N1241" s="336"/>
      <c r="O1241" s="336"/>
      <c r="P1241" s="336"/>
      <c r="Q1241" s="336"/>
      <c r="R1241" s="336"/>
      <c r="S1241" s="336"/>
      <c r="T1241" s="336"/>
      <c r="U1241" s="337"/>
      <c r="V1241" s="336"/>
    </row>
    <row r="1242" ht="15.75" customHeight="1">
      <c r="A1242" s="336"/>
      <c r="B1242" s="336"/>
      <c r="C1242" s="336"/>
      <c r="D1242" s="336"/>
      <c r="E1242" s="336"/>
      <c r="F1242" s="336"/>
      <c r="G1242" s="336"/>
      <c r="H1242" s="336"/>
      <c r="I1242" s="336"/>
      <c r="J1242" s="336"/>
      <c r="K1242" s="336"/>
      <c r="L1242" s="336"/>
      <c r="M1242" s="336"/>
      <c r="N1242" s="336"/>
      <c r="O1242" s="336"/>
      <c r="P1242" s="336"/>
      <c r="Q1242" s="336"/>
      <c r="R1242" s="336"/>
      <c r="S1242" s="336"/>
      <c r="T1242" s="336"/>
      <c r="U1242" s="337"/>
      <c r="V1242" s="336"/>
    </row>
    <row r="1243" ht="15.75" customHeight="1">
      <c r="A1243" s="336"/>
      <c r="B1243" s="336"/>
      <c r="C1243" s="336"/>
      <c r="D1243" s="336"/>
      <c r="E1243" s="336"/>
      <c r="F1243" s="336"/>
      <c r="G1243" s="336"/>
      <c r="H1243" s="336"/>
      <c r="I1243" s="336"/>
      <c r="J1243" s="336"/>
      <c r="K1243" s="336"/>
      <c r="L1243" s="336"/>
      <c r="M1243" s="336"/>
      <c r="N1243" s="336"/>
      <c r="O1243" s="336"/>
      <c r="P1243" s="336"/>
      <c r="Q1243" s="336"/>
      <c r="R1243" s="336"/>
      <c r="S1243" s="336"/>
      <c r="T1243" s="336"/>
      <c r="U1243" s="337"/>
      <c r="V1243" s="336"/>
    </row>
    <row r="1244" ht="15.75" customHeight="1">
      <c r="A1244" s="336"/>
      <c r="B1244" s="336"/>
      <c r="C1244" s="336"/>
      <c r="D1244" s="336"/>
      <c r="E1244" s="336"/>
      <c r="F1244" s="336"/>
      <c r="G1244" s="336"/>
      <c r="H1244" s="336"/>
      <c r="I1244" s="336"/>
      <c r="J1244" s="336"/>
      <c r="K1244" s="336"/>
      <c r="L1244" s="336"/>
      <c r="M1244" s="336"/>
      <c r="N1244" s="336"/>
      <c r="O1244" s="336"/>
      <c r="P1244" s="336"/>
      <c r="Q1244" s="336"/>
      <c r="R1244" s="336"/>
      <c r="S1244" s="336"/>
      <c r="T1244" s="336"/>
      <c r="U1244" s="337"/>
      <c r="V1244" s="336"/>
    </row>
    <row r="1245" ht="15.75" customHeight="1">
      <c r="A1245" s="336"/>
      <c r="B1245" s="336"/>
      <c r="C1245" s="336"/>
      <c r="D1245" s="336"/>
      <c r="E1245" s="336"/>
      <c r="F1245" s="336"/>
      <c r="G1245" s="336"/>
      <c r="H1245" s="336"/>
      <c r="I1245" s="336"/>
      <c r="J1245" s="336"/>
      <c r="K1245" s="336"/>
      <c r="L1245" s="336"/>
      <c r="M1245" s="336"/>
      <c r="N1245" s="336"/>
      <c r="O1245" s="336"/>
      <c r="P1245" s="336"/>
      <c r="Q1245" s="336"/>
      <c r="R1245" s="336"/>
      <c r="S1245" s="336"/>
      <c r="T1245" s="336"/>
      <c r="U1245" s="337"/>
      <c r="V1245" s="336"/>
    </row>
    <row r="1246" ht="15.75" customHeight="1">
      <c r="A1246" s="336"/>
      <c r="B1246" s="336"/>
      <c r="C1246" s="336"/>
      <c r="D1246" s="336"/>
      <c r="E1246" s="336"/>
      <c r="F1246" s="336"/>
      <c r="G1246" s="336"/>
      <c r="H1246" s="336"/>
      <c r="I1246" s="336"/>
      <c r="J1246" s="336"/>
      <c r="K1246" s="336"/>
      <c r="L1246" s="336"/>
      <c r="M1246" s="336"/>
      <c r="N1246" s="336"/>
      <c r="O1246" s="336"/>
      <c r="P1246" s="336"/>
      <c r="Q1246" s="336"/>
      <c r="R1246" s="336"/>
      <c r="S1246" s="336"/>
      <c r="T1246" s="336"/>
      <c r="U1246" s="337"/>
      <c r="V1246" s="336"/>
    </row>
    <row r="1247" ht="15.75" customHeight="1">
      <c r="A1247" s="336"/>
      <c r="B1247" s="336"/>
      <c r="C1247" s="336"/>
      <c r="D1247" s="336"/>
      <c r="E1247" s="336"/>
      <c r="F1247" s="336"/>
      <c r="G1247" s="336"/>
      <c r="H1247" s="336"/>
      <c r="I1247" s="336"/>
      <c r="J1247" s="336"/>
      <c r="K1247" s="336"/>
      <c r="L1247" s="336"/>
      <c r="M1247" s="336"/>
      <c r="N1247" s="336"/>
      <c r="O1247" s="336"/>
      <c r="P1247" s="336"/>
      <c r="Q1247" s="336"/>
      <c r="R1247" s="336"/>
      <c r="S1247" s="336"/>
      <c r="T1247" s="336"/>
      <c r="U1247" s="337"/>
      <c r="V1247" s="336"/>
    </row>
    <row r="1248" ht="15.75" customHeight="1">
      <c r="A1248" s="336"/>
      <c r="B1248" s="336"/>
      <c r="C1248" s="336"/>
      <c r="D1248" s="336"/>
      <c r="E1248" s="336"/>
      <c r="F1248" s="336"/>
      <c r="G1248" s="336"/>
      <c r="H1248" s="336"/>
      <c r="I1248" s="336"/>
      <c r="J1248" s="336"/>
      <c r="K1248" s="336"/>
      <c r="L1248" s="336"/>
      <c r="M1248" s="336"/>
      <c r="N1248" s="336"/>
      <c r="O1248" s="336"/>
      <c r="P1248" s="336"/>
      <c r="Q1248" s="336"/>
      <c r="R1248" s="336"/>
      <c r="S1248" s="336"/>
      <c r="T1248" s="336"/>
      <c r="U1248" s="337"/>
      <c r="V1248" s="336"/>
    </row>
    <row r="1249" ht="15.75" customHeight="1">
      <c r="A1249" s="336"/>
      <c r="B1249" s="336"/>
      <c r="C1249" s="336"/>
      <c r="D1249" s="336"/>
      <c r="E1249" s="336"/>
      <c r="F1249" s="336"/>
      <c r="G1249" s="336"/>
      <c r="H1249" s="336"/>
      <c r="I1249" s="336"/>
      <c r="J1249" s="336"/>
      <c r="K1249" s="336"/>
      <c r="L1249" s="336"/>
      <c r="M1249" s="336"/>
      <c r="N1249" s="336"/>
      <c r="O1249" s="336"/>
      <c r="P1249" s="336"/>
      <c r="Q1249" s="336"/>
      <c r="R1249" s="336"/>
      <c r="S1249" s="336"/>
      <c r="T1249" s="336"/>
      <c r="U1249" s="337"/>
      <c r="V1249" s="336"/>
    </row>
    <row r="1250" ht="15.75" customHeight="1">
      <c r="A1250" s="336"/>
      <c r="B1250" s="336"/>
      <c r="C1250" s="336"/>
      <c r="D1250" s="336"/>
      <c r="E1250" s="336"/>
      <c r="F1250" s="336"/>
      <c r="G1250" s="336"/>
      <c r="H1250" s="336"/>
      <c r="I1250" s="336"/>
      <c r="J1250" s="336"/>
      <c r="K1250" s="336"/>
      <c r="L1250" s="336"/>
      <c r="M1250" s="336"/>
      <c r="N1250" s="336"/>
      <c r="O1250" s="336"/>
      <c r="P1250" s="336"/>
      <c r="Q1250" s="336"/>
      <c r="R1250" s="336"/>
      <c r="S1250" s="336"/>
      <c r="T1250" s="336"/>
      <c r="U1250" s="337"/>
      <c r="V1250" s="336"/>
    </row>
    <row r="1251" ht="15.75" customHeight="1">
      <c r="A1251" s="336"/>
      <c r="B1251" s="336"/>
      <c r="C1251" s="336"/>
      <c r="D1251" s="336"/>
      <c r="E1251" s="336"/>
      <c r="F1251" s="336"/>
      <c r="G1251" s="336"/>
      <c r="H1251" s="336"/>
      <c r="I1251" s="336"/>
      <c r="J1251" s="336"/>
      <c r="K1251" s="336"/>
      <c r="L1251" s="336"/>
      <c r="M1251" s="336"/>
      <c r="N1251" s="336"/>
      <c r="O1251" s="336"/>
      <c r="P1251" s="336"/>
      <c r="Q1251" s="336"/>
      <c r="R1251" s="336"/>
      <c r="S1251" s="336"/>
      <c r="T1251" s="336"/>
      <c r="U1251" s="337"/>
      <c r="V1251" s="336"/>
    </row>
    <row r="1252" ht="15.75" customHeight="1">
      <c r="A1252" s="336"/>
      <c r="B1252" s="336"/>
      <c r="C1252" s="336"/>
      <c r="D1252" s="336"/>
      <c r="E1252" s="336"/>
      <c r="F1252" s="336"/>
      <c r="G1252" s="336"/>
      <c r="H1252" s="336"/>
      <c r="I1252" s="336"/>
      <c r="J1252" s="336"/>
      <c r="K1252" s="336"/>
      <c r="L1252" s="336"/>
      <c r="M1252" s="336"/>
      <c r="N1252" s="336"/>
      <c r="O1252" s="336"/>
      <c r="P1252" s="336"/>
      <c r="Q1252" s="336"/>
      <c r="R1252" s="336"/>
      <c r="S1252" s="336"/>
      <c r="T1252" s="336"/>
      <c r="U1252" s="337"/>
      <c r="V1252" s="336"/>
    </row>
    <row r="1253" ht="15.75" customHeight="1">
      <c r="A1253" s="336"/>
      <c r="B1253" s="336"/>
      <c r="C1253" s="336"/>
      <c r="D1253" s="336"/>
      <c r="E1253" s="336"/>
      <c r="F1253" s="336"/>
      <c r="G1253" s="336"/>
      <c r="H1253" s="336"/>
      <c r="I1253" s="336"/>
      <c r="J1253" s="336"/>
      <c r="K1253" s="336"/>
      <c r="L1253" s="336"/>
      <c r="M1253" s="336"/>
      <c r="N1253" s="336"/>
      <c r="O1253" s="336"/>
      <c r="P1253" s="336"/>
      <c r="Q1253" s="336"/>
      <c r="R1253" s="336"/>
      <c r="S1253" s="336"/>
      <c r="T1253" s="336"/>
      <c r="U1253" s="337"/>
      <c r="V1253" s="336"/>
    </row>
    <row r="1254" ht="15.75" customHeight="1">
      <c r="A1254" s="336"/>
      <c r="B1254" s="336"/>
      <c r="C1254" s="336"/>
      <c r="D1254" s="336"/>
      <c r="E1254" s="336"/>
      <c r="F1254" s="336"/>
      <c r="G1254" s="336"/>
      <c r="H1254" s="336"/>
      <c r="I1254" s="336"/>
      <c r="J1254" s="336"/>
      <c r="K1254" s="336"/>
      <c r="L1254" s="336"/>
      <c r="M1254" s="336"/>
      <c r="N1254" s="336"/>
      <c r="O1254" s="336"/>
      <c r="P1254" s="336"/>
      <c r="Q1254" s="336"/>
      <c r="R1254" s="336"/>
      <c r="S1254" s="336"/>
      <c r="T1254" s="336"/>
      <c r="U1254" s="337"/>
      <c r="V1254" s="336"/>
    </row>
    <row r="1255" ht="15.75" customHeight="1">
      <c r="A1255" s="336"/>
      <c r="B1255" s="336"/>
      <c r="C1255" s="336"/>
      <c r="D1255" s="336"/>
      <c r="E1255" s="336"/>
      <c r="F1255" s="336"/>
      <c r="G1255" s="336"/>
      <c r="H1255" s="336"/>
      <c r="I1255" s="336"/>
      <c r="J1255" s="336"/>
      <c r="K1255" s="336"/>
      <c r="L1255" s="336"/>
      <c r="M1255" s="336"/>
      <c r="N1255" s="336"/>
      <c r="O1255" s="336"/>
      <c r="P1255" s="336"/>
      <c r="Q1255" s="336"/>
      <c r="R1255" s="336"/>
      <c r="S1255" s="336"/>
      <c r="T1255" s="336"/>
      <c r="U1255" s="337"/>
      <c r="V1255" s="336"/>
    </row>
    <row r="1256" ht="15.75" customHeight="1">
      <c r="A1256" s="336"/>
      <c r="B1256" s="336"/>
      <c r="C1256" s="336"/>
      <c r="D1256" s="336"/>
      <c r="E1256" s="336"/>
      <c r="F1256" s="336"/>
      <c r="G1256" s="336"/>
      <c r="H1256" s="336"/>
      <c r="I1256" s="336"/>
      <c r="J1256" s="336"/>
      <c r="K1256" s="336"/>
      <c r="L1256" s="336"/>
      <c r="M1256" s="336"/>
      <c r="N1256" s="336"/>
      <c r="O1256" s="336"/>
      <c r="P1256" s="336"/>
      <c r="Q1256" s="336"/>
      <c r="R1256" s="336"/>
      <c r="S1256" s="336"/>
      <c r="T1256" s="336"/>
      <c r="U1256" s="337"/>
      <c r="V1256" s="336"/>
    </row>
    <row r="1257" ht="15.75" customHeight="1">
      <c r="A1257" s="336"/>
      <c r="B1257" s="336"/>
      <c r="C1257" s="336"/>
      <c r="D1257" s="336"/>
      <c r="E1257" s="336"/>
      <c r="F1257" s="336"/>
      <c r="G1257" s="336"/>
      <c r="H1257" s="336"/>
      <c r="I1257" s="336"/>
      <c r="J1257" s="336"/>
      <c r="K1257" s="336"/>
      <c r="L1257" s="336"/>
      <c r="M1257" s="336"/>
      <c r="N1257" s="336"/>
      <c r="O1257" s="336"/>
      <c r="P1257" s="336"/>
      <c r="Q1257" s="336"/>
      <c r="R1257" s="336"/>
      <c r="S1257" s="336"/>
      <c r="T1257" s="336"/>
      <c r="U1257" s="337"/>
      <c r="V1257" s="336"/>
    </row>
    <row r="1258" ht="15.75" customHeight="1">
      <c r="A1258" s="336"/>
      <c r="B1258" s="336"/>
      <c r="C1258" s="336"/>
      <c r="D1258" s="336"/>
      <c r="E1258" s="336"/>
      <c r="F1258" s="336"/>
      <c r="G1258" s="336"/>
      <c r="H1258" s="336"/>
      <c r="I1258" s="336"/>
      <c r="J1258" s="336"/>
      <c r="K1258" s="336"/>
      <c r="L1258" s="336"/>
      <c r="M1258" s="336"/>
      <c r="N1258" s="336"/>
      <c r="O1258" s="336"/>
      <c r="P1258" s="336"/>
      <c r="Q1258" s="336"/>
      <c r="R1258" s="336"/>
      <c r="S1258" s="336"/>
      <c r="T1258" s="336"/>
      <c r="U1258" s="337"/>
      <c r="V1258" s="336"/>
    </row>
    <row r="1259" ht="15.75" customHeight="1">
      <c r="A1259" s="336"/>
      <c r="B1259" s="336"/>
      <c r="C1259" s="336"/>
      <c r="D1259" s="336"/>
      <c r="E1259" s="336"/>
      <c r="F1259" s="336"/>
      <c r="G1259" s="336"/>
      <c r="H1259" s="336"/>
      <c r="I1259" s="336"/>
      <c r="J1259" s="336"/>
      <c r="K1259" s="336"/>
      <c r="L1259" s="336"/>
      <c r="M1259" s="336"/>
      <c r="N1259" s="336"/>
      <c r="O1259" s="336"/>
      <c r="P1259" s="336"/>
      <c r="Q1259" s="336"/>
      <c r="R1259" s="336"/>
      <c r="S1259" s="336"/>
      <c r="T1259" s="336"/>
      <c r="U1259" s="337"/>
      <c r="V1259" s="336"/>
    </row>
    <row r="1260" ht="15.75" customHeight="1">
      <c r="A1260" s="336"/>
      <c r="B1260" s="336"/>
      <c r="C1260" s="336"/>
      <c r="D1260" s="336"/>
      <c r="E1260" s="336"/>
      <c r="F1260" s="336"/>
      <c r="G1260" s="336"/>
      <c r="H1260" s="336"/>
      <c r="I1260" s="336"/>
      <c r="J1260" s="336"/>
      <c r="K1260" s="336"/>
      <c r="L1260" s="336"/>
      <c r="M1260" s="336"/>
      <c r="N1260" s="336"/>
      <c r="O1260" s="336"/>
      <c r="P1260" s="336"/>
      <c r="Q1260" s="336"/>
      <c r="R1260" s="336"/>
      <c r="S1260" s="336"/>
      <c r="T1260" s="336"/>
      <c r="U1260" s="337"/>
      <c r="V1260" s="336"/>
    </row>
    <row r="1261" ht="15.75" customHeight="1">
      <c r="A1261" s="336"/>
      <c r="B1261" s="336"/>
      <c r="C1261" s="336"/>
      <c r="D1261" s="336"/>
      <c r="E1261" s="336"/>
      <c r="F1261" s="336"/>
      <c r="G1261" s="336"/>
      <c r="H1261" s="336"/>
      <c r="I1261" s="336"/>
      <c r="J1261" s="336"/>
      <c r="K1261" s="336"/>
      <c r="L1261" s="336"/>
      <c r="M1261" s="336"/>
      <c r="N1261" s="336"/>
      <c r="O1261" s="336"/>
      <c r="P1261" s="336"/>
      <c r="Q1261" s="336"/>
      <c r="R1261" s="336"/>
      <c r="S1261" s="336"/>
      <c r="T1261" s="336"/>
      <c r="U1261" s="337"/>
      <c r="V1261" s="336"/>
    </row>
    <row r="1262" ht="15.75" customHeight="1">
      <c r="A1262" s="336"/>
      <c r="B1262" s="336"/>
      <c r="C1262" s="336"/>
      <c r="D1262" s="336"/>
      <c r="E1262" s="336"/>
      <c r="F1262" s="336"/>
      <c r="G1262" s="336"/>
      <c r="H1262" s="336"/>
      <c r="I1262" s="336"/>
      <c r="J1262" s="336"/>
      <c r="K1262" s="336"/>
      <c r="L1262" s="336"/>
      <c r="M1262" s="336"/>
      <c r="N1262" s="336"/>
      <c r="O1262" s="336"/>
      <c r="P1262" s="336"/>
      <c r="Q1262" s="336"/>
      <c r="R1262" s="336"/>
      <c r="S1262" s="336"/>
      <c r="T1262" s="336"/>
      <c r="U1262" s="337"/>
      <c r="V1262" s="336"/>
    </row>
    <row r="1263" ht="15.75" customHeight="1">
      <c r="A1263" s="336"/>
      <c r="B1263" s="336"/>
      <c r="C1263" s="336"/>
      <c r="D1263" s="336"/>
      <c r="E1263" s="336"/>
      <c r="F1263" s="336"/>
      <c r="G1263" s="336"/>
      <c r="H1263" s="336"/>
      <c r="I1263" s="336"/>
      <c r="J1263" s="336"/>
      <c r="K1263" s="336"/>
      <c r="L1263" s="336"/>
      <c r="M1263" s="336"/>
      <c r="N1263" s="336"/>
      <c r="O1263" s="336"/>
      <c r="P1263" s="336"/>
      <c r="Q1263" s="336"/>
      <c r="R1263" s="336"/>
      <c r="S1263" s="336"/>
      <c r="T1263" s="336"/>
      <c r="U1263" s="337"/>
      <c r="V1263" s="336"/>
    </row>
    <row r="1264" ht="15.75" customHeight="1">
      <c r="A1264" s="336"/>
      <c r="B1264" s="336"/>
      <c r="C1264" s="336"/>
      <c r="D1264" s="336"/>
      <c r="E1264" s="336"/>
      <c r="F1264" s="336"/>
      <c r="G1264" s="336"/>
      <c r="H1264" s="336"/>
      <c r="I1264" s="336"/>
      <c r="J1264" s="336"/>
      <c r="K1264" s="336"/>
      <c r="L1264" s="336"/>
      <c r="M1264" s="336"/>
      <c r="N1264" s="336"/>
      <c r="O1264" s="336"/>
      <c r="P1264" s="336"/>
      <c r="Q1264" s="336"/>
      <c r="R1264" s="336"/>
      <c r="S1264" s="336"/>
      <c r="T1264" s="336"/>
      <c r="U1264" s="337"/>
      <c r="V1264" s="336"/>
    </row>
    <row r="1265" ht="15.75" customHeight="1">
      <c r="A1265" s="336"/>
      <c r="B1265" s="336"/>
      <c r="C1265" s="336"/>
      <c r="D1265" s="336"/>
      <c r="E1265" s="336"/>
      <c r="F1265" s="336"/>
      <c r="G1265" s="336"/>
      <c r="H1265" s="336"/>
      <c r="I1265" s="336"/>
      <c r="J1265" s="336"/>
      <c r="K1265" s="336"/>
      <c r="L1265" s="336"/>
      <c r="M1265" s="336"/>
      <c r="N1265" s="336"/>
      <c r="O1265" s="336"/>
      <c r="P1265" s="336"/>
      <c r="Q1265" s="336"/>
      <c r="R1265" s="336"/>
      <c r="S1265" s="336"/>
      <c r="T1265" s="336"/>
      <c r="U1265" s="337"/>
      <c r="V1265" s="336"/>
    </row>
    <row r="1266" ht="15.75" customHeight="1">
      <c r="A1266" s="336"/>
      <c r="B1266" s="336"/>
      <c r="C1266" s="336"/>
      <c r="D1266" s="336"/>
      <c r="E1266" s="336"/>
      <c r="F1266" s="336"/>
      <c r="G1266" s="336"/>
      <c r="H1266" s="336"/>
      <c r="I1266" s="336"/>
      <c r="J1266" s="336"/>
      <c r="K1266" s="336"/>
      <c r="L1266" s="336"/>
      <c r="M1266" s="336"/>
      <c r="N1266" s="336"/>
      <c r="O1266" s="336"/>
      <c r="P1266" s="336"/>
      <c r="Q1266" s="336"/>
      <c r="R1266" s="336"/>
      <c r="S1266" s="336"/>
      <c r="T1266" s="336"/>
      <c r="U1266" s="337"/>
      <c r="V1266" s="336"/>
    </row>
    <row r="1267" ht="15.75" customHeight="1">
      <c r="A1267" s="336"/>
      <c r="B1267" s="336"/>
      <c r="C1267" s="336"/>
      <c r="D1267" s="336"/>
      <c r="E1267" s="336"/>
      <c r="F1267" s="336"/>
      <c r="G1267" s="336"/>
      <c r="H1267" s="336"/>
      <c r="I1267" s="336"/>
      <c r="J1267" s="336"/>
      <c r="K1267" s="336"/>
      <c r="L1267" s="336"/>
      <c r="M1267" s="336"/>
      <c r="N1267" s="336"/>
      <c r="O1267" s="336"/>
      <c r="P1267" s="336"/>
      <c r="Q1267" s="336"/>
      <c r="R1267" s="336"/>
      <c r="S1267" s="336"/>
      <c r="T1267" s="336"/>
      <c r="U1267" s="337"/>
      <c r="V1267" s="336"/>
    </row>
    <row r="1268" ht="15.75" customHeight="1">
      <c r="A1268" s="336"/>
      <c r="B1268" s="336"/>
      <c r="C1268" s="336"/>
      <c r="D1268" s="336"/>
      <c r="E1268" s="336"/>
      <c r="F1268" s="336"/>
      <c r="G1268" s="336"/>
      <c r="H1268" s="336"/>
      <c r="I1268" s="336"/>
      <c r="J1268" s="336"/>
      <c r="K1268" s="336"/>
      <c r="L1268" s="336"/>
      <c r="M1268" s="336"/>
      <c r="N1268" s="336"/>
      <c r="O1268" s="336"/>
      <c r="P1268" s="336"/>
      <c r="Q1268" s="336"/>
      <c r="R1268" s="336"/>
      <c r="S1268" s="336"/>
      <c r="T1268" s="336"/>
      <c r="U1268" s="337"/>
      <c r="V1268" s="336"/>
    </row>
    <row r="1269" ht="15.75" customHeight="1">
      <c r="A1269" s="336"/>
      <c r="B1269" s="336"/>
      <c r="C1269" s="336"/>
      <c r="D1269" s="336"/>
      <c r="E1269" s="336"/>
      <c r="F1269" s="336"/>
      <c r="G1269" s="336"/>
      <c r="H1269" s="336"/>
      <c r="I1269" s="336"/>
      <c r="J1269" s="336"/>
      <c r="K1269" s="336"/>
      <c r="L1269" s="336"/>
      <c r="M1269" s="336"/>
      <c r="N1269" s="336"/>
      <c r="O1269" s="336"/>
      <c r="P1269" s="336"/>
      <c r="Q1269" s="336"/>
      <c r="R1269" s="336"/>
      <c r="S1269" s="336"/>
      <c r="T1269" s="336"/>
      <c r="U1269" s="337"/>
      <c r="V1269" s="336"/>
    </row>
    <row r="1270" ht="15.75" customHeight="1">
      <c r="A1270" s="336"/>
      <c r="B1270" s="336"/>
      <c r="C1270" s="336"/>
      <c r="D1270" s="336"/>
      <c r="E1270" s="336"/>
      <c r="F1270" s="336"/>
      <c r="G1270" s="336"/>
      <c r="H1270" s="336"/>
      <c r="I1270" s="336"/>
      <c r="J1270" s="336"/>
      <c r="K1270" s="336"/>
      <c r="L1270" s="336"/>
      <c r="M1270" s="336"/>
      <c r="N1270" s="336"/>
      <c r="O1270" s="336"/>
      <c r="P1270" s="336"/>
      <c r="Q1270" s="336"/>
      <c r="R1270" s="336"/>
      <c r="S1270" s="336"/>
      <c r="T1270" s="336"/>
      <c r="U1270" s="337"/>
      <c r="V1270" s="336"/>
    </row>
    <row r="1271" ht="15.75" customHeight="1">
      <c r="A1271" s="336"/>
      <c r="B1271" s="336"/>
      <c r="C1271" s="336"/>
      <c r="D1271" s="336"/>
      <c r="E1271" s="336"/>
      <c r="F1271" s="336"/>
      <c r="G1271" s="336"/>
      <c r="H1271" s="336"/>
      <c r="I1271" s="336"/>
      <c r="J1271" s="336"/>
      <c r="K1271" s="336"/>
      <c r="L1271" s="336"/>
      <c r="M1271" s="336"/>
      <c r="N1271" s="336"/>
      <c r="O1271" s="336"/>
      <c r="P1271" s="336"/>
      <c r="Q1271" s="336"/>
      <c r="R1271" s="336"/>
      <c r="S1271" s="336"/>
      <c r="T1271" s="336"/>
      <c r="U1271" s="337"/>
      <c r="V1271" s="336"/>
    </row>
    <row r="1272" ht="15.75" customHeight="1">
      <c r="A1272" s="336"/>
      <c r="B1272" s="336"/>
      <c r="C1272" s="336"/>
      <c r="D1272" s="336"/>
      <c r="E1272" s="336"/>
      <c r="F1272" s="336"/>
      <c r="G1272" s="336"/>
      <c r="H1272" s="336"/>
      <c r="I1272" s="336"/>
      <c r="J1272" s="336"/>
      <c r="K1272" s="336"/>
      <c r="L1272" s="336"/>
      <c r="M1272" s="336"/>
      <c r="N1272" s="336"/>
      <c r="O1272" s="336"/>
      <c r="P1272" s="336"/>
      <c r="Q1272" s="336"/>
      <c r="R1272" s="336"/>
      <c r="S1272" s="336"/>
      <c r="T1272" s="336"/>
      <c r="U1272" s="337"/>
      <c r="V1272" s="336"/>
    </row>
    <row r="1273" ht="15.75" customHeight="1">
      <c r="A1273" s="336"/>
      <c r="B1273" s="336"/>
      <c r="C1273" s="336"/>
      <c r="D1273" s="336"/>
      <c r="E1273" s="336"/>
      <c r="F1273" s="336"/>
      <c r="G1273" s="336"/>
      <c r="H1273" s="336"/>
      <c r="I1273" s="336"/>
      <c r="J1273" s="336"/>
      <c r="K1273" s="336"/>
      <c r="L1273" s="336"/>
      <c r="M1273" s="336"/>
      <c r="N1273" s="336"/>
      <c r="O1273" s="336"/>
      <c r="P1273" s="336"/>
      <c r="Q1273" s="336"/>
      <c r="R1273" s="336"/>
      <c r="S1273" s="336"/>
      <c r="T1273" s="336"/>
      <c r="U1273" s="337"/>
      <c r="V1273" s="336"/>
    </row>
    <row r="1274" ht="15.75" customHeight="1">
      <c r="A1274" s="336"/>
      <c r="B1274" s="336"/>
      <c r="C1274" s="336"/>
      <c r="D1274" s="336"/>
      <c r="E1274" s="336"/>
      <c r="F1274" s="336"/>
      <c r="G1274" s="336"/>
      <c r="H1274" s="336"/>
      <c r="I1274" s="336"/>
      <c r="J1274" s="336"/>
      <c r="K1274" s="336"/>
      <c r="L1274" s="336"/>
      <c r="M1274" s="336"/>
      <c r="N1274" s="336"/>
      <c r="O1274" s="336"/>
      <c r="P1274" s="336"/>
      <c r="Q1274" s="336"/>
      <c r="R1274" s="336"/>
      <c r="S1274" s="336"/>
      <c r="T1274" s="336"/>
      <c r="U1274" s="337"/>
      <c r="V1274" s="336"/>
    </row>
    <row r="1275" ht="15.75" customHeight="1">
      <c r="A1275" s="336"/>
      <c r="B1275" s="336"/>
      <c r="C1275" s="336"/>
      <c r="D1275" s="336"/>
      <c r="E1275" s="336"/>
      <c r="F1275" s="336"/>
      <c r="G1275" s="336"/>
      <c r="H1275" s="336"/>
      <c r="I1275" s="336"/>
      <c r="J1275" s="336"/>
      <c r="K1275" s="336"/>
      <c r="L1275" s="336"/>
      <c r="M1275" s="336"/>
      <c r="N1275" s="336"/>
      <c r="O1275" s="336"/>
      <c r="P1275" s="336"/>
      <c r="Q1275" s="336"/>
      <c r="R1275" s="336"/>
      <c r="S1275" s="336"/>
      <c r="T1275" s="336"/>
      <c r="U1275" s="337"/>
      <c r="V1275" s="336"/>
    </row>
    <row r="1276" ht="15.75" customHeight="1">
      <c r="A1276" s="336"/>
      <c r="B1276" s="336"/>
      <c r="C1276" s="336"/>
      <c r="D1276" s="336"/>
      <c r="E1276" s="336"/>
      <c r="F1276" s="336"/>
      <c r="G1276" s="336"/>
      <c r="H1276" s="336"/>
      <c r="I1276" s="336"/>
      <c r="J1276" s="336"/>
      <c r="K1276" s="336"/>
      <c r="L1276" s="336"/>
      <c r="M1276" s="336"/>
      <c r="N1276" s="336"/>
      <c r="O1276" s="336"/>
      <c r="P1276" s="336"/>
      <c r="Q1276" s="336"/>
      <c r="R1276" s="336"/>
      <c r="S1276" s="336"/>
      <c r="T1276" s="336"/>
      <c r="U1276" s="337"/>
      <c r="V1276" s="336"/>
    </row>
    <row r="1277" ht="15.75" customHeight="1">
      <c r="A1277" s="336"/>
      <c r="B1277" s="336"/>
      <c r="C1277" s="336"/>
      <c r="D1277" s="336"/>
      <c r="E1277" s="336"/>
      <c r="F1277" s="336"/>
      <c r="G1277" s="336"/>
      <c r="H1277" s="336"/>
      <c r="I1277" s="336"/>
      <c r="J1277" s="336"/>
      <c r="K1277" s="336"/>
      <c r="L1277" s="336"/>
      <c r="M1277" s="336"/>
      <c r="N1277" s="336"/>
      <c r="O1277" s="336"/>
      <c r="P1277" s="336"/>
      <c r="Q1277" s="336"/>
      <c r="R1277" s="336"/>
      <c r="S1277" s="336"/>
      <c r="T1277" s="336"/>
      <c r="U1277" s="337"/>
      <c r="V1277" s="336"/>
    </row>
    <row r="1278" ht="15.75" customHeight="1">
      <c r="A1278" s="336"/>
      <c r="B1278" s="336"/>
      <c r="C1278" s="336"/>
      <c r="D1278" s="336"/>
      <c r="E1278" s="336"/>
      <c r="F1278" s="336"/>
      <c r="G1278" s="336"/>
      <c r="H1278" s="336"/>
      <c r="I1278" s="336"/>
      <c r="J1278" s="336"/>
      <c r="K1278" s="336"/>
      <c r="L1278" s="336"/>
      <c r="M1278" s="336"/>
      <c r="N1278" s="336"/>
      <c r="O1278" s="336"/>
      <c r="P1278" s="336"/>
      <c r="Q1278" s="336"/>
      <c r="R1278" s="336"/>
      <c r="S1278" s="336"/>
      <c r="T1278" s="336"/>
      <c r="U1278" s="337"/>
      <c r="V1278" s="336"/>
    </row>
    <row r="1279" ht="15.75" customHeight="1">
      <c r="A1279" s="336"/>
      <c r="B1279" s="336"/>
      <c r="C1279" s="336"/>
      <c r="D1279" s="336"/>
      <c r="E1279" s="336"/>
      <c r="F1279" s="336"/>
      <c r="G1279" s="336"/>
      <c r="H1279" s="336"/>
      <c r="I1279" s="336"/>
      <c r="J1279" s="336"/>
      <c r="K1279" s="336"/>
      <c r="L1279" s="336"/>
      <c r="M1279" s="336"/>
      <c r="N1279" s="336"/>
      <c r="O1279" s="336"/>
      <c r="P1279" s="336"/>
      <c r="Q1279" s="336"/>
      <c r="R1279" s="336"/>
      <c r="S1279" s="336"/>
      <c r="T1279" s="336"/>
      <c r="U1279" s="337"/>
      <c r="V1279" s="336"/>
    </row>
    <row r="1280" ht="15.75" customHeight="1">
      <c r="A1280" s="336"/>
      <c r="B1280" s="336"/>
      <c r="C1280" s="336"/>
      <c r="D1280" s="336"/>
      <c r="E1280" s="336"/>
      <c r="F1280" s="336"/>
      <c r="G1280" s="336"/>
      <c r="H1280" s="336"/>
      <c r="I1280" s="336"/>
      <c r="J1280" s="336"/>
      <c r="K1280" s="336"/>
      <c r="L1280" s="336"/>
      <c r="M1280" s="336"/>
      <c r="N1280" s="336"/>
      <c r="O1280" s="336"/>
      <c r="P1280" s="336"/>
      <c r="Q1280" s="336"/>
      <c r="R1280" s="336"/>
      <c r="S1280" s="336"/>
      <c r="T1280" s="336"/>
      <c r="U1280" s="337"/>
      <c r="V1280" s="336"/>
    </row>
    <row r="1281" ht="15.75" customHeight="1">
      <c r="A1281" s="336"/>
      <c r="B1281" s="336"/>
      <c r="C1281" s="336"/>
      <c r="D1281" s="336"/>
      <c r="E1281" s="336"/>
      <c r="F1281" s="336"/>
      <c r="G1281" s="336"/>
      <c r="H1281" s="336"/>
      <c r="I1281" s="336"/>
      <c r="J1281" s="336"/>
      <c r="K1281" s="336"/>
      <c r="L1281" s="336"/>
      <c r="M1281" s="336"/>
      <c r="N1281" s="336"/>
      <c r="O1281" s="336"/>
      <c r="P1281" s="336"/>
      <c r="Q1281" s="336"/>
      <c r="R1281" s="336"/>
      <c r="S1281" s="336"/>
      <c r="T1281" s="336"/>
      <c r="U1281" s="337"/>
      <c r="V1281" s="336"/>
    </row>
    <row r="1282" ht="15.75" customHeight="1">
      <c r="A1282" s="336"/>
      <c r="B1282" s="336"/>
      <c r="C1282" s="336"/>
      <c r="D1282" s="336"/>
      <c r="E1282" s="336"/>
      <c r="F1282" s="336"/>
      <c r="G1282" s="336"/>
      <c r="H1282" s="336"/>
      <c r="I1282" s="336"/>
      <c r="J1282" s="336"/>
      <c r="K1282" s="336"/>
      <c r="L1282" s="336"/>
      <c r="M1282" s="336"/>
      <c r="N1282" s="336"/>
      <c r="O1282" s="336"/>
      <c r="P1282" s="336"/>
      <c r="Q1282" s="336"/>
      <c r="R1282" s="336"/>
      <c r="S1282" s="336"/>
      <c r="T1282" s="336"/>
      <c r="U1282" s="337"/>
      <c r="V1282" s="336"/>
    </row>
    <row r="1283" ht="15.75" customHeight="1">
      <c r="A1283" s="336"/>
      <c r="B1283" s="336"/>
      <c r="C1283" s="336"/>
      <c r="D1283" s="336"/>
      <c r="E1283" s="336"/>
      <c r="F1283" s="336"/>
      <c r="G1283" s="336"/>
      <c r="H1283" s="336"/>
      <c r="I1283" s="336"/>
      <c r="J1283" s="336"/>
      <c r="K1283" s="336"/>
      <c r="L1283" s="336"/>
      <c r="M1283" s="336"/>
      <c r="N1283" s="336"/>
      <c r="O1283" s="336"/>
      <c r="P1283" s="336"/>
      <c r="Q1283" s="336"/>
      <c r="R1283" s="336"/>
      <c r="S1283" s="336"/>
      <c r="T1283" s="336"/>
      <c r="U1283" s="337"/>
      <c r="V1283" s="336"/>
    </row>
    <row r="1284" ht="15.75" customHeight="1">
      <c r="A1284" s="336"/>
      <c r="B1284" s="336"/>
      <c r="C1284" s="336"/>
      <c r="D1284" s="336"/>
      <c r="E1284" s="336"/>
      <c r="F1284" s="336"/>
      <c r="G1284" s="336"/>
      <c r="H1284" s="336"/>
      <c r="I1284" s="336"/>
      <c r="J1284" s="336"/>
      <c r="K1284" s="336"/>
      <c r="L1284" s="336"/>
      <c r="M1284" s="336"/>
      <c r="N1284" s="336"/>
      <c r="O1284" s="336"/>
      <c r="P1284" s="336"/>
      <c r="Q1284" s="336"/>
      <c r="R1284" s="336"/>
      <c r="S1284" s="336"/>
      <c r="T1284" s="336"/>
      <c r="U1284" s="337"/>
      <c r="V1284" s="336"/>
    </row>
    <row r="1285" ht="15.75" customHeight="1">
      <c r="A1285" s="336"/>
      <c r="B1285" s="336"/>
      <c r="C1285" s="336"/>
      <c r="D1285" s="336"/>
      <c r="E1285" s="336"/>
      <c r="F1285" s="336"/>
      <c r="G1285" s="336"/>
      <c r="H1285" s="336"/>
      <c r="I1285" s="336"/>
      <c r="J1285" s="336"/>
      <c r="K1285" s="336"/>
      <c r="L1285" s="336"/>
      <c r="M1285" s="336"/>
      <c r="N1285" s="336"/>
      <c r="O1285" s="336"/>
      <c r="P1285" s="336"/>
      <c r="Q1285" s="336"/>
      <c r="R1285" s="336"/>
      <c r="S1285" s="336"/>
      <c r="T1285" s="336"/>
      <c r="U1285" s="337"/>
      <c r="V1285" s="336"/>
    </row>
    <row r="1286" ht="15.75" customHeight="1">
      <c r="A1286" s="336"/>
      <c r="B1286" s="336"/>
      <c r="C1286" s="336"/>
      <c r="D1286" s="336"/>
      <c r="E1286" s="336"/>
      <c r="F1286" s="336"/>
      <c r="G1286" s="336"/>
      <c r="H1286" s="336"/>
      <c r="I1286" s="336"/>
      <c r="J1286" s="336"/>
      <c r="K1286" s="336"/>
      <c r="L1286" s="336"/>
      <c r="M1286" s="336"/>
      <c r="N1286" s="336"/>
      <c r="O1286" s="336"/>
      <c r="P1286" s="336"/>
      <c r="Q1286" s="336"/>
      <c r="R1286" s="336"/>
      <c r="S1286" s="336"/>
      <c r="T1286" s="336"/>
      <c r="U1286" s="337"/>
      <c r="V1286" s="336"/>
    </row>
    <row r="1287" ht="15.75" customHeight="1">
      <c r="A1287" s="336"/>
      <c r="B1287" s="336"/>
      <c r="C1287" s="336"/>
      <c r="D1287" s="336"/>
      <c r="E1287" s="336"/>
      <c r="F1287" s="336"/>
      <c r="G1287" s="336"/>
      <c r="H1287" s="336"/>
      <c r="I1287" s="336"/>
      <c r="J1287" s="336"/>
      <c r="K1287" s="336"/>
      <c r="L1287" s="336"/>
      <c r="M1287" s="336"/>
      <c r="N1287" s="336"/>
      <c r="O1287" s="336"/>
      <c r="P1287" s="336"/>
      <c r="Q1287" s="336"/>
      <c r="R1287" s="336"/>
      <c r="S1287" s="336"/>
      <c r="T1287" s="336"/>
      <c r="U1287" s="337"/>
      <c r="V1287" s="336"/>
    </row>
    <row r="1288" ht="15.75" customHeight="1">
      <c r="A1288" s="336"/>
      <c r="B1288" s="336"/>
      <c r="C1288" s="336"/>
      <c r="D1288" s="336"/>
      <c r="E1288" s="336"/>
      <c r="F1288" s="336"/>
      <c r="G1288" s="336"/>
      <c r="H1288" s="336"/>
      <c r="I1288" s="336"/>
      <c r="J1288" s="336"/>
      <c r="K1288" s="336"/>
      <c r="L1288" s="336"/>
      <c r="M1288" s="336"/>
      <c r="N1288" s="336"/>
      <c r="O1288" s="336"/>
      <c r="P1288" s="336"/>
      <c r="Q1288" s="336"/>
      <c r="R1288" s="336"/>
      <c r="S1288" s="336"/>
      <c r="T1288" s="336"/>
      <c r="U1288" s="337"/>
      <c r="V1288" s="336"/>
    </row>
    <row r="1289" ht="15.75" customHeight="1">
      <c r="A1289" s="336"/>
      <c r="B1289" s="336"/>
      <c r="C1289" s="336"/>
      <c r="D1289" s="336"/>
      <c r="E1289" s="336"/>
      <c r="F1289" s="336"/>
      <c r="G1289" s="336"/>
      <c r="H1289" s="336"/>
      <c r="I1289" s="336"/>
      <c r="J1289" s="336"/>
      <c r="K1289" s="336"/>
      <c r="L1289" s="336"/>
      <c r="M1289" s="336"/>
      <c r="N1289" s="336"/>
      <c r="O1289" s="336"/>
      <c r="P1289" s="336"/>
      <c r="Q1289" s="336"/>
      <c r="R1289" s="336"/>
      <c r="S1289" s="336"/>
      <c r="T1289" s="336"/>
      <c r="U1289" s="337"/>
      <c r="V1289" s="336"/>
    </row>
    <row r="1290" ht="15.75" customHeight="1">
      <c r="A1290" s="336"/>
      <c r="B1290" s="336"/>
      <c r="C1290" s="336"/>
      <c r="D1290" s="336"/>
      <c r="E1290" s="336"/>
      <c r="F1290" s="336"/>
      <c r="G1290" s="336"/>
      <c r="H1290" s="336"/>
      <c r="I1290" s="336"/>
      <c r="J1290" s="336"/>
      <c r="K1290" s="336"/>
      <c r="L1290" s="336"/>
      <c r="M1290" s="336"/>
      <c r="N1290" s="336"/>
      <c r="O1290" s="336"/>
      <c r="P1290" s="336"/>
      <c r="Q1290" s="336"/>
      <c r="R1290" s="336"/>
      <c r="S1290" s="336"/>
      <c r="T1290" s="336"/>
      <c r="U1290" s="337"/>
      <c r="V1290" s="336"/>
    </row>
    <row r="1291" ht="15.75" customHeight="1">
      <c r="A1291" s="336"/>
      <c r="B1291" s="336"/>
      <c r="C1291" s="336"/>
      <c r="D1291" s="336"/>
      <c r="E1291" s="336"/>
      <c r="F1291" s="336"/>
      <c r="G1291" s="336"/>
      <c r="H1291" s="336"/>
      <c r="I1291" s="336"/>
      <c r="J1291" s="336"/>
      <c r="K1291" s="336"/>
      <c r="L1291" s="336"/>
      <c r="M1291" s="336"/>
      <c r="N1291" s="336"/>
      <c r="O1291" s="336"/>
      <c r="P1291" s="336"/>
      <c r="Q1291" s="336"/>
      <c r="R1291" s="336"/>
      <c r="S1291" s="336"/>
      <c r="T1291" s="336"/>
      <c r="U1291" s="337"/>
      <c r="V1291" s="336"/>
    </row>
    <row r="1292" ht="15.75" customHeight="1">
      <c r="A1292" s="336"/>
      <c r="B1292" s="336"/>
      <c r="C1292" s="336"/>
      <c r="D1292" s="336"/>
      <c r="E1292" s="336"/>
      <c r="F1292" s="336"/>
      <c r="G1292" s="336"/>
      <c r="H1292" s="336"/>
      <c r="I1292" s="336"/>
      <c r="J1292" s="336"/>
      <c r="K1292" s="336"/>
      <c r="L1292" s="336"/>
      <c r="M1292" s="336"/>
      <c r="N1292" s="336"/>
      <c r="O1292" s="336"/>
      <c r="P1292" s="336"/>
      <c r="Q1292" s="336"/>
      <c r="R1292" s="336"/>
      <c r="S1292" s="336"/>
      <c r="T1292" s="336"/>
      <c r="U1292" s="337"/>
      <c r="V1292" s="336"/>
    </row>
    <row r="1293" ht="15.75" customHeight="1">
      <c r="A1293" s="336"/>
      <c r="B1293" s="336"/>
      <c r="C1293" s="336"/>
      <c r="D1293" s="336"/>
      <c r="E1293" s="336"/>
      <c r="F1293" s="336"/>
      <c r="G1293" s="336"/>
      <c r="H1293" s="336"/>
      <c r="I1293" s="336"/>
      <c r="J1293" s="336"/>
      <c r="K1293" s="336"/>
      <c r="L1293" s="336"/>
      <c r="M1293" s="336"/>
      <c r="N1293" s="336"/>
      <c r="O1293" s="336"/>
      <c r="P1293" s="336"/>
      <c r="Q1293" s="336"/>
      <c r="R1293" s="336"/>
      <c r="S1293" s="336"/>
      <c r="T1293" s="336"/>
      <c r="U1293" s="337"/>
      <c r="V1293" s="336"/>
    </row>
    <row r="1294" ht="15.75" customHeight="1">
      <c r="A1294" s="336"/>
      <c r="B1294" s="336"/>
      <c r="C1294" s="336"/>
      <c r="D1294" s="336"/>
      <c r="E1294" s="336"/>
      <c r="F1294" s="336"/>
      <c r="G1294" s="336"/>
      <c r="H1294" s="336"/>
      <c r="I1294" s="336"/>
      <c r="J1294" s="336"/>
      <c r="K1294" s="336"/>
      <c r="L1294" s="336"/>
      <c r="M1294" s="336"/>
      <c r="N1294" s="336"/>
      <c r="O1294" s="336"/>
      <c r="P1294" s="336"/>
      <c r="Q1294" s="336"/>
      <c r="R1294" s="336"/>
      <c r="S1294" s="336"/>
      <c r="T1294" s="336"/>
      <c r="U1294" s="337"/>
      <c r="V1294" s="336"/>
    </row>
    <row r="1295" ht="15.75" customHeight="1">
      <c r="A1295" s="336"/>
      <c r="B1295" s="336"/>
      <c r="C1295" s="336"/>
      <c r="D1295" s="336"/>
      <c r="E1295" s="336"/>
      <c r="F1295" s="336"/>
      <c r="G1295" s="336"/>
      <c r="H1295" s="336"/>
      <c r="I1295" s="336"/>
      <c r="J1295" s="336"/>
      <c r="K1295" s="336"/>
      <c r="L1295" s="336"/>
      <c r="M1295" s="336"/>
      <c r="N1295" s="336"/>
      <c r="O1295" s="336"/>
      <c r="P1295" s="336"/>
      <c r="Q1295" s="336"/>
      <c r="R1295" s="336"/>
      <c r="S1295" s="336"/>
      <c r="T1295" s="336"/>
      <c r="U1295" s="337"/>
      <c r="V1295" s="336"/>
    </row>
    <row r="1296" ht="15.75" customHeight="1">
      <c r="A1296" s="336"/>
      <c r="B1296" s="336"/>
      <c r="C1296" s="336"/>
      <c r="D1296" s="336"/>
      <c r="E1296" s="336"/>
      <c r="F1296" s="336"/>
      <c r="G1296" s="336"/>
      <c r="H1296" s="336"/>
      <c r="I1296" s="336"/>
      <c r="J1296" s="336"/>
      <c r="K1296" s="336"/>
      <c r="L1296" s="336"/>
      <c r="M1296" s="336"/>
      <c r="N1296" s="336"/>
      <c r="O1296" s="336"/>
      <c r="P1296" s="336"/>
      <c r="Q1296" s="336"/>
      <c r="R1296" s="336"/>
      <c r="S1296" s="336"/>
      <c r="T1296" s="336"/>
      <c r="U1296" s="337"/>
      <c r="V1296" s="336"/>
    </row>
    <row r="1297" ht="15.75" customHeight="1">
      <c r="A1297" s="336"/>
      <c r="B1297" s="336"/>
      <c r="C1297" s="336"/>
      <c r="D1297" s="336"/>
      <c r="E1297" s="336"/>
      <c r="F1297" s="336"/>
      <c r="G1297" s="336"/>
      <c r="H1297" s="336"/>
      <c r="I1297" s="336"/>
      <c r="J1297" s="336"/>
      <c r="K1297" s="336"/>
      <c r="L1297" s="336"/>
      <c r="M1297" s="336"/>
      <c r="N1297" s="336"/>
      <c r="O1297" s="336"/>
      <c r="P1297" s="336"/>
      <c r="Q1297" s="336"/>
      <c r="R1297" s="336"/>
      <c r="S1297" s="336"/>
      <c r="T1297" s="336"/>
      <c r="U1297" s="337"/>
      <c r="V1297" s="336"/>
    </row>
    <row r="1298" ht="15.75" customHeight="1">
      <c r="A1298" s="336"/>
      <c r="B1298" s="336"/>
      <c r="C1298" s="336"/>
      <c r="D1298" s="336"/>
      <c r="E1298" s="336"/>
      <c r="F1298" s="336"/>
      <c r="G1298" s="336"/>
      <c r="H1298" s="336"/>
      <c r="I1298" s="336"/>
      <c r="J1298" s="336"/>
      <c r="K1298" s="336"/>
      <c r="L1298" s="336"/>
      <c r="M1298" s="336"/>
      <c r="N1298" s="336"/>
      <c r="O1298" s="336"/>
      <c r="P1298" s="336"/>
      <c r="Q1298" s="336"/>
      <c r="R1298" s="336"/>
      <c r="S1298" s="336"/>
      <c r="T1298" s="336"/>
      <c r="U1298" s="337"/>
      <c r="V1298" s="336"/>
    </row>
    <row r="1299" ht="15.75" customHeight="1">
      <c r="A1299" s="336"/>
      <c r="B1299" s="336"/>
      <c r="C1299" s="336"/>
      <c r="D1299" s="336"/>
      <c r="E1299" s="336"/>
      <c r="F1299" s="336"/>
      <c r="G1299" s="336"/>
      <c r="H1299" s="336"/>
      <c r="I1299" s="336"/>
      <c r="J1299" s="336"/>
      <c r="K1299" s="336"/>
      <c r="L1299" s="336"/>
      <c r="M1299" s="336"/>
      <c r="N1299" s="336"/>
      <c r="O1299" s="336"/>
      <c r="P1299" s="336"/>
      <c r="Q1299" s="336"/>
      <c r="R1299" s="336"/>
      <c r="S1299" s="336"/>
      <c r="T1299" s="336"/>
      <c r="U1299" s="337"/>
      <c r="V1299" s="336"/>
    </row>
    <row r="1300" ht="15.75" customHeight="1">
      <c r="A1300" s="336"/>
      <c r="B1300" s="336"/>
      <c r="C1300" s="336"/>
      <c r="D1300" s="336"/>
      <c r="E1300" s="336"/>
      <c r="F1300" s="336"/>
      <c r="G1300" s="336"/>
      <c r="H1300" s="336"/>
      <c r="I1300" s="336"/>
      <c r="J1300" s="336"/>
      <c r="K1300" s="336"/>
      <c r="L1300" s="336"/>
      <c r="M1300" s="336"/>
      <c r="N1300" s="336"/>
      <c r="O1300" s="336"/>
      <c r="P1300" s="336"/>
      <c r="Q1300" s="336"/>
      <c r="R1300" s="336"/>
      <c r="S1300" s="336"/>
      <c r="T1300" s="336"/>
      <c r="U1300" s="337"/>
      <c r="V1300" s="336"/>
    </row>
    <row r="1301" ht="15.75" customHeight="1">
      <c r="A1301" s="336"/>
      <c r="B1301" s="336"/>
      <c r="C1301" s="336"/>
      <c r="D1301" s="336"/>
      <c r="E1301" s="336"/>
      <c r="F1301" s="336"/>
      <c r="G1301" s="336"/>
      <c r="H1301" s="336"/>
      <c r="I1301" s="336"/>
      <c r="J1301" s="336"/>
      <c r="K1301" s="336"/>
      <c r="L1301" s="336"/>
      <c r="M1301" s="336"/>
      <c r="N1301" s="336"/>
      <c r="O1301" s="336"/>
      <c r="P1301" s="336"/>
      <c r="Q1301" s="336"/>
      <c r="R1301" s="336"/>
      <c r="S1301" s="336"/>
      <c r="T1301" s="336"/>
      <c r="U1301" s="337"/>
      <c r="V1301" s="336"/>
    </row>
    <row r="1302" ht="15.75" customHeight="1">
      <c r="A1302" s="336"/>
      <c r="B1302" s="336"/>
      <c r="C1302" s="336"/>
      <c r="D1302" s="336"/>
      <c r="E1302" s="336"/>
      <c r="F1302" s="336"/>
      <c r="G1302" s="336"/>
      <c r="H1302" s="336"/>
      <c r="I1302" s="336"/>
      <c r="J1302" s="336"/>
      <c r="K1302" s="336"/>
      <c r="L1302" s="336"/>
      <c r="M1302" s="336"/>
      <c r="N1302" s="336"/>
      <c r="O1302" s="336"/>
      <c r="P1302" s="336"/>
      <c r="Q1302" s="336"/>
      <c r="R1302" s="336"/>
      <c r="S1302" s="336"/>
      <c r="T1302" s="336"/>
      <c r="U1302" s="337"/>
      <c r="V1302" s="336"/>
    </row>
    <row r="1303" ht="15.75" customHeight="1">
      <c r="A1303" s="336"/>
      <c r="B1303" s="336"/>
      <c r="C1303" s="336"/>
      <c r="D1303" s="336"/>
      <c r="E1303" s="336"/>
      <c r="F1303" s="336"/>
      <c r="G1303" s="336"/>
      <c r="H1303" s="336"/>
      <c r="I1303" s="336"/>
      <c r="J1303" s="336"/>
      <c r="K1303" s="336"/>
      <c r="L1303" s="336"/>
      <c r="M1303" s="336"/>
      <c r="N1303" s="336"/>
      <c r="O1303" s="336"/>
      <c r="P1303" s="336"/>
      <c r="Q1303" s="336"/>
      <c r="R1303" s="336"/>
      <c r="S1303" s="336"/>
      <c r="T1303" s="336"/>
      <c r="U1303" s="337"/>
      <c r="V1303" s="336"/>
    </row>
    <row r="1304" ht="15.75" customHeight="1">
      <c r="A1304" s="336"/>
      <c r="B1304" s="336"/>
      <c r="C1304" s="336"/>
      <c r="D1304" s="336"/>
      <c r="E1304" s="336"/>
      <c r="F1304" s="336"/>
      <c r="G1304" s="336"/>
      <c r="H1304" s="336"/>
      <c r="I1304" s="336"/>
      <c r="J1304" s="336"/>
      <c r="K1304" s="336"/>
      <c r="L1304" s="336"/>
      <c r="M1304" s="336"/>
      <c r="N1304" s="336"/>
      <c r="O1304" s="336"/>
      <c r="P1304" s="336"/>
      <c r="Q1304" s="336"/>
      <c r="R1304" s="336"/>
      <c r="S1304" s="336"/>
      <c r="T1304" s="336"/>
      <c r="U1304" s="337"/>
      <c r="V1304" s="336"/>
    </row>
    <row r="1305" ht="15.75" customHeight="1">
      <c r="A1305" s="336"/>
      <c r="B1305" s="336"/>
      <c r="C1305" s="336"/>
      <c r="D1305" s="336"/>
      <c r="E1305" s="336"/>
      <c r="F1305" s="336"/>
      <c r="G1305" s="336"/>
      <c r="H1305" s="336"/>
      <c r="I1305" s="336"/>
      <c r="J1305" s="336"/>
      <c r="K1305" s="336"/>
      <c r="L1305" s="336"/>
      <c r="M1305" s="336"/>
      <c r="N1305" s="336"/>
      <c r="O1305" s="336"/>
      <c r="P1305" s="336"/>
      <c r="Q1305" s="336"/>
      <c r="R1305" s="336"/>
      <c r="S1305" s="336"/>
      <c r="T1305" s="336"/>
      <c r="U1305" s="337"/>
      <c r="V1305" s="336"/>
    </row>
    <row r="1306" ht="15.75" customHeight="1">
      <c r="A1306" s="336"/>
      <c r="B1306" s="336"/>
      <c r="C1306" s="336"/>
      <c r="D1306" s="336"/>
      <c r="E1306" s="336"/>
      <c r="F1306" s="336"/>
      <c r="G1306" s="336"/>
      <c r="H1306" s="336"/>
      <c r="I1306" s="336"/>
      <c r="J1306" s="336"/>
      <c r="K1306" s="336"/>
      <c r="L1306" s="336"/>
      <c r="M1306" s="336"/>
      <c r="N1306" s="336"/>
      <c r="O1306" s="336"/>
      <c r="P1306" s="336"/>
      <c r="Q1306" s="336"/>
      <c r="R1306" s="336"/>
      <c r="S1306" s="336"/>
      <c r="T1306" s="336"/>
      <c r="U1306" s="337"/>
      <c r="V1306" s="336"/>
    </row>
    <row r="1307" ht="15.75" customHeight="1">
      <c r="A1307" s="336"/>
      <c r="B1307" s="336"/>
      <c r="C1307" s="336"/>
      <c r="D1307" s="336"/>
      <c r="E1307" s="336"/>
      <c r="F1307" s="336"/>
      <c r="G1307" s="336"/>
      <c r="H1307" s="336"/>
      <c r="I1307" s="336"/>
      <c r="J1307" s="336"/>
      <c r="K1307" s="336"/>
      <c r="L1307" s="336"/>
      <c r="M1307" s="336"/>
      <c r="N1307" s="336"/>
      <c r="O1307" s="336"/>
      <c r="P1307" s="336"/>
      <c r="Q1307" s="336"/>
      <c r="R1307" s="336"/>
      <c r="S1307" s="336"/>
      <c r="T1307" s="336"/>
      <c r="U1307" s="337"/>
      <c r="V1307" s="336"/>
    </row>
    <row r="1308" ht="15.75" customHeight="1">
      <c r="A1308" s="336"/>
      <c r="B1308" s="336"/>
      <c r="C1308" s="336"/>
      <c r="D1308" s="336"/>
      <c r="E1308" s="336"/>
      <c r="F1308" s="336"/>
      <c r="G1308" s="336"/>
      <c r="H1308" s="336"/>
      <c r="I1308" s="336"/>
      <c r="J1308" s="336"/>
      <c r="K1308" s="336"/>
      <c r="L1308" s="336"/>
      <c r="M1308" s="336"/>
      <c r="N1308" s="336"/>
      <c r="O1308" s="336"/>
      <c r="P1308" s="336"/>
      <c r="Q1308" s="336"/>
      <c r="R1308" s="336"/>
      <c r="S1308" s="336"/>
      <c r="T1308" s="336"/>
      <c r="U1308" s="337"/>
      <c r="V1308" s="336"/>
    </row>
    <row r="1309" ht="15.75" customHeight="1">
      <c r="A1309" s="336"/>
      <c r="B1309" s="336"/>
      <c r="C1309" s="336"/>
      <c r="D1309" s="336"/>
      <c r="E1309" s="336"/>
      <c r="F1309" s="336"/>
      <c r="G1309" s="336"/>
      <c r="H1309" s="336"/>
      <c r="I1309" s="336"/>
      <c r="J1309" s="336"/>
      <c r="K1309" s="336"/>
      <c r="L1309" s="336"/>
      <c r="M1309" s="336"/>
      <c r="N1309" s="336"/>
      <c r="O1309" s="336"/>
      <c r="P1309" s="336"/>
      <c r="Q1309" s="336"/>
      <c r="R1309" s="336"/>
      <c r="S1309" s="336"/>
      <c r="T1309" s="336"/>
      <c r="U1309" s="337"/>
      <c r="V1309" s="336"/>
    </row>
    <row r="1310" ht="15.75" customHeight="1">
      <c r="A1310" s="336"/>
      <c r="B1310" s="336"/>
      <c r="C1310" s="336"/>
      <c r="D1310" s="336"/>
      <c r="E1310" s="336"/>
      <c r="F1310" s="336"/>
      <c r="G1310" s="336"/>
      <c r="H1310" s="336"/>
      <c r="I1310" s="336"/>
      <c r="J1310" s="336"/>
      <c r="K1310" s="336"/>
      <c r="L1310" s="336"/>
      <c r="M1310" s="336"/>
      <c r="N1310" s="336"/>
      <c r="O1310" s="336"/>
      <c r="P1310" s="336"/>
      <c r="Q1310" s="336"/>
      <c r="R1310" s="336"/>
      <c r="S1310" s="336"/>
      <c r="T1310" s="336"/>
      <c r="U1310" s="337"/>
      <c r="V1310" s="336"/>
    </row>
    <row r="1311" ht="15.75" customHeight="1">
      <c r="A1311" s="336"/>
      <c r="B1311" s="336"/>
      <c r="C1311" s="336"/>
      <c r="D1311" s="336"/>
      <c r="E1311" s="336"/>
      <c r="F1311" s="336"/>
      <c r="G1311" s="336"/>
      <c r="H1311" s="336"/>
      <c r="I1311" s="336"/>
      <c r="J1311" s="336"/>
      <c r="K1311" s="336"/>
      <c r="L1311" s="336"/>
      <c r="M1311" s="336"/>
      <c r="N1311" s="336"/>
      <c r="O1311" s="336"/>
      <c r="P1311" s="336"/>
      <c r="Q1311" s="336"/>
      <c r="R1311" s="336"/>
      <c r="S1311" s="336"/>
      <c r="T1311" s="336"/>
      <c r="U1311" s="337"/>
      <c r="V1311" s="336"/>
    </row>
    <row r="1312" ht="15.75" customHeight="1">
      <c r="A1312" s="336"/>
      <c r="B1312" s="336"/>
      <c r="C1312" s="336"/>
      <c r="D1312" s="336"/>
      <c r="E1312" s="336"/>
      <c r="F1312" s="336"/>
      <c r="G1312" s="336"/>
      <c r="H1312" s="336"/>
      <c r="I1312" s="336"/>
      <c r="J1312" s="336"/>
      <c r="K1312" s="336"/>
      <c r="L1312" s="336"/>
      <c r="M1312" s="336"/>
      <c r="N1312" s="336"/>
      <c r="O1312" s="336"/>
      <c r="P1312" s="336"/>
      <c r="Q1312" s="336"/>
      <c r="R1312" s="336"/>
      <c r="S1312" s="336"/>
      <c r="T1312" s="336"/>
      <c r="U1312" s="337"/>
      <c r="V1312" s="336"/>
    </row>
    <row r="1313" ht="15.75" customHeight="1">
      <c r="A1313" s="336"/>
      <c r="B1313" s="336"/>
      <c r="C1313" s="336"/>
      <c r="D1313" s="336"/>
      <c r="E1313" s="336"/>
      <c r="F1313" s="336"/>
      <c r="G1313" s="336"/>
      <c r="H1313" s="336"/>
      <c r="I1313" s="336"/>
      <c r="J1313" s="336"/>
      <c r="K1313" s="336"/>
      <c r="L1313" s="336"/>
      <c r="M1313" s="336"/>
      <c r="N1313" s="336"/>
      <c r="O1313" s="336"/>
      <c r="P1313" s="336"/>
      <c r="Q1313" s="336"/>
      <c r="R1313" s="336"/>
      <c r="S1313" s="336"/>
      <c r="T1313" s="336"/>
      <c r="U1313" s="337"/>
      <c r="V1313" s="336"/>
    </row>
    <row r="1314" ht="15.75" customHeight="1">
      <c r="A1314" s="336"/>
      <c r="B1314" s="336"/>
      <c r="C1314" s="336"/>
      <c r="D1314" s="336"/>
      <c r="E1314" s="336"/>
      <c r="F1314" s="336"/>
      <c r="G1314" s="336"/>
      <c r="H1314" s="336"/>
      <c r="I1314" s="336"/>
      <c r="J1314" s="336"/>
      <c r="K1314" s="336"/>
      <c r="L1314" s="336"/>
      <c r="M1314" s="336"/>
      <c r="N1314" s="336"/>
      <c r="O1314" s="336"/>
      <c r="P1314" s="336"/>
      <c r="Q1314" s="336"/>
      <c r="R1314" s="336"/>
      <c r="S1314" s="336"/>
      <c r="T1314" s="336"/>
      <c r="U1314" s="337"/>
      <c r="V1314" s="336"/>
    </row>
    <row r="1315" ht="15.75" customHeight="1">
      <c r="A1315" s="336"/>
      <c r="B1315" s="336"/>
      <c r="C1315" s="336"/>
      <c r="D1315" s="336"/>
      <c r="E1315" s="336"/>
      <c r="F1315" s="336"/>
      <c r="G1315" s="336"/>
      <c r="H1315" s="336"/>
      <c r="I1315" s="336"/>
      <c r="J1315" s="336"/>
      <c r="K1315" s="336"/>
      <c r="L1315" s="336"/>
      <c r="M1315" s="336"/>
      <c r="N1315" s="336"/>
      <c r="O1315" s="336"/>
      <c r="P1315" s="336"/>
      <c r="Q1315" s="336"/>
      <c r="R1315" s="336"/>
      <c r="S1315" s="336"/>
      <c r="T1315" s="336"/>
      <c r="U1315" s="337"/>
      <c r="V1315" s="336"/>
    </row>
    <row r="1316" ht="15.75" customHeight="1">
      <c r="A1316" s="336"/>
      <c r="B1316" s="336"/>
      <c r="C1316" s="336"/>
      <c r="D1316" s="336"/>
      <c r="E1316" s="336"/>
      <c r="F1316" s="336"/>
      <c r="G1316" s="336"/>
      <c r="H1316" s="336"/>
      <c r="I1316" s="336"/>
      <c r="J1316" s="336"/>
      <c r="K1316" s="336"/>
      <c r="L1316" s="336"/>
      <c r="M1316" s="336"/>
      <c r="N1316" s="336"/>
      <c r="O1316" s="336"/>
      <c r="P1316" s="336"/>
      <c r="Q1316" s="336"/>
      <c r="R1316" s="336"/>
      <c r="S1316" s="336"/>
      <c r="T1316" s="336"/>
      <c r="U1316" s="337"/>
      <c r="V1316" s="336"/>
    </row>
    <row r="1317" ht="15.75" customHeight="1">
      <c r="A1317" s="336"/>
      <c r="B1317" s="336"/>
      <c r="C1317" s="336"/>
      <c r="D1317" s="336"/>
      <c r="E1317" s="336"/>
      <c r="F1317" s="336"/>
      <c r="G1317" s="336"/>
      <c r="H1317" s="336"/>
      <c r="I1317" s="336"/>
      <c r="J1317" s="336"/>
      <c r="K1317" s="336"/>
      <c r="L1317" s="336"/>
      <c r="M1317" s="336"/>
      <c r="N1317" s="336"/>
      <c r="O1317" s="336"/>
      <c r="P1317" s="336"/>
      <c r="Q1317" s="336"/>
      <c r="R1317" s="336"/>
      <c r="S1317" s="336"/>
      <c r="T1317" s="336"/>
      <c r="U1317" s="337"/>
      <c r="V1317" s="336"/>
    </row>
    <row r="1318" ht="15.75" customHeight="1">
      <c r="A1318" s="336"/>
      <c r="B1318" s="336"/>
      <c r="C1318" s="336"/>
      <c r="D1318" s="336"/>
      <c r="E1318" s="336"/>
      <c r="F1318" s="336"/>
      <c r="G1318" s="336"/>
      <c r="H1318" s="336"/>
      <c r="I1318" s="336"/>
      <c r="J1318" s="336"/>
      <c r="K1318" s="336"/>
      <c r="L1318" s="336"/>
      <c r="M1318" s="336"/>
      <c r="N1318" s="336"/>
      <c r="O1318" s="336"/>
      <c r="P1318" s="336"/>
      <c r="Q1318" s="336"/>
      <c r="R1318" s="336"/>
      <c r="S1318" s="336"/>
      <c r="T1318" s="336"/>
      <c r="U1318" s="337"/>
      <c r="V1318" s="336"/>
    </row>
    <row r="1319" ht="15.75" customHeight="1">
      <c r="A1319" s="336"/>
      <c r="B1319" s="336"/>
      <c r="C1319" s="336"/>
      <c r="D1319" s="336"/>
      <c r="E1319" s="336"/>
      <c r="F1319" s="336"/>
      <c r="G1319" s="336"/>
      <c r="H1319" s="336"/>
      <c r="I1319" s="336"/>
      <c r="J1319" s="336"/>
      <c r="K1319" s="336"/>
      <c r="L1319" s="336"/>
      <c r="M1319" s="336"/>
      <c r="N1319" s="336"/>
      <c r="O1319" s="336"/>
      <c r="P1319" s="336"/>
      <c r="Q1319" s="336"/>
      <c r="R1319" s="336"/>
      <c r="S1319" s="336"/>
      <c r="T1319" s="336"/>
      <c r="U1319" s="337"/>
      <c r="V1319" s="336"/>
    </row>
    <row r="1320" ht="15.75" customHeight="1">
      <c r="A1320" s="336"/>
      <c r="B1320" s="336"/>
      <c r="C1320" s="336"/>
      <c r="D1320" s="336"/>
      <c r="E1320" s="336"/>
      <c r="F1320" s="336"/>
      <c r="G1320" s="336"/>
      <c r="H1320" s="336"/>
      <c r="I1320" s="336"/>
      <c r="J1320" s="336"/>
      <c r="K1320" s="336"/>
      <c r="L1320" s="336"/>
      <c r="M1320" s="336"/>
      <c r="N1320" s="336"/>
      <c r="O1320" s="336"/>
      <c r="P1320" s="336"/>
      <c r="Q1320" s="336"/>
      <c r="R1320" s="336"/>
      <c r="S1320" s="336"/>
      <c r="T1320" s="336"/>
      <c r="U1320" s="337"/>
      <c r="V1320" s="336"/>
    </row>
    <row r="1321" ht="15.75" customHeight="1">
      <c r="A1321" s="336"/>
      <c r="B1321" s="336"/>
      <c r="C1321" s="336"/>
      <c r="D1321" s="336"/>
      <c r="E1321" s="336"/>
      <c r="F1321" s="336"/>
      <c r="G1321" s="336"/>
      <c r="H1321" s="336"/>
      <c r="I1321" s="336"/>
      <c r="J1321" s="336"/>
      <c r="K1321" s="336"/>
      <c r="L1321" s="336"/>
      <c r="M1321" s="336"/>
      <c r="N1321" s="336"/>
      <c r="O1321" s="336"/>
      <c r="P1321" s="336"/>
      <c r="Q1321" s="336"/>
      <c r="R1321" s="336"/>
      <c r="S1321" s="336"/>
      <c r="T1321" s="336"/>
      <c r="U1321" s="337"/>
      <c r="V1321" s="336"/>
    </row>
    <row r="1322" ht="15.75" customHeight="1">
      <c r="A1322" s="336"/>
      <c r="B1322" s="336"/>
      <c r="C1322" s="336"/>
      <c r="D1322" s="336"/>
      <c r="E1322" s="336"/>
      <c r="F1322" s="336"/>
      <c r="G1322" s="336"/>
      <c r="H1322" s="336"/>
      <c r="I1322" s="336"/>
      <c r="J1322" s="336"/>
      <c r="K1322" s="336"/>
      <c r="L1322" s="336"/>
      <c r="M1322" s="336"/>
      <c r="N1322" s="336"/>
      <c r="O1322" s="336"/>
      <c r="P1322" s="336"/>
      <c r="Q1322" s="336"/>
      <c r="R1322" s="336"/>
      <c r="S1322" s="336"/>
      <c r="T1322" s="336"/>
      <c r="U1322" s="337"/>
      <c r="V1322" s="336"/>
    </row>
    <row r="1323" ht="15.75" customHeight="1">
      <c r="A1323" s="336"/>
      <c r="B1323" s="336"/>
      <c r="C1323" s="336"/>
      <c r="D1323" s="336"/>
      <c r="E1323" s="336"/>
      <c r="F1323" s="336"/>
      <c r="G1323" s="336"/>
      <c r="H1323" s="336"/>
      <c r="I1323" s="336"/>
      <c r="J1323" s="336"/>
      <c r="K1323" s="336"/>
      <c r="L1323" s="336"/>
      <c r="M1323" s="336"/>
      <c r="N1323" s="336"/>
      <c r="O1323" s="336"/>
      <c r="P1323" s="336"/>
      <c r="Q1323" s="336"/>
      <c r="R1323" s="336"/>
      <c r="S1323" s="336"/>
      <c r="T1323" s="336"/>
      <c r="U1323" s="337"/>
      <c r="V1323" s="336"/>
    </row>
    <row r="1324" ht="15.75" customHeight="1">
      <c r="A1324" s="336"/>
      <c r="B1324" s="336"/>
      <c r="C1324" s="336"/>
      <c r="D1324" s="336"/>
      <c r="E1324" s="336"/>
      <c r="F1324" s="336"/>
      <c r="G1324" s="336"/>
      <c r="H1324" s="336"/>
      <c r="I1324" s="336"/>
      <c r="J1324" s="336"/>
      <c r="K1324" s="336"/>
      <c r="L1324" s="336"/>
      <c r="M1324" s="336"/>
      <c r="N1324" s="336"/>
      <c r="O1324" s="336"/>
      <c r="P1324" s="336"/>
      <c r="Q1324" s="336"/>
      <c r="R1324" s="336"/>
      <c r="S1324" s="336"/>
      <c r="T1324" s="336"/>
      <c r="U1324" s="337"/>
      <c r="V1324" s="336"/>
    </row>
    <row r="1325" ht="15.75" customHeight="1">
      <c r="A1325" s="336"/>
      <c r="B1325" s="336"/>
      <c r="C1325" s="336"/>
      <c r="D1325" s="336"/>
      <c r="E1325" s="336"/>
      <c r="F1325" s="336"/>
      <c r="G1325" s="336"/>
      <c r="H1325" s="336"/>
      <c r="I1325" s="336"/>
      <c r="J1325" s="336"/>
      <c r="K1325" s="336"/>
      <c r="L1325" s="336"/>
      <c r="M1325" s="336"/>
      <c r="N1325" s="336"/>
      <c r="O1325" s="336"/>
      <c r="P1325" s="336"/>
      <c r="Q1325" s="336"/>
      <c r="R1325" s="336"/>
      <c r="S1325" s="336"/>
      <c r="T1325" s="336"/>
      <c r="U1325" s="337"/>
      <c r="V1325" s="336"/>
    </row>
    <row r="1326" ht="15.75" customHeight="1">
      <c r="A1326" s="336"/>
      <c r="B1326" s="336"/>
      <c r="C1326" s="336"/>
      <c r="D1326" s="336"/>
      <c r="E1326" s="336"/>
      <c r="F1326" s="336"/>
      <c r="G1326" s="336"/>
      <c r="H1326" s="336"/>
      <c r="I1326" s="336"/>
      <c r="J1326" s="336"/>
      <c r="K1326" s="336"/>
      <c r="L1326" s="336"/>
      <c r="M1326" s="336"/>
      <c r="N1326" s="336"/>
      <c r="O1326" s="336"/>
      <c r="P1326" s="336"/>
      <c r="Q1326" s="336"/>
      <c r="R1326" s="336"/>
      <c r="S1326" s="336"/>
      <c r="T1326" s="336"/>
      <c r="U1326" s="337"/>
      <c r="V1326" s="336"/>
    </row>
    <row r="1327" ht="15.75" customHeight="1">
      <c r="A1327" s="336"/>
      <c r="B1327" s="336"/>
      <c r="C1327" s="336"/>
      <c r="D1327" s="336"/>
      <c r="E1327" s="336"/>
      <c r="F1327" s="336"/>
      <c r="G1327" s="336"/>
      <c r="H1327" s="336"/>
      <c r="I1327" s="336"/>
      <c r="J1327" s="336"/>
      <c r="K1327" s="336"/>
      <c r="L1327" s="336"/>
      <c r="M1327" s="336"/>
      <c r="N1327" s="336"/>
      <c r="O1327" s="336"/>
      <c r="P1327" s="336"/>
      <c r="Q1327" s="336"/>
      <c r="R1327" s="336"/>
      <c r="S1327" s="336"/>
      <c r="T1327" s="336"/>
      <c r="U1327" s="337"/>
      <c r="V1327" s="336"/>
    </row>
    <row r="1328" ht="15.75" customHeight="1">
      <c r="A1328" s="336"/>
      <c r="B1328" s="336"/>
      <c r="C1328" s="336"/>
      <c r="D1328" s="336"/>
      <c r="E1328" s="336"/>
      <c r="F1328" s="336"/>
      <c r="G1328" s="336"/>
      <c r="H1328" s="336"/>
      <c r="I1328" s="336"/>
      <c r="J1328" s="336"/>
      <c r="K1328" s="336"/>
      <c r="L1328" s="336"/>
      <c r="M1328" s="336"/>
      <c r="N1328" s="336"/>
      <c r="O1328" s="336"/>
      <c r="P1328" s="336"/>
      <c r="Q1328" s="336"/>
      <c r="R1328" s="336"/>
      <c r="S1328" s="336"/>
      <c r="T1328" s="336"/>
      <c r="U1328" s="337"/>
      <c r="V1328" s="336"/>
    </row>
    <row r="1329" ht="15.75" customHeight="1">
      <c r="A1329" s="336"/>
      <c r="B1329" s="336"/>
      <c r="C1329" s="336"/>
      <c r="D1329" s="336"/>
      <c r="E1329" s="336"/>
      <c r="F1329" s="336"/>
      <c r="G1329" s="336"/>
      <c r="H1329" s="336"/>
      <c r="I1329" s="336"/>
      <c r="J1329" s="336"/>
      <c r="K1329" s="336"/>
      <c r="L1329" s="336"/>
      <c r="M1329" s="336"/>
      <c r="N1329" s="336"/>
      <c r="O1329" s="336"/>
      <c r="P1329" s="336"/>
      <c r="Q1329" s="336"/>
      <c r="R1329" s="336"/>
      <c r="S1329" s="336"/>
      <c r="T1329" s="336"/>
      <c r="U1329" s="337"/>
      <c r="V1329" s="336"/>
    </row>
    <row r="1330" ht="15.75" customHeight="1">
      <c r="A1330" s="336"/>
      <c r="B1330" s="336"/>
      <c r="C1330" s="336"/>
      <c r="D1330" s="336"/>
      <c r="E1330" s="336"/>
      <c r="F1330" s="336"/>
      <c r="G1330" s="336"/>
      <c r="H1330" s="336"/>
      <c r="I1330" s="336"/>
      <c r="J1330" s="336"/>
      <c r="K1330" s="336"/>
      <c r="L1330" s="336"/>
      <c r="M1330" s="336"/>
      <c r="N1330" s="336"/>
      <c r="O1330" s="336"/>
      <c r="P1330" s="336"/>
      <c r="Q1330" s="336"/>
      <c r="R1330" s="336"/>
      <c r="S1330" s="336"/>
      <c r="T1330" s="336"/>
      <c r="U1330" s="337"/>
      <c r="V1330" s="336"/>
    </row>
    <row r="1331" ht="15.75" customHeight="1">
      <c r="A1331" s="336"/>
      <c r="B1331" s="336"/>
      <c r="C1331" s="336"/>
      <c r="D1331" s="336"/>
      <c r="E1331" s="336"/>
      <c r="F1331" s="336"/>
      <c r="G1331" s="336"/>
      <c r="H1331" s="336"/>
      <c r="I1331" s="336"/>
      <c r="J1331" s="336"/>
      <c r="K1331" s="336"/>
      <c r="L1331" s="336"/>
      <c r="M1331" s="336"/>
      <c r="N1331" s="336"/>
      <c r="O1331" s="336"/>
      <c r="P1331" s="336"/>
      <c r="Q1331" s="336"/>
      <c r="R1331" s="336"/>
      <c r="S1331" s="336"/>
      <c r="T1331" s="336"/>
      <c r="U1331" s="337"/>
      <c r="V1331" s="336"/>
    </row>
    <row r="1332" ht="15.75" customHeight="1">
      <c r="A1332" s="336"/>
      <c r="B1332" s="336"/>
      <c r="C1332" s="336"/>
      <c r="D1332" s="336"/>
      <c r="E1332" s="336"/>
      <c r="F1332" s="336"/>
      <c r="G1332" s="336"/>
      <c r="H1332" s="336"/>
      <c r="I1332" s="336"/>
      <c r="J1332" s="336"/>
      <c r="K1332" s="336"/>
      <c r="L1332" s="336"/>
      <c r="M1332" s="336"/>
      <c r="N1332" s="336"/>
      <c r="O1332" s="336"/>
      <c r="P1332" s="336"/>
      <c r="Q1332" s="336"/>
      <c r="R1332" s="336"/>
      <c r="S1332" s="336"/>
      <c r="T1332" s="336"/>
      <c r="U1332" s="337"/>
      <c r="V1332" s="336"/>
    </row>
    <row r="1333" ht="15.75" customHeight="1">
      <c r="A1333" s="336"/>
      <c r="B1333" s="336"/>
      <c r="C1333" s="336"/>
      <c r="D1333" s="336"/>
      <c r="E1333" s="336"/>
      <c r="F1333" s="336"/>
      <c r="G1333" s="336"/>
      <c r="H1333" s="336"/>
      <c r="I1333" s="336"/>
      <c r="J1333" s="336"/>
      <c r="K1333" s="336"/>
      <c r="L1333" s="336"/>
      <c r="M1333" s="336"/>
      <c r="N1333" s="336"/>
      <c r="O1333" s="336"/>
      <c r="P1333" s="336"/>
      <c r="Q1333" s="336"/>
      <c r="R1333" s="336"/>
      <c r="S1333" s="336"/>
      <c r="T1333" s="336"/>
      <c r="U1333" s="337"/>
      <c r="V1333" s="336"/>
    </row>
    <row r="1334" ht="15.75" customHeight="1">
      <c r="A1334" s="336"/>
      <c r="B1334" s="336"/>
      <c r="C1334" s="336"/>
      <c r="D1334" s="336"/>
      <c r="E1334" s="336"/>
      <c r="F1334" s="336"/>
      <c r="G1334" s="336"/>
      <c r="H1334" s="336"/>
      <c r="I1334" s="336"/>
      <c r="J1334" s="336"/>
      <c r="K1334" s="336"/>
      <c r="L1334" s="336"/>
      <c r="M1334" s="336"/>
      <c r="N1334" s="336"/>
      <c r="O1334" s="336"/>
      <c r="P1334" s="336"/>
      <c r="Q1334" s="336"/>
      <c r="R1334" s="336"/>
      <c r="S1334" s="336"/>
      <c r="T1334" s="336"/>
      <c r="U1334" s="337"/>
      <c r="V1334" s="336"/>
    </row>
    <row r="1335" ht="15.75" customHeight="1">
      <c r="A1335" s="336"/>
      <c r="B1335" s="336"/>
      <c r="C1335" s="336"/>
      <c r="D1335" s="336"/>
      <c r="E1335" s="336"/>
      <c r="F1335" s="336"/>
      <c r="G1335" s="336"/>
      <c r="H1335" s="336"/>
      <c r="I1335" s="336"/>
      <c r="J1335" s="336"/>
      <c r="K1335" s="336"/>
      <c r="L1335" s="336"/>
      <c r="M1335" s="336"/>
      <c r="N1335" s="336"/>
      <c r="O1335" s="336"/>
      <c r="P1335" s="336"/>
      <c r="Q1335" s="336"/>
      <c r="R1335" s="336"/>
      <c r="S1335" s="336"/>
      <c r="T1335" s="336"/>
      <c r="U1335" s="337"/>
      <c r="V1335" s="336"/>
    </row>
    <row r="1336" ht="15.75" customHeight="1">
      <c r="A1336" s="336"/>
      <c r="B1336" s="336"/>
      <c r="C1336" s="336"/>
      <c r="D1336" s="336"/>
      <c r="E1336" s="336"/>
      <c r="F1336" s="336"/>
      <c r="G1336" s="336"/>
      <c r="H1336" s="336"/>
      <c r="I1336" s="336"/>
      <c r="J1336" s="336"/>
      <c r="K1336" s="336"/>
      <c r="L1336" s="336"/>
      <c r="M1336" s="336"/>
      <c r="N1336" s="336"/>
      <c r="O1336" s="336"/>
      <c r="P1336" s="336"/>
      <c r="Q1336" s="336"/>
      <c r="R1336" s="336"/>
      <c r="S1336" s="336"/>
      <c r="T1336" s="336"/>
      <c r="U1336" s="337"/>
      <c r="V1336" s="336"/>
    </row>
    <row r="1337" ht="15.75" customHeight="1">
      <c r="A1337" s="336"/>
      <c r="B1337" s="336"/>
      <c r="C1337" s="336"/>
      <c r="D1337" s="336"/>
      <c r="E1337" s="336"/>
      <c r="F1337" s="336"/>
      <c r="G1337" s="336"/>
      <c r="H1337" s="336"/>
      <c r="I1337" s="336"/>
      <c r="J1337" s="336"/>
      <c r="K1337" s="336"/>
      <c r="L1337" s="336"/>
      <c r="M1337" s="336"/>
      <c r="N1337" s="336"/>
      <c r="O1337" s="336"/>
      <c r="P1337" s="336"/>
      <c r="Q1337" s="336"/>
      <c r="R1337" s="336"/>
      <c r="S1337" s="336"/>
      <c r="T1337" s="336"/>
      <c r="U1337" s="337"/>
      <c r="V1337" s="336"/>
    </row>
    <row r="1338" ht="15.75" customHeight="1">
      <c r="A1338" s="336"/>
      <c r="B1338" s="336"/>
      <c r="C1338" s="336"/>
      <c r="D1338" s="336"/>
      <c r="E1338" s="336"/>
      <c r="F1338" s="336"/>
      <c r="G1338" s="336"/>
      <c r="H1338" s="336"/>
      <c r="I1338" s="336"/>
      <c r="J1338" s="336"/>
      <c r="K1338" s="336"/>
      <c r="L1338" s="336"/>
      <c r="M1338" s="336"/>
      <c r="N1338" s="336"/>
      <c r="O1338" s="336"/>
      <c r="P1338" s="336"/>
      <c r="Q1338" s="336"/>
      <c r="R1338" s="336"/>
      <c r="S1338" s="336"/>
      <c r="T1338" s="336"/>
      <c r="U1338" s="337"/>
      <c r="V1338" s="336"/>
    </row>
    <row r="1339" ht="15.75" customHeight="1">
      <c r="A1339" s="336"/>
      <c r="B1339" s="336"/>
      <c r="C1339" s="336"/>
      <c r="D1339" s="336"/>
      <c r="E1339" s="336"/>
      <c r="F1339" s="336"/>
      <c r="G1339" s="336"/>
      <c r="H1339" s="336"/>
      <c r="I1339" s="336"/>
      <c r="J1339" s="336"/>
      <c r="K1339" s="336"/>
      <c r="L1339" s="336"/>
      <c r="M1339" s="336"/>
      <c r="N1339" s="336"/>
      <c r="O1339" s="336"/>
      <c r="P1339" s="336"/>
      <c r="Q1339" s="336"/>
      <c r="R1339" s="336"/>
      <c r="S1339" s="336"/>
      <c r="T1339" s="336"/>
      <c r="U1339" s="337"/>
      <c r="V1339" s="336"/>
    </row>
    <row r="1340" ht="15.75" customHeight="1">
      <c r="A1340" s="336"/>
      <c r="B1340" s="336"/>
      <c r="C1340" s="336"/>
      <c r="D1340" s="336"/>
      <c r="E1340" s="336"/>
      <c r="F1340" s="336"/>
      <c r="G1340" s="336"/>
      <c r="H1340" s="336"/>
      <c r="I1340" s="336"/>
      <c r="J1340" s="336"/>
      <c r="K1340" s="336"/>
      <c r="L1340" s="336"/>
      <c r="M1340" s="336"/>
      <c r="N1340" s="336"/>
      <c r="O1340" s="336"/>
      <c r="P1340" s="336"/>
      <c r="Q1340" s="336"/>
      <c r="R1340" s="336"/>
      <c r="S1340" s="336"/>
      <c r="T1340" s="336"/>
      <c r="U1340" s="337"/>
      <c r="V1340" s="336"/>
    </row>
    <row r="1341" ht="15.75" customHeight="1">
      <c r="A1341" s="336"/>
      <c r="B1341" s="336"/>
      <c r="C1341" s="336"/>
      <c r="D1341" s="336"/>
      <c r="E1341" s="336"/>
      <c r="F1341" s="336"/>
      <c r="G1341" s="336"/>
      <c r="H1341" s="336"/>
      <c r="I1341" s="336"/>
      <c r="J1341" s="336"/>
      <c r="K1341" s="336"/>
      <c r="L1341" s="336"/>
      <c r="M1341" s="336"/>
      <c r="N1341" s="336"/>
      <c r="O1341" s="336"/>
      <c r="P1341" s="336"/>
      <c r="Q1341" s="336"/>
      <c r="R1341" s="336"/>
      <c r="S1341" s="336"/>
      <c r="T1341" s="336"/>
      <c r="U1341" s="337"/>
      <c r="V1341" s="336"/>
    </row>
    <row r="1342" ht="15.75" customHeight="1">
      <c r="A1342" s="336"/>
      <c r="B1342" s="336"/>
      <c r="C1342" s="336"/>
      <c r="D1342" s="336"/>
      <c r="E1342" s="336"/>
      <c r="F1342" s="336"/>
      <c r="G1342" s="336"/>
      <c r="H1342" s="336"/>
      <c r="I1342" s="336"/>
      <c r="J1342" s="336"/>
      <c r="K1342" s="336"/>
      <c r="L1342" s="336"/>
      <c r="M1342" s="336"/>
      <c r="N1342" s="336"/>
      <c r="O1342" s="336"/>
      <c r="P1342" s="336"/>
      <c r="Q1342" s="336"/>
      <c r="R1342" s="336"/>
      <c r="S1342" s="336"/>
      <c r="T1342" s="336"/>
      <c r="U1342" s="337"/>
      <c r="V1342" s="336"/>
    </row>
    <row r="1343" ht="15.75" customHeight="1">
      <c r="A1343" s="336"/>
      <c r="B1343" s="336"/>
      <c r="C1343" s="336"/>
      <c r="D1343" s="336"/>
      <c r="E1343" s="336"/>
      <c r="F1343" s="336"/>
      <c r="G1343" s="336"/>
      <c r="H1343" s="336"/>
      <c r="I1343" s="336"/>
      <c r="J1343" s="336"/>
      <c r="K1343" s="336"/>
      <c r="L1343" s="336"/>
      <c r="M1343" s="336"/>
      <c r="N1343" s="336"/>
      <c r="O1343" s="336"/>
      <c r="P1343" s="336"/>
      <c r="Q1343" s="336"/>
      <c r="R1343" s="336"/>
      <c r="S1343" s="336"/>
      <c r="T1343" s="336"/>
      <c r="U1343" s="337"/>
      <c r="V1343" s="336"/>
    </row>
    <row r="1344" ht="15.75" customHeight="1">
      <c r="A1344" s="336"/>
      <c r="B1344" s="336"/>
      <c r="C1344" s="336"/>
      <c r="D1344" s="336"/>
      <c r="E1344" s="336"/>
      <c r="F1344" s="336"/>
      <c r="G1344" s="336"/>
      <c r="H1344" s="336"/>
      <c r="I1344" s="336"/>
      <c r="J1344" s="336"/>
      <c r="K1344" s="336"/>
      <c r="L1344" s="336"/>
      <c r="M1344" s="336"/>
      <c r="N1344" s="336"/>
      <c r="O1344" s="336"/>
      <c r="P1344" s="336"/>
      <c r="Q1344" s="336"/>
      <c r="R1344" s="336"/>
      <c r="S1344" s="336"/>
      <c r="T1344" s="336"/>
      <c r="U1344" s="337"/>
      <c r="V1344" s="336"/>
    </row>
    <row r="1345" ht="15.75" customHeight="1">
      <c r="A1345" s="336"/>
      <c r="B1345" s="336"/>
      <c r="C1345" s="336"/>
      <c r="D1345" s="336"/>
      <c r="E1345" s="336"/>
      <c r="F1345" s="336"/>
      <c r="G1345" s="336"/>
      <c r="H1345" s="336"/>
      <c r="I1345" s="336"/>
      <c r="J1345" s="336"/>
      <c r="K1345" s="336"/>
      <c r="L1345" s="336"/>
      <c r="M1345" s="336"/>
      <c r="N1345" s="336"/>
      <c r="O1345" s="336"/>
      <c r="P1345" s="336"/>
      <c r="Q1345" s="336"/>
      <c r="R1345" s="336"/>
      <c r="S1345" s="336"/>
      <c r="T1345" s="336"/>
      <c r="U1345" s="337"/>
      <c r="V1345" s="336"/>
    </row>
    <row r="1346" ht="15.75" customHeight="1">
      <c r="A1346" s="336"/>
      <c r="B1346" s="336"/>
      <c r="C1346" s="336"/>
      <c r="D1346" s="336"/>
      <c r="E1346" s="336"/>
      <c r="F1346" s="336"/>
      <c r="G1346" s="336"/>
      <c r="H1346" s="336"/>
      <c r="I1346" s="336"/>
      <c r="J1346" s="336"/>
      <c r="K1346" s="336"/>
      <c r="L1346" s="336"/>
      <c r="M1346" s="336"/>
      <c r="N1346" s="336"/>
      <c r="O1346" s="336"/>
      <c r="P1346" s="336"/>
      <c r="Q1346" s="336"/>
      <c r="R1346" s="336"/>
      <c r="S1346" s="336"/>
      <c r="T1346" s="336"/>
      <c r="U1346" s="337"/>
      <c r="V1346" s="336"/>
    </row>
    <row r="1347" ht="15.75" customHeight="1">
      <c r="A1347" s="336"/>
      <c r="B1347" s="336"/>
      <c r="C1347" s="336"/>
      <c r="D1347" s="336"/>
      <c r="E1347" s="336"/>
      <c r="F1347" s="336"/>
      <c r="G1347" s="336"/>
      <c r="H1347" s="336"/>
      <c r="I1347" s="336"/>
      <c r="J1347" s="336"/>
      <c r="K1347" s="336"/>
      <c r="L1347" s="336"/>
      <c r="M1347" s="336"/>
      <c r="N1347" s="336"/>
      <c r="O1347" s="336"/>
      <c r="P1347" s="336"/>
      <c r="Q1347" s="336"/>
      <c r="R1347" s="336"/>
      <c r="S1347" s="336"/>
      <c r="T1347" s="336"/>
      <c r="U1347" s="337"/>
      <c r="V1347" s="336"/>
    </row>
    <row r="1348" ht="15.75" customHeight="1">
      <c r="A1348" s="336"/>
      <c r="B1348" s="336"/>
      <c r="C1348" s="336"/>
      <c r="D1348" s="336"/>
      <c r="E1348" s="336"/>
      <c r="F1348" s="336"/>
      <c r="G1348" s="336"/>
      <c r="H1348" s="336"/>
      <c r="I1348" s="336"/>
      <c r="J1348" s="336"/>
      <c r="K1348" s="336"/>
      <c r="L1348" s="336"/>
      <c r="M1348" s="336"/>
      <c r="N1348" s="336"/>
      <c r="O1348" s="336"/>
      <c r="P1348" s="336"/>
      <c r="Q1348" s="336"/>
      <c r="R1348" s="336"/>
      <c r="S1348" s="336"/>
      <c r="T1348" s="336"/>
      <c r="U1348" s="337"/>
      <c r="V1348" s="336"/>
    </row>
    <row r="1349" ht="15.75" customHeight="1">
      <c r="A1349" s="336"/>
      <c r="B1349" s="336"/>
      <c r="C1349" s="336"/>
      <c r="D1349" s="336"/>
      <c r="E1349" s="336"/>
      <c r="F1349" s="336"/>
      <c r="G1349" s="336"/>
      <c r="H1349" s="336"/>
      <c r="I1349" s="336"/>
      <c r="J1349" s="336"/>
      <c r="K1349" s="336"/>
      <c r="L1349" s="336"/>
      <c r="M1349" s="336"/>
      <c r="N1349" s="336"/>
      <c r="O1349" s="336"/>
      <c r="P1349" s="336"/>
      <c r="Q1349" s="336"/>
      <c r="R1349" s="336"/>
      <c r="S1349" s="336"/>
      <c r="T1349" s="336"/>
      <c r="U1349" s="337"/>
      <c r="V1349" s="336"/>
    </row>
    <row r="1350" ht="15.75" customHeight="1">
      <c r="A1350" s="336"/>
      <c r="B1350" s="336"/>
      <c r="C1350" s="336"/>
      <c r="D1350" s="336"/>
      <c r="E1350" s="336"/>
      <c r="F1350" s="336"/>
      <c r="G1350" s="336"/>
      <c r="H1350" s="336"/>
      <c r="I1350" s="336"/>
      <c r="J1350" s="336"/>
      <c r="K1350" s="336"/>
      <c r="L1350" s="336"/>
      <c r="M1350" s="336"/>
      <c r="N1350" s="336"/>
      <c r="O1350" s="336"/>
      <c r="P1350" s="336"/>
      <c r="Q1350" s="336"/>
      <c r="R1350" s="336"/>
      <c r="S1350" s="336"/>
      <c r="T1350" s="336"/>
      <c r="U1350" s="337"/>
      <c r="V1350" s="336"/>
    </row>
    <row r="1351" ht="15.75" customHeight="1">
      <c r="A1351" s="336"/>
      <c r="B1351" s="336"/>
      <c r="C1351" s="336"/>
      <c r="D1351" s="336"/>
      <c r="E1351" s="336"/>
      <c r="F1351" s="336"/>
      <c r="G1351" s="336"/>
      <c r="H1351" s="336"/>
      <c r="I1351" s="336"/>
      <c r="J1351" s="336"/>
      <c r="K1351" s="336"/>
      <c r="L1351" s="336"/>
      <c r="M1351" s="336"/>
      <c r="N1351" s="336"/>
      <c r="O1351" s="336"/>
      <c r="P1351" s="336"/>
      <c r="Q1351" s="336"/>
      <c r="R1351" s="336"/>
      <c r="S1351" s="336"/>
      <c r="T1351" s="336"/>
      <c r="U1351" s="337"/>
      <c r="V1351" s="336"/>
    </row>
    <row r="1352" ht="15.75" customHeight="1">
      <c r="A1352" s="336"/>
      <c r="B1352" s="336"/>
      <c r="C1352" s="336"/>
      <c r="D1352" s="336"/>
      <c r="E1352" s="336"/>
      <c r="F1352" s="336"/>
      <c r="G1352" s="336"/>
      <c r="H1352" s="336"/>
      <c r="I1352" s="336"/>
      <c r="J1352" s="336"/>
      <c r="K1352" s="336"/>
      <c r="L1352" s="336"/>
      <c r="M1352" s="336"/>
      <c r="N1352" s="336"/>
      <c r="O1352" s="336"/>
      <c r="P1352" s="336"/>
      <c r="Q1352" s="336"/>
      <c r="R1352" s="336"/>
      <c r="S1352" s="336"/>
      <c r="T1352" s="336"/>
      <c r="U1352" s="337"/>
      <c r="V1352" s="336"/>
    </row>
    <row r="1353" ht="15.75" customHeight="1">
      <c r="A1353" s="336"/>
      <c r="B1353" s="336"/>
      <c r="C1353" s="336"/>
      <c r="D1353" s="336"/>
      <c r="E1353" s="336"/>
      <c r="F1353" s="336"/>
      <c r="G1353" s="336"/>
      <c r="H1353" s="336"/>
      <c r="I1353" s="336"/>
      <c r="J1353" s="336"/>
      <c r="K1353" s="336"/>
      <c r="L1353" s="336"/>
      <c r="M1353" s="336"/>
      <c r="N1353" s="336"/>
      <c r="O1353" s="336"/>
      <c r="P1353" s="336"/>
      <c r="Q1353" s="336"/>
      <c r="R1353" s="336"/>
      <c r="S1353" s="336"/>
      <c r="T1353" s="336"/>
      <c r="U1353" s="337"/>
      <c r="V1353" s="336"/>
    </row>
    <row r="1354" ht="15.75" customHeight="1">
      <c r="A1354" s="336"/>
      <c r="B1354" s="336"/>
      <c r="C1354" s="336"/>
      <c r="D1354" s="336"/>
      <c r="E1354" s="336"/>
      <c r="F1354" s="336"/>
      <c r="G1354" s="336"/>
      <c r="H1354" s="336"/>
      <c r="I1354" s="336"/>
      <c r="J1354" s="336"/>
      <c r="K1354" s="336"/>
      <c r="L1354" s="336"/>
      <c r="M1354" s="336"/>
      <c r="N1354" s="336"/>
      <c r="O1354" s="336"/>
      <c r="P1354" s="336"/>
      <c r="Q1354" s="336"/>
      <c r="R1354" s="336"/>
      <c r="S1354" s="336"/>
      <c r="T1354" s="336"/>
      <c r="U1354" s="337"/>
      <c r="V1354" s="336"/>
    </row>
    <row r="1355" ht="15.75" customHeight="1">
      <c r="A1355" s="336"/>
      <c r="B1355" s="336"/>
      <c r="C1355" s="336"/>
      <c r="D1355" s="336"/>
      <c r="E1355" s="336"/>
      <c r="F1355" s="336"/>
      <c r="G1355" s="336"/>
      <c r="H1355" s="336"/>
      <c r="I1355" s="336"/>
      <c r="J1355" s="336"/>
      <c r="K1355" s="336"/>
      <c r="L1355" s="336"/>
      <c r="M1355" s="336"/>
      <c r="N1355" s="336"/>
      <c r="O1355" s="336"/>
      <c r="P1355" s="336"/>
      <c r="Q1355" s="336"/>
      <c r="R1355" s="336"/>
      <c r="S1355" s="336"/>
      <c r="T1355" s="336"/>
      <c r="U1355" s="337"/>
      <c r="V1355" s="336"/>
    </row>
    <row r="1356" ht="15.75" customHeight="1">
      <c r="A1356" s="336"/>
      <c r="B1356" s="336"/>
      <c r="C1356" s="336"/>
      <c r="D1356" s="336"/>
      <c r="E1356" s="336"/>
      <c r="F1356" s="336"/>
      <c r="G1356" s="336"/>
      <c r="H1356" s="336"/>
      <c r="I1356" s="336"/>
      <c r="J1356" s="336"/>
      <c r="K1356" s="336"/>
      <c r="L1356" s="336"/>
      <c r="M1356" s="336"/>
      <c r="N1356" s="336"/>
      <c r="O1356" s="336"/>
      <c r="P1356" s="336"/>
      <c r="Q1356" s="336"/>
      <c r="R1356" s="336"/>
      <c r="S1356" s="336"/>
      <c r="T1356" s="336"/>
      <c r="U1356" s="337"/>
      <c r="V1356" s="336"/>
    </row>
    <row r="1357" ht="15.75" customHeight="1">
      <c r="A1357" s="336"/>
      <c r="B1357" s="336"/>
      <c r="C1357" s="336"/>
      <c r="D1357" s="336"/>
      <c r="E1357" s="336"/>
      <c r="F1357" s="336"/>
      <c r="G1357" s="336"/>
      <c r="H1357" s="336"/>
      <c r="I1357" s="336"/>
      <c r="J1357" s="336"/>
      <c r="K1357" s="336"/>
      <c r="L1357" s="336"/>
      <c r="M1357" s="336"/>
      <c r="N1357" s="336"/>
      <c r="O1357" s="336"/>
      <c r="P1357" s="336"/>
      <c r="Q1357" s="336"/>
      <c r="R1357" s="336"/>
      <c r="S1357" s="336"/>
      <c r="T1357" s="336"/>
      <c r="U1357" s="337"/>
      <c r="V1357" s="336"/>
    </row>
    <row r="1358" ht="15.75" customHeight="1">
      <c r="A1358" s="336"/>
      <c r="B1358" s="336"/>
      <c r="C1358" s="336"/>
      <c r="D1358" s="336"/>
      <c r="E1358" s="336"/>
      <c r="F1358" s="336"/>
      <c r="G1358" s="336"/>
      <c r="H1358" s="336"/>
      <c r="I1358" s="336"/>
      <c r="J1358" s="336"/>
      <c r="K1358" s="336"/>
      <c r="L1358" s="336"/>
      <c r="M1358" s="336"/>
      <c r="N1358" s="336"/>
      <c r="O1358" s="336"/>
      <c r="P1358" s="336"/>
      <c r="Q1358" s="336"/>
      <c r="R1358" s="336"/>
      <c r="S1358" s="336"/>
      <c r="T1358" s="336"/>
      <c r="U1358" s="337"/>
      <c r="V1358" s="336"/>
    </row>
    <row r="1359" ht="15.75" customHeight="1">
      <c r="A1359" s="336"/>
      <c r="B1359" s="336"/>
      <c r="C1359" s="336"/>
      <c r="D1359" s="336"/>
      <c r="E1359" s="336"/>
      <c r="F1359" s="336"/>
      <c r="G1359" s="336"/>
      <c r="H1359" s="336"/>
      <c r="I1359" s="336"/>
      <c r="J1359" s="336"/>
      <c r="K1359" s="336"/>
      <c r="L1359" s="336"/>
      <c r="M1359" s="336"/>
      <c r="N1359" s="336"/>
      <c r="O1359" s="336"/>
      <c r="P1359" s="336"/>
      <c r="Q1359" s="336"/>
      <c r="R1359" s="336"/>
      <c r="S1359" s="336"/>
      <c r="T1359" s="336"/>
      <c r="U1359" s="337"/>
      <c r="V1359" s="336"/>
    </row>
    <row r="1360" ht="15.75" customHeight="1">
      <c r="A1360" s="336"/>
      <c r="B1360" s="336"/>
      <c r="C1360" s="336"/>
      <c r="D1360" s="336"/>
      <c r="E1360" s="336"/>
      <c r="F1360" s="336"/>
      <c r="G1360" s="336"/>
      <c r="H1360" s="336"/>
      <c r="I1360" s="336"/>
      <c r="J1360" s="336"/>
      <c r="K1360" s="336"/>
      <c r="L1360" s="336"/>
      <c r="M1360" s="336"/>
      <c r="N1360" s="336"/>
      <c r="O1360" s="336"/>
      <c r="P1360" s="336"/>
      <c r="Q1360" s="336"/>
      <c r="R1360" s="336"/>
      <c r="S1360" s="336"/>
      <c r="T1360" s="336"/>
      <c r="U1360" s="337"/>
      <c r="V1360" s="336"/>
    </row>
    <row r="1361" ht="15.75" customHeight="1">
      <c r="A1361" s="336"/>
      <c r="B1361" s="336"/>
      <c r="C1361" s="336"/>
      <c r="D1361" s="336"/>
      <c r="E1361" s="336"/>
      <c r="F1361" s="336"/>
      <c r="G1361" s="336"/>
      <c r="H1361" s="336"/>
      <c r="I1361" s="336"/>
      <c r="J1361" s="336"/>
      <c r="K1361" s="336"/>
      <c r="L1361" s="336"/>
      <c r="M1361" s="336"/>
      <c r="N1361" s="336"/>
      <c r="O1361" s="336"/>
      <c r="P1361" s="336"/>
      <c r="Q1361" s="336"/>
      <c r="R1361" s="336"/>
      <c r="S1361" s="336"/>
      <c r="T1361" s="336"/>
      <c r="U1361" s="337"/>
      <c r="V1361" s="336"/>
    </row>
    <row r="1362" ht="15.75" customHeight="1">
      <c r="A1362" s="336"/>
      <c r="B1362" s="336"/>
      <c r="C1362" s="336"/>
      <c r="D1362" s="336"/>
      <c r="E1362" s="336"/>
      <c r="F1362" s="336"/>
      <c r="G1362" s="336"/>
      <c r="H1362" s="336"/>
      <c r="I1362" s="336"/>
      <c r="J1362" s="336"/>
      <c r="K1362" s="336"/>
      <c r="L1362" s="336"/>
      <c r="M1362" s="336"/>
      <c r="N1362" s="336"/>
      <c r="O1362" s="336"/>
      <c r="P1362" s="336"/>
      <c r="Q1362" s="336"/>
      <c r="R1362" s="336"/>
      <c r="S1362" s="336"/>
      <c r="T1362" s="336"/>
      <c r="U1362" s="337"/>
      <c r="V1362" s="336"/>
    </row>
    <row r="1363" ht="15.75" customHeight="1">
      <c r="A1363" s="336"/>
      <c r="B1363" s="336"/>
      <c r="C1363" s="336"/>
      <c r="D1363" s="336"/>
      <c r="E1363" s="336"/>
      <c r="F1363" s="336"/>
      <c r="G1363" s="336"/>
      <c r="H1363" s="336"/>
      <c r="I1363" s="336"/>
      <c r="J1363" s="336"/>
      <c r="K1363" s="336"/>
      <c r="L1363" s="336"/>
      <c r="M1363" s="336"/>
      <c r="N1363" s="336"/>
      <c r="O1363" s="336"/>
      <c r="P1363" s="336"/>
      <c r="Q1363" s="336"/>
      <c r="R1363" s="336"/>
      <c r="S1363" s="336"/>
      <c r="T1363" s="336"/>
      <c r="U1363" s="337"/>
      <c r="V1363" s="336"/>
    </row>
    <row r="1364" ht="15.75" customHeight="1">
      <c r="A1364" s="336"/>
      <c r="B1364" s="336"/>
      <c r="C1364" s="336"/>
      <c r="D1364" s="336"/>
      <c r="E1364" s="336"/>
      <c r="F1364" s="336"/>
      <c r="G1364" s="336"/>
      <c r="H1364" s="336"/>
      <c r="I1364" s="336"/>
      <c r="J1364" s="336"/>
      <c r="K1364" s="336"/>
      <c r="L1364" s="336"/>
      <c r="M1364" s="336"/>
      <c r="N1364" s="336"/>
      <c r="O1364" s="336"/>
      <c r="P1364" s="336"/>
      <c r="Q1364" s="336"/>
      <c r="R1364" s="336"/>
      <c r="S1364" s="336"/>
      <c r="T1364" s="336"/>
      <c r="U1364" s="337"/>
      <c r="V1364" s="336"/>
    </row>
    <row r="1365" ht="15.75" customHeight="1">
      <c r="A1365" s="336"/>
      <c r="B1365" s="336"/>
      <c r="C1365" s="336"/>
      <c r="D1365" s="336"/>
      <c r="E1365" s="336"/>
      <c r="F1365" s="336"/>
      <c r="G1365" s="336"/>
      <c r="H1365" s="336"/>
      <c r="I1365" s="336"/>
      <c r="J1365" s="336"/>
      <c r="K1365" s="336"/>
      <c r="L1365" s="336"/>
      <c r="M1365" s="336"/>
      <c r="N1365" s="336"/>
      <c r="O1365" s="336"/>
      <c r="P1365" s="336"/>
      <c r="Q1365" s="336"/>
      <c r="R1365" s="336"/>
      <c r="S1365" s="336"/>
      <c r="T1365" s="336"/>
      <c r="U1365" s="337"/>
      <c r="V1365" s="336"/>
    </row>
    <row r="1366" ht="15.75" customHeight="1">
      <c r="A1366" s="336"/>
      <c r="B1366" s="336"/>
      <c r="C1366" s="336"/>
      <c r="D1366" s="336"/>
      <c r="E1366" s="336"/>
      <c r="F1366" s="336"/>
      <c r="G1366" s="336"/>
      <c r="H1366" s="336"/>
      <c r="I1366" s="336"/>
      <c r="J1366" s="336"/>
      <c r="K1366" s="336"/>
      <c r="L1366" s="336"/>
      <c r="M1366" s="336"/>
      <c r="N1366" s="336"/>
      <c r="O1366" s="336"/>
      <c r="P1366" s="336"/>
      <c r="Q1366" s="336"/>
      <c r="R1366" s="336"/>
      <c r="S1366" s="336"/>
      <c r="T1366" s="336"/>
      <c r="U1366" s="337"/>
      <c r="V1366" s="336"/>
    </row>
    <row r="1367" ht="15.75" customHeight="1">
      <c r="A1367" s="336"/>
      <c r="B1367" s="336"/>
      <c r="C1367" s="336"/>
      <c r="D1367" s="336"/>
      <c r="E1367" s="336"/>
      <c r="F1367" s="336"/>
      <c r="G1367" s="336"/>
      <c r="H1367" s="336"/>
      <c r="I1367" s="336"/>
      <c r="J1367" s="336"/>
      <c r="K1367" s="336"/>
      <c r="L1367" s="336"/>
      <c r="M1367" s="336"/>
      <c r="N1367" s="336"/>
      <c r="O1367" s="336"/>
      <c r="P1367" s="336"/>
      <c r="Q1367" s="336"/>
      <c r="R1367" s="336"/>
      <c r="S1367" s="336"/>
      <c r="T1367" s="336"/>
      <c r="U1367" s="337"/>
      <c r="V1367" s="336"/>
    </row>
    <row r="1368" ht="15.75" customHeight="1">
      <c r="A1368" s="336"/>
      <c r="B1368" s="336"/>
      <c r="C1368" s="336"/>
      <c r="D1368" s="336"/>
      <c r="E1368" s="336"/>
      <c r="F1368" s="336"/>
      <c r="G1368" s="336"/>
      <c r="H1368" s="336"/>
      <c r="I1368" s="336"/>
      <c r="J1368" s="336"/>
      <c r="K1368" s="336"/>
      <c r="L1368" s="336"/>
      <c r="M1368" s="336"/>
      <c r="N1368" s="336"/>
      <c r="O1368" s="336"/>
      <c r="P1368" s="336"/>
      <c r="Q1368" s="336"/>
      <c r="R1368" s="336"/>
      <c r="S1368" s="336"/>
      <c r="T1368" s="336"/>
      <c r="U1368" s="337"/>
      <c r="V1368" s="336"/>
    </row>
    <row r="1369" ht="15.75" customHeight="1">
      <c r="A1369" s="336"/>
      <c r="B1369" s="336"/>
      <c r="C1369" s="336"/>
      <c r="D1369" s="336"/>
      <c r="E1369" s="336"/>
      <c r="F1369" s="336"/>
      <c r="G1369" s="336"/>
      <c r="H1369" s="336"/>
      <c r="I1369" s="336"/>
      <c r="J1369" s="336"/>
      <c r="K1369" s="336"/>
      <c r="L1369" s="336"/>
      <c r="M1369" s="336"/>
      <c r="N1369" s="336"/>
      <c r="O1369" s="336"/>
      <c r="P1369" s="336"/>
      <c r="Q1369" s="336"/>
      <c r="R1369" s="336"/>
      <c r="S1369" s="336"/>
      <c r="T1369" s="336"/>
      <c r="U1369" s="337"/>
      <c r="V1369" s="336"/>
    </row>
    <row r="1370" ht="15.75" customHeight="1">
      <c r="A1370" s="336"/>
      <c r="B1370" s="336"/>
      <c r="C1370" s="336"/>
      <c r="D1370" s="336"/>
      <c r="E1370" s="336"/>
      <c r="F1370" s="336"/>
      <c r="G1370" s="336"/>
      <c r="H1370" s="336"/>
      <c r="I1370" s="336"/>
      <c r="J1370" s="336"/>
      <c r="K1370" s="336"/>
      <c r="L1370" s="336"/>
      <c r="M1370" s="336"/>
      <c r="N1370" s="336"/>
      <c r="O1370" s="336"/>
      <c r="P1370" s="336"/>
      <c r="Q1370" s="336"/>
      <c r="R1370" s="336"/>
      <c r="S1370" s="336"/>
      <c r="T1370" s="336"/>
      <c r="U1370" s="337"/>
      <c r="V1370" s="336"/>
    </row>
    <row r="1371" ht="15.75" customHeight="1">
      <c r="A1371" s="336"/>
      <c r="B1371" s="336"/>
      <c r="C1371" s="336"/>
      <c r="D1371" s="336"/>
      <c r="E1371" s="336"/>
      <c r="F1371" s="336"/>
      <c r="G1371" s="336"/>
      <c r="H1371" s="336"/>
      <c r="I1371" s="336"/>
      <c r="J1371" s="336"/>
      <c r="K1371" s="336"/>
      <c r="L1371" s="336"/>
      <c r="M1371" s="336"/>
      <c r="N1371" s="336"/>
      <c r="O1371" s="336"/>
      <c r="P1371" s="336"/>
      <c r="Q1371" s="336"/>
      <c r="R1371" s="336"/>
      <c r="S1371" s="336"/>
      <c r="T1371" s="336"/>
      <c r="U1371" s="337"/>
      <c r="V1371" s="336"/>
    </row>
    <row r="1372" ht="15.75" customHeight="1">
      <c r="A1372" s="336"/>
      <c r="B1372" s="336"/>
      <c r="C1372" s="336"/>
      <c r="D1372" s="336"/>
      <c r="E1372" s="336"/>
      <c r="F1372" s="336"/>
      <c r="G1372" s="336"/>
      <c r="H1372" s="336"/>
      <c r="I1372" s="336"/>
      <c r="J1372" s="336"/>
      <c r="K1372" s="336"/>
      <c r="L1372" s="336"/>
      <c r="M1372" s="336"/>
      <c r="N1372" s="336"/>
      <c r="O1372" s="336"/>
      <c r="P1372" s="336"/>
      <c r="Q1372" s="336"/>
      <c r="R1372" s="336"/>
      <c r="S1372" s="336"/>
      <c r="T1372" s="336"/>
      <c r="U1372" s="337"/>
      <c r="V1372" s="336"/>
    </row>
    <row r="1373" ht="15.75" customHeight="1">
      <c r="A1373" s="336"/>
      <c r="B1373" s="336"/>
      <c r="C1373" s="336"/>
      <c r="D1373" s="336"/>
      <c r="E1373" s="336"/>
      <c r="F1373" s="336"/>
      <c r="G1373" s="336"/>
      <c r="H1373" s="336"/>
      <c r="I1373" s="336"/>
      <c r="J1373" s="336"/>
      <c r="K1373" s="336"/>
      <c r="L1373" s="336"/>
      <c r="M1373" s="336"/>
      <c r="N1373" s="336"/>
      <c r="O1373" s="336"/>
      <c r="P1373" s="336"/>
      <c r="Q1373" s="336"/>
      <c r="R1373" s="336"/>
      <c r="S1373" s="336"/>
      <c r="T1373" s="336"/>
      <c r="U1373" s="337"/>
      <c r="V1373" s="336"/>
    </row>
    <row r="1374" ht="15.75" customHeight="1">
      <c r="A1374" s="336"/>
      <c r="B1374" s="336"/>
      <c r="C1374" s="336"/>
      <c r="D1374" s="336"/>
      <c r="E1374" s="336"/>
      <c r="F1374" s="336"/>
      <c r="G1374" s="336"/>
      <c r="H1374" s="336"/>
      <c r="I1374" s="336"/>
      <c r="J1374" s="336"/>
      <c r="K1374" s="336"/>
      <c r="L1374" s="336"/>
      <c r="M1374" s="336"/>
      <c r="N1374" s="336"/>
      <c r="O1374" s="336"/>
      <c r="P1374" s="336"/>
      <c r="Q1374" s="336"/>
      <c r="R1374" s="336"/>
      <c r="S1374" s="336"/>
      <c r="T1374" s="336"/>
      <c r="U1374" s="337"/>
      <c r="V1374" s="336"/>
    </row>
    <row r="1375" ht="15.75" customHeight="1">
      <c r="A1375" s="336"/>
      <c r="B1375" s="336"/>
      <c r="C1375" s="336"/>
      <c r="D1375" s="336"/>
      <c r="E1375" s="336"/>
      <c r="F1375" s="336"/>
      <c r="G1375" s="336"/>
      <c r="H1375" s="336"/>
      <c r="I1375" s="336"/>
      <c r="J1375" s="336"/>
      <c r="K1375" s="336"/>
      <c r="L1375" s="336"/>
      <c r="M1375" s="336"/>
      <c r="N1375" s="336"/>
      <c r="O1375" s="336"/>
      <c r="P1375" s="336"/>
      <c r="Q1375" s="336"/>
      <c r="R1375" s="336"/>
      <c r="S1375" s="336"/>
      <c r="T1375" s="336"/>
      <c r="U1375" s="337"/>
      <c r="V1375" s="336"/>
    </row>
    <row r="1376" ht="15.75" customHeight="1">
      <c r="A1376" s="336"/>
      <c r="B1376" s="336"/>
      <c r="C1376" s="336"/>
      <c r="D1376" s="336"/>
      <c r="E1376" s="336"/>
      <c r="F1376" s="336"/>
      <c r="G1376" s="336"/>
      <c r="H1376" s="336"/>
      <c r="I1376" s="336"/>
      <c r="J1376" s="336"/>
      <c r="K1376" s="336"/>
      <c r="L1376" s="336"/>
      <c r="M1376" s="336"/>
      <c r="N1376" s="336"/>
      <c r="O1376" s="336"/>
      <c r="P1376" s="336"/>
      <c r="Q1376" s="336"/>
      <c r="R1376" s="336"/>
      <c r="S1376" s="336"/>
      <c r="T1376" s="336"/>
      <c r="U1376" s="337"/>
      <c r="V1376" s="336"/>
    </row>
    <row r="1377" ht="15.75" customHeight="1">
      <c r="A1377" s="336"/>
      <c r="B1377" s="336"/>
      <c r="C1377" s="336"/>
      <c r="D1377" s="336"/>
      <c r="E1377" s="336"/>
      <c r="F1377" s="336"/>
      <c r="G1377" s="336"/>
      <c r="H1377" s="336"/>
      <c r="I1377" s="336"/>
      <c r="J1377" s="336"/>
      <c r="K1377" s="336"/>
      <c r="L1377" s="336"/>
      <c r="M1377" s="336"/>
      <c r="N1377" s="336"/>
      <c r="O1377" s="336"/>
      <c r="P1377" s="336"/>
      <c r="Q1377" s="336"/>
      <c r="R1377" s="336"/>
      <c r="S1377" s="336"/>
      <c r="T1377" s="336"/>
      <c r="U1377" s="337"/>
      <c r="V1377" s="336"/>
    </row>
    <row r="1378" ht="15.75" customHeight="1">
      <c r="A1378" s="336"/>
      <c r="B1378" s="336"/>
      <c r="C1378" s="336"/>
      <c r="D1378" s="336"/>
      <c r="E1378" s="336"/>
      <c r="F1378" s="336"/>
      <c r="G1378" s="336"/>
      <c r="H1378" s="336"/>
      <c r="I1378" s="336"/>
      <c r="J1378" s="336"/>
      <c r="K1378" s="336"/>
      <c r="L1378" s="336"/>
      <c r="M1378" s="336"/>
      <c r="N1378" s="336"/>
      <c r="O1378" s="336"/>
      <c r="P1378" s="336"/>
      <c r="Q1378" s="336"/>
      <c r="R1378" s="336"/>
      <c r="S1378" s="336"/>
      <c r="T1378" s="336"/>
      <c r="U1378" s="337"/>
      <c r="V1378" s="336"/>
    </row>
    <row r="1379" ht="15.75" customHeight="1">
      <c r="A1379" s="336"/>
      <c r="B1379" s="336"/>
      <c r="C1379" s="336"/>
      <c r="D1379" s="336"/>
      <c r="E1379" s="336"/>
      <c r="F1379" s="336"/>
      <c r="G1379" s="336"/>
      <c r="H1379" s="336"/>
      <c r="I1379" s="336"/>
      <c r="J1379" s="336"/>
      <c r="K1379" s="336"/>
      <c r="L1379" s="336"/>
      <c r="M1379" s="336"/>
      <c r="N1379" s="336"/>
      <c r="O1379" s="336"/>
      <c r="P1379" s="336"/>
      <c r="Q1379" s="336"/>
      <c r="R1379" s="336"/>
      <c r="S1379" s="336"/>
      <c r="T1379" s="336"/>
      <c r="U1379" s="337"/>
      <c r="V1379" s="336"/>
    </row>
    <row r="1380" ht="15.75" customHeight="1">
      <c r="A1380" s="336"/>
      <c r="B1380" s="336"/>
      <c r="C1380" s="336"/>
      <c r="D1380" s="336"/>
      <c r="E1380" s="336"/>
      <c r="F1380" s="336"/>
      <c r="G1380" s="336"/>
      <c r="H1380" s="336"/>
      <c r="I1380" s="336"/>
      <c r="J1380" s="336"/>
      <c r="K1380" s="336"/>
      <c r="L1380" s="336"/>
      <c r="M1380" s="336"/>
      <c r="N1380" s="336"/>
      <c r="O1380" s="336"/>
      <c r="P1380" s="336"/>
      <c r="Q1380" s="336"/>
      <c r="R1380" s="336"/>
      <c r="S1380" s="336"/>
      <c r="T1380" s="336"/>
      <c r="U1380" s="337"/>
      <c r="V1380" s="336"/>
    </row>
    <row r="1381" ht="15.75" customHeight="1">
      <c r="A1381" s="336"/>
      <c r="B1381" s="336"/>
      <c r="C1381" s="336"/>
      <c r="D1381" s="336"/>
      <c r="E1381" s="336"/>
      <c r="F1381" s="336"/>
      <c r="G1381" s="336"/>
      <c r="H1381" s="336"/>
      <c r="I1381" s="336"/>
      <c r="J1381" s="336"/>
      <c r="K1381" s="336"/>
      <c r="L1381" s="336"/>
      <c r="M1381" s="336"/>
      <c r="N1381" s="336"/>
      <c r="O1381" s="336"/>
      <c r="P1381" s="336"/>
      <c r="Q1381" s="336"/>
      <c r="R1381" s="336"/>
      <c r="S1381" s="336"/>
      <c r="T1381" s="336"/>
      <c r="U1381" s="337"/>
      <c r="V1381" s="336"/>
    </row>
    <row r="1382" ht="15.75" customHeight="1">
      <c r="A1382" s="336"/>
      <c r="B1382" s="336"/>
      <c r="C1382" s="336"/>
      <c r="D1382" s="336"/>
      <c r="E1382" s="336"/>
      <c r="F1382" s="336"/>
      <c r="G1382" s="336"/>
      <c r="H1382" s="336"/>
      <c r="I1382" s="336"/>
      <c r="J1382" s="336"/>
      <c r="K1382" s="336"/>
      <c r="L1382" s="336"/>
      <c r="M1382" s="336"/>
      <c r="N1382" s="336"/>
      <c r="O1382" s="336"/>
      <c r="P1382" s="336"/>
      <c r="Q1382" s="336"/>
      <c r="R1382" s="336"/>
      <c r="S1382" s="336"/>
      <c r="T1382" s="336"/>
      <c r="U1382" s="337"/>
      <c r="V1382" s="336"/>
    </row>
    <row r="1383" ht="15.75" customHeight="1">
      <c r="A1383" s="336"/>
      <c r="B1383" s="336"/>
      <c r="C1383" s="336"/>
      <c r="D1383" s="336"/>
      <c r="E1383" s="336"/>
      <c r="F1383" s="336"/>
      <c r="G1383" s="336"/>
      <c r="H1383" s="336"/>
      <c r="I1383" s="336"/>
      <c r="J1383" s="336"/>
      <c r="K1383" s="336"/>
      <c r="L1383" s="336"/>
      <c r="M1383" s="336"/>
      <c r="N1383" s="336"/>
      <c r="O1383" s="336"/>
      <c r="P1383" s="336"/>
      <c r="Q1383" s="336"/>
      <c r="R1383" s="336"/>
      <c r="S1383" s="336"/>
      <c r="T1383" s="336"/>
      <c r="U1383" s="337"/>
      <c r="V1383" s="336"/>
    </row>
    <row r="1384" ht="15.75" customHeight="1">
      <c r="A1384" s="336"/>
      <c r="B1384" s="336"/>
      <c r="C1384" s="336"/>
      <c r="D1384" s="336"/>
      <c r="E1384" s="336"/>
      <c r="F1384" s="336"/>
      <c r="G1384" s="336"/>
      <c r="H1384" s="336"/>
      <c r="I1384" s="336"/>
      <c r="J1384" s="336"/>
      <c r="K1384" s="336"/>
      <c r="L1384" s="336"/>
      <c r="M1384" s="336"/>
      <c r="N1384" s="336"/>
      <c r="O1384" s="336"/>
      <c r="P1384" s="336"/>
      <c r="Q1384" s="336"/>
      <c r="R1384" s="336"/>
      <c r="S1384" s="336"/>
      <c r="T1384" s="336"/>
      <c r="U1384" s="337"/>
      <c r="V1384" s="336"/>
    </row>
    <row r="1385" ht="15.75" customHeight="1">
      <c r="A1385" s="336"/>
      <c r="B1385" s="336"/>
      <c r="C1385" s="336"/>
      <c r="D1385" s="336"/>
      <c r="E1385" s="336"/>
      <c r="F1385" s="336"/>
      <c r="G1385" s="336"/>
      <c r="H1385" s="336"/>
      <c r="I1385" s="336"/>
      <c r="J1385" s="336"/>
      <c r="K1385" s="336"/>
      <c r="L1385" s="336"/>
      <c r="M1385" s="336"/>
      <c r="N1385" s="336"/>
      <c r="O1385" s="336"/>
      <c r="P1385" s="336"/>
      <c r="Q1385" s="336"/>
      <c r="R1385" s="336"/>
      <c r="S1385" s="336"/>
      <c r="T1385" s="336"/>
      <c r="U1385" s="337"/>
      <c r="V1385" s="336"/>
    </row>
    <row r="1386" ht="15.75" customHeight="1">
      <c r="A1386" s="336"/>
      <c r="B1386" s="336"/>
      <c r="C1386" s="336"/>
      <c r="D1386" s="336"/>
      <c r="E1386" s="336"/>
      <c r="F1386" s="336"/>
      <c r="G1386" s="336"/>
      <c r="H1386" s="336"/>
      <c r="I1386" s="336"/>
      <c r="J1386" s="336"/>
      <c r="K1386" s="336"/>
      <c r="L1386" s="336"/>
      <c r="M1386" s="336"/>
      <c r="N1386" s="336"/>
      <c r="O1386" s="336"/>
      <c r="P1386" s="336"/>
      <c r="Q1386" s="336"/>
      <c r="R1386" s="336"/>
      <c r="S1386" s="336"/>
      <c r="T1386" s="336"/>
      <c r="U1386" s="337"/>
      <c r="V1386" s="336"/>
    </row>
    <row r="1387" ht="15.75" customHeight="1">
      <c r="A1387" s="336"/>
      <c r="B1387" s="336"/>
      <c r="C1387" s="336"/>
      <c r="D1387" s="336"/>
      <c r="E1387" s="336"/>
      <c r="F1387" s="336"/>
      <c r="G1387" s="336"/>
      <c r="H1387" s="336"/>
      <c r="I1387" s="336"/>
      <c r="J1387" s="336"/>
      <c r="K1387" s="336"/>
      <c r="L1387" s="336"/>
      <c r="M1387" s="336"/>
      <c r="N1387" s="336"/>
      <c r="O1387" s="336"/>
      <c r="P1387" s="336"/>
      <c r="Q1387" s="336"/>
      <c r="R1387" s="336"/>
      <c r="S1387" s="336"/>
      <c r="T1387" s="336"/>
      <c r="U1387" s="337"/>
      <c r="V1387" s="336"/>
    </row>
    <row r="1388" ht="15.75" customHeight="1">
      <c r="A1388" s="336"/>
      <c r="B1388" s="336"/>
      <c r="C1388" s="336"/>
      <c r="D1388" s="336"/>
      <c r="E1388" s="336"/>
      <c r="F1388" s="336"/>
      <c r="G1388" s="336"/>
      <c r="H1388" s="336"/>
      <c r="I1388" s="336"/>
      <c r="J1388" s="336"/>
      <c r="K1388" s="336"/>
      <c r="L1388" s="336"/>
      <c r="M1388" s="336"/>
      <c r="N1388" s="336"/>
      <c r="O1388" s="336"/>
      <c r="P1388" s="336"/>
      <c r="Q1388" s="336"/>
      <c r="R1388" s="336"/>
      <c r="S1388" s="336"/>
      <c r="T1388" s="336"/>
      <c r="U1388" s="337"/>
      <c r="V1388" s="336"/>
    </row>
    <row r="1389" ht="15.75" customHeight="1">
      <c r="A1389" s="336"/>
      <c r="B1389" s="336"/>
      <c r="C1389" s="336"/>
      <c r="D1389" s="336"/>
      <c r="E1389" s="336"/>
      <c r="F1389" s="336"/>
      <c r="G1389" s="336"/>
      <c r="H1389" s="336"/>
      <c r="I1389" s="336"/>
      <c r="J1389" s="336"/>
      <c r="K1389" s="336"/>
      <c r="L1389" s="336"/>
      <c r="M1389" s="336"/>
      <c r="N1389" s="336"/>
      <c r="O1389" s="336"/>
      <c r="P1389" s="336"/>
      <c r="Q1389" s="336"/>
      <c r="R1389" s="336"/>
      <c r="S1389" s="336"/>
      <c r="T1389" s="336"/>
      <c r="U1389" s="337"/>
      <c r="V1389" s="336"/>
    </row>
    <row r="1390" ht="15.75" customHeight="1">
      <c r="A1390" s="336"/>
      <c r="B1390" s="336"/>
      <c r="C1390" s="336"/>
      <c r="D1390" s="336"/>
      <c r="E1390" s="336"/>
      <c r="F1390" s="336"/>
      <c r="G1390" s="336"/>
      <c r="H1390" s="336"/>
      <c r="I1390" s="336"/>
      <c r="J1390" s="336"/>
      <c r="K1390" s="336"/>
      <c r="L1390" s="336"/>
      <c r="M1390" s="336"/>
      <c r="N1390" s="336"/>
      <c r="O1390" s="336"/>
      <c r="P1390" s="336"/>
      <c r="Q1390" s="336"/>
      <c r="R1390" s="336"/>
      <c r="S1390" s="336"/>
      <c r="T1390" s="336"/>
      <c r="U1390" s="337"/>
      <c r="V1390" s="336"/>
    </row>
    <row r="1391" ht="15.75" customHeight="1">
      <c r="A1391" s="336"/>
      <c r="B1391" s="336"/>
      <c r="C1391" s="336"/>
      <c r="D1391" s="336"/>
      <c r="E1391" s="336"/>
      <c r="F1391" s="336"/>
      <c r="G1391" s="336"/>
      <c r="H1391" s="336"/>
      <c r="I1391" s="336"/>
      <c r="J1391" s="336"/>
      <c r="K1391" s="336"/>
      <c r="L1391" s="336"/>
      <c r="M1391" s="336"/>
      <c r="N1391" s="336"/>
      <c r="O1391" s="336"/>
      <c r="P1391" s="336"/>
      <c r="Q1391" s="336"/>
      <c r="R1391" s="336"/>
      <c r="S1391" s="336"/>
      <c r="T1391" s="336"/>
      <c r="U1391" s="337"/>
      <c r="V1391" s="336"/>
    </row>
    <row r="1392" ht="15.75" customHeight="1">
      <c r="A1392" s="336"/>
      <c r="B1392" s="336"/>
      <c r="C1392" s="336"/>
      <c r="D1392" s="336"/>
      <c r="E1392" s="336"/>
      <c r="F1392" s="336"/>
      <c r="G1392" s="336"/>
      <c r="H1392" s="336"/>
      <c r="I1392" s="336"/>
      <c r="J1392" s="336"/>
      <c r="K1392" s="336"/>
      <c r="L1392" s="336"/>
      <c r="M1392" s="336"/>
      <c r="N1392" s="336"/>
      <c r="O1392" s="336"/>
      <c r="P1392" s="336"/>
      <c r="Q1392" s="336"/>
      <c r="R1392" s="336"/>
      <c r="S1392" s="336"/>
      <c r="T1392" s="336"/>
      <c r="U1392" s="337"/>
      <c r="V1392" s="336"/>
    </row>
    <row r="1393" ht="15.75" customHeight="1">
      <c r="A1393" s="336"/>
      <c r="B1393" s="336"/>
      <c r="C1393" s="336"/>
      <c r="D1393" s="336"/>
      <c r="E1393" s="336"/>
      <c r="F1393" s="336"/>
      <c r="G1393" s="336"/>
      <c r="H1393" s="336"/>
      <c r="I1393" s="336"/>
      <c r="J1393" s="336"/>
      <c r="K1393" s="336"/>
      <c r="L1393" s="336"/>
      <c r="M1393" s="336"/>
      <c r="N1393" s="336"/>
      <c r="O1393" s="336"/>
      <c r="P1393" s="336"/>
      <c r="Q1393" s="336"/>
      <c r="R1393" s="336"/>
      <c r="S1393" s="336"/>
      <c r="T1393" s="336"/>
      <c r="U1393" s="337"/>
      <c r="V1393" s="336"/>
    </row>
    <row r="1394" ht="15.75" customHeight="1">
      <c r="A1394" s="336"/>
      <c r="B1394" s="336"/>
      <c r="C1394" s="336"/>
      <c r="D1394" s="336"/>
      <c r="E1394" s="336"/>
      <c r="F1394" s="336"/>
      <c r="G1394" s="336"/>
      <c r="H1394" s="336"/>
      <c r="I1394" s="336"/>
      <c r="J1394" s="336"/>
      <c r="K1394" s="336"/>
      <c r="L1394" s="336"/>
      <c r="M1394" s="336"/>
      <c r="N1394" s="336"/>
      <c r="O1394" s="336"/>
      <c r="P1394" s="336"/>
      <c r="Q1394" s="336"/>
      <c r="R1394" s="336"/>
      <c r="S1394" s="336"/>
      <c r="T1394" s="336"/>
      <c r="U1394" s="337"/>
      <c r="V1394" s="336"/>
    </row>
    <row r="1395" ht="15.75" customHeight="1">
      <c r="A1395" s="336"/>
      <c r="B1395" s="336"/>
      <c r="C1395" s="336"/>
      <c r="D1395" s="336"/>
      <c r="E1395" s="336"/>
      <c r="F1395" s="336"/>
      <c r="G1395" s="336"/>
      <c r="H1395" s="336"/>
      <c r="I1395" s="336"/>
      <c r="J1395" s="336"/>
      <c r="K1395" s="336"/>
      <c r="L1395" s="336"/>
      <c r="M1395" s="336"/>
      <c r="N1395" s="336"/>
      <c r="O1395" s="336"/>
      <c r="P1395" s="336"/>
      <c r="Q1395" s="336"/>
      <c r="R1395" s="336"/>
      <c r="S1395" s="336"/>
      <c r="T1395" s="336"/>
      <c r="U1395" s="337"/>
      <c r="V1395" s="336"/>
    </row>
    <row r="1396" ht="15.75" customHeight="1">
      <c r="A1396" s="336"/>
      <c r="B1396" s="336"/>
      <c r="C1396" s="336"/>
      <c r="D1396" s="336"/>
      <c r="E1396" s="336"/>
      <c r="F1396" s="336"/>
      <c r="G1396" s="336"/>
      <c r="H1396" s="336"/>
      <c r="I1396" s="336"/>
      <c r="J1396" s="336"/>
      <c r="K1396" s="336"/>
      <c r="L1396" s="336"/>
      <c r="M1396" s="336"/>
      <c r="N1396" s="336"/>
      <c r="O1396" s="336"/>
      <c r="P1396" s="336"/>
      <c r="Q1396" s="336"/>
      <c r="R1396" s="336"/>
      <c r="S1396" s="336"/>
      <c r="T1396" s="336"/>
      <c r="U1396" s="337"/>
      <c r="V1396" s="336"/>
    </row>
    <row r="1397" ht="15.75" customHeight="1">
      <c r="A1397" s="336"/>
      <c r="B1397" s="336"/>
      <c r="C1397" s="336"/>
      <c r="D1397" s="336"/>
      <c r="E1397" s="336"/>
      <c r="F1397" s="336"/>
      <c r="G1397" s="336"/>
      <c r="H1397" s="336"/>
      <c r="I1397" s="336"/>
      <c r="J1397" s="336"/>
      <c r="K1397" s="336"/>
      <c r="L1397" s="336"/>
      <c r="M1397" s="336"/>
      <c r="N1397" s="336"/>
      <c r="O1397" s="336"/>
      <c r="P1397" s="336"/>
      <c r="Q1397" s="336"/>
      <c r="R1397" s="336"/>
      <c r="S1397" s="336"/>
      <c r="T1397" s="336"/>
      <c r="U1397" s="337"/>
      <c r="V1397" s="336"/>
    </row>
    <row r="1398" ht="15.75" customHeight="1">
      <c r="A1398" s="336"/>
      <c r="B1398" s="336"/>
      <c r="C1398" s="336"/>
      <c r="D1398" s="336"/>
      <c r="E1398" s="336"/>
      <c r="F1398" s="336"/>
      <c r="G1398" s="336"/>
      <c r="H1398" s="336"/>
      <c r="I1398" s="336"/>
      <c r="J1398" s="336"/>
      <c r="K1398" s="336"/>
      <c r="L1398" s="336"/>
      <c r="M1398" s="336"/>
      <c r="N1398" s="336"/>
      <c r="O1398" s="336"/>
      <c r="P1398" s="336"/>
      <c r="Q1398" s="336"/>
      <c r="R1398" s="336"/>
      <c r="S1398" s="336"/>
      <c r="T1398" s="336"/>
      <c r="U1398" s="337"/>
      <c r="V1398" s="336"/>
    </row>
    <row r="1399" ht="15.75" customHeight="1">
      <c r="A1399" s="336"/>
      <c r="B1399" s="336"/>
      <c r="C1399" s="336"/>
      <c r="D1399" s="336"/>
      <c r="E1399" s="336"/>
      <c r="F1399" s="336"/>
      <c r="G1399" s="336"/>
      <c r="H1399" s="336"/>
      <c r="I1399" s="336"/>
      <c r="J1399" s="336"/>
      <c r="K1399" s="336"/>
      <c r="L1399" s="336"/>
      <c r="M1399" s="336"/>
      <c r="N1399" s="336"/>
      <c r="O1399" s="336"/>
      <c r="P1399" s="336"/>
      <c r="Q1399" s="336"/>
      <c r="R1399" s="336"/>
      <c r="S1399" s="336"/>
      <c r="T1399" s="336"/>
      <c r="U1399" s="337"/>
      <c r="V1399" s="336"/>
    </row>
    <row r="1400" ht="15.75" customHeight="1">
      <c r="A1400" s="336"/>
      <c r="B1400" s="336"/>
      <c r="C1400" s="336"/>
      <c r="D1400" s="336"/>
      <c r="E1400" s="336"/>
      <c r="F1400" s="336"/>
      <c r="G1400" s="336"/>
      <c r="H1400" s="336"/>
      <c r="I1400" s="336"/>
      <c r="J1400" s="336"/>
      <c r="K1400" s="336"/>
      <c r="L1400" s="336"/>
      <c r="M1400" s="336"/>
      <c r="N1400" s="336"/>
      <c r="O1400" s="336"/>
      <c r="P1400" s="336"/>
      <c r="Q1400" s="336"/>
      <c r="R1400" s="336"/>
      <c r="S1400" s="336"/>
      <c r="T1400" s="336"/>
      <c r="U1400" s="337"/>
      <c r="V1400" s="336"/>
    </row>
    <row r="1401" ht="15.75" customHeight="1">
      <c r="A1401" s="336"/>
      <c r="B1401" s="336"/>
      <c r="C1401" s="336"/>
      <c r="D1401" s="336"/>
      <c r="E1401" s="336"/>
      <c r="F1401" s="336"/>
      <c r="G1401" s="336"/>
      <c r="H1401" s="336"/>
      <c r="I1401" s="336"/>
      <c r="J1401" s="336"/>
      <c r="K1401" s="336"/>
      <c r="L1401" s="336"/>
      <c r="M1401" s="336"/>
      <c r="N1401" s="336"/>
      <c r="O1401" s="336"/>
      <c r="P1401" s="336"/>
      <c r="Q1401" s="336"/>
      <c r="R1401" s="336"/>
      <c r="S1401" s="336"/>
      <c r="T1401" s="336"/>
      <c r="U1401" s="337"/>
      <c r="V1401" s="336"/>
    </row>
    <row r="1402" ht="15.75" customHeight="1">
      <c r="A1402" s="336"/>
      <c r="B1402" s="336"/>
      <c r="C1402" s="336"/>
      <c r="D1402" s="336"/>
      <c r="E1402" s="336"/>
      <c r="F1402" s="336"/>
      <c r="G1402" s="336"/>
      <c r="H1402" s="336"/>
      <c r="I1402" s="336"/>
      <c r="J1402" s="336"/>
      <c r="K1402" s="336"/>
      <c r="L1402" s="336"/>
      <c r="M1402" s="336"/>
      <c r="N1402" s="336"/>
      <c r="O1402" s="336"/>
      <c r="P1402" s="336"/>
      <c r="Q1402" s="336"/>
      <c r="R1402" s="336"/>
      <c r="S1402" s="336"/>
      <c r="T1402" s="336"/>
      <c r="U1402" s="337"/>
      <c r="V1402" s="336"/>
    </row>
    <row r="1403" ht="15.75" customHeight="1">
      <c r="A1403" s="336"/>
      <c r="B1403" s="336"/>
      <c r="C1403" s="336"/>
      <c r="D1403" s="336"/>
      <c r="E1403" s="336"/>
      <c r="F1403" s="336"/>
      <c r="G1403" s="336"/>
      <c r="H1403" s="336"/>
      <c r="I1403" s="336"/>
      <c r="J1403" s="336"/>
      <c r="K1403" s="336"/>
      <c r="L1403" s="336"/>
      <c r="M1403" s="336"/>
      <c r="N1403" s="336"/>
      <c r="O1403" s="336"/>
      <c r="P1403" s="336"/>
      <c r="Q1403" s="336"/>
      <c r="R1403" s="336"/>
      <c r="S1403" s="336"/>
      <c r="T1403" s="336"/>
      <c r="U1403" s="337"/>
      <c r="V1403" s="336"/>
    </row>
    <row r="1404" ht="15.75" customHeight="1">
      <c r="A1404" s="336"/>
      <c r="B1404" s="336"/>
      <c r="C1404" s="336"/>
      <c r="D1404" s="336"/>
      <c r="E1404" s="336"/>
      <c r="F1404" s="336"/>
      <c r="G1404" s="336"/>
      <c r="H1404" s="336"/>
      <c r="I1404" s="336"/>
      <c r="J1404" s="336"/>
      <c r="K1404" s="336"/>
      <c r="L1404" s="336"/>
      <c r="M1404" s="336"/>
      <c r="N1404" s="336"/>
      <c r="O1404" s="336"/>
      <c r="P1404" s="336"/>
      <c r="Q1404" s="336"/>
      <c r="R1404" s="336"/>
      <c r="S1404" s="336"/>
      <c r="T1404" s="336"/>
      <c r="U1404" s="337"/>
      <c r="V1404" s="336"/>
    </row>
    <row r="1405" ht="15.75" customHeight="1">
      <c r="A1405" s="336"/>
      <c r="B1405" s="336"/>
      <c r="C1405" s="336"/>
      <c r="D1405" s="336"/>
      <c r="E1405" s="336"/>
      <c r="F1405" s="336"/>
      <c r="G1405" s="336"/>
      <c r="H1405" s="336"/>
      <c r="I1405" s="336"/>
      <c r="J1405" s="336"/>
      <c r="K1405" s="336"/>
      <c r="L1405" s="336"/>
      <c r="M1405" s="336"/>
      <c r="N1405" s="336"/>
      <c r="O1405" s="336"/>
      <c r="P1405" s="336"/>
      <c r="Q1405" s="336"/>
      <c r="R1405" s="336"/>
      <c r="S1405" s="336"/>
      <c r="T1405" s="336"/>
      <c r="U1405" s="337"/>
      <c r="V1405" s="336"/>
    </row>
    <row r="1406" ht="15.75" customHeight="1">
      <c r="A1406" s="336"/>
      <c r="B1406" s="336"/>
      <c r="C1406" s="336"/>
      <c r="D1406" s="336"/>
      <c r="E1406" s="336"/>
      <c r="F1406" s="336"/>
      <c r="G1406" s="336"/>
      <c r="H1406" s="336"/>
      <c r="I1406" s="336"/>
      <c r="J1406" s="336"/>
      <c r="K1406" s="336"/>
      <c r="L1406" s="336"/>
      <c r="M1406" s="336"/>
      <c r="N1406" s="336"/>
      <c r="O1406" s="336"/>
      <c r="P1406" s="336"/>
      <c r="Q1406" s="336"/>
      <c r="R1406" s="336"/>
      <c r="S1406" s="336"/>
      <c r="T1406" s="336"/>
      <c r="U1406" s="337"/>
      <c r="V1406" s="336"/>
    </row>
    <row r="1407" ht="15.75" customHeight="1">
      <c r="A1407" s="336"/>
      <c r="B1407" s="336"/>
      <c r="C1407" s="336"/>
      <c r="D1407" s="336"/>
      <c r="E1407" s="336"/>
      <c r="F1407" s="336"/>
      <c r="G1407" s="336"/>
      <c r="H1407" s="336"/>
      <c r="I1407" s="336"/>
      <c r="J1407" s="336"/>
      <c r="K1407" s="336"/>
      <c r="L1407" s="336"/>
      <c r="M1407" s="336"/>
      <c r="N1407" s="336"/>
      <c r="O1407" s="336"/>
      <c r="P1407" s="336"/>
      <c r="Q1407" s="336"/>
      <c r="R1407" s="336"/>
      <c r="S1407" s="336"/>
      <c r="T1407" s="336"/>
      <c r="U1407" s="337"/>
      <c r="V1407" s="336"/>
    </row>
    <row r="1408" ht="15.75" customHeight="1">
      <c r="A1408" s="336"/>
      <c r="B1408" s="336"/>
      <c r="C1408" s="336"/>
      <c r="D1408" s="336"/>
      <c r="E1408" s="336"/>
      <c r="F1408" s="336"/>
      <c r="G1408" s="336"/>
      <c r="H1408" s="336"/>
      <c r="I1408" s="336"/>
      <c r="J1408" s="336"/>
      <c r="K1408" s="336"/>
      <c r="L1408" s="336"/>
      <c r="M1408" s="336"/>
      <c r="N1408" s="336"/>
      <c r="O1408" s="336"/>
      <c r="P1408" s="336"/>
      <c r="Q1408" s="336"/>
      <c r="R1408" s="336"/>
      <c r="S1408" s="336"/>
      <c r="T1408" s="336"/>
      <c r="U1408" s="337"/>
      <c r="V1408" s="336"/>
    </row>
    <row r="1409" ht="15.75" customHeight="1">
      <c r="A1409" s="336"/>
      <c r="B1409" s="336"/>
      <c r="C1409" s="336"/>
      <c r="D1409" s="336"/>
      <c r="E1409" s="336"/>
      <c r="F1409" s="336"/>
      <c r="G1409" s="336"/>
      <c r="H1409" s="336"/>
      <c r="I1409" s="336"/>
      <c r="J1409" s="336"/>
      <c r="K1409" s="336"/>
      <c r="L1409" s="336"/>
      <c r="M1409" s="336"/>
      <c r="N1409" s="336"/>
      <c r="O1409" s="336"/>
      <c r="P1409" s="336"/>
      <c r="Q1409" s="336"/>
      <c r="R1409" s="336"/>
      <c r="S1409" s="336"/>
      <c r="T1409" s="336"/>
      <c r="U1409" s="337"/>
      <c r="V1409" s="336"/>
    </row>
    <row r="1410" ht="15.75" customHeight="1">
      <c r="A1410" s="336"/>
      <c r="B1410" s="336"/>
      <c r="C1410" s="336"/>
      <c r="D1410" s="336"/>
      <c r="E1410" s="336"/>
      <c r="F1410" s="336"/>
      <c r="G1410" s="336"/>
      <c r="H1410" s="336"/>
      <c r="I1410" s="336"/>
      <c r="J1410" s="336"/>
      <c r="K1410" s="336"/>
      <c r="L1410" s="336"/>
      <c r="M1410" s="336"/>
      <c r="N1410" s="336"/>
      <c r="O1410" s="336"/>
      <c r="P1410" s="336"/>
      <c r="Q1410" s="336"/>
      <c r="R1410" s="336"/>
      <c r="S1410" s="336"/>
      <c r="T1410" s="336"/>
      <c r="U1410" s="337"/>
      <c r="V1410" s="336"/>
    </row>
    <row r="1411" ht="15.75" customHeight="1">
      <c r="A1411" s="336"/>
      <c r="B1411" s="336"/>
      <c r="C1411" s="336"/>
      <c r="D1411" s="336"/>
      <c r="E1411" s="336"/>
      <c r="F1411" s="336"/>
      <c r="G1411" s="336"/>
      <c r="H1411" s="336"/>
      <c r="I1411" s="336"/>
      <c r="J1411" s="336"/>
      <c r="K1411" s="336"/>
      <c r="L1411" s="336"/>
      <c r="M1411" s="336"/>
      <c r="N1411" s="336"/>
      <c r="O1411" s="336"/>
      <c r="P1411" s="336"/>
      <c r="Q1411" s="336"/>
      <c r="R1411" s="336"/>
      <c r="S1411" s="336"/>
      <c r="T1411" s="336"/>
      <c r="U1411" s="337"/>
      <c r="V1411" s="336"/>
    </row>
    <row r="1412" ht="15.75" customHeight="1">
      <c r="A1412" s="336"/>
      <c r="B1412" s="336"/>
      <c r="C1412" s="336"/>
      <c r="D1412" s="336"/>
      <c r="E1412" s="336"/>
      <c r="F1412" s="336"/>
      <c r="G1412" s="336"/>
      <c r="H1412" s="336"/>
      <c r="I1412" s="336"/>
      <c r="J1412" s="336"/>
      <c r="K1412" s="336"/>
      <c r="L1412" s="336"/>
      <c r="M1412" s="336"/>
      <c r="N1412" s="336"/>
      <c r="O1412" s="336"/>
      <c r="P1412" s="336"/>
      <c r="Q1412" s="336"/>
      <c r="R1412" s="336"/>
      <c r="S1412" s="336"/>
      <c r="T1412" s="336"/>
      <c r="U1412" s="337"/>
      <c r="V1412" s="336"/>
    </row>
    <row r="1413" ht="15.75" customHeight="1">
      <c r="A1413" s="336"/>
      <c r="B1413" s="336"/>
      <c r="C1413" s="336"/>
      <c r="D1413" s="336"/>
      <c r="E1413" s="336"/>
      <c r="F1413" s="336"/>
      <c r="G1413" s="336"/>
      <c r="H1413" s="336"/>
      <c r="I1413" s="336"/>
      <c r="J1413" s="336"/>
      <c r="K1413" s="336"/>
      <c r="L1413" s="336"/>
      <c r="M1413" s="336"/>
      <c r="N1413" s="336"/>
      <c r="O1413" s="336"/>
      <c r="P1413" s="336"/>
      <c r="Q1413" s="336"/>
      <c r="R1413" s="336"/>
      <c r="S1413" s="336"/>
      <c r="T1413" s="336"/>
      <c r="U1413" s="337"/>
      <c r="V1413" s="336"/>
    </row>
    <row r="1414" ht="15.75" customHeight="1">
      <c r="A1414" s="336"/>
      <c r="B1414" s="336"/>
      <c r="C1414" s="336"/>
      <c r="D1414" s="336"/>
      <c r="E1414" s="336"/>
      <c r="F1414" s="336"/>
      <c r="G1414" s="336"/>
      <c r="H1414" s="336"/>
      <c r="I1414" s="336"/>
      <c r="J1414" s="336"/>
      <c r="K1414" s="336"/>
      <c r="L1414" s="336"/>
      <c r="M1414" s="336"/>
      <c r="N1414" s="336"/>
      <c r="O1414" s="336"/>
      <c r="P1414" s="336"/>
      <c r="Q1414" s="336"/>
      <c r="R1414" s="336"/>
      <c r="S1414" s="336"/>
      <c r="T1414" s="336"/>
      <c r="U1414" s="337"/>
      <c r="V1414" s="336"/>
    </row>
    <row r="1415" ht="15.75" customHeight="1">
      <c r="A1415" s="336"/>
      <c r="B1415" s="336"/>
      <c r="C1415" s="336"/>
      <c r="D1415" s="336"/>
      <c r="E1415" s="336"/>
      <c r="F1415" s="336"/>
      <c r="G1415" s="336"/>
      <c r="H1415" s="336"/>
      <c r="I1415" s="336"/>
      <c r="J1415" s="336"/>
      <c r="K1415" s="336"/>
      <c r="L1415" s="336"/>
      <c r="M1415" s="336"/>
      <c r="N1415" s="336"/>
      <c r="O1415" s="336"/>
      <c r="P1415" s="336"/>
      <c r="Q1415" s="336"/>
      <c r="R1415" s="336"/>
      <c r="S1415" s="336"/>
      <c r="T1415" s="336"/>
      <c r="U1415" s="337"/>
      <c r="V1415" s="336"/>
    </row>
    <row r="1416" ht="15.75" customHeight="1">
      <c r="A1416" s="336"/>
      <c r="B1416" s="336"/>
      <c r="C1416" s="336"/>
      <c r="D1416" s="336"/>
      <c r="E1416" s="336"/>
      <c r="F1416" s="336"/>
      <c r="G1416" s="336"/>
      <c r="H1416" s="336"/>
      <c r="I1416" s="336"/>
      <c r="J1416" s="336"/>
      <c r="K1416" s="336"/>
      <c r="L1416" s="336"/>
      <c r="M1416" s="336"/>
      <c r="N1416" s="336"/>
      <c r="O1416" s="336"/>
      <c r="P1416" s="336"/>
      <c r="Q1416" s="336"/>
      <c r="R1416" s="336"/>
      <c r="S1416" s="336"/>
      <c r="T1416" s="336"/>
      <c r="U1416" s="337"/>
      <c r="V1416" s="336"/>
    </row>
    <row r="1417" ht="15.75" customHeight="1">
      <c r="A1417" s="336"/>
      <c r="B1417" s="336"/>
      <c r="C1417" s="336"/>
      <c r="D1417" s="336"/>
      <c r="E1417" s="336"/>
      <c r="F1417" s="336"/>
      <c r="G1417" s="336"/>
      <c r="H1417" s="336"/>
      <c r="I1417" s="336"/>
      <c r="J1417" s="336"/>
      <c r="K1417" s="336"/>
      <c r="L1417" s="336"/>
      <c r="M1417" s="336"/>
      <c r="N1417" s="336"/>
      <c r="O1417" s="336"/>
      <c r="P1417" s="336"/>
      <c r="Q1417" s="336"/>
      <c r="R1417" s="336"/>
      <c r="S1417" s="336"/>
      <c r="T1417" s="336"/>
      <c r="U1417" s="337"/>
      <c r="V1417" s="336"/>
    </row>
    <row r="1418" ht="15.75" customHeight="1">
      <c r="A1418" s="336"/>
      <c r="B1418" s="336"/>
      <c r="C1418" s="336"/>
      <c r="D1418" s="336"/>
      <c r="E1418" s="336"/>
      <c r="F1418" s="336"/>
      <c r="G1418" s="336"/>
      <c r="H1418" s="336"/>
      <c r="I1418" s="336"/>
      <c r="J1418" s="336"/>
      <c r="K1418" s="336"/>
      <c r="L1418" s="336"/>
      <c r="M1418" s="336"/>
      <c r="N1418" s="336"/>
      <c r="O1418" s="336"/>
      <c r="P1418" s="336"/>
      <c r="Q1418" s="336"/>
      <c r="R1418" s="336"/>
      <c r="S1418" s="336"/>
      <c r="T1418" s="336"/>
      <c r="U1418" s="337"/>
      <c r="V1418" s="336"/>
    </row>
    <row r="1419" ht="15.75" customHeight="1">
      <c r="A1419" s="336"/>
      <c r="B1419" s="336"/>
      <c r="C1419" s="336"/>
      <c r="D1419" s="336"/>
      <c r="E1419" s="336"/>
      <c r="F1419" s="336"/>
      <c r="G1419" s="336"/>
      <c r="H1419" s="336"/>
      <c r="I1419" s="336"/>
      <c r="J1419" s="336"/>
      <c r="K1419" s="336"/>
      <c r="L1419" s="336"/>
      <c r="M1419" s="336"/>
      <c r="N1419" s="336"/>
      <c r="O1419" s="336"/>
      <c r="P1419" s="336"/>
      <c r="Q1419" s="336"/>
      <c r="R1419" s="336"/>
      <c r="S1419" s="336"/>
      <c r="T1419" s="336"/>
      <c r="U1419" s="337"/>
      <c r="V1419" s="336"/>
    </row>
    <row r="1420" ht="15.75" customHeight="1">
      <c r="A1420" s="336"/>
      <c r="B1420" s="336"/>
      <c r="C1420" s="336"/>
      <c r="D1420" s="336"/>
      <c r="E1420" s="336"/>
      <c r="F1420" s="336"/>
      <c r="G1420" s="336"/>
      <c r="H1420" s="336"/>
      <c r="I1420" s="336"/>
      <c r="J1420" s="336"/>
      <c r="K1420" s="336"/>
      <c r="L1420" s="336"/>
      <c r="M1420" s="336"/>
      <c r="N1420" s="336"/>
      <c r="O1420" s="336"/>
      <c r="P1420" s="336"/>
      <c r="Q1420" s="336"/>
      <c r="R1420" s="336"/>
      <c r="S1420" s="336"/>
      <c r="T1420" s="336"/>
      <c r="U1420" s="337"/>
      <c r="V1420" s="336"/>
    </row>
    <row r="1421" ht="15.75" customHeight="1">
      <c r="A1421" s="336"/>
      <c r="B1421" s="336"/>
      <c r="C1421" s="336"/>
      <c r="D1421" s="336"/>
      <c r="E1421" s="336"/>
      <c r="F1421" s="336"/>
      <c r="G1421" s="336"/>
      <c r="H1421" s="336"/>
      <c r="I1421" s="336"/>
      <c r="J1421" s="336"/>
      <c r="K1421" s="336"/>
      <c r="L1421" s="336"/>
      <c r="M1421" s="336"/>
      <c r="N1421" s="336"/>
      <c r="O1421" s="336"/>
      <c r="P1421" s="336"/>
      <c r="Q1421" s="336"/>
      <c r="R1421" s="336"/>
      <c r="S1421" s="336"/>
      <c r="T1421" s="336"/>
      <c r="U1421" s="337"/>
      <c r="V1421" s="336"/>
    </row>
    <row r="1422" ht="15.75" customHeight="1">
      <c r="A1422" s="336"/>
      <c r="B1422" s="336"/>
      <c r="C1422" s="336"/>
      <c r="D1422" s="336"/>
      <c r="E1422" s="336"/>
      <c r="F1422" s="336"/>
      <c r="G1422" s="336"/>
      <c r="H1422" s="336"/>
      <c r="I1422" s="336"/>
      <c r="J1422" s="336"/>
      <c r="K1422" s="336"/>
      <c r="L1422" s="336"/>
      <c r="M1422" s="336"/>
      <c r="N1422" s="336"/>
      <c r="O1422" s="336"/>
      <c r="P1422" s="336"/>
      <c r="Q1422" s="336"/>
      <c r="R1422" s="336"/>
      <c r="S1422" s="336"/>
      <c r="T1422" s="336"/>
      <c r="U1422" s="337"/>
      <c r="V1422" s="336"/>
    </row>
    <row r="1423" ht="15.75" customHeight="1">
      <c r="A1423" s="336"/>
      <c r="B1423" s="336"/>
      <c r="C1423" s="336"/>
      <c r="D1423" s="336"/>
      <c r="E1423" s="336"/>
      <c r="F1423" s="336"/>
      <c r="G1423" s="336"/>
      <c r="H1423" s="336"/>
      <c r="I1423" s="336"/>
      <c r="J1423" s="336"/>
      <c r="K1423" s="336"/>
      <c r="L1423" s="336"/>
      <c r="M1423" s="336"/>
      <c r="N1423" s="336"/>
      <c r="O1423" s="336"/>
      <c r="P1423" s="336"/>
      <c r="Q1423" s="336"/>
      <c r="R1423" s="336"/>
      <c r="S1423" s="336"/>
      <c r="T1423" s="336"/>
      <c r="U1423" s="337"/>
      <c r="V1423" s="336"/>
    </row>
    <row r="1424" ht="15.75" customHeight="1">
      <c r="A1424" s="336"/>
      <c r="B1424" s="336"/>
      <c r="C1424" s="336"/>
      <c r="D1424" s="336"/>
      <c r="E1424" s="336"/>
      <c r="F1424" s="336"/>
      <c r="G1424" s="336"/>
      <c r="H1424" s="336"/>
      <c r="I1424" s="336"/>
      <c r="J1424" s="336"/>
      <c r="K1424" s="336"/>
      <c r="L1424" s="336"/>
      <c r="M1424" s="336"/>
      <c r="N1424" s="336"/>
      <c r="O1424" s="336"/>
      <c r="P1424" s="336"/>
      <c r="Q1424" s="336"/>
      <c r="R1424" s="336"/>
      <c r="S1424" s="336"/>
      <c r="T1424" s="336"/>
      <c r="U1424" s="337"/>
      <c r="V1424" s="336"/>
    </row>
    <row r="1425" ht="15.75" customHeight="1">
      <c r="A1425" s="336"/>
      <c r="B1425" s="336"/>
      <c r="C1425" s="336"/>
      <c r="D1425" s="336"/>
      <c r="E1425" s="336"/>
      <c r="F1425" s="336"/>
      <c r="G1425" s="336"/>
      <c r="H1425" s="336"/>
      <c r="I1425" s="336"/>
      <c r="J1425" s="336"/>
      <c r="K1425" s="336"/>
      <c r="L1425" s="336"/>
      <c r="M1425" s="336"/>
      <c r="N1425" s="336"/>
      <c r="O1425" s="336"/>
      <c r="P1425" s="336"/>
      <c r="Q1425" s="336"/>
      <c r="R1425" s="336"/>
      <c r="S1425" s="336"/>
      <c r="T1425" s="336"/>
      <c r="U1425" s="337"/>
      <c r="V1425" s="336"/>
    </row>
    <row r="1426" ht="15.75" customHeight="1">
      <c r="A1426" s="336"/>
      <c r="B1426" s="336"/>
      <c r="C1426" s="336"/>
      <c r="D1426" s="336"/>
      <c r="E1426" s="336"/>
      <c r="F1426" s="336"/>
      <c r="G1426" s="336"/>
      <c r="H1426" s="336"/>
      <c r="I1426" s="336"/>
      <c r="J1426" s="336"/>
      <c r="K1426" s="336"/>
      <c r="L1426" s="336"/>
      <c r="M1426" s="336"/>
      <c r="N1426" s="336"/>
      <c r="O1426" s="336"/>
      <c r="P1426" s="336"/>
      <c r="Q1426" s="336"/>
      <c r="R1426" s="336"/>
      <c r="S1426" s="336"/>
      <c r="T1426" s="336"/>
      <c r="U1426" s="337"/>
      <c r="V1426" s="336"/>
    </row>
    <row r="1427" ht="15.75" customHeight="1">
      <c r="A1427" s="336"/>
      <c r="B1427" s="336"/>
      <c r="C1427" s="336"/>
      <c r="D1427" s="336"/>
      <c r="E1427" s="336"/>
      <c r="F1427" s="336"/>
      <c r="G1427" s="336"/>
      <c r="H1427" s="336"/>
      <c r="I1427" s="336"/>
      <c r="J1427" s="336"/>
      <c r="K1427" s="336"/>
      <c r="L1427" s="336"/>
      <c r="M1427" s="336"/>
      <c r="N1427" s="336"/>
      <c r="O1427" s="336"/>
      <c r="P1427" s="336"/>
      <c r="Q1427" s="336"/>
      <c r="R1427" s="336"/>
      <c r="S1427" s="336"/>
      <c r="T1427" s="336"/>
      <c r="U1427" s="337"/>
      <c r="V1427" s="336"/>
    </row>
    <row r="1428" ht="15.75" customHeight="1">
      <c r="A1428" s="336"/>
      <c r="B1428" s="336"/>
      <c r="C1428" s="336"/>
      <c r="D1428" s="336"/>
      <c r="E1428" s="336"/>
      <c r="F1428" s="336"/>
      <c r="G1428" s="336"/>
      <c r="H1428" s="336"/>
      <c r="I1428" s="336"/>
      <c r="J1428" s="336"/>
      <c r="K1428" s="336"/>
      <c r="L1428" s="336"/>
      <c r="M1428" s="336"/>
      <c r="N1428" s="336"/>
      <c r="O1428" s="336"/>
      <c r="P1428" s="336"/>
      <c r="Q1428" s="336"/>
      <c r="R1428" s="336"/>
      <c r="S1428" s="336"/>
      <c r="T1428" s="336"/>
      <c r="U1428" s="337"/>
      <c r="V1428" s="336"/>
    </row>
    <row r="1429" ht="15.75" customHeight="1">
      <c r="A1429" s="336"/>
      <c r="B1429" s="336"/>
      <c r="C1429" s="336"/>
      <c r="D1429" s="336"/>
      <c r="E1429" s="336"/>
      <c r="F1429" s="336"/>
      <c r="G1429" s="336"/>
      <c r="H1429" s="336"/>
      <c r="I1429" s="336"/>
      <c r="J1429" s="336"/>
      <c r="K1429" s="336"/>
      <c r="L1429" s="336"/>
      <c r="M1429" s="336"/>
      <c r="N1429" s="336"/>
      <c r="O1429" s="336"/>
      <c r="P1429" s="336"/>
      <c r="Q1429" s="336"/>
      <c r="R1429" s="336"/>
      <c r="S1429" s="336"/>
      <c r="T1429" s="336"/>
      <c r="U1429" s="337"/>
      <c r="V1429" s="336"/>
    </row>
    <row r="1430" ht="15.75" customHeight="1">
      <c r="A1430" s="336"/>
      <c r="B1430" s="336"/>
      <c r="C1430" s="336"/>
      <c r="D1430" s="336"/>
      <c r="E1430" s="336"/>
      <c r="F1430" s="336"/>
      <c r="G1430" s="336"/>
      <c r="H1430" s="336"/>
      <c r="I1430" s="336"/>
      <c r="J1430" s="336"/>
      <c r="K1430" s="336"/>
      <c r="L1430" s="336"/>
      <c r="M1430" s="336"/>
      <c r="N1430" s="336"/>
      <c r="O1430" s="336"/>
      <c r="P1430" s="336"/>
      <c r="Q1430" s="336"/>
      <c r="R1430" s="336"/>
      <c r="S1430" s="336"/>
      <c r="T1430" s="336"/>
      <c r="U1430" s="337"/>
      <c r="V1430" s="336"/>
    </row>
    <row r="1431" ht="15.75" customHeight="1">
      <c r="A1431" s="336"/>
      <c r="B1431" s="336"/>
      <c r="C1431" s="336"/>
      <c r="D1431" s="336"/>
      <c r="E1431" s="336"/>
      <c r="F1431" s="336"/>
      <c r="G1431" s="336"/>
      <c r="H1431" s="336"/>
      <c r="I1431" s="336"/>
      <c r="J1431" s="336"/>
      <c r="K1431" s="336"/>
      <c r="L1431" s="336"/>
      <c r="M1431" s="336"/>
      <c r="N1431" s="336"/>
      <c r="O1431" s="336"/>
      <c r="P1431" s="336"/>
      <c r="Q1431" s="336"/>
      <c r="R1431" s="336"/>
      <c r="S1431" s="336"/>
      <c r="T1431" s="336"/>
      <c r="U1431" s="337"/>
      <c r="V1431" s="336"/>
    </row>
    <row r="1432" ht="15.75" customHeight="1">
      <c r="A1432" s="336"/>
      <c r="B1432" s="336"/>
      <c r="C1432" s="336"/>
      <c r="D1432" s="336"/>
      <c r="E1432" s="336"/>
      <c r="F1432" s="336"/>
      <c r="G1432" s="336"/>
      <c r="H1432" s="336"/>
      <c r="I1432" s="336"/>
      <c r="J1432" s="336"/>
      <c r="K1432" s="336"/>
      <c r="L1432" s="336"/>
      <c r="M1432" s="336"/>
      <c r="N1432" s="336"/>
      <c r="O1432" s="336"/>
      <c r="P1432" s="336"/>
      <c r="Q1432" s="336"/>
      <c r="R1432" s="336"/>
      <c r="S1432" s="336"/>
      <c r="T1432" s="336"/>
      <c r="U1432" s="337"/>
      <c r="V1432" s="336"/>
    </row>
    <row r="1433" ht="15.75" customHeight="1">
      <c r="A1433" s="336"/>
      <c r="B1433" s="336"/>
      <c r="C1433" s="336"/>
      <c r="D1433" s="336"/>
      <c r="E1433" s="336"/>
      <c r="F1433" s="336"/>
      <c r="G1433" s="336"/>
      <c r="H1433" s="336"/>
      <c r="I1433" s="336"/>
      <c r="J1433" s="336"/>
      <c r="K1433" s="336"/>
      <c r="L1433" s="336"/>
      <c r="M1433" s="336"/>
      <c r="N1433" s="336"/>
      <c r="O1433" s="336"/>
      <c r="P1433" s="336"/>
      <c r="Q1433" s="336"/>
      <c r="R1433" s="336"/>
      <c r="S1433" s="336"/>
      <c r="T1433" s="336"/>
      <c r="U1433" s="337"/>
      <c r="V1433" s="336"/>
    </row>
    <row r="1434" ht="15.75" customHeight="1">
      <c r="A1434" s="336"/>
      <c r="B1434" s="336"/>
      <c r="C1434" s="336"/>
      <c r="D1434" s="336"/>
      <c r="E1434" s="336"/>
      <c r="F1434" s="336"/>
      <c r="G1434" s="336"/>
      <c r="H1434" s="336"/>
      <c r="I1434" s="336"/>
      <c r="J1434" s="336"/>
      <c r="K1434" s="336"/>
      <c r="L1434" s="336"/>
      <c r="M1434" s="336"/>
      <c r="N1434" s="336"/>
      <c r="O1434" s="336"/>
      <c r="P1434" s="336"/>
      <c r="Q1434" s="336"/>
      <c r="R1434" s="336"/>
      <c r="S1434" s="336"/>
      <c r="T1434" s="336"/>
      <c r="U1434" s="337"/>
      <c r="V1434" s="336"/>
    </row>
    <row r="1435" ht="15.75" customHeight="1">
      <c r="A1435" s="336"/>
      <c r="B1435" s="336"/>
      <c r="C1435" s="336"/>
      <c r="D1435" s="336"/>
      <c r="E1435" s="336"/>
      <c r="F1435" s="336"/>
      <c r="G1435" s="336"/>
      <c r="H1435" s="336"/>
      <c r="I1435" s="336"/>
      <c r="J1435" s="336"/>
      <c r="K1435" s="336"/>
      <c r="L1435" s="336"/>
      <c r="M1435" s="336"/>
      <c r="N1435" s="336"/>
      <c r="O1435" s="336"/>
      <c r="P1435" s="336"/>
      <c r="Q1435" s="336"/>
      <c r="R1435" s="336"/>
      <c r="S1435" s="336"/>
      <c r="T1435" s="336"/>
      <c r="U1435" s="337"/>
      <c r="V1435" s="336"/>
    </row>
    <row r="1436" ht="15.75" customHeight="1">
      <c r="A1436" s="336"/>
      <c r="B1436" s="336"/>
      <c r="C1436" s="336"/>
      <c r="D1436" s="336"/>
      <c r="E1436" s="336"/>
      <c r="F1436" s="336"/>
      <c r="G1436" s="336"/>
      <c r="H1436" s="336"/>
      <c r="I1436" s="336"/>
      <c r="J1436" s="336"/>
      <c r="K1436" s="336"/>
      <c r="L1436" s="336"/>
      <c r="M1436" s="336"/>
      <c r="N1436" s="336"/>
      <c r="O1436" s="336"/>
      <c r="P1436" s="336"/>
      <c r="Q1436" s="336"/>
      <c r="R1436" s="336"/>
      <c r="S1436" s="336"/>
      <c r="T1436" s="336"/>
      <c r="U1436" s="337"/>
      <c r="V1436" s="336"/>
    </row>
    <row r="1437" ht="15.75" customHeight="1">
      <c r="A1437" s="336"/>
      <c r="B1437" s="336"/>
      <c r="C1437" s="336"/>
      <c r="D1437" s="336"/>
      <c r="E1437" s="336"/>
      <c r="F1437" s="336"/>
      <c r="G1437" s="336"/>
      <c r="H1437" s="336"/>
      <c r="I1437" s="336"/>
      <c r="J1437" s="336"/>
      <c r="K1437" s="336"/>
      <c r="L1437" s="336"/>
      <c r="M1437" s="336"/>
      <c r="N1437" s="336"/>
      <c r="O1437" s="336"/>
      <c r="P1437" s="336"/>
      <c r="Q1437" s="336"/>
      <c r="R1437" s="336"/>
      <c r="S1437" s="336"/>
      <c r="T1437" s="336"/>
      <c r="U1437" s="337"/>
      <c r="V1437" s="336"/>
    </row>
    <row r="1438" ht="15.75" customHeight="1">
      <c r="A1438" s="336"/>
      <c r="B1438" s="336"/>
      <c r="C1438" s="336"/>
      <c r="D1438" s="336"/>
      <c r="E1438" s="336"/>
      <c r="F1438" s="336"/>
      <c r="G1438" s="336"/>
      <c r="H1438" s="336"/>
      <c r="I1438" s="336"/>
      <c r="J1438" s="336"/>
      <c r="K1438" s="336"/>
      <c r="L1438" s="336"/>
      <c r="M1438" s="336"/>
      <c r="N1438" s="336"/>
      <c r="O1438" s="336"/>
      <c r="P1438" s="336"/>
      <c r="Q1438" s="336"/>
      <c r="R1438" s="336"/>
      <c r="S1438" s="336"/>
      <c r="T1438" s="336"/>
      <c r="U1438" s="337"/>
      <c r="V1438" s="336"/>
    </row>
    <row r="1439" ht="15.75" customHeight="1">
      <c r="A1439" s="336"/>
      <c r="B1439" s="336"/>
      <c r="C1439" s="336"/>
      <c r="D1439" s="336"/>
      <c r="E1439" s="336"/>
      <c r="F1439" s="336"/>
      <c r="G1439" s="336"/>
      <c r="H1439" s="336"/>
      <c r="I1439" s="336"/>
      <c r="J1439" s="336"/>
      <c r="K1439" s="336"/>
      <c r="L1439" s="336"/>
      <c r="M1439" s="336"/>
      <c r="N1439" s="336"/>
      <c r="O1439" s="336"/>
      <c r="P1439" s="336"/>
      <c r="Q1439" s="336"/>
      <c r="R1439" s="336"/>
      <c r="S1439" s="336"/>
      <c r="T1439" s="336"/>
      <c r="U1439" s="337"/>
      <c r="V1439" s="336"/>
    </row>
    <row r="1440" ht="15.75" customHeight="1">
      <c r="A1440" s="336"/>
      <c r="B1440" s="336"/>
      <c r="C1440" s="336"/>
      <c r="D1440" s="336"/>
      <c r="E1440" s="336"/>
      <c r="F1440" s="336"/>
      <c r="G1440" s="336"/>
      <c r="H1440" s="336"/>
      <c r="I1440" s="336"/>
      <c r="J1440" s="336"/>
      <c r="K1440" s="336"/>
      <c r="L1440" s="336"/>
      <c r="M1440" s="336"/>
      <c r="N1440" s="336"/>
      <c r="O1440" s="336"/>
      <c r="P1440" s="336"/>
      <c r="Q1440" s="336"/>
      <c r="R1440" s="336"/>
      <c r="S1440" s="336"/>
      <c r="T1440" s="336"/>
      <c r="U1440" s="337"/>
      <c r="V1440" s="336"/>
    </row>
    <row r="1441" ht="15.75" customHeight="1">
      <c r="A1441" s="336"/>
      <c r="B1441" s="336"/>
      <c r="C1441" s="336"/>
      <c r="D1441" s="336"/>
      <c r="E1441" s="336"/>
      <c r="F1441" s="336"/>
      <c r="G1441" s="336"/>
      <c r="H1441" s="336"/>
      <c r="I1441" s="336"/>
      <c r="J1441" s="336"/>
      <c r="K1441" s="336"/>
      <c r="L1441" s="336"/>
      <c r="M1441" s="336"/>
      <c r="N1441" s="336"/>
      <c r="O1441" s="336"/>
      <c r="P1441" s="336"/>
      <c r="Q1441" s="336"/>
      <c r="R1441" s="336"/>
      <c r="S1441" s="336"/>
      <c r="T1441" s="336"/>
      <c r="U1441" s="337"/>
      <c r="V1441" s="336"/>
    </row>
    <row r="1442" ht="15.75" customHeight="1">
      <c r="A1442" s="336"/>
      <c r="B1442" s="336"/>
      <c r="C1442" s="336"/>
      <c r="D1442" s="336"/>
      <c r="E1442" s="336"/>
      <c r="F1442" s="336"/>
      <c r="G1442" s="336"/>
      <c r="H1442" s="336"/>
      <c r="I1442" s="336"/>
      <c r="J1442" s="336"/>
      <c r="K1442" s="336"/>
      <c r="L1442" s="336"/>
      <c r="M1442" s="336"/>
      <c r="N1442" s="336"/>
      <c r="O1442" s="336"/>
      <c r="P1442" s="336"/>
      <c r="Q1442" s="336"/>
      <c r="R1442" s="336"/>
      <c r="S1442" s="336"/>
      <c r="T1442" s="336"/>
      <c r="U1442" s="337"/>
      <c r="V1442" s="336"/>
    </row>
    <row r="1443" ht="15.75" customHeight="1">
      <c r="A1443" s="336"/>
      <c r="B1443" s="336"/>
      <c r="C1443" s="336"/>
      <c r="D1443" s="336"/>
      <c r="E1443" s="336"/>
      <c r="F1443" s="336"/>
      <c r="G1443" s="336"/>
      <c r="H1443" s="336"/>
      <c r="I1443" s="336"/>
      <c r="J1443" s="336"/>
      <c r="K1443" s="336"/>
      <c r="L1443" s="336"/>
      <c r="M1443" s="336"/>
      <c r="N1443" s="336"/>
      <c r="O1443" s="336"/>
      <c r="P1443" s="336"/>
      <c r="Q1443" s="336"/>
      <c r="R1443" s="336"/>
      <c r="S1443" s="336"/>
      <c r="T1443" s="336"/>
      <c r="U1443" s="337"/>
      <c r="V1443" s="336"/>
    </row>
    <row r="1444" ht="15.75" customHeight="1">
      <c r="A1444" s="336"/>
      <c r="B1444" s="336"/>
      <c r="C1444" s="336"/>
      <c r="D1444" s="336"/>
      <c r="E1444" s="336"/>
      <c r="F1444" s="336"/>
      <c r="G1444" s="336"/>
      <c r="H1444" s="336"/>
      <c r="I1444" s="336"/>
      <c r="J1444" s="336"/>
      <c r="K1444" s="336"/>
      <c r="L1444" s="336"/>
      <c r="M1444" s="336"/>
      <c r="N1444" s="336"/>
      <c r="O1444" s="336"/>
      <c r="P1444" s="336"/>
      <c r="Q1444" s="336"/>
      <c r="R1444" s="336"/>
      <c r="S1444" s="336"/>
      <c r="T1444" s="336"/>
      <c r="U1444" s="337"/>
      <c r="V1444" s="336"/>
    </row>
    <row r="1445" ht="15.75" customHeight="1">
      <c r="A1445" s="336"/>
      <c r="B1445" s="336"/>
      <c r="C1445" s="336"/>
      <c r="D1445" s="336"/>
      <c r="E1445" s="336"/>
      <c r="F1445" s="336"/>
      <c r="G1445" s="336"/>
      <c r="H1445" s="336"/>
      <c r="I1445" s="336"/>
      <c r="J1445" s="336"/>
      <c r="K1445" s="336"/>
      <c r="L1445" s="336"/>
      <c r="M1445" s="336"/>
      <c r="N1445" s="336"/>
      <c r="O1445" s="336"/>
      <c r="P1445" s="336"/>
      <c r="Q1445" s="336"/>
      <c r="R1445" s="336"/>
      <c r="S1445" s="336"/>
      <c r="T1445" s="336"/>
      <c r="U1445" s="337"/>
      <c r="V1445" s="336"/>
    </row>
    <row r="1446" ht="15.75" customHeight="1">
      <c r="A1446" s="336"/>
      <c r="B1446" s="336"/>
      <c r="C1446" s="336"/>
      <c r="D1446" s="336"/>
      <c r="E1446" s="336"/>
      <c r="F1446" s="336"/>
      <c r="G1446" s="336"/>
      <c r="H1446" s="336"/>
      <c r="I1446" s="336"/>
      <c r="J1446" s="336"/>
      <c r="K1446" s="336"/>
      <c r="L1446" s="336"/>
      <c r="M1446" s="336"/>
      <c r="N1446" s="336"/>
      <c r="O1446" s="336"/>
      <c r="P1446" s="336"/>
      <c r="Q1446" s="336"/>
      <c r="R1446" s="336"/>
      <c r="S1446" s="336"/>
      <c r="T1446" s="336"/>
      <c r="U1446" s="337"/>
      <c r="V1446" s="336"/>
    </row>
    <row r="1447" ht="15.75" customHeight="1">
      <c r="A1447" s="336"/>
      <c r="B1447" s="336"/>
      <c r="C1447" s="336"/>
      <c r="D1447" s="336"/>
      <c r="E1447" s="336"/>
      <c r="F1447" s="336"/>
      <c r="G1447" s="336"/>
      <c r="H1447" s="336"/>
      <c r="I1447" s="336"/>
      <c r="J1447" s="336"/>
      <c r="K1447" s="336"/>
      <c r="L1447" s="336"/>
      <c r="M1447" s="336"/>
      <c r="N1447" s="336"/>
      <c r="O1447" s="336"/>
      <c r="P1447" s="336"/>
      <c r="Q1447" s="336"/>
      <c r="R1447" s="336"/>
      <c r="S1447" s="336"/>
      <c r="T1447" s="336"/>
      <c r="U1447" s="337"/>
      <c r="V1447" s="336"/>
    </row>
    <row r="1448" ht="15.75" customHeight="1">
      <c r="A1448" s="336"/>
      <c r="B1448" s="336"/>
      <c r="C1448" s="336"/>
      <c r="D1448" s="336"/>
      <c r="E1448" s="336"/>
      <c r="F1448" s="336"/>
      <c r="G1448" s="336"/>
      <c r="H1448" s="336"/>
      <c r="I1448" s="336"/>
      <c r="J1448" s="336"/>
      <c r="K1448" s="336"/>
      <c r="L1448" s="336"/>
      <c r="M1448" s="336"/>
      <c r="N1448" s="336"/>
      <c r="O1448" s="336"/>
      <c r="P1448" s="336"/>
      <c r="Q1448" s="336"/>
      <c r="R1448" s="336"/>
      <c r="S1448" s="336"/>
      <c r="T1448" s="336"/>
      <c r="U1448" s="337"/>
      <c r="V1448" s="336"/>
    </row>
    <row r="1449" ht="15.75" customHeight="1">
      <c r="A1449" s="336"/>
      <c r="B1449" s="336"/>
      <c r="C1449" s="336"/>
      <c r="D1449" s="336"/>
      <c r="E1449" s="336"/>
      <c r="F1449" s="336"/>
      <c r="G1449" s="336"/>
      <c r="H1449" s="336"/>
      <c r="I1449" s="336"/>
      <c r="J1449" s="336"/>
      <c r="K1449" s="336"/>
      <c r="L1449" s="336"/>
      <c r="M1449" s="336"/>
      <c r="N1449" s="336"/>
      <c r="O1449" s="336"/>
      <c r="P1449" s="336"/>
      <c r="Q1449" s="336"/>
      <c r="R1449" s="336"/>
      <c r="S1449" s="336"/>
      <c r="T1449" s="336"/>
      <c r="U1449" s="337"/>
      <c r="V1449" s="336"/>
    </row>
    <row r="1450" ht="15.75" customHeight="1">
      <c r="A1450" s="336"/>
      <c r="B1450" s="336"/>
      <c r="C1450" s="336"/>
      <c r="D1450" s="336"/>
      <c r="E1450" s="336"/>
      <c r="F1450" s="336"/>
      <c r="G1450" s="336"/>
      <c r="H1450" s="336"/>
      <c r="I1450" s="336"/>
      <c r="J1450" s="336"/>
      <c r="K1450" s="336"/>
      <c r="L1450" s="336"/>
      <c r="M1450" s="336"/>
      <c r="N1450" s="336"/>
      <c r="O1450" s="336"/>
      <c r="P1450" s="336"/>
      <c r="Q1450" s="336"/>
      <c r="R1450" s="336"/>
      <c r="S1450" s="336"/>
      <c r="T1450" s="336"/>
      <c r="U1450" s="337"/>
      <c r="V1450" s="336"/>
    </row>
    <row r="1451" ht="15.75" customHeight="1">
      <c r="A1451" s="336"/>
      <c r="B1451" s="336"/>
      <c r="C1451" s="336"/>
      <c r="D1451" s="336"/>
      <c r="E1451" s="336"/>
      <c r="F1451" s="336"/>
      <c r="G1451" s="336"/>
      <c r="H1451" s="336"/>
      <c r="I1451" s="336"/>
      <c r="J1451" s="336"/>
      <c r="K1451" s="336"/>
      <c r="L1451" s="336"/>
      <c r="M1451" s="336"/>
      <c r="N1451" s="336"/>
      <c r="O1451" s="336"/>
      <c r="P1451" s="336"/>
      <c r="Q1451" s="336"/>
      <c r="R1451" s="336"/>
      <c r="S1451" s="336"/>
      <c r="T1451" s="336"/>
      <c r="U1451" s="337"/>
      <c r="V1451" s="336"/>
    </row>
    <row r="1452" ht="15.75" customHeight="1">
      <c r="A1452" s="336"/>
      <c r="B1452" s="336"/>
      <c r="C1452" s="336"/>
      <c r="D1452" s="336"/>
      <c r="E1452" s="336"/>
      <c r="F1452" s="336"/>
      <c r="G1452" s="336"/>
      <c r="H1452" s="336"/>
      <c r="I1452" s="336"/>
      <c r="J1452" s="336"/>
      <c r="K1452" s="336"/>
      <c r="L1452" s="336"/>
      <c r="M1452" s="336"/>
      <c r="N1452" s="336"/>
      <c r="O1452" s="336"/>
      <c r="P1452" s="336"/>
      <c r="Q1452" s="336"/>
      <c r="R1452" s="336"/>
      <c r="S1452" s="336"/>
      <c r="T1452" s="336"/>
      <c r="U1452" s="337"/>
      <c r="V1452" s="336"/>
    </row>
    <row r="1453" ht="15.75" customHeight="1">
      <c r="A1453" s="336"/>
      <c r="B1453" s="336"/>
      <c r="C1453" s="336"/>
      <c r="D1453" s="336"/>
      <c r="E1453" s="336"/>
      <c r="F1453" s="336"/>
      <c r="G1453" s="336"/>
      <c r="H1453" s="336"/>
      <c r="I1453" s="336"/>
      <c r="J1453" s="336"/>
      <c r="K1453" s="336"/>
      <c r="L1453" s="336"/>
      <c r="M1453" s="336"/>
      <c r="N1453" s="336"/>
      <c r="O1453" s="336"/>
      <c r="P1453" s="336"/>
      <c r="Q1453" s="336"/>
      <c r="R1453" s="336"/>
      <c r="S1453" s="336"/>
      <c r="T1453" s="336"/>
      <c r="U1453" s="337"/>
      <c r="V1453" s="336"/>
    </row>
    <row r="1454" ht="15.75" customHeight="1">
      <c r="A1454" s="336"/>
      <c r="B1454" s="336"/>
      <c r="C1454" s="336"/>
      <c r="D1454" s="336"/>
      <c r="E1454" s="336"/>
      <c r="F1454" s="336"/>
      <c r="G1454" s="336"/>
      <c r="H1454" s="336"/>
      <c r="I1454" s="336"/>
      <c r="J1454" s="336"/>
      <c r="K1454" s="336"/>
      <c r="L1454" s="336"/>
      <c r="M1454" s="336"/>
      <c r="N1454" s="336"/>
      <c r="O1454" s="336"/>
      <c r="P1454" s="336"/>
      <c r="Q1454" s="336"/>
      <c r="R1454" s="336"/>
      <c r="S1454" s="336"/>
      <c r="T1454" s="336"/>
      <c r="U1454" s="337"/>
      <c r="V1454" s="336"/>
    </row>
    <row r="1455" ht="15.75" customHeight="1">
      <c r="A1455" s="336"/>
      <c r="B1455" s="336"/>
      <c r="C1455" s="336"/>
      <c r="D1455" s="336"/>
      <c r="E1455" s="336"/>
      <c r="F1455" s="336"/>
      <c r="G1455" s="336"/>
      <c r="H1455" s="336"/>
      <c r="I1455" s="336"/>
      <c r="J1455" s="336"/>
      <c r="K1455" s="336"/>
      <c r="L1455" s="336"/>
      <c r="M1455" s="336"/>
      <c r="N1455" s="336"/>
      <c r="O1455" s="336"/>
      <c r="P1455" s="336"/>
      <c r="Q1455" s="336"/>
      <c r="R1455" s="336"/>
      <c r="S1455" s="336"/>
      <c r="T1455" s="336"/>
      <c r="U1455" s="337"/>
      <c r="V1455" s="336"/>
    </row>
    <row r="1456" ht="15.75" customHeight="1">
      <c r="A1456" s="336"/>
      <c r="B1456" s="336"/>
      <c r="C1456" s="336"/>
      <c r="D1456" s="336"/>
      <c r="E1456" s="336"/>
      <c r="F1456" s="336"/>
      <c r="G1456" s="336"/>
      <c r="H1456" s="336"/>
      <c r="I1456" s="336"/>
      <c r="J1456" s="336"/>
      <c r="K1456" s="336"/>
      <c r="L1456" s="336"/>
      <c r="M1456" s="336"/>
      <c r="N1456" s="336"/>
      <c r="O1456" s="336"/>
      <c r="P1456" s="336"/>
      <c r="Q1456" s="336"/>
      <c r="R1456" s="336"/>
      <c r="S1456" s="336"/>
      <c r="T1456" s="336"/>
      <c r="U1456" s="337"/>
      <c r="V1456" s="336"/>
    </row>
    <row r="1457" ht="15.75" customHeight="1">
      <c r="A1457" s="336"/>
      <c r="B1457" s="336"/>
      <c r="C1457" s="336"/>
      <c r="D1457" s="336"/>
      <c r="E1457" s="336"/>
      <c r="F1457" s="336"/>
      <c r="G1457" s="336"/>
      <c r="H1457" s="336"/>
      <c r="I1457" s="336"/>
      <c r="J1457" s="336"/>
      <c r="K1457" s="336"/>
      <c r="L1457" s="336"/>
      <c r="M1457" s="336"/>
      <c r="N1457" s="336"/>
      <c r="O1457" s="336"/>
      <c r="P1457" s="336"/>
      <c r="Q1457" s="336"/>
      <c r="R1457" s="336"/>
      <c r="S1457" s="336"/>
      <c r="T1457" s="336"/>
      <c r="U1457" s="337"/>
      <c r="V1457" s="336"/>
    </row>
    <row r="1458" ht="15.75" customHeight="1">
      <c r="A1458" s="336"/>
      <c r="B1458" s="336"/>
      <c r="C1458" s="336"/>
      <c r="D1458" s="336"/>
      <c r="E1458" s="336"/>
      <c r="F1458" s="336"/>
      <c r="G1458" s="336"/>
      <c r="H1458" s="336"/>
      <c r="I1458" s="336"/>
      <c r="J1458" s="336"/>
      <c r="K1458" s="336"/>
      <c r="L1458" s="336"/>
      <c r="M1458" s="336"/>
      <c r="N1458" s="336"/>
      <c r="O1458" s="336"/>
      <c r="P1458" s="336"/>
      <c r="Q1458" s="336"/>
      <c r="R1458" s="336"/>
      <c r="S1458" s="336"/>
      <c r="T1458" s="336"/>
      <c r="U1458" s="337"/>
      <c r="V1458" s="336"/>
    </row>
    <row r="1459" ht="15.75" customHeight="1">
      <c r="A1459" s="336"/>
      <c r="B1459" s="336"/>
      <c r="C1459" s="336"/>
      <c r="D1459" s="336"/>
      <c r="E1459" s="336"/>
      <c r="F1459" s="336"/>
      <c r="G1459" s="336"/>
      <c r="H1459" s="336"/>
      <c r="I1459" s="336"/>
      <c r="J1459" s="336"/>
      <c r="K1459" s="336"/>
      <c r="L1459" s="336"/>
      <c r="M1459" s="336"/>
      <c r="N1459" s="336"/>
      <c r="O1459" s="336"/>
      <c r="P1459" s="336"/>
      <c r="Q1459" s="336"/>
      <c r="R1459" s="336"/>
      <c r="S1459" s="336"/>
      <c r="T1459" s="336"/>
      <c r="U1459" s="337"/>
      <c r="V1459" s="336"/>
    </row>
    <row r="1460" ht="15.75" customHeight="1">
      <c r="A1460" s="336"/>
      <c r="B1460" s="336"/>
      <c r="C1460" s="336"/>
      <c r="D1460" s="336"/>
      <c r="E1460" s="336"/>
      <c r="F1460" s="336"/>
      <c r="G1460" s="336"/>
      <c r="H1460" s="336"/>
      <c r="I1460" s="336"/>
      <c r="J1460" s="336"/>
      <c r="K1460" s="336"/>
      <c r="L1460" s="336"/>
      <c r="M1460" s="336"/>
      <c r="N1460" s="336"/>
      <c r="O1460" s="336"/>
      <c r="P1460" s="336"/>
      <c r="Q1460" s="336"/>
      <c r="R1460" s="336"/>
      <c r="S1460" s="336"/>
      <c r="T1460" s="336"/>
      <c r="U1460" s="337"/>
      <c r="V1460" s="336"/>
    </row>
    <row r="1461" ht="15.75" customHeight="1">
      <c r="A1461" s="336"/>
      <c r="B1461" s="336"/>
      <c r="C1461" s="336"/>
      <c r="D1461" s="336"/>
      <c r="E1461" s="336"/>
      <c r="F1461" s="336"/>
      <c r="G1461" s="336"/>
      <c r="H1461" s="336"/>
      <c r="I1461" s="336"/>
      <c r="J1461" s="336"/>
      <c r="K1461" s="336"/>
      <c r="L1461" s="336"/>
      <c r="M1461" s="336"/>
      <c r="N1461" s="336"/>
      <c r="O1461" s="336"/>
      <c r="P1461" s="336"/>
      <c r="Q1461" s="336"/>
      <c r="R1461" s="336"/>
      <c r="S1461" s="336"/>
      <c r="T1461" s="336"/>
      <c r="U1461" s="337"/>
      <c r="V1461" s="336"/>
    </row>
    <row r="1462" ht="15.75" customHeight="1">
      <c r="A1462" s="336"/>
      <c r="B1462" s="336"/>
      <c r="C1462" s="336"/>
      <c r="D1462" s="336"/>
      <c r="E1462" s="336"/>
      <c r="F1462" s="336"/>
      <c r="G1462" s="336"/>
      <c r="H1462" s="336"/>
      <c r="I1462" s="336"/>
      <c r="J1462" s="336"/>
      <c r="K1462" s="336"/>
      <c r="L1462" s="336"/>
      <c r="M1462" s="336"/>
      <c r="N1462" s="336"/>
      <c r="O1462" s="336"/>
      <c r="P1462" s="336"/>
      <c r="Q1462" s="336"/>
      <c r="R1462" s="336"/>
      <c r="S1462" s="336"/>
      <c r="T1462" s="336"/>
      <c r="U1462" s="337"/>
      <c r="V1462" s="336"/>
    </row>
    <row r="1463" ht="15.75" customHeight="1">
      <c r="A1463" s="336"/>
      <c r="B1463" s="336"/>
      <c r="C1463" s="336"/>
      <c r="D1463" s="336"/>
      <c r="E1463" s="336"/>
      <c r="F1463" s="336"/>
      <c r="G1463" s="336"/>
      <c r="H1463" s="336"/>
      <c r="I1463" s="336"/>
      <c r="J1463" s="336"/>
      <c r="K1463" s="336"/>
      <c r="L1463" s="336"/>
      <c r="M1463" s="336"/>
      <c r="N1463" s="336"/>
      <c r="O1463" s="336"/>
      <c r="P1463" s="336"/>
      <c r="Q1463" s="336"/>
      <c r="R1463" s="336"/>
      <c r="S1463" s="336"/>
      <c r="T1463" s="336"/>
      <c r="U1463" s="337"/>
      <c r="V1463" s="336"/>
    </row>
    <row r="1464" ht="15.75" customHeight="1">
      <c r="A1464" s="336"/>
      <c r="B1464" s="336"/>
      <c r="C1464" s="336"/>
      <c r="D1464" s="336"/>
      <c r="E1464" s="336"/>
      <c r="F1464" s="336"/>
      <c r="G1464" s="336"/>
      <c r="H1464" s="336"/>
      <c r="I1464" s="336"/>
      <c r="J1464" s="336"/>
      <c r="K1464" s="336"/>
      <c r="L1464" s="336"/>
      <c r="M1464" s="336"/>
      <c r="N1464" s="336"/>
      <c r="O1464" s="336"/>
      <c r="P1464" s="336"/>
      <c r="Q1464" s="336"/>
      <c r="R1464" s="336"/>
      <c r="S1464" s="336"/>
      <c r="T1464" s="336"/>
      <c r="U1464" s="337"/>
      <c r="V1464" s="336"/>
    </row>
    <row r="1465" ht="15.75" customHeight="1">
      <c r="A1465" s="336"/>
      <c r="B1465" s="336"/>
      <c r="C1465" s="336"/>
      <c r="D1465" s="336"/>
      <c r="E1465" s="336"/>
      <c r="F1465" s="336"/>
      <c r="G1465" s="336"/>
      <c r="H1465" s="336"/>
      <c r="I1465" s="336"/>
      <c r="J1465" s="336"/>
      <c r="K1465" s="336"/>
      <c r="L1465" s="336"/>
      <c r="M1465" s="336"/>
      <c r="N1465" s="336"/>
      <c r="O1465" s="336"/>
      <c r="P1465" s="336"/>
      <c r="Q1465" s="336"/>
      <c r="R1465" s="336"/>
      <c r="S1465" s="336"/>
      <c r="T1465" s="336"/>
      <c r="U1465" s="337"/>
      <c r="V1465" s="336"/>
    </row>
    <row r="1466" ht="15.75" customHeight="1">
      <c r="A1466" s="336"/>
      <c r="B1466" s="336"/>
      <c r="C1466" s="336"/>
      <c r="D1466" s="336"/>
      <c r="E1466" s="336"/>
      <c r="F1466" s="336"/>
      <c r="G1466" s="336"/>
      <c r="H1466" s="336"/>
      <c r="I1466" s="336"/>
      <c r="J1466" s="336"/>
      <c r="K1466" s="336"/>
      <c r="L1466" s="336"/>
      <c r="M1466" s="336"/>
      <c r="N1466" s="336"/>
      <c r="O1466" s="336"/>
      <c r="P1466" s="336"/>
      <c r="Q1466" s="336"/>
      <c r="R1466" s="336"/>
      <c r="S1466" s="336"/>
      <c r="T1466" s="336"/>
      <c r="U1466" s="337"/>
      <c r="V1466" s="336"/>
    </row>
    <row r="1467" ht="15.75" customHeight="1">
      <c r="A1467" s="336"/>
      <c r="B1467" s="336"/>
      <c r="C1467" s="336"/>
      <c r="D1467" s="336"/>
      <c r="E1467" s="336"/>
      <c r="F1467" s="336"/>
      <c r="G1467" s="336"/>
      <c r="H1467" s="336"/>
      <c r="I1467" s="336"/>
      <c r="J1467" s="336"/>
      <c r="K1467" s="336"/>
      <c r="L1467" s="336"/>
      <c r="M1467" s="336"/>
      <c r="N1467" s="336"/>
      <c r="O1467" s="336"/>
      <c r="P1467" s="336"/>
      <c r="Q1467" s="336"/>
      <c r="R1467" s="336"/>
      <c r="S1467" s="336"/>
      <c r="T1467" s="336"/>
      <c r="U1467" s="337"/>
      <c r="V1467" s="336"/>
    </row>
    <row r="1468" ht="15.75" customHeight="1">
      <c r="A1468" s="336"/>
      <c r="B1468" s="336"/>
      <c r="C1468" s="336"/>
      <c r="D1468" s="336"/>
      <c r="E1468" s="336"/>
      <c r="F1468" s="336"/>
      <c r="G1468" s="336"/>
      <c r="H1468" s="336"/>
      <c r="I1468" s="336"/>
      <c r="J1468" s="336"/>
      <c r="K1468" s="336"/>
      <c r="L1468" s="336"/>
      <c r="M1468" s="336"/>
      <c r="N1468" s="336"/>
      <c r="O1468" s="336"/>
      <c r="P1468" s="336"/>
      <c r="Q1468" s="336"/>
      <c r="R1468" s="336"/>
      <c r="S1468" s="336"/>
      <c r="T1468" s="336"/>
      <c r="U1468" s="337"/>
      <c r="V1468" s="336"/>
    </row>
    <row r="1469" ht="15.75" customHeight="1">
      <c r="A1469" s="336"/>
      <c r="B1469" s="336"/>
      <c r="C1469" s="336"/>
      <c r="D1469" s="336"/>
      <c r="E1469" s="336"/>
      <c r="F1469" s="336"/>
      <c r="G1469" s="336"/>
      <c r="H1469" s="336"/>
      <c r="I1469" s="336"/>
      <c r="J1469" s="336"/>
      <c r="K1469" s="336"/>
      <c r="L1469" s="336"/>
      <c r="M1469" s="336"/>
      <c r="N1469" s="336"/>
      <c r="O1469" s="336"/>
      <c r="P1469" s="336"/>
      <c r="Q1469" s="336"/>
      <c r="R1469" s="336"/>
      <c r="S1469" s="336"/>
      <c r="T1469" s="336"/>
      <c r="U1469" s="337"/>
      <c r="V1469" s="336"/>
    </row>
    <row r="1470" ht="15.75" customHeight="1">
      <c r="A1470" s="336"/>
      <c r="B1470" s="336"/>
      <c r="C1470" s="336"/>
      <c r="D1470" s="336"/>
      <c r="E1470" s="336"/>
      <c r="F1470" s="336"/>
      <c r="G1470" s="336"/>
      <c r="H1470" s="336"/>
      <c r="I1470" s="336"/>
      <c r="J1470" s="336"/>
      <c r="K1470" s="336"/>
      <c r="L1470" s="336"/>
      <c r="M1470" s="336"/>
      <c r="N1470" s="336"/>
      <c r="O1470" s="336"/>
      <c r="P1470" s="336"/>
      <c r="Q1470" s="336"/>
      <c r="R1470" s="336"/>
      <c r="S1470" s="336"/>
      <c r="T1470" s="336"/>
      <c r="U1470" s="337"/>
      <c r="V1470" s="336"/>
    </row>
    <row r="1471" ht="15.75" customHeight="1">
      <c r="A1471" s="336"/>
      <c r="B1471" s="336"/>
      <c r="C1471" s="336"/>
      <c r="D1471" s="336"/>
      <c r="E1471" s="336"/>
      <c r="F1471" s="336"/>
      <c r="G1471" s="336"/>
      <c r="H1471" s="336"/>
      <c r="I1471" s="336"/>
      <c r="J1471" s="336"/>
      <c r="K1471" s="336"/>
      <c r="L1471" s="336"/>
      <c r="M1471" s="336"/>
      <c r="N1471" s="336"/>
      <c r="O1471" s="336"/>
      <c r="P1471" s="336"/>
      <c r="Q1471" s="336"/>
      <c r="R1471" s="336"/>
      <c r="S1471" s="336"/>
      <c r="T1471" s="336"/>
      <c r="U1471" s="337"/>
      <c r="V1471" s="336"/>
    </row>
    <row r="1472" ht="15.75" customHeight="1">
      <c r="A1472" s="336"/>
      <c r="B1472" s="336"/>
      <c r="C1472" s="336"/>
      <c r="D1472" s="336"/>
      <c r="E1472" s="336"/>
      <c r="F1472" s="336"/>
      <c r="G1472" s="336"/>
      <c r="H1472" s="336"/>
      <c r="I1472" s="336"/>
      <c r="J1472" s="336"/>
      <c r="K1472" s="336"/>
      <c r="L1472" s="336"/>
      <c r="M1472" s="336"/>
      <c r="N1472" s="336"/>
      <c r="O1472" s="336"/>
      <c r="P1472" s="336"/>
      <c r="Q1472" s="336"/>
      <c r="R1472" s="336"/>
      <c r="S1472" s="336"/>
      <c r="T1472" s="336"/>
      <c r="U1472" s="337"/>
      <c r="V1472" s="336"/>
    </row>
    <row r="1473" ht="15.75" customHeight="1">
      <c r="A1473" s="336"/>
      <c r="B1473" s="336"/>
      <c r="C1473" s="336"/>
      <c r="D1473" s="336"/>
      <c r="E1473" s="336"/>
      <c r="F1473" s="336"/>
      <c r="G1473" s="336"/>
      <c r="H1473" s="336"/>
      <c r="I1473" s="336"/>
      <c r="J1473" s="336"/>
      <c r="K1473" s="336"/>
      <c r="L1473" s="336"/>
      <c r="M1473" s="336"/>
      <c r="N1473" s="336"/>
      <c r="O1473" s="336"/>
      <c r="P1473" s="336"/>
      <c r="Q1473" s="336"/>
      <c r="R1473" s="336"/>
      <c r="S1473" s="336"/>
      <c r="T1473" s="336"/>
      <c r="U1473" s="337"/>
      <c r="V1473" s="336"/>
    </row>
    <row r="1474" ht="15.75" customHeight="1">
      <c r="A1474" s="336"/>
      <c r="B1474" s="336"/>
      <c r="C1474" s="336"/>
      <c r="D1474" s="336"/>
      <c r="E1474" s="336"/>
      <c r="F1474" s="336"/>
      <c r="G1474" s="336"/>
      <c r="H1474" s="336"/>
      <c r="I1474" s="336"/>
      <c r="J1474" s="336"/>
      <c r="K1474" s="336"/>
      <c r="L1474" s="336"/>
      <c r="M1474" s="336"/>
      <c r="N1474" s="336"/>
      <c r="O1474" s="336"/>
      <c r="P1474" s="336"/>
      <c r="Q1474" s="336"/>
      <c r="R1474" s="336"/>
      <c r="S1474" s="336"/>
      <c r="T1474" s="336"/>
      <c r="U1474" s="337"/>
      <c r="V1474" s="336"/>
    </row>
    <row r="1475" ht="15.75" customHeight="1">
      <c r="A1475" s="336"/>
      <c r="B1475" s="336"/>
      <c r="C1475" s="336"/>
      <c r="D1475" s="336"/>
      <c r="E1475" s="336"/>
      <c r="F1475" s="336"/>
      <c r="G1475" s="336"/>
      <c r="H1475" s="336"/>
      <c r="I1475" s="336"/>
      <c r="J1475" s="336"/>
      <c r="K1475" s="336"/>
      <c r="L1475" s="336"/>
      <c r="M1475" s="336"/>
      <c r="N1475" s="336"/>
      <c r="O1475" s="336"/>
      <c r="P1475" s="336"/>
      <c r="Q1475" s="336"/>
      <c r="R1475" s="336"/>
      <c r="S1475" s="336"/>
      <c r="T1475" s="336"/>
      <c r="U1475" s="337"/>
      <c r="V1475" s="336"/>
    </row>
    <row r="1476" ht="15.75" customHeight="1">
      <c r="A1476" s="336"/>
      <c r="B1476" s="336"/>
      <c r="C1476" s="336"/>
      <c r="D1476" s="336"/>
      <c r="E1476" s="336"/>
      <c r="F1476" s="336"/>
      <c r="G1476" s="336"/>
      <c r="H1476" s="336"/>
      <c r="I1476" s="336"/>
      <c r="J1476" s="336"/>
      <c r="K1476" s="336"/>
      <c r="L1476" s="336"/>
      <c r="M1476" s="336"/>
      <c r="N1476" s="336"/>
      <c r="O1476" s="336"/>
      <c r="P1476" s="336"/>
      <c r="Q1476" s="336"/>
      <c r="R1476" s="336"/>
      <c r="S1476" s="336"/>
      <c r="T1476" s="336"/>
      <c r="U1476" s="337"/>
      <c r="V1476" s="336"/>
    </row>
    <row r="1477" ht="15.75" customHeight="1">
      <c r="A1477" s="336"/>
      <c r="B1477" s="336"/>
      <c r="C1477" s="336"/>
      <c r="D1477" s="336"/>
      <c r="E1477" s="336"/>
      <c r="F1477" s="336"/>
      <c r="G1477" s="336"/>
      <c r="H1477" s="336"/>
      <c r="I1477" s="336"/>
      <c r="J1477" s="336"/>
      <c r="K1477" s="336"/>
      <c r="L1477" s="336"/>
      <c r="M1477" s="336"/>
      <c r="N1477" s="336"/>
      <c r="O1477" s="336"/>
      <c r="P1477" s="336"/>
      <c r="Q1477" s="336"/>
      <c r="R1477" s="336"/>
      <c r="S1477" s="336"/>
      <c r="T1477" s="336"/>
      <c r="U1477" s="337"/>
      <c r="V1477" s="336"/>
    </row>
    <row r="1478" ht="15.75" customHeight="1">
      <c r="A1478" s="336"/>
      <c r="B1478" s="336"/>
      <c r="C1478" s="336"/>
      <c r="D1478" s="336"/>
      <c r="E1478" s="336"/>
      <c r="F1478" s="336"/>
      <c r="G1478" s="336"/>
      <c r="H1478" s="336"/>
      <c r="I1478" s="336"/>
      <c r="J1478" s="336"/>
      <c r="K1478" s="336"/>
      <c r="L1478" s="336"/>
      <c r="M1478" s="336"/>
      <c r="N1478" s="336"/>
      <c r="O1478" s="336"/>
      <c r="P1478" s="336"/>
      <c r="Q1478" s="336"/>
      <c r="R1478" s="336"/>
      <c r="S1478" s="336"/>
      <c r="T1478" s="336"/>
      <c r="U1478" s="337"/>
      <c r="V1478" s="336"/>
    </row>
    <row r="1479" ht="15.75" customHeight="1">
      <c r="A1479" s="336"/>
      <c r="B1479" s="336"/>
      <c r="C1479" s="336"/>
      <c r="D1479" s="336"/>
      <c r="E1479" s="336"/>
      <c r="F1479" s="336"/>
      <c r="G1479" s="336"/>
      <c r="H1479" s="336"/>
      <c r="I1479" s="336"/>
      <c r="J1479" s="336"/>
      <c r="K1479" s="336"/>
      <c r="L1479" s="336"/>
      <c r="M1479" s="336"/>
      <c r="N1479" s="336"/>
      <c r="O1479" s="336"/>
      <c r="P1479" s="336"/>
      <c r="Q1479" s="336"/>
      <c r="R1479" s="336"/>
      <c r="S1479" s="336"/>
      <c r="T1479" s="336"/>
      <c r="U1479" s="337"/>
      <c r="V1479" s="336"/>
    </row>
    <row r="1480" ht="15.75" customHeight="1">
      <c r="A1480" s="336"/>
      <c r="B1480" s="336"/>
      <c r="C1480" s="336"/>
      <c r="D1480" s="336"/>
      <c r="E1480" s="336"/>
      <c r="F1480" s="336"/>
      <c r="G1480" s="336"/>
      <c r="H1480" s="336"/>
      <c r="I1480" s="336"/>
      <c r="J1480" s="336"/>
      <c r="K1480" s="336"/>
      <c r="L1480" s="336"/>
      <c r="M1480" s="336"/>
      <c r="N1480" s="336"/>
      <c r="O1480" s="336"/>
      <c r="P1480" s="336"/>
      <c r="Q1480" s="336"/>
      <c r="R1480" s="336"/>
      <c r="S1480" s="336"/>
      <c r="T1480" s="336"/>
      <c r="U1480" s="337"/>
      <c r="V1480" s="336"/>
    </row>
    <row r="1481" ht="15.75" customHeight="1">
      <c r="A1481" s="336"/>
      <c r="B1481" s="336"/>
      <c r="C1481" s="336"/>
      <c r="D1481" s="336"/>
      <c r="E1481" s="336"/>
      <c r="F1481" s="336"/>
      <c r="G1481" s="336"/>
      <c r="H1481" s="336"/>
      <c r="I1481" s="336"/>
      <c r="J1481" s="336"/>
      <c r="K1481" s="336"/>
      <c r="L1481" s="336"/>
      <c r="M1481" s="336"/>
      <c r="N1481" s="336"/>
      <c r="O1481" s="336"/>
      <c r="P1481" s="336"/>
      <c r="Q1481" s="336"/>
      <c r="R1481" s="336"/>
      <c r="S1481" s="336"/>
      <c r="T1481" s="336"/>
      <c r="U1481" s="337"/>
      <c r="V1481" s="336"/>
    </row>
    <row r="1482" ht="15.75" customHeight="1">
      <c r="A1482" s="336"/>
      <c r="B1482" s="336"/>
      <c r="C1482" s="336"/>
      <c r="D1482" s="336"/>
      <c r="E1482" s="336"/>
      <c r="F1482" s="336"/>
      <c r="G1482" s="336"/>
      <c r="H1482" s="336"/>
      <c r="I1482" s="336"/>
      <c r="J1482" s="336"/>
      <c r="K1482" s="336"/>
      <c r="L1482" s="336"/>
      <c r="M1482" s="336"/>
      <c r="N1482" s="336"/>
      <c r="O1482" s="336"/>
      <c r="P1482" s="336"/>
      <c r="Q1482" s="336"/>
      <c r="R1482" s="336"/>
      <c r="S1482" s="336"/>
      <c r="T1482" s="336"/>
      <c r="U1482" s="337"/>
      <c r="V1482" s="336"/>
    </row>
    <row r="1483" ht="15.75" customHeight="1">
      <c r="A1483" s="336"/>
      <c r="B1483" s="336"/>
      <c r="C1483" s="336"/>
      <c r="D1483" s="336"/>
      <c r="E1483" s="336"/>
      <c r="F1483" s="336"/>
      <c r="G1483" s="336"/>
      <c r="H1483" s="336"/>
      <c r="I1483" s="336"/>
      <c r="J1483" s="336"/>
      <c r="K1483" s="336"/>
      <c r="L1483" s="336"/>
      <c r="M1483" s="336"/>
      <c r="N1483" s="336"/>
      <c r="O1483" s="336"/>
      <c r="P1483" s="336"/>
      <c r="Q1483" s="336"/>
      <c r="R1483" s="336"/>
      <c r="S1483" s="336"/>
      <c r="T1483" s="336"/>
      <c r="U1483" s="337"/>
      <c r="V1483" s="336"/>
    </row>
    <row r="1484" ht="15.75" customHeight="1">
      <c r="A1484" s="336"/>
      <c r="B1484" s="336"/>
      <c r="C1484" s="336"/>
      <c r="D1484" s="336"/>
      <c r="E1484" s="336"/>
      <c r="F1484" s="336"/>
      <c r="G1484" s="336"/>
      <c r="H1484" s="336"/>
      <c r="I1484" s="336"/>
      <c r="J1484" s="336"/>
      <c r="K1484" s="336"/>
      <c r="L1484" s="336"/>
      <c r="M1484" s="336"/>
      <c r="N1484" s="336"/>
      <c r="O1484" s="336"/>
      <c r="P1484" s="336"/>
      <c r="Q1484" s="336"/>
      <c r="R1484" s="336"/>
      <c r="S1484" s="336"/>
      <c r="T1484" s="336"/>
      <c r="U1484" s="337"/>
      <c r="V1484" s="336"/>
    </row>
    <row r="1485" ht="15.75" customHeight="1">
      <c r="A1485" s="336"/>
      <c r="B1485" s="336"/>
      <c r="C1485" s="336"/>
      <c r="D1485" s="336"/>
      <c r="E1485" s="336"/>
      <c r="F1485" s="336"/>
      <c r="G1485" s="336"/>
      <c r="H1485" s="336"/>
      <c r="I1485" s="336"/>
      <c r="J1485" s="336"/>
      <c r="K1485" s="336"/>
      <c r="L1485" s="336"/>
      <c r="M1485" s="336"/>
      <c r="N1485" s="336"/>
      <c r="O1485" s="336"/>
      <c r="P1485" s="336"/>
      <c r="Q1485" s="336"/>
      <c r="R1485" s="336"/>
      <c r="S1485" s="336"/>
      <c r="T1485" s="336"/>
      <c r="U1485" s="337"/>
      <c r="V1485" s="336"/>
    </row>
    <row r="1486" ht="15.75" customHeight="1">
      <c r="A1486" s="336"/>
      <c r="B1486" s="336"/>
      <c r="C1486" s="336"/>
      <c r="D1486" s="336"/>
      <c r="E1486" s="336"/>
      <c r="F1486" s="336"/>
      <c r="G1486" s="336"/>
      <c r="H1486" s="336"/>
      <c r="I1486" s="336"/>
      <c r="J1486" s="336"/>
      <c r="K1486" s="336"/>
      <c r="L1486" s="336"/>
      <c r="M1486" s="336"/>
      <c r="N1486" s="336"/>
      <c r="O1486" s="336"/>
      <c r="P1486" s="336"/>
      <c r="Q1486" s="336"/>
      <c r="R1486" s="336"/>
      <c r="S1486" s="336"/>
      <c r="T1486" s="336"/>
      <c r="U1486" s="337"/>
      <c r="V1486" s="336"/>
    </row>
    <row r="1487" ht="15.75" customHeight="1">
      <c r="A1487" s="336"/>
      <c r="B1487" s="336"/>
      <c r="C1487" s="336"/>
      <c r="D1487" s="336"/>
      <c r="E1487" s="336"/>
      <c r="F1487" s="336"/>
      <c r="G1487" s="336"/>
      <c r="H1487" s="336"/>
      <c r="I1487" s="336"/>
      <c r="J1487" s="336"/>
      <c r="K1487" s="336"/>
      <c r="L1487" s="336"/>
      <c r="M1487" s="336"/>
      <c r="N1487" s="336"/>
      <c r="O1487" s="336"/>
      <c r="P1487" s="336"/>
      <c r="Q1487" s="336"/>
      <c r="R1487" s="336"/>
      <c r="S1487" s="336"/>
      <c r="T1487" s="336"/>
      <c r="U1487" s="337"/>
      <c r="V1487" s="336"/>
    </row>
    <row r="1488" ht="15.75" customHeight="1">
      <c r="A1488" s="336"/>
      <c r="B1488" s="336"/>
      <c r="C1488" s="336"/>
      <c r="D1488" s="336"/>
      <c r="E1488" s="336"/>
      <c r="F1488" s="336"/>
      <c r="G1488" s="336"/>
      <c r="H1488" s="336"/>
      <c r="I1488" s="336"/>
      <c r="J1488" s="336"/>
      <c r="K1488" s="336"/>
      <c r="L1488" s="336"/>
      <c r="M1488" s="336"/>
      <c r="N1488" s="336"/>
      <c r="O1488" s="336"/>
      <c r="P1488" s="336"/>
      <c r="Q1488" s="336"/>
      <c r="R1488" s="336"/>
      <c r="S1488" s="336"/>
      <c r="T1488" s="336"/>
      <c r="U1488" s="337"/>
      <c r="V1488" s="336"/>
    </row>
    <row r="1489" ht="15.75" customHeight="1">
      <c r="A1489" s="336"/>
      <c r="B1489" s="336"/>
      <c r="C1489" s="336"/>
      <c r="D1489" s="336"/>
      <c r="E1489" s="336"/>
      <c r="F1489" s="336"/>
      <c r="G1489" s="336"/>
      <c r="H1489" s="336"/>
      <c r="I1489" s="336"/>
      <c r="J1489" s="336"/>
      <c r="K1489" s="336"/>
      <c r="L1489" s="336"/>
      <c r="M1489" s="336"/>
      <c r="N1489" s="336"/>
      <c r="O1489" s="336"/>
      <c r="P1489" s="336"/>
      <c r="Q1489" s="336"/>
      <c r="R1489" s="336"/>
      <c r="S1489" s="336"/>
      <c r="T1489" s="336"/>
      <c r="U1489" s="337"/>
      <c r="V1489" s="336"/>
    </row>
    <row r="1490" ht="15.75" customHeight="1">
      <c r="A1490" s="336"/>
      <c r="B1490" s="336"/>
      <c r="C1490" s="336"/>
      <c r="D1490" s="336"/>
      <c r="E1490" s="336"/>
      <c r="F1490" s="336"/>
      <c r="G1490" s="336"/>
      <c r="H1490" s="336"/>
      <c r="I1490" s="336"/>
      <c r="J1490" s="336"/>
      <c r="K1490" s="336"/>
      <c r="L1490" s="336"/>
      <c r="M1490" s="336"/>
      <c r="N1490" s="336"/>
      <c r="O1490" s="336"/>
      <c r="P1490" s="336"/>
      <c r="Q1490" s="336"/>
      <c r="R1490" s="336"/>
      <c r="S1490" s="336"/>
      <c r="T1490" s="336"/>
      <c r="U1490" s="337"/>
      <c r="V1490" s="336"/>
    </row>
    <row r="1491" ht="15.75" customHeight="1">
      <c r="A1491" s="336"/>
      <c r="B1491" s="336"/>
      <c r="C1491" s="336"/>
      <c r="D1491" s="336"/>
      <c r="E1491" s="336"/>
      <c r="F1491" s="336"/>
      <c r="G1491" s="336"/>
      <c r="H1491" s="336"/>
      <c r="I1491" s="336"/>
      <c r="J1491" s="336"/>
      <c r="K1491" s="336"/>
      <c r="L1491" s="336"/>
      <c r="M1491" s="336"/>
      <c r="N1491" s="336"/>
      <c r="O1491" s="336"/>
      <c r="P1491" s="336"/>
      <c r="Q1491" s="336"/>
      <c r="R1491" s="336"/>
      <c r="S1491" s="336"/>
      <c r="T1491" s="336"/>
      <c r="U1491" s="337"/>
      <c r="V1491" s="336"/>
    </row>
    <row r="1492" ht="15.75" customHeight="1">
      <c r="A1492" s="336"/>
      <c r="B1492" s="336"/>
      <c r="C1492" s="336"/>
      <c r="D1492" s="336"/>
      <c r="E1492" s="336"/>
      <c r="F1492" s="336"/>
      <c r="G1492" s="336"/>
      <c r="H1492" s="336"/>
      <c r="I1492" s="336"/>
      <c r="J1492" s="336"/>
      <c r="K1492" s="336"/>
      <c r="L1492" s="336"/>
      <c r="M1492" s="336"/>
      <c r="N1492" s="336"/>
      <c r="O1492" s="336"/>
      <c r="P1492" s="336"/>
      <c r="Q1492" s="336"/>
      <c r="R1492" s="336"/>
      <c r="S1492" s="336"/>
      <c r="T1492" s="336"/>
      <c r="U1492" s="337"/>
      <c r="V1492" s="336"/>
    </row>
    <row r="1493" ht="15.75" customHeight="1">
      <c r="A1493" s="336"/>
      <c r="B1493" s="336"/>
      <c r="C1493" s="336"/>
      <c r="D1493" s="336"/>
      <c r="E1493" s="336"/>
      <c r="F1493" s="336"/>
      <c r="G1493" s="336"/>
      <c r="H1493" s="336"/>
      <c r="I1493" s="336"/>
      <c r="J1493" s="336"/>
      <c r="K1493" s="336"/>
      <c r="L1493" s="336"/>
      <c r="M1493" s="336"/>
      <c r="N1493" s="336"/>
      <c r="O1493" s="336"/>
      <c r="P1493" s="336"/>
      <c r="Q1493" s="336"/>
      <c r="R1493" s="336"/>
      <c r="S1493" s="336"/>
      <c r="T1493" s="336"/>
      <c r="U1493" s="337"/>
      <c r="V1493" s="336"/>
    </row>
    <row r="1494" ht="15.75" customHeight="1">
      <c r="A1494" s="336"/>
      <c r="B1494" s="336"/>
      <c r="C1494" s="336"/>
      <c r="D1494" s="336"/>
      <c r="E1494" s="336"/>
      <c r="F1494" s="336"/>
      <c r="G1494" s="336"/>
      <c r="H1494" s="336"/>
      <c r="I1494" s="336"/>
      <c r="J1494" s="336"/>
      <c r="K1494" s="336"/>
      <c r="L1494" s="336"/>
      <c r="M1494" s="336"/>
      <c r="N1494" s="336"/>
      <c r="O1494" s="336"/>
      <c r="P1494" s="336"/>
      <c r="Q1494" s="336"/>
      <c r="R1494" s="336"/>
      <c r="S1494" s="336"/>
      <c r="T1494" s="336"/>
      <c r="U1494" s="337"/>
      <c r="V1494" s="336"/>
    </row>
    <row r="1495" ht="15.75" customHeight="1">
      <c r="A1495" s="336"/>
      <c r="B1495" s="336"/>
      <c r="C1495" s="336"/>
      <c r="D1495" s="336"/>
      <c r="E1495" s="336"/>
      <c r="F1495" s="336"/>
      <c r="G1495" s="336"/>
      <c r="H1495" s="336"/>
      <c r="I1495" s="336"/>
      <c r="J1495" s="336"/>
      <c r="K1495" s="336"/>
      <c r="L1495" s="336"/>
      <c r="M1495" s="336"/>
      <c r="N1495" s="336"/>
      <c r="O1495" s="336"/>
      <c r="P1495" s="336"/>
      <c r="Q1495" s="336"/>
      <c r="R1495" s="336"/>
      <c r="S1495" s="336"/>
      <c r="T1495" s="336"/>
      <c r="U1495" s="337"/>
      <c r="V1495" s="336"/>
    </row>
    <row r="1496" ht="15.75" customHeight="1">
      <c r="A1496" s="336"/>
      <c r="B1496" s="336"/>
      <c r="C1496" s="336"/>
      <c r="D1496" s="336"/>
      <c r="E1496" s="336"/>
      <c r="F1496" s="336"/>
      <c r="G1496" s="336"/>
      <c r="H1496" s="336"/>
      <c r="I1496" s="336"/>
      <c r="J1496" s="336"/>
      <c r="K1496" s="336"/>
      <c r="L1496" s="336"/>
      <c r="M1496" s="336"/>
      <c r="N1496" s="336"/>
      <c r="O1496" s="336"/>
      <c r="P1496" s="336"/>
      <c r="Q1496" s="336"/>
      <c r="R1496" s="336"/>
      <c r="S1496" s="336"/>
      <c r="T1496" s="336"/>
      <c r="U1496" s="337"/>
      <c r="V1496" s="336"/>
    </row>
    <row r="1497" ht="15.75" customHeight="1">
      <c r="A1497" s="336"/>
      <c r="B1497" s="336"/>
      <c r="C1497" s="336"/>
      <c r="D1497" s="336"/>
      <c r="E1497" s="336"/>
      <c r="F1497" s="336"/>
      <c r="G1497" s="336"/>
      <c r="H1497" s="336"/>
      <c r="I1497" s="336"/>
      <c r="J1497" s="336"/>
      <c r="K1497" s="336"/>
      <c r="L1497" s="336"/>
      <c r="M1497" s="336"/>
      <c r="N1497" s="336"/>
      <c r="O1497" s="336"/>
      <c r="P1497" s="336"/>
      <c r="Q1497" s="336"/>
      <c r="R1497" s="336"/>
      <c r="S1497" s="336"/>
      <c r="T1497" s="336"/>
      <c r="U1497" s="337"/>
      <c r="V1497" s="336"/>
    </row>
    <row r="1498" ht="15.75" customHeight="1">
      <c r="A1498" s="336"/>
      <c r="B1498" s="336"/>
      <c r="C1498" s="336"/>
      <c r="D1498" s="336"/>
      <c r="E1498" s="336"/>
      <c r="F1498" s="336"/>
      <c r="G1498" s="336"/>
      <c r="H1498" s="336"/>
      <c r="I1498" s="336"/>
      <c r="J1498" s="336"/>
      <c r="K1498" s="336"/>
      <c r="L1498" s="336"/>
      <c r="M1498" s="336"/>
      <c r="N1498" s="336"/>
      <c r="O1498" s="336"/>
      <c r="P1498" s="336"/>
      <c r="Q1498" s="336"/>
      <c r="R1498" s="336"/>
      <c r="S1498" s="336"/>
      <c r="T1498" s="336"/>
      <c r="U1498" s="337"/>
      <c r="V1498" s="336"/>
    </row>
    <row r="1499" ht="15.75" customHeight="1">
      <c r="A1499" s="336"/>
      <c r="B1499" s="336"/>
      <c r="C1499" s="336"/>
      <c r="D1499" s="336"/>
      <c r="E1499" s="336"/>
      <c r="F1499" s="336"/>
      <c r="G1499" s="336"/>
      <c r="H1499" s="336"/>
      <c r="I1499" s="336"/>
      <c r="J1499" s="336"/>
      <c r="K1499" s="336"/>
      <c r="L1499" s="336"/>
      <c r="M1499" s="336"/>
      <c r="N1499" s="336"/>
      <c r="O1499" s="336"/>
      <c r="P1499" s="336"/>
      <c r="Q1499" s="336"/>
      <c r="R1499" s="336"/>
      <c r="S1499" s="336"/>
      <c r="T1499" s="336"/>
      <c r="U1499" s="337"/>
      <c r="V1499" s="336"/>
    </row>
    <row r="1500" ht="15.75" customHeight="1">
      <c r="A1500" s="336"/>
      <c r="B1500" s="336"/>
      <c r="C1500" s="336"/>
      <c r="D1500" s="336"/>
      <c r="E1500" s="336"/>
      <c r="F1500" s="336"/>
      <c r="G1500" s="336"/>
      <c r="H1500" s="336"/>
      <c r="I1500" s="336"/>
      <c r="J1500" s="336"/>
      <c r="K1500" s="336"/>
      <c r="L1500" s="336"/>
      <c r="M1500" s="336"/>
      <c r="N1500" s="336"/>
      <c r="O1500" s="336"/>
      <c r="P1500" s="336"/>
      <c r="Q1500" s="336"/>
      <c r="R1500" s="336"/>
      <c r="S1500" s="336"/>
      <c r="T1500" s="336"/>
      <c r="U1500" s="337"/>
      <c r="V1500" s="336"/>
    </row>
    <row r="1501" ht="15.75" customHeight="1">
      <c r="A1501" s="336"/>
      <c r="B1501" s="336"/>
      <c r="C1501" s="336"/>
      <c r="D1501" s="336"/>
      <c r="E1501" s="336"/>
      <c r="F1501" s="336"/>
      <c r="G1501" s="336"/>
      <c r="H1501" s="336"/>
      <c r="I1501" s="336"/>
      <c r="J1501" s="336"/>
      <c r="K1501" s="336"/>
      <c r="L1501" s="336"/>
      <c r="M1501" s="336"/>
      <c r="N1501" s="336"/>
      <c r="O1501" s="336"/>
      <c r="P1501" s="336"/>
      <c r="Q1501" s="336"/>
      <c r="R1501" s="336"/>
      <c r="S1501" s="336"/>
      <c r="T1501" s="336"/>
      <c r="U1501" s="337"/>
      <c r="V1501" s="336"/>
    </row>
    <row r="1502" ht="15.75" customHeight="1">
      <c r="A1502" s="336"/>
      <c r="B1502" s="336"/>
      <c r="C1502" s="336"/>
      <c r="D1502" s="336"/>
      <c r="E1502" s="336"/>
      <c r="F1502" s="336"/>
      <c r="G1502" s="336"/>
      <c r="H1502" s="336"/>
      <c r="I1502" s="336"/>
      <c r="J1502" s="336"/>
      <c r="K1502" s="336"/>
      <c r="L1502" s="336"/>
      <c r="M1502" s="336"/>
      <c r="N1502" s="336"/>
      <c r="O1502" s="336"/>
      <c r="P1502" s="336"/>
      <c r="Q1502" s="336"/>
      <c r="R1502" s="336"/>
      <c r="S1502" s="336"/>
      <c r="T1502" s="336"/>
      <c r="U1502" s="337"/>
      <c r="V1502" s="336"/>
    </row>
    <row r="1503" ht="15.75" customHeight="1">
      <c r="A1503" s="336"/>
      <c r="B1503" s="336"/>
      <c r="C1503" s="336"/>
      <c r="D1503" s="336"/>
      <c r="E1503" s="336"/>
      <c r="F1503" s="336"/>
      <c r="G1503" s="336"/>
      <c r="H1503" s="336"/>
      <c r="I1503" s="336"/>
      <c r="J1503" s="336"/>
      <c r="K1503" s="336"/>
      <c r="L1503" s="336"/>
      <c r="M1503" s="336"/>
      <c r="N1503" s="336"/>
      <c r="O1503" s="336"/>
      <c r="P1503" s="336"/>
      <c r="Q1503" s="336"/>
      <c r="R1503" s="336"/>
      <c r="S1503" s="336"/>
      <c r="T1503" s="336"/>
      <c r="U1503" s="337"/>
      <c r="V1503" s="336"/>
    </row>
    <row r="1504" ht="15.75" customHeight="1">
      <c r="A1504" s="336"/>
      <c r="B1504" s="336"/>
      <c r="C1504" s="336"/>
      <c r="D1504" s="336"/>
      <c r="E1504" s="336"/>
      <c r="F1504" s="336"/>
      <c r="G1504" s="336"/>
      <c r="H1504" s="336"/>
      <c r="I1504" s="336"/>
      <c r="J1504" s="336"/>
      <c r="K1504" s="336"/>
      <c r="L1504" s="336"/>
      <c r="M1504" s="336"/>
      <c r="N1504" s="336"/>
      <c r="O1504" s="336"/>
      <c r="P1504" s="336"/>
      <c r="Q1504" s="336"/>
      <c r="R1504" s="336"/>
      <c r="S1504" s="336"/>
      <c r="T1504" s="336"/>
      <c r="U1504" s="337"/>
      <c r="V1504" s="336"/>
    </row>
    <row r="1505" ht="15.75" customHeight="1">
      <c r="A1505" s="336"/>
      <c r="B1505" s="336"/>
      <c r="C1505" s="336"/>
      <c r="D1505" s="336"/>
      <c r="E1505" s="336"/>
      <c r="F1505" s="336"/>
      <c r="G1505" s="336"/>
      <c r="H1505" s="336"/>
      <c r="I1505" s="336"/>
      <c r="J1505" s="336"/>
      <c r="K1505" s="336"/>
      <c r="L1505" s="336"/>
      <c r="M1505" s="336"/>
      <c r="N1505" s="336"/>
      <c r="O1505" s="336"/>
      <c r="P1505" s="336"/>
      <c r="Q1505" s="336"/>
      <c r="R1505" s="336"/>
      <c r="S1505" s="336"/>
      <c r="T1505" s="336"/>
      <c r="U1505" s="337"/>
      <c r="V1505" s="336"/>
    </row>
    <row r="1506" ht="15.75" customHeight="1">
      <c r="A1506" s="336"/>
      <c r="B1506" s="336"/>
      <c r="C1506" s="336"/>
      <c r="D1506" s="336"/>
      <c r="E1506" s="336"/>
      <c r="F1506" s="336"/>
      <c r="G1506" s="336"/>
      <c r="H1506" s="336"/>
      <c r="I1506" s="336"/>
      <c r="J1506" s="336"/>
      <c r="K1506" s="336"/>
      <c r="L1506" s="336"/>
      <c r="M1506" s="336"/>
      <c r="N1506" s="336"/>
      <c r="O1506" s="336"/>
      <c r="P1506" s="336"/>
      <c r="Q1506" s="336"/>
      <c r="R1506" s="336"/>
      <c r="S1506" s="336"/>
      <c r="T1506" s="336"/>
      <c r="U1506" s="337"/>
      <c r="V1506" s="336"/>
    </row>
    <row r="1507" ht="15.75" customHeight="1">
      <c r="A1507" s="336"/>
      <c r="B1507" s="336"/>
      <c r="C1507" s="336"/>
      <c r="D1507" s="336"/>
      <c r="E1507" s="336"/>
      <c r="F1507" s="336"/>
      <c r="G1507" s="336"/>
      <c r="H1507" s="336"/>
      <c r="I1507" s="336"/>
      <c r="J1507" s="336"/>
      <c r="K1507" s="336"/>
      <c r="L1507" s="336"/>
      <c r="M1507" s="336"/>
      <c r="N1507" s="336"/>
      <c r="O1507" s="336"/>
      <c r="P1507" s="336"/>
      <c r="Q1507" s="336"/>
      <c r="R1507" s="336"/>
      <c r="S1507" s="336"/>
      <c r="T1507" s="336"/>
      <c r="U1507" s="337"/>
      <c r="V1507" s="336"/>
    </row>
    <row r="1508" ht="15.75" customHeight="1">
      <c r="A1508" s="336"/>
      <c r="B1508" s="336"/>
      <c r="C1508" s="336"/>
      <c r="D1508" s="336"/>
      <c r="E1508" s="336"/>
      <c r="F1508" s="336"/>
      <c r="G1508" s="336"/>
      <c r="H1508" s="336"/>
      <c r="I1508" s="336"/>
      <c r="J1508" s="336"/>
      <c r="K1508" s="336"/>
      <c r="L1508" s="336"/>
      <c r="M1508" s="336"/>
      <c r="N1508" s="336"/>
      <c r="O1508" s="336"/>
      <c r="P1508" s="336"/>
      <c r="Q1508" s="336"/>
      <c r="R1508" s="336"/>
      <c r="S1508" s="336"/>
      <c r="T1508" s="336"/>
      <c r="U1508" s="337"/>
      <c r="V1508" s="336"/>
    </row>
    <row r="1509" ht="15.75" customHeight="1">
      <c r="A1509" s="336"/>
      <c r="B1509" s="336"/>
      <c r="C1509" s="336"/>
      <c r="D1509" s="336"/>
      <c r="E1509" s="336"/>
      <c r="F1509" s="336"/>
      <c r="G1509" s="336"/>
      <c r="H1509" s="336"/>
      <c r="I1509" s="336"/>
      <c r="J1509" s="336"/>
      <c r="K1509" s="336"/>
      <c r="L1509" s="336"/>
      <c r="M1509" s="336"/>
      <c r="N1509" s="336"/>
      <c r="O1509" s="336"/>
      <c r="P1509" s="336"/>
      <c r="Q1509" s="336"/>
      <c r="R1509" s="336"/>
      <c r="S1509" s="336"/>
      <c r="T1509" s="336"/>
      <c r="U1509" s="337"/>
      <c r="V1509" s="336"/>
    </row>
    <row r="1510" ht="15.75" customHeight="1">
      <c r="A1510" s="336"/>
      <c r="B1510" s="336"/>
      <c r="C1510" s="336"/>
      <c r="D1510" s="336"/>
      <c r="E1510" s="336"/>
      <c r="F1510" s="336"/>
      <c r="G1510" s="336"/>
      <c r="H1510" s="336"/>
      <c r="I1510" s="336"/>
      <c r="J1510" s="336"/>
      <c r="K1510" s="336"/>
      <c r="L1510" s="336"/>
      <c r="M1510" s="336"/>
      <c r="N1510" s="336"/>
      <c r="O1510" s="336"/>
      <c r="P1510" s="336"/>
      <c r="Q1510" s="336"/>
      <c r="R1510" s="336"/>
      <c r="S1510" s="336"/>
      <c r="T1510" s="336"/>
      <c r="U1510" s="337"/>
      <c r="V1510" s="336"/>
    </row>
    <row r="1511" ht="15.75" customHeight="1">
      <c r="A1511" s="336"/>
      <c r="B1511" s="336"/>
      <c r="C1511" s="336"/>
      <c r="D1511" s="336"/>
      <c r="E1511" s="336"/>
      <c r="F1511" s="336"/>
      <c r="G1511" s="336"/>
      <c r="H1511" s="336"/>
      <c r="I1511" s="336"/>
      <c r="J1511" s="336"/>
      <c r="K1511" s="336"/>
      <c r="L1511" s="336"/>
      <c r="M1511" s="336"/>
      <c r="N1511" s="336"/>
      <c r="O1511" s="336"/>
      <c r="P1511" s="336"/>
      <c r="Q1511" s="336"/>
      <c r="R1511" s="336"/>
      <c r="S1511" s="336"/>
      <c r="T1511" s="336"/>
      <c r="U1511" s="337"/>
      <c r="V1511" s="336"/>
    </row>
    <row r="1512" ht="15.75" customHeight="1">
      <c r="A1512" s="336"/>
      <c r="B1512" s="336"/>
      <c r="C1512" s="336"/>
      <c r="D1512" s="336"/>
      <c r="E1512" s="336"/>
      <c r="F1512" s="336"/>
      <c r="G1512" s="336"/>
      <c r="H1512" s="336"/>
      <c r="I1512" s="336"/>
      <c r="J1512" s="336"/>
      <c r="K1512" s="336"/>
      <c r="L1512" s="336"/>
      <c r="M1512" s="336"/>
      <c r="N1512" s="336"/>
      <c r="O1512" s="336"/>
      <c r="P1512" s="336"/>
      <c r="Q1512" s="336"/>
      <c r="R1512" s="336"/>
      <c r="S1512" s="336"/>
      <c r="T1512" s="336"/>
      <c r="U1512" s="337"/>
      <c r="V1512" s="336"/>
    </row>
    <row r="1513" ht="15.75" customHeight="1">
      <c r="A1513" s="336"/>
      <c r="B1513" s="336"/>
      <c r="C1513" s="336"/>
      <c r="D1513" s="336"/>
      <c r="E1513" s="336"/>
      <c r="F1513" s="336"/>
      <c r="G1513" s="336"/>
      <c r="H1513" s="336"/>
      <c r="I1513" s="336"/>
      <c r="J1513" s="336"/>
      <c r="K1513" s="336"/>
      <c r="L1513" s="336"/>
      <c r="M1513" s="336"/>
      <c r="N1513" s="336"/>
      <c r="O1513" s="336"/>
      <c r="P1513" s="336"/>
      <c r="Q1513" s="336"/>
      <c r="R1513" s="336"/>
      <c r="S1513" s="336"/>
      <c r="T1513" s="336"/>
      <c r="U1513" s="337"/>
      <c r="V1513" s="336"/>
    </row>
    <row r="1514" ht="15.75" customHeight="1">
      <c r="A1514" s="336"/>
      <c r="B1514" s="336"/>
      <c r="C1514" s="336"/>
      <c r="D1514" s="336"/>
      <c r="E1514" s="336"/>
      <c r="F1514" s="336"/>
      <c r="G1514" s="336"/>
      <c r="H1514" s="336"/>
      <c r="I1514" s="336"/>
      <c r="J1514" s="336"/>
      <c r="K1514" s="336"/>
      <c r="L1514" s="336"/>
      <c r="M1514" s="336"/>
      <c r="N1514" s="336"/>
      <c r="O1514" s="336"/>
      <c r="P1514" s="336"/>
      <c r="Q1514" s="336"/>
      <c r="R1514" s="336"/>
      <c r="S1514" s="336"/>
      <c r="T1514" s="336"/>
      <c r="U1514" s="337"/>
      <c r="V1514" s="336"/>
    </row>
    <row r="1515" ht="15.75" customHeight="1">
      <c r="A1515" s="336"/>
      <c r="B1515" s="336"/>
      <c r="C1515" s="336"/>
      <c r="D1515" s="336"/>
      <c r="E1515" s="336"/>
      <c r="F1515" s="336"/>
      <c r="G1515" s="336"/>
      <c r="H1515" s="336"/>
      <c r="I1515" s="336"/>
      <c r="J1515" s="336"/>
      <c r="K1515" s="336"/>
      <c r="L1515" s="336"/>
      <c r="M1515" s="336"/>
      <c r="N1515" s="336"/>
      <c r="O1515" s="336"/>
      <c r="P1515" s="336"/>
      <c r="Q1515" s="336"/>
      <c r="R1515" s="336"/>
      <c r="S1515" s="336"/>
      <c r="T1515" s="336"/>
      <c r="U1515" s="337"/>
      <c r="V1515" s="336"/>
    </row>
    <row r="1516" ht="15.75" customHeight="1">
      <c r="A1516" s="336"/>
      <c r="B1516" s="336"/>
      <c r="C1516" s="336"/>
      <c r="D1516" s="336"/>
      <c r="E1516" s="336"/>
      <c r="F1516" s="336"/>
      <c r="G1516" s="336"/>
      <c r="H1516" s="336"/>
      <c r="I1516" s="336"/>
      <c r="J1516" s="336"/>
      <c r="K1516" s="336"/>
      <c r="L1516" s="336"/>
      <c r="M1516" s="336"/>
      <c r="N1516" s="336"/>
      <c r="O1516" s="336"/>
      <c r="P1516" s="336"/>
      <c r="Q1516" s="336"/>
      <c r="R1516" s="336"/>
      <c r="S1516" s="336"/>
      <c r="T1516" s="336"/>
      <c r="U1516" s="337"/>
      <c r="V1516" s="336"/>
    </row>
    <row r="1517" ht="15.75" customHeight="1">
      <c r="A1517" s="336"/>
      <c r="B1517" s="336"/>
      <c r="C1517" s="336"/>
      <c r="D1517" s="336"/>
      <c r="E1517" s="336"/>
      <c r="F1517" s="336"/>
      <c r="G1517" s="336"/>
      <c r="H1517" s="336"/>
      <c r="I1517" s="336"/>
      <c r="J1517" s="336"/>
      <c r="K1517" s="336"/>
      <c r="L1517" s="336"/>
      <c r="M1517" s="336"/>
      <c r="N1517" s="336"/>
      <c r="O1517" s="336"/>
      <c r="P1517" s="336"/>
      <c r="Q1517" s="336"/>
      <c r="R1517" s="336"/>
      <c r="S1517" s="336"/>
      <c r="T1517" s="336"/>
      <c r="U1517" s="337"/>
      <c r="V1517" s="336"/>
    </row>
    <row r="1518" ht="15.75" customHeight="1">
      <c r="A1518" s="336"/>
      <c r="B1518" s="336"/>
      <c r="C1518" s="336"/>
      <c r="D1518" s="336"/>
      <c r="E1518" s="336"/>
      <c r="F1518" s="336"/>
      <c r="G1518" s="336"/>
      <c r="H1518" s="336"/>
      <c r="I1518" s="336"/>
      <c r="J1518" s="336"/>
      <c r="K1518" s="336"/>
      <c r="L1518" s="336"/>
      <c r="M1518" s="336"/>
      <c r="N1518" s="336"/>
      <c r="O1518" s="336"/>
      <c r="P1518" s="336"/>
      <c r="Q1518" s="336"/>
      <c r="R1518" s="336"/>
      <c r="S1518" s="336"/>
      <c r="T1518" s="336"/>
      <c r="U1518" s="337"/>
      <c r="V1518" s="336"/>
    </row>
    <row r="1519" ht="15.75" customHeight="1">
      <c r="A1519" s="336"/>
      <c r="B1519" s="336"/>
      <c r="C1519" s="336"/>
      <c r="D1519" s="336"/>
      <c r="E1519" s="336"/>
      <c r="F1519" s="336"/>
      <c r="G1519" s="336"/>
      <c r="H1519" s="336"/>
      <c r="I1519" s="336"/>
      <c r="J1519" s="336"/>
      <c r="K1519" s="336"/>
      <c r="L1519" s="336"/>
      <c r="M1519" s="336"/>
      <c r="N1519" s="336"/>
      <c r="O1519" s="336"/>
      <c r="P1519" s="336"/>
      <c r="Q1519" s="336"/>
      <c r="R1519" s="336"/>
      <c r="S1519" s="336"/>
      <c r="T1519" s="336"/>
      <c r="U1519" s="337"/>
      <c r="V1519" s="336"/>
    </row>
    <row r="1520" ht="15.75" customHeight="1">
      <c r="A1520" s="336"/>
      <c r="B1520" s="336"/>
      <c r="C1520" s="336"/>
      <c r="D1520" s="336"/>
      <c r="E1520" s="336"/>
      <c r="F1520" s="336"/>
      <c r="G1520" s="336"/>
      <c r="H1520" s="336"/>
      <c r="I1520" s="336"/>
      <c r="J1520" s="336"/>
      <c r="K1520" s="336"/>
      <c r="L1520" s="336"/>
      <c r="M1520" s="336"/>
      <c r="N1520" s="336"/>
      <c r="O1520" s="336"/>
      <c r="P1520" s="336"/>
      <c r="Q1520" s="336"/>
      <c r="R1520" s="336"/>
      <c r="S1520" s="336"/>
      <c r="T1520" s="336"/>
      <c r="U1520" s="337"/>
      <c r="V1520" s="336"/>
    </row>
    <row r="1521" ht="15.75" customHeight="1">
      <c r="A1521" s="336"/>
      <c r="B1521" s="336"/>
      <c r="C1521" s="336"/>
      <c r="D1521" s="336"/>
      <c r="E1521" s="336"/>
      <c r="F1521" s="336"/>
      <c r="G1521" s="336"/>
      <c r="H1521" s="336"/>
      <c r="I1521" s="336"/>
      <c r="J1521" s="336"/>
      <c r="K1521" s="336"/>
      <c r="L1521" s="336"/>
      <c r="M1521" s="336"/>
      <c r="N1521" s="336"/>
      <c r="O1521" s="336"/>
      <c r="P1521" s="336"/>
      <c r="Q1521" s="336"/>
      <c r="R1521" s="336"/>
      <c r="S1521" s="336"/>
      <c r="T1521" s="336"/>
      <c r="U1521" s="337"/>
      <c r="V1521" s="336"/>
    </row>
    <row r="1522" ht="15.75" customHeight="1">
      <c r="A1522" s="336"/>
      <c r="B1522" s="336"/>
      <c r="C1522" s="336"/>
      <c r="D1522" s="336"/>
      <c r="E1522" s="336"/>
      <c r="F1522" s="336"/>
      <c r="G1522" s="336"/>
      <c r="H1522" s="336"/>
      <c r="I1522" s="336"/>
      <c r="J1522" s="336"/>
      <c r="K1522" s="336"/>
      <c r="L1522" s="336"/>
      <c r="M1522" s="336"/>
      <c r="N1522" s="336"/>
      <c r="O1522" s="336"/>
      <c r="P1522" s="336"/>
      <c r="Q1522" s="336"/>
      <c r="R1522" s="336"/>
      <c r="S1522" s="336"/>
      <c r="T1522" s="336"/>
      <c r="U1522" s="337"/>
      <c r="V1522" s="336"/>
    </row>
    <row r="1523" ht="15.75" customHeight="1">
      <c r="A1523" s="336"/>
      <c r="B1523" s="336"/>
      <c r="C1523" s="336"/>
      <c r="D1523" s="336"/>
      <c r="E1523" s="336"/>
      <c r="F1523" s="336"/>
      <c r="G1523" s="336"/>
      <c r="H1523" s="336"/>
      <c r="I1523" s="336"/>
      <c r="J1523" s="336"/>
      <c r="K1523" s="336"/>
      <c r="L1523" s="336"/>
      <c r="M1523" s="336"/>
      <c r="N1523" s="336"/>
      <c r="O1523" s="336"/>
      <c r="P1523" s="336"/>
      <c r="Q1523" s="336"/>
      <c r="R1523" s="336"/>
      <c r="S1523" s="336"/>
      <c r="T1523" s="336"/>
      <c r="U1523" s="337"/>
      <c r="V1523" s="336"/>
    </row>
    <row r="1524" ht="15.75" customHeight="1">
      <c r="A1524" s="336"/>
      <c r="B1524" s="336"/>
      <c r="C1524" s="336"/>
      <c r="D1524" s="336"/>
      <c r="E1524" s="336"/>
      <c r="F1524" s="336"/>
      <c r="G1524" s="336"/>
      <c r="H1524" s="336"/>
      <c r="I1524" s="336"/>
      <c r="J1524" s="336"/>
      <c r="K1524" s="336"/>
      <c r="L1524" s="336"/>
      <c r="M1524" s="336"/>
      <c r="N1524" s="336"/>
      <c r="O1524" s="336"/>
      <c r="P1524" s="336"/>
      <c r="Q1524" s="336"/>
      <c r="R1524" s="336"/>
      <c r="S1524" s="336"/>
      <c r="T1524" s="336"/>
      <c r="U1524" s="337"/>
      <c r="V1524" s="336"/>
    </row>
    <row r="1525" ht="15.75" customHeight="1">
      <c r="A1525" s="336"/>
      <c r="B1525" s="336"/>
      <c r="C1525" s="336"/>
      <c r="D1525" s="336"/>
      <c r="E1525" s="336"/>
      <c r="F1525" s="336"/>
      <c r="G1525" s="336"/>
      <c r="H1525" s="336"/>
      <c r="I1525" s="336"/>
      <c r="J1525" s="336"/>
      <c r="K1525" s="336"/>
      <c r="L1525" s="336"/>
      <c r="M1525" s="336"/>
      <c r="N1525" s="336"/>
      <c r="O1525" s="336"/>
      <c r="P1525" s="336"/>
      <c r="Q1525" s="336"/>
      <c r="R1525" s="336"/>
      <c r="S1525" s="336"/>
      <c r="T1525" s="336"/>
      <c r="U1525" s="337"/>
      <c r="V1525" s="336"/>
    </row>
    <row r="1526" ht="15.75" customHeight="1">
      <c r="A1526" s="336"/>
      <c r="B1526" s="336"/>
      <c r="C1526" s="336"/>
      <c r="D1526" s="336"/>
      <c r="E1526" s="336"/>
      <c r="F1526" s="336"/>
      <c r="G1526" s="336"/>
      <c r="H1526" s="336"/>
      <c r="I1526" s="336"/>
      <c r="J1526" s="336"/>
      <c r="K1526" s="336"/>
      <c r="L1526" s="336"/>
      <c r="M1526" s="336"/>
      <c r="N1526" s="336"/>
      <c r="O1526" s="336"/>
      <c r="P1526" s="336"/>
      <c r="Q1526" s="336"/>
      <c r="R1526" s="336"/>
      <c r="S1526" s="336"/>
      <c r="T1526" s="336"/>
      <c r="U1526" s="337"/>
      <c r="V1526" s="336"/>
    </row>
    <row r="1527" ht="15.75" customHeight="1">
      <c r="A1527" s="336"/>
      <c r="B1527" s="336"/>
      <c r="C1527" s="336"/>
      <c r="D1527" s="336"/>
      <c r="E1527" s="336"/>
      <c r="F1527" s="336"/>
      <c r="G1527" s="336"/>
      <c r="H1527" s="336"/>
      <c r="I1527" s="336"/>
      <c r="J1527" s="336"/>
      <c r="K1527" s="336"/>
      <c r="L1527" s="336"/>
      <c r="M1527" s="336"/>
      <c r="N1527" s="336"/>
      <c r="O1527" s="336"/>
      <c r="P1527" s="336"/>
      <c r="Q1527" s="336"/>
      <c r="R1527" s="336"/>
      <c r="S1527" s="336"/>
      <c r="T1527" s="336"/>
      <c r="U1527" s="337"/>
      <c r="V1527" s="336"/>
    </row>
    <row r="1528" ht="15.75" customHeight="1">
      <c r="A1528" s="336"/>
      <c r="B1528" s="336"/>
      <c r="C1528" s="336"/>
      <c r="D1528" s="336"/>
      <c r="E1528" s="336"/>
      <c r="F1528" s="336"/>
      <c r="G1528" s="336"/>
      <c r="H1528" s="336"/>
      <c r="I1528" s="336"/>
      <c r="J1528" s="336"/>
      <c r="K1528" s="336"/>
      <c r="L1528" s="336"/>
      <c r="M1528" s="336"/>
      <c r="N1528" s="336"/>
      <c r="O1528" s="336"/>
      <c r="P1528" s="336"/>
      <c r="Q1528" s="336"/>
      <c r="R1528" s="336"/>
      <c r="S1528" s="336"/>
      <c r="T1528" s="336"/>
      <c r="U1528" s="337"/>
      <c r="V1528" s="336"/>
    </row>
    <row r="1529" ht="15.75" customHeight="1">
      <c r="A1529" s="336"/>
      <c r="B1529" s="336"/>
      <c r="C1529" s="336"/>
      <c r="D1529" s="336"/>
      <c r="E1529" s="336"/>
      <c r="F1529" s="336"/>
      <c r="G1529" s="336"/>
      <c r="H1529" s="336"/>
      <c r="I1529" s="336"/>
      <c r="J1529" s="336"/>
      <c r="K1529" s="336"/>
      <c r="L1529" s="336"/>
      <c r="M1529" s="336"/>
      <c r="N1529" s="336"/>
      <c r="O1529" s="336"/>
      <c r="P1529" s="336"/>
      <c r="Q1529" s="336"/>
      <c r="R1529" s="336"/>
      <c r="S1529" s="336"/>
      <c r="T1529" s="336"/>
      <c r="U1529" s="337"/>
      <c r="V1529" s="336"/>
    </row>
    <row r="1530" ht="15.75" customHeight="1">
      <c r="A1530" s="336"/>
      <c r="B1530" s="336"/>
      <c r="C1530" s="336"/>
      <c r="D1530" s="336"/>
      <c r="E1530" s="336"/>
      <c r="F1530" s="336"/>
      <c r="G1530" s="336"/>
      <c r="H1530" s="336"/>
      <c r="I1530" s="336"/>
      <c r="J1530" s="336"/>
      <c r="K1530" s="336"/>
      <c r="L1530" s="336"/>
      <c r="M1530" s="336"/>
      <c r="N1530" s="336"/>
      <c r="O1530" s="336"/>
      <c r="P1530" s="336"/>
      <c r="Q1530" s="336"/>
      <c r="R1530" s="336"/>
      <c r="S1530" s="336"/>
      <c r="T1530" s="336"/>
      <c r="U1530" s="337"/>
      <c r="V1530" s="336"/>
    </row>
    <row r="1531" ht="15.75" customHeight="1">
      <c r="A1531" s="336"/>
      <c r="B1531" s="336"/>
      <c r="C1531" s="336"/>
      <c r="D1531" s="336"/>
      <c r="E1531" s="336"/>
      <c r="F1531" s="336"/>
      <c r="G1531" s="336"/>
      <c r="H1531" s="336"/>
      <c r="I1531" s="336"/>
      <c r="J1531" s="336"/>
      <c r="K1531" s="336"/>
      <c r="L1531" s="336"/>
      <c r="M1531" s="336"/>
      <c r="N1531" s="336"/>
      <c r="O1531" s="336"/>
      <c r="P1531" s="336"/>
      <c r="Q1531" s="336"/>
      <c r="R1531" s="336"/>
      <c r="S1531" s="336"/>
      <c r="T1531" s="336"/>
      <c r="U1531" s="337"/>
      <c r="V1531" s="336"/>
    </row>
    <row r="1532" ht="15.75" customHeight="1">
      <c r="A1532" s="336"/>
      <c r="B1532" s="336"/>
      <c r="C1532" s="336"/>
      <c r="D1532" s="336"/>
      <c r="E1532" s="336"/>
      <c r="F1532" s="336"/>
      <c r="G1532" s="336"/>
      <c r="H1532" s="336"/>
      <c r="I1532" s="336"/>
      <c r="J1532" s="336"/>
      <c r="K1532" s="336"/>
      <c r="L1532" s="336"/>
      <c r="M1532" s="336"/>
      <c r="N1532" s="336"/>
      <c r="O1532" s="336"/>
      <c r="P1532" s="336"/>
      <c r="Q1532" s="336"/>
      <c r="R1532" s="336"/>
      <c r="S1532" s="336"/>
      <c r="T1532" s="336"/>
      <c r="U1532" s="337"/>
      <c r="V1532" s="336"/>
    </row>
    <row r="1533" ht="15.75" customHeight="1">
      <c r="A1533" s="336"/>
      <c r="B1533" s="336"/>
      <c r="C1533" s="336"/>
      <c r="D1533" s="336"/>
      <c r="E1533" s="336"/>
      <c r="F1533" s="336"/>
      <c r="G1533" s="336"/>
      <c r="H1533" s="336"/>
      <c r="I1533" s="336"/>
      <c r="J1533" s="336"/>
      <c r="K1533" s="336"/>
      <c r="L1533" s="336"/>
      <c r="M1533" s="336"/>
      <c r="N1533" s="336"/>
      <c r="O1533" s="336"/>
      <c r="P1533" s="336"/>
      <c r="Q1533" s="336"/>
      <c r="R1533" s="336"/>
      <c r="S1533" s="336"/>
      <c r="T1533" s="336"/>
      <c r="U1533" s="337"/>
      <c r="V1533" s="336"/>
    </row>
    <row r="1534" ht="15.75" customHeight="1">
      <c r="A1534" s="336"/>
      <c r="B1534" s="336"/>
      <c r="C1534" s="336"/>
      <c r="D1534" s="336"/>
      <c r="E1534" s="336"/>
      <c r="F1534" s="336"/>
      <c r="G1534" s="336"/>
      <c r="H1534" s="336"/>
      <c r="I1534" s="336"/>
      <c r="J1534" s="336"/>
      <c r="K1534" s="336"/>
      <c r="L1534" s="336"/>
      <c r="M1534" s="336"/>
      <c r="N1534" s="336"/>
      <c r="O1534" s="336"/>
      <c r="P1534" s="336"/>
      <c r="Q1534" s="336"/>
      <c r="R1534" s="336"/>
      <c r="S1534" s="336"/>
      <c r="T1534" s="336"/>
      <c r="U1534" s="337"/>
      <c r="V1534" s="336"/>
    </row>
    <row r="1535" ht="15.75" customHeight="1">
      <c r="A1535" s="336"/>
      <c r="B1535" s="336"/>
      <c r="C1535" s="336"/>
      <c r="D1535" s="336"/>
      <c r="E1535" s="336"/>
      <c r="F1535" s="336"/>
      <c r="G1535" s="336"/>
      <c r="H1535" s="336"/>
      <c r="I1535" s="336"/>
      <c r="J1535" s="336"/>
      <c r="K1535" s="336"/>
      <c r="L1535" s="336"/>
      <c r="M1535" s="336"/>
      <c r="N1535" s="336"/>
      <c r="O1535" s="336"/>
      <c r="P1535" s="336"/>
      <c r="Q1535" s="336"/>
      <c r="R1535" s="336"/>
      <c r="S1535" s="336"/>
      <c r="T1535" s="336"/>
      <c r="U1535" s="337"/>
      <c r="V1535" s="336"/>
    </row>
    <row r="1536" ht="15.75" customHeight="1">
      <c r="A1536" s="336"/>
      <c r="B1536" s="336"/>
      <c r="C1536" s="336"/>
      <c r="D1536" s="336"/>
      <c r="E1536" s="336"/>
      <c r="F1536" s="336"/>
      <c r="G1536" s="336"/>
      <c r="H1536" s="336"/>
      <c r="I1536" s="336"/>
      <c r="J1536" s="336"/>
      <c r="K1536" s="336"/>
      <c r="L1536" s="336"/>
      <c r="M1536" s="336"/>
      <c r="N1536" s="336"/>
      <c r="O1536" s="336"/>
      <c r="P1536" s="336"/>
      <c r="Q1536" s="336"/>
      <c r="R1536" s="336"/>
      <c r="S1536" s="336"/>
      <c r="T1536" s="336"/>
      <c r="U1536" s="337"/>
      <c r="V1536" s="336"/>
    </row>
    <row r="1537" ht="15.75" customHeight="1">
      <c r="A1537" s="336"/>
      <c r="B1537" s="336"/>
      <c r="C1537" s="336"/>
      <c r="D1537" s="336"/>
      <c r="E1537" s="336"/>
      <c r="F1537" s="336"/>
      <c r="G1537" s="336"/>
      <c r="H1537" s="336"/>
      <c r="I1537" s="336"/>
      <c r="J1537" s="336"/>
      <c r="K1537" s="336"/>
      <c r="L1537" s="336"/>
      <c r="M1537" s="336"/>
      <c r="N1537" s="336"/>
      <c r="O1537" s="336"/>
      <c r="P1537" s="336"/>
      <c r="Q1537" s="336"/>
      <c r="R1537" s="336"/>
      <c r="S1537" s="336"/>
      <c r="T1537" s="336"/>
      <c r="U1537" s="337"/>
      <c r="V1537" s="336"/>
    </row>
    <row r="1538" ht="15.75" customHeight="1">
      <c r="A1538" s="336"/>
      <c r="B1538" s="336"/>
      <c r="C1538" s="336"/>
      <c r="D1538" s="336"/>
      <c r="E1538" s="336"/>
      <c r="F1538" s="336"/>
      <c r="G1538" s="336"/>
      <c r="H1538" s="336"/>
      <c r="I1538" s="336"/>
      <c r="J1538" s="336"/>
      <c r="K1538" s="336"/>
      <c r="L1538" s="336"/>
      <c r="M1538" s="336"/>
      <c r="N1538" s="336"/>
      <c r="O1538" s="336"/>
      <c r="P1538" s="336"/>
      <c r="Q1538" s="336"/>
      <c r="R1538" s="336"/>
      <c r="S1538" s="336"/>
      <c r="T1538" s="336"/>
      <c r="U1538" s="337"/>
      <c r="V1538" s="336"/>
    </row>
    <row r="1539" ht="15.75" customHeight="1">
      <c r="A1539" s="336"/>
      <c r="B1539" s="336"/>
      <c r="C1539" s="336"/>
      <c r="D1539" s="336"/>
      <c r="E1539" s="336"/>
      <c r="F1539" s="336"/>
      <c r="G1539" s="336"/>
      <c r="H1539" s="336"/>
      <c r="I1539" s="336"/>
      <c r="J1539" s="336"/>
      <c r="K1539" s="336"/>
      <c r="L1539" s="336"/>
      <c r="M1539" s="336"/>
      <c r="N1539" s="336"/>
      <c r="O1539" s="336"/>
      <c r="P1539" s="336"/>
      <c r="Q1539" s="336"/>
      <c r="R1539" s="336"/>
      <c r="S1539" s="336"/>
      <c r="T1539" s="336"/>
      <c r="U1539" s="337"/>
      <c r="V1539" s="336"/>
    </row>
    <row r="1540" ht="15.75" customHeight="1">
      <c r="A1540" s="336"/>
      <c r="B1540" s="336"/>
      <c r="C1540" s="336"/>
      <c r="D1540" s="336"/>
      <c r="E1540" s="336"/>
      <c r="F1540" s="336"/>
      <c r="G1540" s="336"/>
      <c r="H1540" s="336"/>
      <c r="I1540" s="336"/>
      <c r="J1540" s="336"/>
      <c r="K1540" s="336"/>
      <c r="L1540" s="336"/>
      <c r="M1540" s="336"/>
      <c r="N1540" s="336"/>
      <c r="O1540" s="336"/>
      <c r="P1540" s="336"/>
      <c r="Q1540" s="336"/>
      <c r="R1540" s="336"/>
      <c r="S1540" s="336"/>
      <c r="T1540" s="336"/>
      <c r="U1540" s="337"/>
      <c r="V1540" s="336"/>
    </row>
    <row r="1541" ht="15.75" customHeight="1">
      <c r="A1541" s="336"/>
      <c r="B1541" s="336"/>
      <c r="C1541" s="336"/>
      <c r="D1541" s="336"/>
      <c r="E1541" s="336"/>
      <c r="F1541" s="336"/>
      <c r="G1541" s="336"/>
      <c r="H1541" s="336"/>
      <c r="I1541" s="336"/>
      <c r="J1541" s="336"/>
      <c r="K1541" s="336"/>
      <c r="L1541" s="336"/>
      <c r="M1541" s="336"/>
      <c r="N1541" s="336"/>
      <c r="O1541" s="336"/>
      <c r="P1541" s="336"/>
      <c r="Q1541" s="336"/>
      <c r="R1541" s="336"/>
      <c r="S1541" s="336"/>
      <c r="T1541" s="336"/>
      <c r="U1541" s="337"/>
      <c r="V1541" s="336"/>
    </row>
    <row r="1542" ht="15.75" customHeight="1">
      <c r="A1542" s="336"/>
      <c r="B1542" s="336"/>
      <c r="C1542" s="336"/>
      <c r="D1542" s="336"/>
      <c r="E1542" s="336"/>
      <c r="F1542" s="336"/>
      <c r="G1542" s="336"/>
      <c r="H1542" s="336"/>
      <c r="I1542" s="336"/>
      <c r="J1542" s="336"/>
      <c r="K1542" s="336"/>
      <c r="L1542" s="336"/>
      <c r="M1542" s="336"/>
      <c r="N1542" s="336"/>
      <c r="O1542" s="336"/>
      <c r="P1542" s="336"/>
      <c r="Q1542" s="336"/>
      <c r="R1542" s="336"/>
      <c r="S1542" s="336"/>
      <c r="T1542" s="336"/>
      <c r="U1542" s="337"/>
      <c r="V1542" s="336"/>
    </row>
    <row r="1543" ht="15.75" customHeight="1">
      <c r="A1543" s="336"/>
      <c r="B1543" s="336"/>
      <c r="C1543" s="336"/>
      <c r="D1543" s="336"/>
      <c r="E1543" s="336"/>
      <c r="F1543" s="336"/>
      <c r="G1543" s="336"/>
      <c r="H1543" s="336"/>
      <c r="I1543" s="336"/>
      <c r="J1543" s="336"/>
      <c r="K1543" s="336"/>
      <c r="L1543" s="336"/>
      <c r="M1543" s="336"/>
      <c r="N1543" s="336"/>
      <c r="O1543" s="336"/>
      <c r="P1543" s="336"/>
      <c r="Q1543" s="336"/>
      <c r="R1543" s="336"/>
      <c r="S1543" s="336"/>
      <c r="T1543" s="336"/>
      <c r="U1543" s="337"/>
      <c r="V1543" s="336"/>
    </row>
    <row r="1544" ht="15.75" customHeight="1">
      <c r="A1544" s="336"/>
      <c r="B1544" s="336"/>
      <c r="C1544" s="336"/>
      <c r="D1544" s="336"/>
      <c r="E1544" s="336"/>
      <c r="F1544" s="336"/>
      <c r="G1544" s="336"/>
      <c r="H1544" s="336"/>
      <c r="I1544" s="336"/>
      <c r="J1544" s="336"/>
      <c r="K1544" s="336"/>
      <c r="L1544" s="336"/>
      <c r="M1544" s="336"/>
      <c r="N1544" s="336"/>
      <c r="O1544" s="336"/>
      <c r="P1544" s="336"/>
      <c r="Q1544" s="336"/>
      <c r="R1544" s="336"/>
      <c r="S1544" s="336"/>
      <c r="T1544" s="336"/>
      <c r="U1544" s="337"/>
      <c r="V1544" s="336"/>
    </row>
    <row r="1545" ht="15.75" customHeight="1">
      <c r="A1545" s="336"/>
      <c r="B1545" s="336"/>
      <c r="C1545" s="336"/>
      <c r="D1545" s="336"/>
      <c r="E1545" s="336"/>
      <c r="F1545" s="336"/>
      <c r="G1545" s="336"/>
      <c r="H1545" s="336"/>
      <c r="I1545" s="336"/>
      <c r="J1545" s="336"/>
      <c r="K1545" s="336"/>
      <c r="L1545" s="336"/>
      <c r="M1545" s="336"/>
      <c r="N1545" s="336"/>
      <c r="O1545" s="336"/>
      <c r="P1545" s="336"/>
      <c r="Q1545" s="336"/>
      <c r="R1545" s="336"/>
      <c r="S1545" s="336"/>
      <c r="T1545" s="336"/>
      <c r="U1545" s="337"/>
      <c r="V1545" s="336"/>
    </row>
    <row r="1546" ht="15.75" customHeight="1">
      <c r="A1546" s="336"/>
      <c r="B1546" s="336"/>
      <c r="C1546" s="336"/>
      <c r="D1546" s="336"/>
      <c r="E1546" s="336"/>
      <c r="F1546" s="336"/>
      <c r="G1546" s="336"/>
      <c r="H1546" s="336"/>
      <c r="I1546" s="336"/>
      <c r="J1546" s="336"/>
      <c r="K1546" s="336"/>
      <c r="L1546" s="336"/>
      <c r="M1546" s="336"/>
      <c r="N1546" s="336"/>
      <c r="O1546" s="336"/>
      <c r="P1546" s="336"/>
      <c r="Q1546" s="336"/>
      <c r="R1546" s="336"/>
      <c r="S1546" s="336"/>
      <c r="T1546" s="336"/>
      <c r="U1546" s="337"/>
      <c r="V1546" s="336"/>
    </row>
    <row r="1547" ht="15.75" customHeight="1">
      <c r="A1547" s="336"/>
      <c r="B1547" s="336"/>
      <c r="C1547" s="336"/>
      <c r="D1547" s="336"/>
      <c r="E1547" s="336"/>
      <c r="F1547" s="336"/>
      <c r="G1547" s="336"/>
      <c r="H1547" s="336"/>
      <c r="I1547" s="336"/>
      <c r="J1547" s="336"/>
      <c r="K1547" s="336"/>
      <c r="L1547" s="336"/>
      <c r="M1547" s="336"/>
      <c r="N1547" s="336"/>
      <c r="O1547" s="336"/>
      <c r="P1547" s="336"/>
      <c r="Q1547" s="336"/>
      <c r="R1547" s="336"/>
      <c r="S1547" s="336"/>
      <c r="T1547" s="336"/>
      <c r="U1547" s="337"/>
      <c r="V1547" s="336"/>
    </row>
    <row r="1548" ht="15.75" customHeight="1">
      <c r="A1548" s="336"/>
      <c r="B1548" s="336"/>
      <c r="C1548" s="336"/>
      <c r="D1548" s="336"/>
      <c r="E1548" s="336"/>
      <c r="F1548" s="336"/>
      <c r="G1548" s="336"/>
      <c r="H1548" s="336"/>
      <c r="I1548" s="336"/>
      <c r="J1548" s="336"/>
      <c r="K1548" s="336"/>
      <c r="L1548" s="336"/>
      <c r="M1548" s="336"/>
      <c r="N1548" s="336"/>
      <c r="O1548" s="336"/>
      <c r="P1548" s="336"/>
      <c r="Q1548" s="336"/>
      <c r="R1548" s="336"/>
      <c r="S1548" s="336"/>
      <c r="T1548" s="336"/>
      <c r="U1548" s="337"/>
      <c r="V1548" s="336"/>
    </row>
    <row r="1549" ht="15.75" customHeight="1">
      <c r="A1549" s="336"/>
      <c r="B1549" s="336"/>
      <c r="C1549" s="336"/>
      <c r="D1549" s="336"/>
      <c r="E1549" s="336"/>
      <c r="F1549" s="336"/>
      <c r="G1549" s="336"/>
      <c r="H1549" s="336"/>
      <c r="I1549" s="336"/>
      <c r="J1549" s="336"/>
      <c r="K1549" s="336"/>
      <c r="L1549" s="336"/>
      <c r="M1549" s="336"/>
      <c r="N1549" s="336"/>
      <c r="O1549" s="336"/>
      <c r="P1549" s="336"/>
      <c r="Q1549" s="336"/>
      <c r="R1549" s="336"/>
      <c r="S1549" s="336"/>
      <c r="T1549" s="336"/>
      <c r="U1549" s="337"/>
      <c r="V1549" s="336"/>
    </row>
    <row r="1550" ht="15.75" customHeight="1">
      <c r="A1550" s="336"/>
      <c r="B1550" s="336"/>
      <c r="C1550" s="336"/>
      <c r="D1550" s="336"/>
      <c r="E1550" s="336"/>
      <c r="F1550" s="336"/>
      <c r="G1550" s="336"/>
      <c r="H1550" s="336"/>
      <c r="I1550" s="336"/>
      <c r="J1550" s="336"/>
      <c r="K1550" s="336"/>
      <c r="L1550" s="336"/>
      <c r="M1550" s="336"/>
      <c r="N1550" s="336"/>
      <c r="O1550" s="336"/>
      <c r="P1550" s="336"/>
      <c r="Q1550" s="336"/>
      <c r="R1550" s="336"/>
      <c r="S1550" s="336"/>
      <c r="T1550" s="336"/>
      <c r="U1550" s="337"/>
      <c r="V1550" s="336"/>
    </row>
    <row r="1551" ht="15.75" customHeight="1">
      <c r="A1551" s="336"/>
      <c r="B1551" s="336"/>
      <c r="C1551" s="336"/>
      <c r="D1551" s="336"/>
      <c r="E1551" s="336"/>
      <c r="F1551" s="336"/>
      <c r="G1551" s="336"/>
      <c r="H1551" s="336"/>
      <c r="I1551" s="336"/>
      <c r="J1551" s="336"/>
      <c r="K1551" s="336"/>
      <c r="L1551" s="336"/>
      <c r="M1551" s="336"/>
      <c r="N1551" s="336"/>
      <c r="O1551" s="336"/>
      <c r="P1551" s="336"/>
      <c r="Q1551" s="336"/>
      <c r="R1551" s="336"/>
      <c r="S1551" s="336"/>
      <c r="T1551" s="336"/>
      <c r="U1551" s="337"/>
      <c r="V1551" s="336"/>
    </row>
    <row r="1552" ht="15.75" customHeight="1">
      <c r="A1552" s="336"/>
      <c r="B1552" s="336"/>
      <c r="C1552" s="336"/>
      <c r="D1552" s="336"/>
      <c r="E1552" s="336"/>
      <c r="F1552" s="336"/>
      <c r="G1552" s="336"/>
      <c r="H1552" s="336"/>
      <c r="I1552" s="336"/>
      <c r="J1552" s="336"/>
      <c r="K1552" s="336"/>
      <c r="L1552" s="336"/>
      <c r="M1552" s="336"/>
      <c r="N1552" s="336"/>
      <c r="O1552" s="336"/>
      <c r="P1552" s="336"/>
      <c r="Q1552" s="336"/>
      <c r="R1552" s="336"/>
      <c r="S1552" s="336"/>
      <c r="T1552" s="336"/>
      <c r="U1552" s="337"/>
      <c r="V1552" s="336"/>
    </row>
    <row r="1553" ht="15.75" customHeight="1">
      <c r="A1553" s="336"/>
      <c r="B1553" s="336"/>
      <c r="C1553" s="336"/>
      <c r="D1553" s="336"/>
      <c r="E1553" s="336"/>
      <c r="F1553" s="336"/>
      <c r="G1553" s="336"/>
      <c r="H1553" s="336"/>
      <c r="I1553" s="336"/>
      <c r="J1553" s="336"/>
      <c r="K1553" s="336"/>
      <c r="L1553" s="336"/>
      <c r="M1553" s="336"/>
      <c r="N1553" s="336"/>
      <c r="O1553" s="336"/>
      <c r="P1553" s="336"/>
      <c r="Q1553" s="336"/>
      <c r="R1553" s="336"/>
      <c r="S1553" s="336"/>
      <c r="T1553" s="336"/>
      <c r="U1553" s="337"/>
      <c r="V1553" s="336"/>
    </row>
    <row r="1554" ht="15.75" customHeight="1">
      <c r="A1554" s="336"/>
      <c r="B1554" s="336"/>
      <c r="C1554" s="336"/>
      <c r="D1554" s="336"/>
      <c r="E1554" s="336"/>
      <c r="F1554" s="336"/>
      <c r="G1554" s="336"/>
      <c r="H1554" s="336"/>
      <c r="I1554" s="336"/>
      <c r="J1554" s="336"/>
      <c r="K1554" s="336"/>
      <c r="L1554" s="336"/>
      <c r="M1554" s="336"/>
      <c r="N1554" s="336"/>
      <c r="O1554" s="336"/>
      <c r="P1554" s="336"/>
      <c r="Q1554" s="336"/>
      <c r="R1554" s="336"/>
      <c r="S1554" s="336"/>
      <c r="T1554" s="336"/>
      <c r="U1554" s="337"/>
      <c r="V1554" s="336"/>
    </row>
    <row r="1555" ht="15.75" customHeight="1">
      <c r="A1555" s="336"/>
      <c r="B1555" s="336"/>
      <c r="C1555" s="336"/>
      <c r="D1555" s="336"/>
      <c r="E1555" s="336"/>
      <c r="F1555" s="336"/>
      <c r="G1555" s="336"/>
      <c r="H1555" s="336"/>
      <c r="I1555" s="336"/>
      <c r="J1555" s="336"/>
      <c r="K1555" s="336"/>
      <c r="L1555" s="336"/>
      <c r="M1555" s="336"/>
      <c r="N1555" s="336"/>
      <c r="O1555" s="336"/>
      <c r="P1555" s="336"/>
      <c r="Q1555" s="336"/>
      <c r="R1555" s="336"/>
      <c r="S1555" s="336"/>
      <c r="T1555" s="336"/>
      <c r="U1555" s="337"/>
      <c r="V1555" s="336"/>
    </row>
    <row r="1556" ht="15.75" customHeight="1">
      <c r="A1556" s="336"/>
      <c r="B1556" s="336"/>
      <c r="C1556" s="336"/>
      <c r="D1556" s="336"/>
      <c r="E1556" s="336"/>
      <c r="F1556" s="336"/>
      <c r="G1556" s="336"/>
      <c r="H1556" s="336"/>
      <c r="I1556" s="336"/>
      <c r="J1556" s="336"/>
      <c r="K1556" s="336"/>
      <c r="L1556" s="336"/>
      <c r="M1556" s="336"/>
      <c r="N1556" s="336"/>
      <c r="O1556" s="336"/>
      <c r="P1556" s="336"/>
      <c r="Q1556" s="336"/>
      <c r="R1556" s="336"/>
      <c r="S1556" s="336"/>
      <c r="T1556" s="336"/>
      <c r="U1556" s="337"/>
      <c r="V1556" s="336"/>
    </row>
    <row r="1557" ht="15.75" customHeight="1">
      <c r="A1557" s="336"/>
      <c r="B1557" s="336"/>
      <c r="C1557" s="336"/>
      <c r="D1557" s="336"/>
      <c r="E1557" s="336"/>
      <c r="F1557" s="336"/>
      <c r="G1557" s="336"/>
      <c r="H1557" s="336"/>
      <c r="I1557" s="336"/>
      <c r="J1557" s="336"/>
      <c r="K1557" s="336"/>
      <c r="L1557" s="336"/>
      <c r="M1557" s="336"/>
      <c r="N1557" s="336"/>
      <c r="O1557" s="336"/>
      <c r="P1557" s="336"/>
      <c r="Q1557" s="336"/>
      <c r="R1557" s="336"/>
      <c r="S1557" s="336"/>
      <c r="T1557" s="336"/>
      <c r="U1557" s="337"/>
      <c r="V1557" s="336"/>
    </row>
    <row r="1558" ht="15.75" customHeight="1">
      <c r="A1558" s="336"/>
      <c r="B1558" s="336"/>
      <c r="C1558" s="336"/>
      <c r="D1558" s="336"/>
      <c r="E1558" s="336"/>
      <c r="F1558" s="336"/>
      <c r="G1558" s="336"/>
      <c r="H1558" s="336"/>
      <c r="I1558" s="336"/>
      <c r="J1558" s="336"/>
      <c r="K1558" s="336"/>
      <c r="L1558" s="336"/>
      <c r="M1558" s="336"/>
      <c r="N1558" s="336"/>
      <c r="O1558" s="336"/>
      <c r="P1558" s="336"/>
      <c r="Q1558" s="336"/>
      <c r="R1558" s="336"/>
      <c r="S1558" s="336"/>
      <c r="T1558" s="336"/>
      <c r="U1558" s="337"/>
      <c r="V1558" s="336"/>
    </row>
    <row r="1559" ht="15.75" customHeight="1">
      <c r="A1559" s="336"/>
      <c r="B1559" s="336"/>
      <c r="C1559" s="336"/>
      <c r="D1559" s="336"/>
      <c r="E1559" s="336"/>
      <c r="F1559" s="336"/>
      <c r="G1559" s="336"/>
      <c r="H1559" s="336"/>
      <c r="I1559" s="336"/>
      <c r="J1559" s="336"/>
      <c r="K1559" s="336"/>
      <c r="L1559" s="336"/>
      <c r="M1559" s="336"/>
      <c r="N1559" s="336"/>
      <c r="O1559" s="336"/>
      <c r="P1559" s="336"/>
      <c r="Q1559" s="336"/>
      <c r="R1559" s="336"/>
      <c r="S1559" s="336"/>
      <c r="T1559" s="336"/>
      <c r="U1559" s="337"/>
      <c r="V1559" s="336"/>
    </row>
    <row r="1560" ht="15.75" customHeight="1">
      <c r="A1560" s="336"/>
      <c r="B1560" s="336"/>
      <c r="C1560" s="336"/>
      <c r="D1560" s="336"/>
      <c r="E1560" s="336"/>
      <c r="F1560" s="336"/>
      <c r="G1560" s="336"/>
      <c r="H1560" s="336"/>
      <c r="I1560" s="336"/>
      <c r="J1560" s="336"/>
      <c r="K1560" s="336"/>
      <c r="L1560" s="336"/>
      <c r="M1560" s="336"/>
      <c r="N1560" s="336"/>
      <c r="O1560" s="336"/>
      <c r="P1560" s="336"/>
      <c r="Q1560" s="336"/>
      <c r="R1560" s="336"/>
      <c r="S1560" s="336"/>
      <c r="T1560" s="336"/>
      <c r="U1560" s="337"/>
      <c r="V1560" s="336"/>
    </row>
    <row r="1561" ht="15.75" customHeight="1">
      <c r="A1561" s="336"/>
      <c r="B1561" s="336"/>
      <c r="C1561" s="336"/>
      <c r="D1561" s="336"/>
      <c r="E1561" s="336"/>
      <c r="F1561" s="336"/>
      <c r="G1561" s="336"/>
      <c r="H1561" s="336"/>
      <c r="I1561" s="336"/>
      <c r="J1561" s="336"/>
      <c r="K1561" s="336"/>
      <c r="L1561" s="336"/>
      <c r="M1561" s="336"/>
      <c r="N1561" s="336"/>
      <c r="O1561" s="336"/>
      <c r="P1561" s="336"/>
      <c r="Q1561" s="336"/>
      <c r="R1561" s="336"/>
      <c r="S1561" s="336"/>
      <c r="T1561" s="336"/>
      <c r="U1561" s="337"/>
      <c r="V1561" s="336"/>
    </row>
    <row r="1562" ht="15.75" customHeight="1">
      <c r="A1562" s="336"/>
      <c r="B1562" s="336"/>
      <c r="C1562" s="336"/>
      <c r="D1562" s="336"/>
      <c r="E1562" s="336"/>
      <c r="F1562" s="336"/>
      <c r="G1562" s="336"/>
      <c r="H1562" s="336"/>
      <c r="I1562" s="336"/>
      <c r="J1562" s="336"/>
      <c r="K1562" s="336"/>
      <c r="L1562" s="336"/>
      <c r="M1562" s="336"/>
      <c r="N1562" s="336"/>
      <c r="O1562" s="336"/>
      <c r="P1562" s="336"/>
      <c r="Q1562" s="336"/>
      <c r="R1562" s="336"/>
      <c r="S1562" s="336"/>
      <c r="T1562" s="336"/>
      <c r="U1562" s="337"/>
      <c r="V1562" s="336"/>
    </row>
    <row r="1563" ht="15.75" customHeight="1">
      <c r="A1563" s="336"/>
      <c r="B1563" s="336"/>
      <c r="C1563" s="336"/>
      <c r="D1563" s="336"/>
      <c r="E1563" s="336"/>
      <c r="F1563" s="336"/>
      <c r="G1563" s="336"/>
      <c r="H1563" s="336"/>
      <c r="I1563" s="336"/>
      <c r="J1563" s="336"/>
      <c r="K1563" s="336"/>
      <c r="L1563" s="336"/>
      <c r="M1563" s="336"/>
      <c r="N1563" s="336"/>
      <c r="O1563" s="336"/>
      <c r="P1563" s="336"/>
      <c r="Q1563" s="336"/>
      <c r="R1563" s="336"/>
      <c r="S1563" s="336"/>
      <c r="T1563" s="336"/>
      <c r="U1563" s="337"/>
      <c r="V1563" s="336"/>
    </row>
    <row r="1564" ht="15.75" customHeight="1">
      <c r="A1564" s="336"/>
      <c r="B1564" s="336"/>
      <c r="C1564" s="336"/>
      <c r="D1564" s="336"/>
      <c r="E1564" s="336"/>
      <c r="F1564" s="336"/>
      <c r="G1564" s="336"/>
      <c r="H1564" s="336"/>
      <c r="I1564" s="336"/>
      <c r="J1564" s="336"/>
      <c r="K1564" s="336"/>
      <c r="L1564" s="336"/>
      <c r="M1564" s="336"/>
      <c r="N1564" s="336"/>
      <c r="O1564" s="336"/>
      <c r="P1564" s="336"/>
      <c r="Q1564" s="336"/>
      <c r="R1564" s="336"/>
      <c r="S1564" s="336"/>
      <c r="T1564" s="336"/>
      <c r="U1564" s="337"/>
      <c r="V1564" s="336"/>
    </row>
    <row r="1565" ht="15.75" customHeight="1">
      <c r="A1565" s="336"/>
      <c r="B1565" s="336"/>
      <c r="C1565" s="336"/>
      <c r="D1565" s="336"/>
      <c r="E1565" s="336"/>
      <c r="F1565" s="336"/>
      <c r="G1565" s="336"/>
      <c r="H1565" s="336"/>
      <c r="I1565" s="336"/>
      <c r="J1565" s="336"/>
      <c r="K1565" s="336"/>
      <c r="L1565" s="336"/>
      <c r="M1565" s="336"/>
      <c r="N1565" s="336"/>
      <c r="O1565" s="336"/>
      <c r="P1565" s="336"/>
      <c r="Q1565" s="336"/>
      <c r="R1565" s="336"/>
      <c r="S1565" s="336"/>
      <c r="T1565" s="336"/>
      <c r="U1565" s="337"/>
      <c r="V1565" s="336"/>
    </row>
    <row r="1566" ht="15.75" customHeight="1">
      <c r="A1566" s="336"/>
      <c r="B1566" s="336"/>
      <c r="C1566" s="336"/>
      <c r="D1566" s="336"/>
      <c r="E1566" s="336"/>
      <c r="F1566" s="336"/>
      <c r="G1566" s="336"/>
      <c r="H1566" s="336"/>
      <c r="I1566" s="336"/>
      <c r="J1566" s="336"/>
      <c r="K1566" s="336"/>
      <c r="L1566" s="336"/>
      <c r="M1566" s="336"/>
      <c r="N1566" s="336"/>
      <c r="O1566" s="336"/>
      <c r="P1566" s="336"/>
      <c r="Q1566" s="336"/>
      <c r="R1566" s="336"/>
      <c r="S1566" s="336"/>
      <c r="T1566" s="336"/>
      <c r="U1566" s="337"/>
      <c r="V1566" s="336"/>
    </row>
    <row r="1567" ht="15.75" customHeight="1">
      <c r="A1567" s="336"/>
      <c r="B1567" s="336"/>
      <c r="C1567" s="336"/>
      <c r="D1567" s="336"/>
      <c r="E1567" s="336"/>
      <c r="F1567" s="336"/>
      <c r="G1567" s="336"/>
      <c r="H1567" s="336"/>
      <c r="I1567" s="336"/>
      <c r="J1567" s="336"/>
      <c r="K1567" s="336"/>
      <c r="L1567" s="336"/>
      <c r="M1567" s="336"/>
      <c r="N1567" s="336"/>
      <c r="O1567" s="336"/>
      <c r="P1567" s="336"/>
      <c r="Q1567" s="336"/>
      <c r="R1567" s="336"/>
      <c r="S1567" s="336"/>
      <c r="T1567" s="336"/>
      <c r="U1567" s="337"/>
      <c r="V1567" s="336"/>
    </row>
    <row r="1568" ht="15.75" customHeight="1">
      <c r="A1568" s="336"/>
      <c r="B1568" s="336"/>
      <c r="C1568" s="336"/>
      <c r="D1568" s="336"/>
      <c r="E1568" s="336"/>
      <c r="F1568" s="336"/>
      <c r="G1568" s="336"/>
      <c r="H1568" s="336"/>
      <c r="I1568" s="336"/>
      <c r="J1568" s="336"/>
      <c r="K1568" s="336"/>
      <c r="L1568" s="336"/>
      <c r="M1568" s="336"/>
      <c r="N1568" s="336"/>
      <c r="O1568" s="336"/>
      <c r="P1568" s="336"/>
      <c r="Q1568" s="336"/>
      <c r="R1568" s="336"/>
      <c r="S1568" s="336"/>
      <c r="T1568" s="336"/>
      <c r="U1568" s="337"/>
      <c r="V1568" s="336"/>
    </row>
    <row r="1569" ht="15.75" customHeight="1">
      <c r="A1569" s="336"/>
      <c r="B1569" s="336"/>
      <c r="C1569" s="336"/>
      <c r="D1569" s="336"/>
      <c r="E1569" s="336"/>
      <c r="F1569" s="336"/>
      <c r="G1569" s="336"/>
      <c r="H1569" s="336"/>
      <c r="I1569" s="336"/>
      <c r="J1569" s="336"/>
      <c r="K1569" s="336"/>
      <c r="L1569" s="336"/>
      <c r="M1569" s="336"/>
      <c r="N1569" s="336"/>
      <c r="O1569" s="336"/>
      <c r="P1569" s="336"/>
      <c r="Q1569" s="336"/>
      <c r="R1569" s="336"/>
      <c r="S1569" s="336"/>
      <c r="T1569" s="336"/>
      <c r="U1569" s="337"/>
      <c r="V1569" s="336"/>
    </row>
    <row r="1570" ht="15.75" customHeight="1">
      <c r="A1570" s="336"/>
      <c r="B1570" s="336"/>
      <c r="C1570" s="336"/>
      <c r="D1570" s="336"/>
      <c r="E1570" s="336"/>
      <c r="F1570" s="336"/>
      <c r="G1570" s="336"/>
      <c r="H1570" s="336"/>
      <c r="I1570" s="336"/>
      <c r="J1570" s="336"/>
      <c r="K1570" s="336"/>
      <c r="L1570" s="336"/>
      <c r="M1570" s="336"/>
      <c r="N1570" s="336"/>
      <c r="O1570" s="336"/>
      <c r="P1570" s="336"/>
      <c r="Q1570" s="336"/>
      <c r="R1570" s="336"/>
      <c r="S1570" s="336"/>
      <c r="T1570" s="336"/>
      <c r="U1570" s="337"/>
      <c r="V1570" s="336"/>
    </row>
    <row r="1571" ht="15.75" customHeight="1">
      <c r="A1571" s="336"/>
      <c r="B1571" s="336"/>
      <c r="C1571" s="336"/>
      <c r="D1571" s="336"/>
      <c r="E1571" s="336"/>
      <c r="F1571" s="336"/>
      <c r="G1571" s="336"/>
      <c r="H1571" s="336"/>
      <c r="I1571" s="336"/>
      <c r="J1571" s="336"/>
      <c r="K1571" s="336"/>
      <c r="L1571" s="336"/>
      <c r="M1571" s="336"/>
      <c r="N1571" s="336"/>
      <c r="O1571" s="336"/>
      <c r="P1571" s="336"/>
      <c r="Q1571" s="336"/>
      <c r="R1571" s="336"/>
      <c r="S1571" s="336"/>
      <c r="T1571" s="336"/>
      <c r="U1571" s="337"/>
      <c r="V1571" s="336"/>
    </row>
    <row r="1572" ht="15.75" customHeight="1">
      <c r="A1572" s="336"/>
      <c r="B1572" s="336"/>
      <c r="C1572" s="336"/>
      <c r="D1572" s="336"/>
      <c r="E1572" s="336"/>
      <c r="F1572" s="336"/>
      <c r="G1572" s="336"/>
      <c r="H1572" s="336"/>
      <c r="I1572" s="336"/>
      <c r="J1572" s="336"/>
      <c r="K1572" s="336"/>
      <c r="L1572" s="336"/>
      <c r="M1572" s="336"/>
      <c r="N1572" s="336"/>
      <c r="O1572" s="336"/>
      <c r="P1572" s="336"/>
      <c r="Q1572" s="336"/>
      <c r="R1572" s="336"/>
      <c r="S1572" s="336"/>
      <c r="T1572" s="336"/>
      <c r="U1572" s="337"/>
      <c r="V1572" s="336"/>
    </row>
    <row r="1573" ht="15.75" customHeight="1">
      <c r="A1573" s="336"/>
      <c r="B1573" s="336"/>
      <c r="C1573" s="336"/>
      <c r="D1573" s="336"/>
      <c r="E1573" s="336"/>
      <c r="F1573" s="336"/>
      <c r="G1573" s="336"/>
      <c r="H1573" s="336"/>
      <c r="I1573" s="336"/>
      <c r="J1573" s="336"/>
      <c r="K1573" s="336"/>
      <c r="L1573" s="336"/>
      <c r="M1573" s="336"/>
      <c r="N1573" s="336"/>
      <c r="O1573" s="336"/>
      <c r="P1573" s="336"/>
      <c r="Q1573" s="336"/>
      <c r="R1573" s="336"/>
      <c r="S1573" s="336"/>
      <c r="T1573" s="336"/>
      <c r="U1573" s="337"/>
      <c r="V1573" s="336"/>
    </row>
    <row r="1574" ht="15.75" customHeight="1">
      <c r="A1574" s="336"/>
      <c r="B1574" s="336"/>
      <c r="C1574" s="336"/>
      <c r="D1574" s="336"/>
      <c r="E1574" s="336"/>
      <c r="F1574" s="336"/>
      <c r="G1574" s="336"/>
      <c r="H1574" s="336"/>
      <c r="I1574" s="336"/>
      <c r="J1574" s="336"/>
      <c r="K1574" s="336"/>
      <c r="L1574" s="336"/>
      <c r="M1574" s="336"/>
      <c r="N1574" s="336"/>
      <c r="O1574" s="336"/>
      <c r="P1574" s="336"/>
      <c r="Q1574" s="336"/>
      <c r="R1574" s="336"/>
      <c r="S1574" s="336"/>
      <c r="T1574" s="336"/>
      <c r="U1574" s="337"/>
      <c r="V1574" s="336"/>
    </row>
    <row r="1575" ht="15.75" customHeight="1">
      <c r="A1575" s="336"/>
      <c r="B1575" s="336"/>
      <c r="C1575" s="336"/>
      <c r="D1575" s="336"/>
      <c r="E1575" s="336"/>
      <c r="F1575" s="336"/>
      <c r="G1575" s="336"/>
      <c r="H1575" s="336"/>
      <c r="I1575" s="336"/>
      <c r="J1575" s="336"/>
      <c r="K1575" s="336"/>
      <c r="L1575" s="336"/>
      <c r="M1575" s="336"/>
      <c r="N1575" s="336"/>
      <c r="O1575" s="336"/>
      <c r="P1575" s="336"/>
      <c r="Q1575" s="336"/>
      <c r="R1575" s="336"/>
      <c r="S1575" s="336"/>
      <c r="T1575" s="336"/>
      <c r="U1575" s="337"/>
      <c r="V1575" s="336"/>
    </row>
    <row r="1576" ht="15.75" customHeight="1">
      <c r="A1576" s="336"/>
      <c r="B1576" s="336"/>
      <c r="C1576" s="336"/>
      <c r="D1576" s="336"/>
      <c r="E1576" s="336"/>
      <c r="F1576" s="336"/>
      <c r="G1576" s="336"/>
      <c r="H1576" s="336"/>
      <c r="I1576" s="336"/>
      <c r="J1576" s="336"/>
      <c r="K1576" s="336"/>
      <c r="L1576" s="336"/>
      <c r="M1576" s="336"/>
      <c r="N1576" s="336"/>
      <c r="O1576" s="336"/>
      <c r="P1576" s="336"/>
      <c r="Q1576" s="336"/>
      <c r="R1576" s="336"/>
      <c r="S1576" s="336"/>
      <c r="T1576" s="336"/>
      <c r="U1576" s="337"/>
      <c r="V1576" s="336"/>
    </row>
    <row r="1577" ht="15.75" customHeight="1">
      <c r="A1577" s="336"/>
      <c r="B1577" s="336"/>
      <c r="C1577" s="336"/>
      <c r="D1577" s="336"/>
      <c r="E1577" s="336"/>
      <c r="F1577" s="336"/>
      <c r="G1577" s="336"/>
      <c r="H1577" s="336"/>
      <c r="I1577" s="336"/>
      <c r="J1577" s="336"/>
      <c r="K1577" s="336"/>
      <c r="L1577" s="336"/>
      <c r="M1577" s="336"/>
      <c r="N1577" s="336"/>
      <c r="O1577" s="336"/>
      <c r="P1577" s="336"/>
      <c r="Q1577" s="336"/>
      <c r="R1577" s="336"/>
      <c r="S1577" s="336"/>
      <c r="T1577" s="336"/>
      <c r="U1577" s="337"/>
      <c r="V1577" s="336"/>
    </row>
    <row r="1578" ht="15.75" customHeight="1">
      <c r="A1578" s="336"/>
      <c r="B1578" s="336"/>
      <c r="C1578" s="336"/>
      <c r="D1578" s="336"/>
      <c r="E1578" s="336"/>
      <c r="F1578" s="336"/>
      <c r="G1578" s="336"/>
      <c r="H1578" s="336"/>
      <c r="I1578" s="336"/>
      <c r="J1578" s="336"/>
      <c r="K1578" s="336"/>
      <c r="L1578" s="336"/>
      <c r="M1578" s="336"/>
      <c r="N1578" s="336"/>
      <c r="O1578" s="336"/>
      <c r="P1578" s="336"/>
      <c r="Q1578" s="336"/>
      <c r="R1578" s="336"/>
      <c r="S1578" s="336"/>
      <c r="T1578" s="336"/>
      <c r="U1578" s="337"/>
      <c r="V1578" s="336"/>
    </row>
    <row r="1579" ht="15.75" customHeight="1">
      <c r="A1579" s="336"/>
      <c r="B1579" s="336"/>
      <c r="C1579" s="336"/>
      <c r="D1579" s="336"/>
      <c r="E1579" s="336"/>
      <c r="F1579" s="336"/>
      <c r="G1579" s="336"/>
      <c r="H1579" s="336"/>
      <c r="I1579" s="336"/>
      <c r="J1579" s="336"/>
      <c r="K1579" s="336"/>
      <c r="L1579" s="336"/>
      <c r="M1579" s="336"/>
      <c r="N1579" s="336"/>
      <c r="O1579" s="336"/>
      <c r="P1579" s="336"/>
      <c r="Q1579" s="336"/>
      <c r="R1579" s="336"/>
      <c r="S1579" s="336"/>
      <c r="T1579" s="336"/>
      <c r="U1579" s="337"/>
      <c r="V1579" s="336"/>
    </row>
    <row r="1580" ht="15.75" customHeight="1">
      <c r="A1580" s="336"/>
      <c r="B1580" s="336"/>
      <c r="C1580" s="336"/>
      <c r="D1580" s="336"/>
      <c r="E1580" s="336"/>
      <c r="F1580" s="336"/>
      <c r="G1580" s="336"/>
      <c r="H1580" s="336"/>
      <c r="I1580" s="336"/>
      <c r="J1580" s="336"/>
      <c r="K1580" s="336"/>
      <c r="L1580" s="336"/>
      <c r="M1580" s="336"/>
      <c r="N1580" s="336"/>
      <c r="O1580" s="336"/>
      <c r="P1580" s="336"/>
      <c r="Q1580" s="336"/>
      <c r="R1580" s="336"/>
      <c r="S1580" s="336"/>
      <c r="T1580" s="336"/>
      <c r="U1580" s="337"/>
      <c r="V1580" s="336"/>
    </row>
    <row r="1581" ht="15.75" customHeight="1">
      <c r="A1581" s="336"/>
      <c r="B1581" s="336"/>
      <c r="C1581" s="336"/>
      <c r="D1581" s="336"/>
      <c r="E1581" s="336"/>
      <c r="F1581" s="336"/>
      <c r="G1581" s="336"/>
      <c r="H1581" s="336"/>
      <c r="I1581" s="336"/>
      <c r="J1581" s="336"/>
      <c r="K1581" s="336"/>
      <c r="L1581" s="336"/>
      <c r="M1581" s="336"/>
      <c r="N1581" s="336"/>
      <c r="O1581" s="336"/>
      <c r="P1581" s="336"/>
      <c r="Q1581" s="336"/>
      <c r="R1581" s="336"/>
      <c r="S1581" s="336"/>
      <c r="T1581" s="336"/>
      <c r="U1581" s="337"/>
      <c r="V1581" s="336"/>
    </row>
    <row r="1582" ht="15.75" customHeight="1">
      <c r="A1582" s="336"/>
      <c r="B1582" s="336"/>
      <c r="C1582" s="336"/>
      <c r="D1582" s="336"/>
      <c r="E1582" s="336"/>
      <c r="F1582" s="336"/>
      <c r="G1582" s="336"/>
      <c r="H1582" s="336"/>
      <c r="I1582" s="336"/>
      <c r="J1582" s="336"/>
      <c r="K1582" s="336"/>
      <c r="L1582" s="336"/>
      <c r="M1582" s="336"/>
      <c r="N1582" s="336"/>
      <c r="O1582" s="336"/>
      <c r="P1582" s="336"/>
      <c r="Q1582" s="336"/>
      <c r="R1582" s="336"/>
      <c r="S1582" s="336"/>
      <c r="T1582" s="336"/>
      <c r="U1582" s="337"/>
      <c r="V1582" s="336"/>
    </row>
    <row r="1583" ht="15.75" customHeight="1">
      <c r="A1583" s="336"/>
      <c r="B1583" s="336"/>
      <c r="C1583" s="336"/>
      <c r="D1583" s="336"/>
      <c r="E1583" s="336"/>
      <c r="F1583" s="336"/>
      <c r="G1583" s="336"/>
      <c r="H1583" s="336"/>
      <c r="I1583" s="336"/>
      <c r="J1583" s="336"/>
      <c r="K1583" s="336"/>
      <c r="L1583" s="336"/>
      <c r="M1583" s="336"/>
      <c r="N1583" s="336"/>
      <c r="O1583" s="336"/>
      <c r="P1583" s="336"/>
      <c r="Q1583" s="336"/>
      <c r="R1583" s="336"/>
      <c r="S1583" s="336"/>
      <c r="T1583" s="336"/>
      <c r="U1583" s="337"/>
      <c r="V1583" s="336"/>
    </row>
    <row r="1584" ht="15.75" customHeight="1">
      <c r="A1584" s="336"/>
      <c r="B1584" s="336"/>
      <c r="C1584" s="336"/>
      <c r="D1584" s="336"/>
      <c r="E1584" s="336"/>
      <c r="F1584" s="336"/>
      <c r="G1584" s="336"/>
      <c r="H1584" s="336"/>
      <c r="I1584" s="336"/>
      <c r="J1584" s="336"/>
      <c r="K1584" s="336"/>
      <c r="L1584" s="336"/>
      <c r="M1584" s="336"/>
      <c r="N1584" s="336"/>
      <c r="O1584" s="336"/>
      <c r="P1584" s="336"/>
      <c r="Q1584" s="336"/>
      <c r="R1584" s="336"/>
      <c r="S1584" s="336"/>
      <c r="T1584" s="336"/>
      <c r="U1584" s="337"/>
      <c r="V1584" s="336"/>
    </row>
    <row r="1585" ht="15.75" customHeight="1">
      <c r="A1585" s="336"/>
      <c r="B1585" s="336"/>
      <c r="C1585" s="336"/>
      <c r="D1585" s="336"/>
      <c r="E1585" s="336"/>
      <c r="F1585" s="336"/>
      <c r="G1585" s="336"/>
      <c r="H1585" s="336"/>
      <c r="I1585" s="336"/>
      <c r="J1585" s="336"/>
      <c r="K1585" s="336"/>
      <c r="L1585" s="336"/>
      <c r="M1585" s="336"/>
      <c r="N1585" s="336"/>
      <c r="O1585" s="336"/>
      <c r="P1585" s="336"/>
      <c r="Q1585" s="336"/>
      <c r="R1585" s="336"/>
      <c r="S1585" s="336"/>
      <c r="T1585" s="336"/>
      <c r="U1585" s="337"/>
      <c r="V1585" s="336"/>
    </row>
    <row r="1586" ht="15.75" customHeight="1">
      <c r="A1586" s="336"/>
      <c r="B1586" s="336"/>
      <c r="C1586" s="336"/>
      <c r="D1586" s="336"/>
      <c r="E1586" s="336"/>
      <c r="F1586" s="336"/>
      <c r="G1586" s="336"/>
      <c r="H1586" s="336"/>
      <c r="I1586" s="336"/>
      <c r="J1586" s="336"/>
      <c r="K1586" s="336"/>
      <c r="L1586" s="336"/>
      <c r="M1586" s="336"/>
      <c r="N1586" s="336"/>
      <c r="O1586" s="336"/>
      <c r="P1586" s="336"/>
      <c r="Q1586" s="336"/>
      <c r="R1586" s="336"/>
      <c r="S1586" s="336"/>
      <c r="T1586" s="336"/>
      <c r="U1586" s="337"/>
      <c r="V1586" s="336"/>
    </row>
    <row r="1587" ht="15.75" customHeight="1">
      <c r="A1587" s="336"/>
      <c r="B1587" s="336"/>
      <c r="C1587" s="336"/>
      <c r="D1587" s="336"/>
      <c r="E1587" s="336"/>
      <c r="F1587" s="336"/>
      <c r="G1587" s="336"/>
      <c r="H1587" s="336"/>
      <c r="I1587" s="336"/>
      <c r="J1587" s="336"/>
      <c r="K1587" s="336"/>
      <c r="L1587" s="336"/>
      <c r="M1587" s="336"/>
      <c r="N1587" s="336"/>
      <c r="O1587" s="336"/>
      <c r="P1587" s="336"/>
      <c r="Q1587" s="336"/>
      <c r="R1587" s="336"/>
      <c r="S1587" s="336"/>
      <c r="T1587" s="336"/>
      <c r="U1587" s="337"/>
      <c r="V1587" s="336"/>
    </row>
    <row r="1588" ht="15.75" customHeight="1">
      <c r="A1588" s="336"/>
      <c r="B1588" s="336"/>
      <c r="C1588" s="336"/>
      <c r="D1588" s="336"/>
      <c r="E1588" s="336"/>
      <c r="F1588" s="336"/>
      <c r="G1588" s="336"/>
      <c r="H1588" s="336"/>
      <c r="I1588" s="336"/>
      <c r="J1588" s="336"/>
      <c r="K1588" s="336"/>
      <c r="L1588" s="336"/>
      <c r="M1588" s="336"/>
      <c r="N1588" s="336"/>
      <c r="O1588" s="336"/>
      <c r="P1588" s="336"/>
      <c r="Q1588" s="336"/>
      <c r="R1588" s="336"/>
      <c r="S1588" s="336"/>
      <c r="T1588" s="336"/>
      <c r="U1588" s="337"/>
      <c r="V1588" s="336"/>
    </row>
    <row r="1589" ht="15.75" customHeight="1">
      <c r="A1589" s="336"/>
      <c r="B1589" s="336"/>
      <c r="C1589" s="336"/>
      <c r="D1589" s="336"/>
      <c r="E1589" s="336"/>
      <c r="F1589" s="336"/>
      <c r="G1589" s="336"/>
      <c r="H1589" s="336"/>
      <c r="I1589" s="336"/>
      <c r="J1589" s="336"/>
      <c r="K1589" s="336"/>
      <c r="L1589" s="336"/>
      <c r="M1589" s="336"/>
      <c r="N1589" s="336"/>
      <c r="O1589" s="336"/>
      <c r="P1589" s="336"/>
      <c r="Q1589" s="336"/>
      <c r="R1589" s="336"/>
      <c r="S1589" s="336"/>
      <c r="T1589" s="336"/>
      <c r="U1589" s="337"/>
      <c r="V1589" s="336"/>
    </row>
    <row r="1590" ht="15.75" customHeight="1">
      <c r="A1590" s="336"/>
      <c r="B1590" s="336"/>
      <c r="C1590" s="336"/>
      <c r="D1590" s="336"/>
      <c r="E1590" s="336"/>
      <c r="F1590" s="336"/>
      <c r="G1590" s="336"/>
      <c r="H1590" s="336"/>
      <c r="I1590" s="336"/>
      <c r="J1590" s="336"/>
      <c r="K1590" s="336"/>
      <c r="L1590" s="336"/>
      <c r="M1590" s="336"/>
      <c r="N1590" s="336"/>
      <c r="O1590" s="336"/>
      <c r="P1590" s="336"/>
      <c r="Q1590" s="336"/>
      <c r="R1590" s="336"/>
      <c r="S1590" s="336"/>
      <c r="T1590" s="336"/>
      <c r="U1590" s="337"/>
      <c r="V1590" s="336"/>
    </row>
    <row r="1591" ht="15.75" customHeight="1">
      <c r="A1591" s="336"/>
      <c r="B1591" s="336"/>
      <c r="C1591" s="336"/>
      <c r="D1591" s="336"/>
      <c r="E1591" s="336"/>
      <c r="F1591" s="336"/>
      <c r="G1591" s="336"/>
      <c r="H1591" s="336"/>
      <c r="I1591" s="336"/>
      <c r="J1591" s="336"/>
      <c r="K1591" s="336"/>
      <c r="L1591" s="336"/>
      <c r="M1591" s="336"/>
      <c r="N1591" s="336"/>
      <c r="O1591" s="336"/>
      <c r="P1591" s="336"/>
      <c r="Q1591" s="336"/>
      <c r="R1591" s="336"/>
      <c r="S1591" s="336"/>
      <c r="T1591" s="336"/>
      <c r="U1591" s="337"/>
      <c r="V1591" s="336"/>
    </row>
    <row r="1592" ht="15.75" customHeight="1">
      <c r="A1592" s="336"/>
      <c r="B1592" s="336"/>
      <c r="C1592" s="336"/>
      <c r="D1592" s="336"/>
      <c r="E1592" s="336"/>
      <c r="F1592" s="336"/>
      <c r="G1592" s="336"/>
      <c r="H1592" s="336"/>
      <c r="I1592" s="336"/>
      <c r="J1592" s="336"/>
      <c r="K1592" s="336"/>
      <c r="L1592" s="336"/>
      <c r="M1592" s="336"/>
      <c r="N1592" s="336"/>
      <c r="O1592" s="336"/>
      <c r="P1592" s="336"/>
      <c r="Q1592" s="336"/>
      <c r="R1592" s="336"/>
      <c r="S1592" s="336"/>
      <c r="T1592" s="336"/>
      <c r="U1592" s="337"/>
      <c r="V1592" s="336"/>
    </row>
    <row r="1593" ht="15.75" customHeight="1">
      <c r="A1593" s="336"/>
      <c r="B1593" s="336"/>
      <c r="C1593" s="336"/>
      <c r="D1593" s="336"/>
      <c r="E1593" s="336"/>
      <c r="F1593" s="336"/>
      <c r="G1593" s="336"/>
      <c r="H1593" s="336"/>
      <c r="I1593" s="336"/>
      <c r="J1593" s="336"/>
      <c r="K1593" s="336"/>
      <c r="L1593" s="336"/>
      <c r="M1593" s="336"/>
      <c r="N1593" s="336"/>
      <c r="O1593" s="336"/>
      <c r="P1593" s="336"/>
      <c r="Q1593" s="336"/>
      <c r="R1593" s="336"/>
      <c r="S1593" s="336"/>
      <c r="T1593" s="336"/>
      <c r="U1593" s="337"/>
      <c r="V1593" s="336"/>
    </row>
    <row r="1594" ht="15.75" customHeight="1">
      <c r="A1594" s="336"/>
      <c r="B1594" s="336"/>
      <c r="C1594" s="336"/>
      <c r="D1594" s="336"/>
      <c r="E1594" s="336"/>
      <c r="F1594" s="336"/>
      <c r="G1594" s="336"/>
      <c r="H1594" s="336"/>
      <c r="I1594" s="336"/>
      <c r="J1594" s="336"/>
      <c r="K1594" s="336"/>
      <c r="L1594" s="336"/>
      <c r="M1594" s="336"/>
      <c r="N1594" s="336"/>
      <c r="O1594" s="336"/>
      <c r="P1594" s="336"/>
      <c r="Q1594" s="336"/>
      <c r="R1594" s="336"/>
      <c r="S1594" s="336"/>
      <c r="T1594" s="336"/>
      <c r="U1594" s="337"/>
      <c r="V1594" s="336"/>
    </row>
    <row r="1595" ht="15.75" customHeight="1">
      <c r="A1595" s="336"/>
      <c r="B1595" s="336"/>
      <c r="C1595" s="336"/>
      <c r="D1595" s="336"/>
      <c r="E1595" s="336"/>
      <c r="F1595" s="336"/>
      <c r="G1595" s="336"/>
      <c r="H1595" s="336"/>
      <c r="I1595" s="336"/>
      <c r="J1595" s="336"/>
      <c r="K1595" s="336"/>
      <c r="L1595" s="336"/>
      <c r="M1595" s="336"/>
      <c r="N1595" s="336"/>
      <c r="O1595" s="336"/>
      <c r="P1595" s="336"/>
      <c r="Q1595" s="336"/>
      <c r="R1595" s="336"/>
      <c r="S1595" s="336"/>
      <c r="T1595" s="336"/>
      <c r="U1595" s="337"/>
      <c r="V1595" s="336"/>
    </row>
    <row r="1596" ht="15.75" customHeight="1">
      <c r="A1596" s="336"/>
      <c r="B1596" s="336"/>
      <c r="C1596" s="336"/>
      <c r="D1596" s="336"/>
      <c r="E1596" s="336"/>
      <c r="F1596" s="336"/>
      <c r="G1596" s="336"/>
      <c r="H1596" s="336"/>
      <c r="I1596" s="336"/>
      <c r="J1596" s="336"/>
      <c r="K1596" s="336"/>
      <c r="L1596" s="336"/>
      <c r="M1596" s="336"/>
      <c r="N1596" s="336"/>
      <c r="O1596" s="336"/>
      <c r="P1596" s="336"/>
      <c r="Q1596" s="336"/>
      <c r="R1596" s="336"/>
      <c r="S1596" s="336"/>
      <c r="T1596" s="336"/>
      <c r="U1596" s="337"/>
      <c r="V1596" s="336"/>
    </row>
    <row r="1597" ht="15.75" customHeight="1">
      <c r="A1597" s="336"/>
      <c r="B1597" s="336"/>
      <c r="C1597" s="336"/>
      <c r="D1597" s="336"/>
      <c r="E1597" s="336"/>
      <c r="F1597" s="336"/>
      <c r="G1597" s="336"/>
      <c r="H1597" s="336"/>
      <c r="I1597" s="336"/>
      <c r="J1597" s="336"/>
      <c r="K1597" s="336"/>
      <c r="L1597" s="336"/>
      <c r="M1597" s="336"/>
      <c r="N1597" s="336"/>
      <c r="O1597" s="336"/>
      <c r="P1597" s="336"/>
      <c r="Q1597" s="336"/>
      <c r="R1597" s="336"/>
      <c r="S1597" s="336"/>
      <c r="T1597" s="336"/>
      <c r="U1597" s="337"/>
      <c r="V1597" s="336"/>
    </row>
    <row r="1598" ht="15.75" customHeight="1">
      <c r="A1598" s="336"/>
      <c r="B1598" s="336"/>
      <c r="C1598" s="336"/>
      <c r="D1598" s="336"/>
      <c r="E1598" s="336"/>
      <c r="F1598" s="336"/>
      <c r="G1598" s="336"/>
      <c r="H1598" s="336"/>
      <c r="I1598" s="336"/>
      <c r="J1598" s="336"/>
      <c r="K1598" s="336"/>
      <c r="L1598" s="336"/>
      <c r="M1598" s="336"/>
      <c r="N1598" s="336"/>
      <c r="O1598" s="336"/>
      <c r="P1598" s="336"/>
      <c r="Q1598" s="336"/>
      <c r="R1598" s="336"/>
      <c r="S1598" s="336"/>
      <c r="T1598" s="336"/>
      <c r="U1598" s="337"/>
      <c r="V1598" s="336"/>
    </row>
    <row r="1599" ht="15.75" customHeight="1">
      <c r="A1599" s="336"/>
      <c r="B1599" s="336"/>
      <c r="C1599" s="336"/>
      <c r="D1599" s="336"/>
      <c r="E1599" s="336"/>
      <c r="F1599" s="336"/>
      <c r="G1599" s="336"/>
      <c r="H1599" s="336"/>
      <c r="I1599" s="336"/>
      <c r="J1599" s="336"/>
      <c r="K1599" s="336"/>
      <c r="L1599" s="336"/>
      <c r="M1599" s="336"/>
      <c r="N1599" s="336"/>
      <c r="O1599" s="336"/>
      <c r="P1599" s="336"/>
      <c r="Q1599" s="336"/>
      <c r="R1599" s="336"/>
      <c r="S1599" s="336"/>
      <c r="T1599" s="336"/>
      <c r="U1599" s="337"/>
      <c r="V1599" s="336"/>
    </row>
    <row r="1600" ht="15.75" customHeight="1">
      <c r="A1600" s="336"/>
      <c r="B1600" s="336"/>
      <c r="C1600" s="336"/>
      <c r="D1600" s="336"/>
      <c r="E1600" s="336"/>
      <c r="F1600" s="336"/>
      <c r="G1600" s="336"/>
      <c r="H1600" s="336"/>
      <c r="I1600" s="336"/>
      <c r="J1600" s="336"/>
      <c r="K1600" s="336"/>
      <c r="L1600" s="336"/>
      <c r="M1600" s="336"/>
      <c r="N1600" s="336"/>
      <c r="O1600" s="336"/>
      <c r="P1600" s="336"/>
      <c r="Q1600" s="336"/>
      <c r="R1600" s="336"/>
      <c r="S1600" s="336"/>
      <c r="T1600" s="336"/>
      <c r="U1600" s="337"/>
      <c r="V1600" s="336"/>
    </row>
    <row r="1601" ht="15.75" customHeight="1">
      <c r="A1601" s="336"/>
      <c r="B1601" s="336"/>
      <c r="C1601" s="336"/>
      <c r="D1601" s="336"/>
      <c r="E1601" s="336"/>
      <c r="F1601" s="336"/>
      <c r="G1601" s="336"/>
      <c r="H1601" s="336"/>
      <c r="I1601" s="336"/>
      <c r="J1601" s="336"/>
      <c r="K1601" s="336"/>
      <c r="L1601" s="336"/>
      <c r="M1601" s="336"/>
      <c r="N1601" s="336"/>
      <c r="O1601" s="336"/>
      <c r="P1601" s="336"/>
      <c r="Q1601" s="336"/>
      <c r="R1601" s="336"/>
      <c r="S1601" s="336"/>
      <c r="T1601" s="336"/>
      <c r="U1601" s="337"/>
      <c r="V1601" s="336"/>
    </row>
    <row r="1602" ht="15.75" customHeight="1">
      <c r="A1602" s="336"/>
      <c r="B1602" s="336"/>
      <c r="C1602" s="336"/>
      <c r="D1602" s="336"/>
      <c r="E1602" s="336"/>
      <c r="F1602" s="336"/>
      <c r="G1602" s="336"/>
      <c r="H1602" s="336"/>
      <c r="I1602" s="336"/>
      <c r="J1602" s="336"/>
      <c r="K1602" s="336"/>
      <c r="L1602" s="336"/>
      <c r="M1602" s="336"/>
      <c r="N1602" s="336"/>
      <c r="O1602" s="336"/>
      <c r="P1602" s="336"/>
      <c r="Q1602" s="336"/>
      <c r="R1602" s="336"/>
      <c r="S1602" s="336"/>
      <c r="T1602" s="336"/>
      <c r="U1602" s="337"/>
      <c r="V1602" s="336"/>
    </row>
    <row r="1603" ht="15.75" customHeight="1">
      <c r="A1603" s="336"/>
      <c r="B1603" s="336"/>
      <c r="C1603" s="336"/>
      <c r="D1603" s="336"/>
      <c r="E1603" s="336"/>
      <c r="F1603" s="336"/>
      <c r="G1603" s="336"/>
      <c r="H1603" s="336"/>
      <c r="I1603" s="336"/>
      <c r="J1603" s="336"/>
      <c r="K1603" s="336"/>
      <c r="L1603" s="336"/>
      <c r="M1603" s="336"/>
      <c r="N1603" s="336"/>
      <c r="O1603" s="336"/>
      <c r="P1603" s="336"/>
      <c r="Q1603" s="336"/>
      <c r="R1603" s="336"/>
      <c r="S1603" s="336"/>
      <c r="T1603" s="336"/>
      <c r="U1603" s="337"/>
      <c r="V1603" s="336"/>
    </row>
    <row r="1604" ht="15.75" customHeight="1">
      <c r="A1604" s="336"/>
      <c r="B1604" s="336"/>
      <c r="C1604" s="336"/>
      <c r="D1604" s="336"/>
      <c r="E1604" s="336"/>
      <c r="F1604" s="336"/>
      <c r="G1604" s="336"/>
      <c r="H1604" s="336"/>
      <c r="I1604" s="336"/>
      <c r="J1604" s="336"/>
      <c r="K1604" s="336"/>
      <c r="L1604" s="336"/>
      <c r="M1604" s="336"/>
      <c r="N1604" s="336"/>
      <c r="O1604" s="336"/>
      <c r="P1604" s="336"/>
      <c r="Q1604" s="336"/>
      <c r="R1604" s="336"/>
      <c r="S1604" s="336"/>
      <c r="T1604" s="336"/>
      <c r="U1604" s="337"/>
      <c r="V1604" s="336"/>
    </row>
    <row r="1605" ht="15.75" customHeight="1">
      <c r="A1605" s="336"/>
      <c r="B1605" s="336"/>
      <c r="C1605" s="336"/>
      <c r="D1605" s="336"/>
      <c r="E1605" s="336"/>
      <c r="F1605" s="336"/>
      <c r="G1605" s="336"/>
      <c r="H1605" s="336"/>
      <c r="I1605" s="336"/>
      <c r="J1605" s="336"/>
      <c r="K1605" s="336"/>
      <c r="L1605" s="336"/>
      <c r="M1605" s="336"/>
      <c r="N1605" s="336"/>
      <c r="O1605" s="336"/>
      <c r="P1605" s="336"/>
      <c r="Q1605" s="336"/>
      <c r="R1605" s="336"/>
      <c r="S1605" s="336"/>
      <c r="T1605" s="336"/>
      <c r="U1605" s="337"/>
      <c r="V1605" s="336"/>
    </row>
    <row r="1606" ht="15.75" customHeight="1">
      <c r="A1606" s="336"/>
      <c r="B1606" s="336"/>
      <c r="C1606" s="336"/>
      <c r="D1606" s="336"/>
      <c r="E1606" s="336"/>
      <c r="F1606" s="336"/>
      <c r="G1606" s="336"/>
      <c r="H1606" s="336"/>
      <c r="I1606" s="336"/>
      <c r="J1606" s="336"/>
      <c r="K1606" s="336"/>
      <c r="L1606" s="336"/>
      <c r="M1606" s="336"/>
      <c r="N1606" s="336"/>
      <c r="O1606" s="336"/>
      <c r="P1606" s="336"/>
      <c r="Q1606" s="336"/>
      <c r="R1606" s="336"/>
      <c r="S1606" s="336"/>
      <c r="T1606" s="336"/>
      <c r="U1606" s="337"/>
      <c r="V1606" s="336"/>
    </row>
    <row r="1607" ht="15.75" customHeight="1">
      <c r="A1607" s="336"/>
      <c r="B1607" s="336"/>
      <c r="C1607" s="336"/>
      <c r="D1607" s="336"/>
      <c r="E1607" s="336"/>
      <c r="F1607" s="336"/>
      <c r="G1607" s="336"/>
      <c r="H1607" s="336"/>
      <c r="I1607" s="336"/>
      <c r="J1607" s="336"/>
      <c r="K1607" s="336"/>
      <c r="L1607" s="336"/>
      <c r="M1607" s="336"/>
      <c r="N1607" s="336"/>
      <c r="O1607" s="336"/>
      <c r="P1607" s="336"/>
      <c r="Q1607" s="336"/>
      <c r="R1607" s="336"/>
      <c r="S1607" s="336"/>
      <c r="T1607" s="336"/>
      <c r="U1607" s="337"/>
      <c r="V1607" s="336"/>
    </row>
    <row r="1608" ht="15.75" customHeight="1">
      <c r="A1608" s="336"/>
      <c r="B1608" s="336"/>
      <c r="C1608" s="336"/>
      <c r="D1608" s="336"/>
      <c r="E1608" s="336"/>
      <c r="F1608" s="336"/>
      <c r="G1608" s="336"/>
      <c r="H1608" s="336"/>
      <c r="I1608" s="336"/>
      <c r="J1608" s="336"/>
      <c r="K1608" s="336"/>
      <c r="L1608" s="336"/>
      <c r="M1608" s="336"/>
      <c r="N1608" s="336"/>
      <c r="O1608" s="336"/>
      <c r="P1608" s="336"/>
      <c r="Q1608" s="336"/>
      <c r="R1608" s="336"/>
      <c r="S1608" s="336"/>
      <c r="T1608" s="336"/>
      <c r="U1608" s="337"/>
      <c r="V1608" s="336"/>
    </row>
    <row r="1609" ht="15.75" customHeight="1">
      <c r="A1609" s="336"/>
      <c r="B1609" s="336"/>
      <c r="C1609" s="336"/>
      <c r="D1609" s="336"/>
      <c r="E1609" s="336"/>
      <c r="F1609" s="336"/>
      <c r="G1609" s="336"/>
      <c r="H1609" s="336"/>
      <c r="I1609" s="336"/>
      <c r="J1609" s="336"/>
      <c r="K1609" s="336"/>
      <c r="L1609" s="336"/>
      <c r="M1609" s="336"/>
      <c r="N1609" s="336"/>
      <c r="O1609" s="336"/>
      <c r="P1609" s="336"/>
      <c r="Q1609" s="336"/>
      <c r="R1609" s="336"/>
      <c r="S1609" s="336"/>
      <c r="T1609" s="336"/>
      <c r="U1609" s="337"/>
      <c r="V1609" s="336"/>
    </row>
    <row r="1610" ht="15.75" customHeight="1">
      <c r="A1610" s="336"/>
      <c r="B1610" s="336"/>
      <c r="C1610" s="336"/>
      <c r="D1610" s="336"/>
      <c r="E1610" s="336"/>
      <c r="F1610" s="336"/>
      <c r="G1610" s="336"/>
      <c r="H1610" s="336"/>
      <c r="I1610" s="336"/>
      <c r="J1610" s="336"/>
      <c r="K1610" s="336"/>
      <c r="L1610" s="336"/>
      <c r="M1610" s="336"/>
      <c r="N1610" s="336"/>
      <c r="O1610" s="336"/>
      <c r="P1610" s="336"/>
      <c r="Q1610" s="336"/>
      <c r="R1610" s="336"/>
      <c r="S1610" s="336"/>
      <c r="T1610" s="336"/>
      <c r="U1610" s="337"/>
      <c r="V1610" s="336"/>
    </row>
    <row r="1611" ht="15.75" customHeight="1">
      <c r="A1611" s="336"/>
      <c r="B1611" s="336"/>
      <c r="C1611" s="336"/>
      <c r="D1611" s="336"/>
      <c r="E1611" s="336"/>
      <c r="F1611" s="336"/>
      <c r="G1611" s="336"/>
      <c r="H1611" s="336"/>
      <c r="I1611" s="336"/>
      <c r="J1611" s="336"/>
      <c r="K1611" s="336"/>
      <c r="L1611" s="336"/>
      <c r="M1611" s="336"/>
      <c r="N1611" s="336"/>
      <c r="O1611" s="336"/>
      <c r="P1611" s="336"/>
      <c r="Q1611" s="336"/>
      <c r="R1611" s="336"/>
      <c r="S1611" s="336"/>
      <c r="T1611" s="336"/>
      <c r="U1611" s="337"/>
      <c r="V1611" s="336"/>
    </row>
    <row r="1612" ht="15.75" customHeight="1">
      <c r="A1612" s="336"/>
      <c r="B1612" s="336"/>
      <c r="C1612" s="336"/>
      <c r="D1612" s="336"/>
      <c r="E1612" s="336"/>
      <c r="F1612" s="336"/>
      <c r="G1612" s="336"/>
      <c r="H1612" s="336"/>
      <c r="I1612" s="336"/>
      <c r="J1612" s="336"/>
      <c r="K1612" s="336"/>
      <c r="L1612" s="336"/>
      <c r="M1612" s="336"/>
      <c r="N1612" s="336"/>
      <c r="O1612" s="336"/>
      <c r="P1612" s="336"/>
      <c r="Q1612" s="336"/>
      <c r="R1612" s="336"/>
      <c r="S1612" s="336"/>
      <c r="T1612" s="336"/>
      <c r="U1612" s="337"/>
      <c r="V1612" s="336"/>
    </row>
    <row r="1613" ht="15.75" customHeight="1">
      <c r="A1613" s="336"/>
      <c r="B1613" s="336"/>
      <c r="C1613" s="336"/>
      <c r="D1613" s="336"/>
      <c r="E1613" s="336"/>
      <c r="F1613" s="336"/>
      <c r="G1613" s="336"/>
      <c r="H1613" s="336"/>
      <c r="I1613" s="336"/>
      <c r="J1613" s="336"/>
      <c r="K1613" s="336"/>
      <c r="L1613" s="336"/>
      <c r="M1613" s="336"/>
      <c r="N1613" s="336"/>
      <c r="O1613" s="336"/>
      <c r="P1613" s="336"/>
      <c r="Q1613" s="336"/>
      <c r="R1613" s="336"/>
      <c r="S1613" s="336"/>
      <c r="T1613" s="336"/>
      <c r="U1613" s="337"/>
      <c r="V1613" s="336"/>
    </row>
    <row r="1614" ht="15.75" customHeight="1">
      <c r="A1614" s="336"/>
      <c r="B1614" s="336"/>
      <c r="C1614" s="336"/>
      <c r="D1614" s="336"/>
      <c r="E1614" s="336"/>
      <c r="F1614" s="336"/>
      <c r="G1614" s="336"/>
      <c r="H1614" s="336"/>
      <c r="I1614" s="336"/>
      <c r="J1614" s="336"/>
      <c r="K1614" s="336"/>
      <c r="L1614" s="336"/>
      <c r="M1614" s="336"/>
      <c r="N1614" s="336"/>
      <c r="O1614" s="336"/>
      <c r="P1614" s="336"/>
      <c r="Q1614" s="336"/>
      <c r="R1614" s="336"/>
      <c r="S1614" s="336"/>
      <c r="T1614" s="336"/>
      <c r="U1614" s="337"/>
      <c r="V1614" s="336"/>
    </row>
    <row r="1615" ht="15.75" customHeight="1">
      <c r="A1615" s="336"/>
      <c r="B1615" s="336"/>
      <c r="C1615" s="336"/>
      <c r="D1615" s="336"/>
      <c r="E1615" s="336"/>
      <c r="F1615" s="336"/>
      <c r="G1615" s="336"/>
      <c r="H1615" s="336"/>
      <c r="I1615" s="336"/>
      <c r="J1615" s="336"/>
      <c r="K1615" s="336"/>
      <c r="L1615" s="336"/>
      <c r="M1615" s="336"/>
      <c r="N1615" s="336"/>
      <c r="O1615" s="336"/>
      <c r="P1615" s="336"/>
      <c r="Q1615" s="336"/>
      <c r="R1615" s="336"/>
      <c r="S1615" s="336"/>
      <c r="T1615" s="336"/>
      <c r="U1615" s="337"/>
      <c r="V1615" s="336"/>
    </row>
    <row r="1616" ht="15.75" customHeight="1">
      <c r="A1616" s="336"/>
      <c r="B1616" s="336"/>
      <c r="C1616" s="336"/>
      <c r="D1616" s="336"/>
      <c r="E1616" s="336"/>
      <c r="F1616" s="336"/>
      <c r="G1616" s="336"/>
      <c r="H1616" s="336"/>
      <c r="I1616" s="336"/>
      <c r="J1616" s="336"/>
      <c r="K1616" s="336"/>
      <c r="L1616" s="336"/>
      <c r="M1616" s="336"/>
      <c r="N1616" s="336"/>
      <c r="O1616" s="336"/>
      <c r="P1616" s="336"/>
      <c r="Q1616" s="336"/>
      <c r="R1616" s="336"/>
      <c r="S1616" s="336"/>
      <c r="T1616" s="336"/>
      <c r="U1616" s="337"/>
      <c r="V1616" s="336"/>
    </row>
    <row r="1617" ht="15.75" customHeight="1">
      <c r="A1617" s="336"/>
      <c r="B1617" s="336"/>
      <c r="C1617" s="336"/>
      <c r="D1617" s="336"/>
      <c r="E1617" s="336"/>
      <c r="F1617" s="336"/>
      <c r="G1617" s="336"/>
      <c r="H1617" s="336"/>
      <c r="I1617" s="336"/>
      <c r="J1617" s="336"/>
      <c r="K1617" s="336"/>
      <c r="L1617" s="336"/>
      <c r="M1617" s="336"/>
      <c r="N1617" s="336"/>
      <c r="O1617" s="336"/>
      <c r="P1617" s="336"/>
      <c r="Q1617" s="336"/>
      <c r="R1617" s="336"/>
      <c r="S1617" s="336"/>
      <c r="T1617" s="336"/>
      <c r="U1617" s="337"/>
      <c r="V1617" s="336"/>
    </row>
    <row r="1618" ht="15.75" customHeight="1">
      <c r="A1618" s="336"/>
      <c r="B1618" s="336"/>
      <c r="C1618" s="336"/>
      <c r="D1618" s="336"/>
      <c r="E1618" s="336"/>
      <c r="F1618" s="336"/>
      <c r="G1618" s="336"/>
      <c r="H1618" s="336"/>
      <c r="I1618" s="336"/>
      <c r="J1618" s="336"/>
      <c r="K1618" s="336"/>
      <c r="L1618" s="336"/>
      <c r="M1618" s="336"/>
      <c r="N1618" s="336"/>
      <c r="O1618" s="336"/>
      <c r="P1618" s="336"/>
      <c r="Q1618" s="336"/>
      <c r="R1618" s="336"/>
      <c r="S1618" s="336"/>
      <c r="T1618" s="336"/>
      <c r="U1618" s="337"/>
      <c r="V1618" s="336"/>
    </row>
    <row r="1619" ht="15.75" customHeight="1">
      <c r="A1619" s="336"/>
      <c r="B1619" s="336"/>
      <c r="C1619" s="336"/>
      <c r="D1619" s="336"/>
      <c r="E1619" s="336"/>
      <c r="F1619" s="336"/>
      <c r="G1619" s="336"/>
      <c r="H1619" s="336"/>
      <c r="I1619" s="336"/>
      <c r="J1619" s="336"/>
      <c r="K1619" s="336"/>
      <c r="L1619" s="336"/>
      <c r="M1619" s="336"/>
      <c r="N1619" s="336"/>
      <c r="O1619" s="336"/>
      <c r="P1619" s="336"/>
      <c r="Q1619" s="336"/>
      <c r="R1619" s="336"/>
      <c r="S1619" s="336"/>
      <c r="T1619" s="336"/>
      <c r="U1619" s="337"/>
      <c r="V1619" s="336"/>
    </row>
    <row r="1620" ht="15.75" customHeight="1">
      <c r="A1620" s="336"/>
      <c r="B1620" s="336"/>
      <c r="C1620" s="336"/>
      <c r="D1620" s="336"/>
      <c r="E1620" s="336"/>
      <c r="F1620" s="336"/>
      <c r="G1620" s="336"/>
      <c r="H1620" s="336"/>
      <c r="I1620" s="336"/>
      <c r="J1620" s="336"/>
      <c r="K1620" s="336"/>
      <c r="L1620" s="336"/>
      <c r="M1620" s="336"/>
      <c r="N1620" s="336"/>
      <c r="O1620" s="336"/>
      <c r="P1620" s="336"/>
      <c r="Q1620" s="336"/>
      <c r="R1620" s="336"/>
      <c r="S1620" s="336"/>
      <c r="T1620" s="336"/>
      <c r="U1620" s="337"/>
      <c r="V1620" s="336"/>
    </row>
    <row r="1621" ht="15.75" customHeight="1">
      <c r="A1621" s="336"/>
      <c r="B1621" s="336"/>
      <c r="C1621" s="336"/>
      <c r="D1621" s="336"/>
      <c r="E1621" s="336"/>
      <c r="F1621" s="336"/>
      <c r="G1621" s="336"/>
      <c r="H1621" s="336"/>
      <c r="I1621" s="336"/>
      <c r="J1621" s="336"/>
      <c r="K1621" s="336"/>
      <c r="L1621" s="336"/>
      <c r="M1621" s="336"/>
      <c r="N1621" s="336"/>
      <c r="O1621" s="336"/>
      <c r="P1621" s="336"/>
      <c r="Q1621" s="336"/>
      <c r="R1621" s="336"/>
      <c r="S1621" s="336"/>
      <c r="T1621" s="336"/>
      <c r="U1621" s="337"/>
      <c r="V1621" s="336"/>
    </row>
    <row r="1622" ht="15.75" customHeight="1">
      <c r="A1622" s="336"/>
      <c r="B1622" s="336"/>
      <c r="C1622" s="336"/>
      <c r="D1622" s="336"/>
      <c r="E1622" s="336"/>
      <c r="F1622" s="336"/>
      <c r="G1622" s="336"/>
      <c r="H1622" s="336"/>
      <c r="I1622" s="336"/>
      <c r="J1622" s="336"/>
      <c r="K1622" s="336"/>
      <c r="L1622" s="336"/>
      <c r="M1622" s="336"/>
      <c r="N1622" s="336"/>
      <c r="O1622" s="336"/>
      <c r="P1622" s="336"/>
      <c r="Q1622" s="336"/>
      <c r="R1622" s="336"/>
      <c r="S1622" s="336"/>
      <c r="T1622" s="336"/>
      <c r="U1622" s="337"/>
      <c r="V1622" s="336"/>
    </row>
    <row r="1623" ht="15.75" customHeight="1">
      <c r="A1623" s="336"/>
      <c r="B1623" s="336"/>
      <c r="C1623" s="336"/>
      <c r="D1623" s="336"/>
      <c r="E1623" s="336"/>
      <c r="F1623" s="336"/>
      <c r="G1623" s="336"/>
      <c r="H1623" s="336"/>
      <c r="I1623" s="336"/>
      <c r="J1623" s="336"/>
      <c r="K1623" s="336"/>
      <c r="L1623" s="336"/>
      <c r="M1623" s="336"/>
      <c r="N1623" s="336"/>
      <c r="O1623" s="336"/>
      <c r="P1623" s="336"/>
      <c r="Q1623" s="336"/>
      <c r="R1623" s="336"/>
      <c r="S1623" s="336"/>
      <c r="T1623" s="336"/>
      <c r="U1623" s="337"/>
      <c r="V1623" s="336"/>
    </row>
    <row r="1624" ht="15.75" customHeight="1">
      <c r="A1624" s="336"/>
      <c r="B1624" s="336"/>
      <c r="C1624" s="336"/>
      <c r="D1624" s="336"/>
      <c r="E1624" s="336"/>
      <c r="F1624" s="336"/>
      <c r="G1624" s="336"/>
      <c r="H1624" s="336"/>
      <c r="I1624" s="336"/>
      <c r="J1624" s="336"/>
      <c r="K1624" s="336"/>
      <c r="L1624" s="336"/>
      <c r="M1624" s="336"/>
      <c r="N1624" s="336"/>
      <c r="O1624" s="336"/>
      <c r="P1624" s="336"/>
      <c r="Q1624" s="336"/>
      <c r="R1624" s="336"/>
      <c r="S1624" s="336"/>
      <c r="T1624" s="336"/>
      <c r="U1624" s="337"/>
      <c r="V1624" s="336"/>
    </row>
    <row r="1625" ht="15.75" customHeight="1">
      <c r="A1625" s="336"/>
      <c r="B1625" s="336"/>
      <c r="C1625" s="336"/>
      <c r="D1625" s="336"/>
      <c r="E1625" s="336"/>
      <c r="F1625" s="336"/>
      <c r="G1625" s="336"/>
      <c r="H1625" s="336"/>
      <c r="I1625" s="336"/>
      <c r="J1625" s="336"/>
      <c r="K1625" s="336"/>
      <c r="L1625" s="336"/>
      <c r="M1625" s="336"/>
      <c r="N1625" s="336"/>
      <c r="O1625" s="336"/>
      <c r="P1625" s="336"/>
      <c r="Q1625" s="336"/>
      <c r="R1625" s="336"/>
      <c r="S1625" s="336"/>
      <c r="T1625" s="336"/>
      <c r="U1625" s="337"/>
      <c r="V1625" s="336"/>
    </row>
    <row r="1626" ht="15.75" customHeight="1">
      <c r="A1626" s="336"/>
      <c r="B1626" s="336"/>
      <c r="C1626" s="336"/>
      <c r="D1626" s="336"/>
      <c r="E1626" s="336"/>
      <c r="F1626" s="336"/>
      <c r="G1626" s="336"/>
      <c r="H1626" s="336"/>
      <c r="I1626" s="336"/>
      <c r="J1626" s="336"/>
      <c r="K1626" s="336"/>
      <c r="L1626" s="336"/>
      <c r="M1626" s="336"/>
      <c r="N1626" s="336"/>
      <c r="O1626" s="336"/>
      <c r="P1626" s="336"/>
      <c r="Q1626" s="336"/>
      <c r="R1626" s="336"/>
      <c r="S1626" s="336"/>
      <c r="T1626" s="336"/>
      <c r="U1626" s="337"/>
      <c r="V1626" s="336"/>
    </row>
    <row r="1627" ht="15.75" customHeight="1">
      <c r="A1627" s="336"/>
      <c r="B1627" s="336"/>
      <c r="C1627" s="336"/>
      <c r="D1627" s="336"/>
      <c r="E1627" s="336"/>
      <c r="F1627" s="336"/>
      <c r="G1627" s="336"/>
      <c r="H1627" s="336"/>
      <c r="I1627" s="336"/>
      <c r="J1627" s="336"/>
      <c r="K1627" s="336"/>
      <c r="L1627" s="336"/>
      <c r="M1627" s="336"/>
      <c r="N1627" s="336"/>
      <c r="O1627" s="336"/>
      <c r="P1627" s="336"/>
      <c r="Q1627" s="336"/>
      <c r="R1627" s="336"/>
      <c r="S1627" s="336"/>
      <c r="T1627" s="336"/>
      <c r="U1627" s="337"/>
      <c r="V1627" s="336"/>
    </row>
    <row r="1628" ht="15.75" customHeight="1">
      <c r="A1628" s="336"/>
      <c r="B1628" s="336"/>
      <c r="C1628" s="336"/>
      <c r="D1628" s="336"/>
      <c r="E1628" s="336"/>
      <c r="F1628" s="336"/>
      <c r="G1628" s="336"/>
      <c r="H1628" s="336"/>
      <c r="I1628" s="336"/>
      <c r="J1628" s="336"/>
      <c r="K1628" s="336"/>
      <c r="L1628" s="336"/>
      <c r="M1628" s="336"/>
      <c r="N1628" s="336"/>
      <c r="O1628" s="336"/>
      <c r="P1628" s="336"/>
      <c r="Q1628" s="336"/>
      <c r="R1628" s="336"/>
      <c r="S1628" s="336"/>
      <c r="T1628" s="336"/>
      <c r="U1628" s="337"/>
      <c r="V1628" s="336"/>
    </row>
    <row r="1629" ht="15.75" customHeight="1">
      <c r="A1629" s="336"/>
      <c r="B1629" s="336"/>
      <c r="C1629" s="336"/>
      <c r="D1629" s="336"/>
      <c r="E1629" s="336"/>
      <c r="F1629" s="336"/>
      <c r="G1629" s="336"/>
      <c r="H1629" s="336"/>
      <c r="I1629" s="336"/>
      <c r="J1629" s="336"/>
      <c r="K1629" s="336"/>
      <c r="L1629" s="336"/>
      <c r="M1629" s="336"/>
      <c r="N1629" s="336"/>
      <c r="O1629" s="336"/>
      <c r="P1629" s="336"/>
      <c r="Q1629" s="336"/>
      <c r="R1629" s="336"/>
      <c r="S1629" s="336"/>
      <c r="T1629" s="336"/>
      <c r="U1629" s="337"/>
      <c r="V1629" s="336"/>
    </row>
    <row r="1630" ht="15.75" customHeight="1">
      <c r="A1630" s="336"/>
      <c r="B1630" s="336"/>
      <c r="C1630" s="336"/>
      <c r="D1630" s="336"/>
      <c r="E1630" s="336"/>
      <c r="F1630" s="336"/>
      <c r="G1630" s="336"/>
      <c r="H1630" s="336"/>
      <c r="I1630" s="336"/>
      <c r="J1630" s="336"/>
      <c r="K1630" s="336"/>
      <c r="L1630" s="336"/>
      <c r="M1630" s="336"/>
      <c r="N1630" s="336"/>
      <c r="O1630" s="336"/>
      <c r="P1630" s="336"/>
      <c r="Q1630" s="336"/>
      <c r="R1630" s="336"/>
      <c r="S1630" s="336"/>
      <c r="T1630" s="336"/>
      <c r="U1630" s="337"/>
      <c r="V1630" s="336"/>
    </row>
    <row r="1631" ht="15.75" customHeight="1">
      <c r="A1631" s="336"/>
      <c r="B1631" s="336"/>
      <c r="C1631" s="336"/>
      <c r="D1631" s="336"/>
      <c r="E1631" s="336"/>
      <c r="F1631" s="336"/>
      <c r="G1631" s="336"/>
      <c r="H1631" s="336"/>
      <c r="I1631" s="336"/>
      <c r="J1631" s="336"/>
      <c r="K1631" s="336"/>
      <c r="L1631" s="336"/>
      <c r="M1631" s="336"/>
      <c r="N1631" s="336"/>
      <c r="O1631" s="336"/>
      <c r="P1631" s="336"/>
      <c r="Q1631" s="336"/>
      <c r="R1631" s="336"/>
      <c r="S1631" s="336"/>
      <c r="T1631" s="336"/>
      <c r="U1631" s="337"/>
      <c r="V1631" s="336"/>
    </row>
    <row r="1632" ht="15.75" customHeight="1">
      <c r="A1632" s="336"/>
      <c r="B1632" s="336"/>
      <c r="C1632" s="336"/>
      <c r="D1632" s="336"/>
      <c r="E1632" s="336"/>
      <c r="F1632" s="336"/>
      <c r="G1632" s="336"/>
      <c r="H1632" s="336"/>
      <c r="I1632" s="336"/>
      <c r="J1632" s="336"/>
      <c r="K1632" s="336"/>
      <c r="L1632" s="336"/>
      <c r="M1632" s="336"/>
      <c r="N1632" s="336"/>
      <c r="O1632" s="336"/>
      <c r="P1632" s="336"/>
      <c r="Q1632" s="336"/>
      <c r="R1632" s="336"/>
      <c r="S1632" s="336"/>
      <c r="T1632" s="336"/>
      <c r="U1632" s="337"/>
      <c r="V1632" s="33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fitToPage="1"/>
  </sheetPr>
  <sheetViews>
    <sheetView showGridLines="0" workbookViewId="0"/>
  </sheetViews>
  <sheetFormatPr customHeight="1" defaultColWidth="14.43" defaultRowHeight="15.0"/>
  <cols>
    <col customWidth="1" min="1" max="1" width="16.57"/>
    <col customWidth="1" min="2" max="6" width="14.43"/>
  </cols>
  <sheetData>
    <row r="1" ht="34.5" customHeight="1">
      <c r="A1" s="338" t="str">
        <f>'КОШТОРИС'!B1</f>
        <v>Проєкт: </v>
      </c>
      <c r="B1" s="339" t="str">
        <f>'КОШТОРИС'!C1</f>
        <v>Кошторис Генерація_2.0</v>
      </c>
      <c r="C1" s="340"/>
      <c r="D1" s="340"/>
      <c r="E1" s="340"/>
      <c r="F1" s="340"/>
      <c r="G1" s="340"/>
      <c r="H1" s="340"/>
      <c r="I1" s="341"/>
    </row>
    <row r="4" ht="37.5" customHeight="1">
      <c r="A4" s="342" t="s">
        <v>1480</v>
      </c>
      <c r="B4" s="340"/>
      <c r="C4" s="340"/>
      <c r="D4" s="340"/>
      <c r="E4" s="340"/>
      <c r="F4" s="340"/>
      <c r="G4" s="340"/>
      <c r="H4" s="340"/>
      <c r="I4" s="341"/>
    </row>
    <row r="7">
      <c r="A7" s="343" t="s">
        <v>1481</v>
      </c>
      <c r="B7" s="344"/>
      <c r="C7" s="344"/>
      <c r="D7" s="344"/>
      <c r="E7" s="344"/>
      <c r="F7" s="344"/>
      <c r="G7" s="344"/>
      <c r="H7" s="344"/>
      <c r="I7" s="345"/>
    </row>
    <row r="8">
      <c r="A8" s="346"/>
      <c r="I8" s="347"/>
    </row>
    <row r="9">
      <c r="A9" s="346"/>
      <c r="I9" s="347"/>
    </row>
    <row r="10">
      <c r="A10" s="346"/>
      <c r="I10" s="347"/>
    </row>
    <row r="11">
      <c r="A11" s="346"/>
      <c r="I11" s="347"/>
    </row>
    <row r="12">
      <c r="A12" s="346"/>
      <c r="I12" s="347"/>
    </row>
    <row r="13">
      <c r="A13" s="346"/>
      <c r="I13" s="347"/>
    </row>
    <row r="14">
      <c r="A14" s="346"/>
      <c r="I14" s="347"/>
    </row>
    <row r="15">
      <c r="A15" s="346"/>
      <c r="I15" s="347"/>
    </row>
    <row r="16">
      <c r="A16" s="346"/>
      <c r="I16" s="347"/>
    </row>
    <row r="17">
      <c r="A17" s="346"/>
      <c r="I17" s="347"/>
    </row>
    <row r="18">
      <c r="A18" s="346"/>
      <c r="I18" s="347"/>
    </row>
    <row r="19" ht="15.75" customHeight="1">
      <c r="A19" s="346"/>
      <c r="I19" s="347"/>
    </row>
    <row r="20" ht="15.75" customHeight="1">
      <c r="A20" s="346"/>
      <c r="I20" s="347"/>
    </row>
    <row r="21" ht="15.75" customHeight="1">
      <c r="A21" s="346"/>
      <c r="I21" s="347"/>
    </row>
    <row r="22" ht="15.75" customHeight="1">
      <c r="A22" s="346"/>
      <c r="I22" s="347"/>
    </row>
    <row r="23" ht="15.75" customHeight="1">
      <c r="A23" s="346"/>
      <c r="I23" s="347"/>
    </row>
    <row r="24" ht="15.75" customHeight="1">
      <c r="A24" s="346"/>
      <c r="I24" s="347"/>
    </row>
    <row r="25" ht="15.75" customHeight="1">
      <c r="A25" s="346"/>
      <c r="I25" s="347"/>
    </row>
    <row r="26" ht="15.75" customHeight="1">
      <c r="A26" s="346"/>
      <c r="I26" s="347"/>
    </row>
    <row r="27" ht="15.75" customHeight="1">
      <c r="A27" s="346"/>
      <c r="I27" s="347"/>
    </row>
    <row r="28" ht="15.75" customHeight="1">
      <c r="A28" s="346"/>
      <c r="I28" s="347"/>
    </row>
    <row r="29" ht="15.75" customHeight="1">
      <c r="A29" s="346"/>
      <c r="I29" s="347"/>
    </row>
    <row r="30" ht="15.75" customHeight="1">
      <c r="A30" s="346"/>
      <c r="I30" s="347"/>
    </row>
    <row r="31" ht="15.75" customHeight="1">
      <c r="A31" s="346"/>
      <c r="I31" s="347"/>
    </row>
    <row r="32" ht="15.75" customHeight="1">
      <c r="A32" s="346"/>
      <c r="I32" s="347"/>
    </row>
    <row r="33" ht="15.75" customHeight="1">
      <c r="A33" s="346"/>
      <c r="I33" s="347"/>
    </row>
    <row r="34" ht="15.75" customHeight="1">
      <c r="A34" s="346"/>
      <c r="I34" s="347"/>
    </row>
    <row r="35" ht="15.75" customHeight="1">
      <c r="A35" s="346"/>
      <c r="I35" s="347"/>
    </row>
    <row r="36" ht="15.75" customHeight="1">
      <c r="A36" s="346"/>
      <c r="I36" s="347"/>
    </row>
    <row r="37" ht="15.75" customHeight="1">
      <c r="A37" s="346"/>
      <c r="I37" s="347"/>
    </row>
    <row r="38" ht="15.75" customHeight="1">
      <c r="A38" s="346"/>
      <c r="I38" s="347"/>
    </row>
    <row r="39" ht="15.75" customHeight="1">
      <c r="A39" s="346"/>
      <c r="I39" s="347"/>
    </row>
    <row r="40" ht="15.75" customHeight="1">
      <c r="A40" s="348"/>
      <c r="B40" s="349"/>
      <c r="C40" s="349"/>
      <c r="D40" s="349"/>
      <c r="E40" s="349"/>
      <c r="F40" s="349"/>
      <c r="G40" s="349"/>
      <c r="H40" s="349"/>
      <c r="I40" s="350"/>
    </row>
    <row r="41" ht="15.75" customHeight="1"/>
    <row r="42" ht="15.75" customHeight="1">
      <c r="A42" s="351" t="s">
        <v>1482</v>
      </c>
      <c r="B42" s="340"/>
      <c r="C42" s="340"/>
      <c r="D42" s="340"/>
      <c r="E42" s="340"/>
      <c r="F42" s="340"/>
      <c r="G42" s="340"/>
      <c r="H42" s="340"/>
      <c r="I42" s="341"/>
    </row>
  </sheetData>
  <mergeCells count="4">
    <mergeCell ref="B1:I1"/>
    <mergeCell ref="A4:I4"/>
    <mergeCell ref="A7:I40"/>
    <mergeCell ref="A42:I42"/>
  </mergeCells>
  <printOptions horizontalCentered="1"/>
  <pageMargins bottom="0.39370078740157477" footer="0.0" header="0.0" left="0.7874015748031495" right="0.39370078740157477" top="0.39370078740157477"/>
  <pageSetup fitToHeight="0" paperSize="9" orientation="portrait" pageOrder="overThenDown"/>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showGridLines="0" workbookViewId="0"/>
  </sheetViews>
  <sheetFormatPr customHeight="1" defaultColWidth="14.43" defaultRowHeight="15.0"/>
  <cols>
    <col customWidth="1" min="1" max="1" width="10.14"/>
    <col customWidth="1" min="2" max="3" width="16.57"/>
    <col customWidth="1" min="4" max="4" width="15.86"/>
    <col customWidth="1" min="5" max="9" width="14.43"/>
    <col customWidth="1" min="10" max="10" width="16.0"/>
    <col customWidth="1" min="11" max="11" width="15.86"/>
    <col customWidth="1" min="12" max="13" width="13.71"/>
    <col customWidth="1" min="14" max="14" width="12.29"/>
    <col customWidth="1" min="15" max="15" width="3.43"/>
    <col customWidth="1" min="16" max="16" width="15.43"/>
    <col customWidth="1" min="17" max="17" width="14.0"/>
    <col customWidth="1" min="18" max="19" width="12.29"/>
  </cols>
  <sheetData>
    <row r="1" ht="18.0" customHeight="1">
      <c r="A1" s="352" t="s">
        <v>1483</v>
      </c>
      <c r="B1" s="353" t="s">
        <v>1484</v>
      </c>
      <c r="C1" s="354"/>
      <c r="D1" s="355">
        <v>1133.0</v>
      </c>
      <c r="E1" s="356" t="s">
        <v>1485</v>
      </c>
      <c r="F1" s="357" t="s">
        <v>1486</v>
      </c>
      <c r="G1" s="358"/>
      <c r="H1" s="358"/>
      <c r="I1" s="359"/>
      <c r="J1" s="360"/>
      <c r="K1" s="361" t="s">
        <v>1487</v>
      </c>
      <c r="L1" s="362"/>
      <c r="M1" s="363"/>
      <c r="N1" s="363"/>
      <c r="O1" s="364"/>
      <c r="P1" s="364"/>
      <c r="Q1" s="365"/>
      <c r="R1" s="365"/>
      <c r="S1" s="364"/>
    </row>
    <row r="2">
      <c r="A2" s="352"/>
      <c r="B2" s="366" t="s">
        <v>1488</v>
      </c>
      <c r="D2" s="367">
        <v>20.0</v>
      </c>
      <c r="E2" s="356" t="s">
        <v>1485</v>
      </c>
      <c r="F2" s="357" t="s">
        <v>1489</v>
      </c>
      <c r="G2" s="358"/>
      <c r="H2" s="358"/>
      <c r="I2" s="359"/>
      <c r="J2" s="364"/>
      <c r="K2" s="368" t="s">
        <v>1490</v>
      </c>
      <c r="L2" s="362"/>
      <c r="M2" s="363"/>
      <c r="N2" s="363"/>
      <c r="O2" s="364"/>
      <c r="P2" s="364"/>
      <c r="Q2" s="365"/>
      <c r="R2" s="365"/>
      <c r="S2" s="364"/>
    </row>
    <row r="3">
      <c r="A3" s="352"/>
      <c r="B3" s="366" t="s">
        <v>1491</v>
      </c>
      <c r="D3" s="367">
        <v>40.0</v>
      </c>
      <c r="E3" s="356" t="s">
        <v>1485</v>
      </c>
      <c r="F3" s="357" t="s">
        <v>1492</v>
      </c>
      <c r="G3" s="358"/>
      <c r="H3" s="358"/>
      <c r="I3" s="359"/>
      <c r="J3" s="364"/>
      <c r="K3" s="368" t="s">
        <v>1493</v>
      </c>
      <c r="L3" s="362"/>
      <c r="M3" s="363"/>
      <c r="N3" s="363"/>
      <c r="O3" s="364"/>
      <c r="P3" s="364"/>
      <c r="Q3" s="365"/>
      <c r="R3" s="365"/>
      <c r="S3" s="364"/>
    </row>
    <row r="4">
      <c r="A4" s="352"/>
      <c r="B4" s="366" t="s">
        <v>1494</v>
      </c>
      <c r="D4" s="367">
        <v>2.0</v>
      </c>
      <c r="E4" s="356" t="s">
        <v>1495</v>
      </c>
      <c r="F4" s="357" t="s">
        <v>1496</v>
      </c>
      <c r="G4" s="358"/>
      <c r="H4" s="358"/>
      <c r="I4" s="358"/>
      <c r="J4" s="364"/>
      <c r="K4" s="368" t="s">
        <v>1497</v>
      </c>
      <c r="L4" s="362"/>
      <c r="M4" s="363"/>
      <c r="N4" s="363"/>
      <c r="O4" s="364"/>
      <c r="P4" s="364"/>
      <c r="Q4" s="365"/>
      <c r="R4" s="365"/>
      <c r="S4" s="364"/>
    </row>
    <row r="5">
      <c r="A5" s="352"/>
      <c r="B5" s="364" t="s">
        <v>1498</v>
      </c>
      <c r="C5" s="356"/>
      <c r="D5" s="367">
        <v>300.0</v>
      </c>
      <c r="E5" s="356" t="s">
        <v>1485</v>
      </c>
      <c r="F5" s="357" t="s">
        <v>1499</v>
      </c>
      <c r="G5" s="358"/>
      <c r="H5" s="358"/>
      <c r="I5" s="359"/>
      <c r="J5" s="364"/>
      <c r="K5" s="368" t="s">
        <v>1500</v>
      </c>
      <c r="L5" s="363"/>
      <c r="M5" s="363"/>
      <c r="N5" s="363"/>
      <c r="O5" s="364"/>
      <c r="P5" s="369" t="s">
        <v>27</v>
      </c>
      <c r="Q5" s="370"/>
      <c r="R5" s="365"/>
      <c r="S5" s="364"/>
    </row>
    <row r="6">
      <c r="A6" s="352"/>
      <c r="B6" s="364" t="s">
        <v>1501</v>
      </c>
      <c r="D6" s="371" t="s">
        <v>1502</v>
      </c>
      <c r="E6" s="356" t="s">
        <v>1485</v>
      </c>
      <c r="F6" s="372" t="s">
        <v>1503</v>
      </c>
      <c r="G6" s="364"/>
      <c r="H6" s="364"/>
      <c r="I6" s="359"/>
      <c r="J6" s="359"/>
      <c r="K6" s="373"/>
      <c r="L6" s="373"/>
      <c r="M6" s="373"/>
      <c r="N6" s="373"/>
      <c r="O6" s="373"/>
      <c r="P6" s="373"/>
      <c r="Q6" s="365"/>
      <c r="R6" s="365"/>
      <c r="S6" s="373"/>
    </row>
    <row r="7">
      <c r="A7" s="365"/>
      <c r="B7" s="364" t="s">
        <v>1504</v>
      </c>
      <c r="D7" s="374" t="s">
        <v>1505</v>
      </c>
      <c r="E7" s="356" t="s">
        <v>1485</v>
      </c>
      <c r="F7" s="357" t="s">
        <v>1506</v>
      </c>
      <c r="G7" s="359"/>
      <c r="H7" s="364"/>
      <c r="I7" s="373"/>
      <c r="J7" s="373"/>
      <c r="K7" s="373"/>
      <c r="L7" s="373"/>
      <c r="M7" s="373"/>
      <c r="N7" s="373"/>
      <c r="O7" s="373"/>
      <c r="P7" s="373"/>
      <c r="Q7" s="365"/>
      <c r="R7" s="365"/>
      <c r="S7" s="373"/>
    </row>
    <row r="8" ht="3.75" customHeight="1">
      <c r="A8" s="365"/>
      <c r="B8" s="365"/>
      <c r="C8" s="375"/>
      <c r="D8" s="376"/>
      <c r="E8" s="365"/>
      <c r="F8" s="359"/>
      <c r="G8" s="359"/>
      <c r="H8" s="375"/>
      <c r="I8" s="373"/>
      <c r="J8" s="373"/>
      <c r="K8" s="373"/>
      <c r="L8" s="373"/>
      <c r="M8" s="373"/>
      <c r="N8" s="373"/>
      <c r="O8" s="373"/>
      <c r="P8" s="373"/>
      <c r="Q8" s="373"/>
      <c r="R8" s="373"/>
      <c r="S8" s="373"/>
    </row>
    <row r="9" ht="3.75" customHeight="1">
      <c r="A9" s="365"/>
      <c r="B9" s="365"/>
      <c r="C9" s="373"/>
      <c r="D9" s="375"/>
      <c r="E9" s="364"/>
      <c r="F9" s="375"/>
      <c r="G9" s="373"/>
      <c r="H9" s="373"/>
      <c r="I9" s="373"/>
      <c r="J9" s="373"/>
      <c r="K9" s="373"/>
      <c r="L9" s="373"/>
      <c r="M9" s="373"/>
      <c r="N9" s="373"/>
      <c r="O9" s="373"/>
      <c r="P9" s="373"/>
      <c r="Q9" s="373"/>
      <c r="R9" s="373"/>
      <c r="S9" s="373"/>
    </row>
    <row r="10" ht="3.75" customHeight="1">
      <c r="A10" s="365"/>
      <c r="B10" s="365"/>
      <c r="C10" s="373"/>
      <c r="D10" s="364"/>
      <c r="E10" s="364"/>
      <c r="F10" s="375"/>
      <c r="G10" s="373"/>
      <c r="H10" s="373"/>
      <c r="I10" s="373"/>
      <c r="J10" s="373"/>
      <c r="K10" s="377"/>
      <c r="L10" s="373"/>
      <c r="M10" s="373"/>
      <c r="N10" s="373"/>
      <c r="O10" s="373"/>
      <c r="P10" s="373"/>
      <c r="Q10" s="373"/>
      <c r="R10" s="373"/>
      <c r="S10" s="373"/>
    </row>
    <row r="11" ht="67.5" customHeight="1">
      <c r="A11" s="365"/>
      <c r="B11" s="378"/>
      <c r="C11" s="379" t="s">
        <v>339</v>
      </c>
      <c r="D11" s="380" t="s">
        <v>1507</v>
      </c>
      <c r="E11" s="380" t="s">
        <v>1508</v>
      </c>
      <c r="F11" s="380" t="s">
        <v>1509</v>
      </c>
      <c r="G11" s="380" t="s">
        <v>1510</v>
      </c>
      <c r="H11" s="380" t="s">
        <v>1511</v>
      </c>
      <c r="I11" s="380" t="s">
        <v>1512</v>
      </c>
      <c r="J11" s="379" t="s">
        <v>1513</v>
      </c>
      <c r="K11" s="379" t="s">
        <v>340</v>
      </c>
      <c r="L11" s="379" t="s">
        <v>341</v>
      </c>
      <c r="M11" s="381" t="s">
        <v>343</v>
      </c>
      <c r="N11" s="373"/>
      <c r="O11" s="373"/>
      <c r="P11" s="373"/>
      <c r="Q11" s="373"/>
      <c r="R11" s="373"/>
      <c r="S11" s="373"/>
    </row>
    <row r="12" ht="30.75" customHeight="1">
      <c r="A12" s="365"/>
      <c r="B12" s="382" t="s">
        <v>1514</v>
      </c>
      <c r="C12" s="383">
        <f>B17*C17+B18*C18+B19*C19+B20*C20+B21*C21+B22*C22+B23*C23+B24*C24+B25*C25+B26*C26+B27*C27+B28*C28+B29*C29+B30*C30+B31*C31</f>
        <v>0</v>
      </c>
      <c r="D12" s="383">
        <f t="shared" ref="D12:M12" si="1">SUM(D17:D31)</f>
        <v>0</v>
      </c>
      <c r="E12" s="383">
        <f t="shared" si="1"/>
        <v>0</v>
      </c>
      <c r="F12" s="383">
        <f t="shared" si="1"/>
        <v>0</v>
      </c>
      <c r="G12" s="384">
        <f t="shared" si="1"/>
        <v>0</v>
      </c>
      <c r="H12" s="383">
        <f t="shared" si="1"/>
        <v>0</v>
      </c>
      <c r="I12" s="383">
        <f t="shared" si="1"/>
        <v>0</v>
      </c>
      <c r="J12" s="383">
        <f t="shared" si="1"/>
        <v>0</v>
      </c>
      <c r="K12" s="383">
        <f t="shared" si="1"/>
        <v>0</v>
      </c>
      <c r="L12" s="383">
        <f t="shared" si="1"/>
        <v>0</v>
      </c>
      <c r="M12" s="385">
        <f t="shared" si="1"/>
        <v>0</v>
      </c>
      <c r="N12" s="373"/>
      <c r="O12" s="373"/>
      <c r="P12" s="373"/>
      <c r="Q12" s="373"/>
      <c r="R12" s="373"/>
      <c r="S12" s="373"/>
    </row>
    <row r="13" ht="3.75" customHeight="1">
      <c r="A13" s="365"/>
      <c r="B13" s="386"/>
      <c r="C13" s="386"/>
      <c r="D13" s="386"/>
      <c r="E13" s="386"/>
      <c r="F13" s="386"/>
      <c r="G13" s="386"/>
      <c r="H13" s="386"/>
      <c r="I13" s="386"/>
      <c r="J13" s="386"/>
      <c r="K13" s="386"/>
      <c r="L13" s="386"/>
      <c r="M13" s="386"/>
      <c r="N13" s="373"/>
      <c r="O13" s="373"/>
      <c r="P13" s="373"/>
      <c r="Q13" s="373"/>
      <c r="R13" s="373"/>
      <c r="S13" s="373"/>
    </row>
    <row r="14" ht="3.75" customHeight="1">
      <c r="A14" s="365"/>
      <c r="B14" s="386"/>
      <c r="C14" s="386"/>
      <c r="D14" s="386"/>
      <c r="E14" s="386"/>
      <c r="F14" s="386"/>
      <c r="G14" s="386"/>
      <c r="H14" s="386"/>
      <c r="I14" s="386"/>
      <c r="J14" s="386"/>
      <c r="K14" s="386"/>
      <c r="L14" s="386"/>
      <c r="M14" s="386"/>
      <c r="N14" s="373"/>
      <c r="O14" s="373"/>
      <c r="P14" s="373"/>
      <c r="Q14" s="373"/>
      <c r="R14" s="373"/>
      <c r="S14" s="373"/>
    </row>
    <row r="15" ht="21.0" customHeight="1">
      <c r="A15" s="365"/>
      <c r="B15" s="387" t="s">
        <v>1515</v>
      </c>
      <c r="C15" s="388" t="s">
        <v>1516</v>
      </c>
      <c r="D15" s="389" t="s">
        <v>1517</v>
      </c>
      <c r="E15" s="21"/>
      <c r="F15" s="21"/>
      <c r="G15" s="21"/>
      <c r="H15" s="21"/>
      <c r="I15" s="22"/>
      <c r="J15" s="388" t="s">
        <v>1518</v>
      </c>
      <c r="K15" s="390" t="s">
        <v>1519</v>
      </c>
      <c r="L15" s="391" t="s">
        <v>1520</v>
      </c>
      <c r="M15" s="391" t="s">
        <v>1520</v>
      </c>
      <c r="N15" s="388" t="s">
        <v>1521</v>
      </c>
      <c r="O15" s="365"/>
      <c r="P15" s="392"/>
      <c r="Q15" s="392"/>
      <c r="R15" s="392"/>
      <c r="S15" s="392"/>
    </row>
    <row r="16" ht="31.5" customHeight="1">
      <c r="A16" s="393"/>
      <c r="B16" s="394"/>
      <c r="C16" s="395"/>
      <c r="D16" s="396">
        <v>1230.0</v>
      </c>
      <c r="E16" s="397">
        <v>1550.0</v>
      </c>
      <c r="F16" s="397">
        <v>2060.0</v>
      </c>
      <c r="G16" s="397">
        <v>2200.0</v>
      </c>
      <c r="H16" s="397">
        <v>2460.0</v>
      </c>
      <c r="I16" s="397">
        <v>3100.0</v>
      </c>
      <c r="J16" s="395"/>
      <c r="K16" s="395"/>
      <c r="L16" s="398" t="s">
        <v>1522</v>
      </c>
      <c r="M16" s="399" t="s">
        <v>1523</v>
      </c>
      <c r="N16" s="395"/>
      <c r="O16" s="392"/>
      <c r="P16" s="392"/>
      <c r="Q16" s="392"/>
      <c r="R16" s="392"/>
      <c r="S16" s="392"/>
    </row>
    <row r="17">
      <c r="A17" s="393"/>
      <c r="B17" s="400"/>
      <c r="C17" s="400"/>
      <c r="D17" s="401"/>
      <c r="E17" s="402"/>
      <c r="F17" s="402"/>
      <c r="G17" s="402"/>
      <c r="H17" s="402"/>
      <c r="I17" s="402"/>
      <c r="J17" s="402"/>
      <c r="K17" s="403"/>
      <c r="L17" s="402"/>
      <c r="M17" s="402"/>
      <c r="N17" s="402"/>
      <c r="O17" s="404"/>
      <c r="P17" s="405" t="s">
        <v>1524</v>
      </c>
      <c r="Q17" s="406"/>
      <c r="R17" s="376"/>
      <c r="S17" s="376"/>
    </row>
    <row r="18">
      <c r="A18" s="393"/>
      <c r="B18" s="400"/>
      <c r="C18" s="400"/>
      <c r="D18" s="401"/>
      <c r="E18" s="402"/>
      <c r="F18" s="402"/>
      <c r="G18" s="402"/>
      <c r="H18" s="402"/>
      <c r="I18" s="402"/>
      <c r="J18" s="402"/>
      <c r="K18" s="403"/>
      <c r="L18" s="402"/>
      <c r="M18" s="402"/>
      <c r="N18" s="402"/>
      <c r="O18" s="376"/>
      <c r="P18" s="407" t="s">
        <v>1525</v>
      </c>
      <c r="Q18" s="408">
        <v>0.3</v>
      </c>
      <c r="R18" s="376"/>
      <c r="S18" s="376"/>
    </row>
    <row r="19">
      <c r="A19" s="393"/>
      <c r="B19" s="400"/>
      <c r="C19" s="400"/>
      <c r="D19" s="409"/>
      <c r="E19" s="402"/>
      <c r="F19" s="402"/>
      <c r="G19" s="402"/>
      <c r="H19" s="402"/>
      <c r="I19" s="402"/>
      <c r="J19" s="402"/>
      <c r="K19" s="402"/>
      <c r="L19" s="402"/>
      <c r="M19" s="402"/>
      <c r="N19" s="402"/>
      <c r="O19" s="376"/>
      <c r="P19" s="410" t="s">
        <v>1526</v>
      </c>
      <c r="Q19" s="411">
        <v>0.3</v>
      </c>
      <c r="R19" s="376"/>
      <c r="S19" s="376"/>
    </row>
    <row r="20">
      <c r="A20" s="393"/>
      <c r="B20" s="400"/>
      <c r="C20" s="400"/>
      <c r="D20" s="401"/>
      <c r="E20" s="402"/>
      <c r="F20" s="402"/>
      <c r="G20" s="402"/>
      <c r="H20" s="402"/>
      <c r="I20" s="402"/>
      <c r="J20" s="402"/>
      <c r="K20" s="402"/>
      <c r="L20" s="402"/>
      <c r="M20" s="402"/>
      <c r="N20" s="402"/>
      <c r="O20" s="376"/>
      <c r="P20" s="412" t="s">
        <v>1527</v>
      </c>
      <c r="Q20" s="413">
        <v>102.0</v>
      </c>
      <c r="R20" s="376"/>
      <c r="S20" s="376"/>
    </row>
    <row r="21" ht="15.75" customHeight="1">
      <c r="A21" s="393"/>
      <c r="B21" s="400"/>
      <c r="C21" s="400"/>
      <c r="D21" s="409"/>
      <c r="E21" s="402"/>
      <c r="F21" s="402"/>
      <c r="G21" s="402"/>
      <c r="H21" s="402"/>
      <c r="I21" s="402"/>
      <c r="J21" s="402"/>
      <c r="K21" s="402"/>
      <c r="L21" s="402"/>
      <c r="M21" s="402"/>
      <c r="N21" s="402"/>
      <c r="O21" s="376"/>
      <c r="P21" s="412" t="s">
        <v>1528</v>
      </c>
      <c r="Q21" s="414">
        <f>CEILING(Q18*Q19*Q20,0.01)</f>
        <v>9.18</v>
      </c>
      <c r="R21" s="415"/>
      <c r="S21" s="376"/>
    </row>
    <row r="22">
      <c r="A22" s="393"/>
      <c r="B22" s="400"/>
      <c r="C22" s="400"/>
      <c r="D22" s="409"/>
      <c r="E22" s="403"/>
      <c r="F22" s="402"/>
      <c r="G22" s="402"/>
      <c r="H22" s="402"/>
      <c r="I22" s="402"/>
      <c r="J22" s="402"/>
      <c r="K22" s="402"/>
      <c r="L22" s="402"/>
      <c r="M22" s="402"/>
      <c r="N22" s="402"/>
      <c r="O22" s="376"/>
      <c r="P22" s="412" t="s">
        <v>1529</v>
      </c>
      <c r="Q22" s="416">
        <v>480.0</v>
      </c>
      <c r="R22" s="375"/>
      <c r="S22" s="376"/>
    </row>
    <row r="23">
      <c r="A23" s="393"/>
      <c r="B23" s="400"/>
      <c r="C23" s="400"/>
      <c r="D23" s="401"/>
      <c r="E23" s="403"/>
      <c r="F23" s="402"/>
      <c r="G23" s="402"/>
      <c r="H23" s="402"/>
      <c r="I23" s="402"/>
      <c r="J23" s="402"/>
      <c r="K23" s="402"/>
      <c r="L23" s="402"/>
      <c r="M23" s="402"/>
      <c r="N23" s="402"/>
      <c r="O23" s="376"/>
      <c r="P23" s="410" t="s">
        <v>1530</v>
      </c>
      <c r="Q23" s="417">
        <f>Q22/'КОШТОРИС'!R3</f>
        <v>11.51079137</v>
      </c>
      <c r="R23" s="393"/>
      <c r="S23" s="376"/>
    </row>
    <row r="24">
      <c r="A24" s="393"/>
      <c r="B24" s="400"/>
      <c r="C24" s="400"/>
      <c r="D24" s="409"/>
      <c r="E24" s="402"/>
      <c r="F24" s="402"/>
      <c r="G24" s="402"/>
      <c r="H24" s="402"/>
      <c r="I24" s="402"/>
      <c r="J24" s="402"/>
      <c r="K24" s="402"/>
      <c r="L24" s="402"/>
      <c r="M24" s="402"/>
      <c r="N24" s="402"/>
      <c r="O24" s="376"/>
      <c r="P24" s="410" t="s">
        <v>1531</v>
      </c>
      <c r="Q24" s="417">
        <f>Q28/Q20</f>
        <v>43.2</v>
      </c>
      <c r="R24" s="376"/>
      <c r="S24" s="376"/>
    </row>
    <row r="25">
      <c r="A25" s="393"/>
      <c r="B25" s="400"/>
      <c r="C25" s="400"/>
      <c r="D25" s="401"/>
      <c r="E25" s="402"/>
      <c r="F25" s="402"/>
      <c r="G25" s="402"/>
      <c r="H25" s="402"/>
      <c r="I25" s="402"/>
      <c r="J25" s="402"/>
      <c r="K25" s="402"/>
      <c r="L25" s="402"/>
      <c r="M25" s="402"/>
      <c r="N25" s="402"/>
      <c r="O25" s="376"/>
      <c r="P25" s="410" t="s">
        <v>1532</v>
      </c>
      <c r="Q25" s="417">
        <f>Q24/'КОШТОРИС'!R3</f>
        <v>1.035971223</v>
      </c>
      <c r="R25" s="376"/>
      <c r="S25" s="376"/>
    </row>
    <row r="26">
      <c r="A26" s="393"/>
      <c r="B26" s="400"/>
      <c r="C26" s="400"/>
      <c r="D26" s="401"/>
      <c r="E26" s="402"/>
      <c r="F26" s="402"/>
      <c r="G26" s="402"/>
      <c r="H26" s="402"/>
      <c r="I26" s="402"/>
      <c r="J26" s="402"/>
      <c r="K26" s="402"/>
      <c r="L26" s="402"/>
      <c r="M26" s="402"/>
      <c r="N26" s="402"/>
      <c r="O26" s="376"/>
      <c r="P26" s="412" t="s">
        <v>1533</v>
      </c>
      <c r="Q26" s="418">
        <v>12.6</v>
      </c>
      <c r="R26" s="376"/>
      <c r="S26" s="376"/>
    </row>
    <row r="27">
      <c r="A27" s="393"/>
      <c r="B27" s="400"/>
      <c r="C27" s="400"/>
      <c r="D27" s="401"/>
      <c r="E27" s="402"/>
      <c r="F27" s="402"/>
      <c r="G27" s="402"/>
      <c r="H27" s="402"/>
      <c r="I27" s="402"/>
      <c r="J27" s="402"/>
      <c r="K27" s="402"/>
      <c r="L27" s="402"/>
      <c r="M27" s="402"/>
      <c r="N27" s="402"/>
      <c r="O27" s="376"/>
      <c r="P27" s="410" t="s">
        <v>1534</v>
      </c>
      <c r="Q27" s="419">
        <f>Q26*Q20</f>
        <v>1285.2</v>
      </c>
      <c r="R27" s="376"/>
      <c r="S27" s="376"/>
    </row>
    <row r="28">
      <c r="A28" s="393"/>
      <c r="B28" s="400"/>
      <c r="C28" s="400"/>
      <c r="D28" s="401"/>
      <c r="E28" s="402"/>
      <c r="F28" s="402"/>
      <c r="G28" s="402"/>
      <c r="H28" s="402"/>
      <c r="I28" s="402"/>
      <c r="J28" s="402"/>
      <c r="K28" s="402"/>
      <c r="L28" s="402"/>
      <c r="M28" s="402"/>
      <c r="N28" s="420"/>
      <c r="O28" s="376"/>
      <c r="P28" s="410" t="s">
        <v>1535</v>
      </c>
      <c r="Q28" s="421">
        <f>Q22*Q21</f>
        <v>4406.4</v>
      </c>
      <c r="R28" s="376"/>
      <c r="S28" s="376"/>
    </row>
    <row r="29">
      <c r="A29" s="393"/>
      <c r="B29" s="400"/>
      <c r="C29" s="400"/>
      <c r="D29" s="401"/>
      <c r="E29" s="402"/>
      <c r="F29" s="402"/>
      <c r="G29" s="402"/>
      <c r="H29" s="402"/>
      <c r="I29" s="402"/>
      <c r="J29" s="402"/>
      <c r="K29" s="402"/>
      <c r="L29" s="402"/>
      <c r="M29" s="402"/>
      <c r="N29" s="420"/>
      <c r="O29" s="376"/>
      <c r="P29" s="422" t="s">
        <v>1536</v>
      </c>
      <c r="Q29" s="423">
        <f>Q28/'КОШТОРИС'!R3</f>
        <v>105.6690647</v>
      </c>
      <c r="R29" s="376"/>
      <c r="S29" s="376"/>
    </row>
    <row r="30">
      <c r="A30" s="393"/>
      <c r="B30" s="400"/>
      <c r="C30" s="400"/>
      <c r="D30" s="401"/>
      <c r="E30" s="402"/>
      <c r="F30" s="402"/>
      <c r="G30" s="402"/>
      <c r="H30" s="402"/>
      <c r="I30" s="402"/>
      <c r="J30" s="402"/>
      <c r="K30" s="402"/>
      <c r="L30" s="402"/>
      <c r="M30" s="402"/>
      <c r="N30" s="420"/>
      <c r="O30" s="376"/>
      <c r="P30" s="376"/>
      <c r="Q30" s="376"/>
      <c r="R30" s="376"/>
      <c r="S30" s="376"/>
    </row>
    <row r="31">
      <c r="A31" s="393"/>
      <c r="B31" s="400"/>
      <c r="C31" s="400"/>
      <c r="D31" s="401"/>
      <c r="E31" s="402"/>
      <c r="F31" s="402"/>
      <c r="G31" s="402"/>
      <c r="H31" s="402"/>
      <c r="I31" s="402"/>
      <c r="J31" s="402"/>
      <c r="K31" s="402"/>
      <c r="L31" s="402"/>
      <c r="M31" s="402"/>
      <c r="N31" s="420"/>
      <c r="O31" s="376"/>
      <c r="P31" s="376"/>
      <c r="Q31" s="376"/>
      <c r="R31" s="376"/>
      <c r="S31" s="376"/>
    </row>
    <row r="32" ht="20.25" customHeight="1">
      <c r="A32" s="365"/>
      <c r="B32" s="376"/>
      <c r="C32" s="376"/>
      <c r="D32" s="376"/>
      <c r="E32" s="376"/>
      <c r="F32" s="376"/>
      <c r="G32" s="376"/>
      <c r="H32" s="376"/>
      <c r="I32" s="376"/>
      <c r="J32" s="376"/>
      <c r="K32" s="376"/>
      <c r="L32" s="376"/>
      <c r="M32" s="376"/>
      <c r="N32" s="376"/>
      <c r="O32" s="376"/>
      <c r="P32" s="376"/>
      <c r="Q32" s="376"/>
      <c r="R32" s="376"/>
      <c r="S32" s="376"/>
    </row>
    <row r="33" ht="35.25" customHeight="1">
      <c r="A33" s="365"/>
      <c r="B33" s="376"/>
      <c r="C33" s="376"/>
      <c r="D33" s="376"/>
      <c r="E33" s="376"/>
      <c r="F33" s="424"/>
      <c r="G33" s="376"/>
      <c r="H33" s="376"/>
      <c r="I33" s="376"/>
      <c r="J33" s="376"/>
      <c r="K33" s="376"/>
      <c r="L33" s="376"/>
      <c r="M33" s="376"/>
      <c r="N33" s="376"/>
      <c r="O33" s="376"/>
      <c r="P33" s="376"/>
      <c r="Q33" s="376"/>
      <c r="R33" s="376"/>
      <c r="S33" s="376"/>
    </row>
    <row r="34" ht="20.25" customHeight="1">
      <c r="A34" s="365"/>
      <c r="B34" s="376"/>
      <c r="C34" s="376"/>
      <c r="D34" s="376"/>
      <c r="E34" s="376"/>
      <c r="F34" s="376"/>
      <c r="G34" s="376"/>
      <c r="H34" s="376"/>
      <c r="I34" s="376"/>
      <c r="J34" s="376"/>
      <c r="K34" s="376"/>
      <c r="L34" s="376"/>
      <c r="M34" s="376"/>
      <c r="N34" s="376"/>
      <c r="O34" s="376"/>
      <c r="P34" s="376"/>
      <c r="Q34" s="376"/>
      <c r="R34" s="376"/>
      <c r="S34" s="376"/>
    </row>
  </sheetData>
  <mergeCells count="12">
    <mergeCell ref="D15:I15"/>
    <mergeCell ref="J15:J16"/>
    <mergeCell ref="K15:K16"/>
    <mergeCell ref="N15:N16"/>
    <mergeCell ref="P17:Q17"/>
    <mergeCell ref="B2:C2"/>
    <mergeCell ref="B3:C3"/>
    <mergeCell ref="B4:C4"/>
    <mergeCell ref="B6:C6"/>
    <mergeCell ref="B7:C7"/>
    <mergeCell ref="B15:B16"/>
    <mergeCell ref="C15:C16"/>
  </mergeCells>
  <conditionalFormatting sqref="D17:L31">
    <cfRule type="cellIs" dxfId="6" priority="1" operator="lessThanOrEqual">
      <formula>0</formula>
    </cfRule>
  </conditionalFormatting>
  <conditionalFormatting sqref="D17:I31">
    <cfRule type="cellIs" dxfId="7" priority="2" operator="greaterThan">
      <formula>0</formula>
    </cfRule>
  </conditionalFormatting>
  <dataValidations>
    <dataValidation type="list" allowBlank="1" showErrorMessage="1" sqref="D7">
      <formula1>"так,ні"</formula1>
    </dataValidation>
    <dataValidation type="list" allowBlank="1" sqref="D6">
      <formula1>"ширинаФМ+1"</formula1>
    </dataValidation>
  </dataValidations>
  <drawing r:id="rId2"/>
  <legacyDrawing r:id="rId3"/>
  <tableParts count="1">
    <tablePart r:id="rId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6.71"/>
    <col customWidth="1" min="2" max="2" width="85.43"/>
    <col customWidth="1" min="3" max="3" width="9.43"/>
    <col customWidth="1" min="4" max="5" width="9.29"/>
    <col customWidth="1" min="6" max="6" width="12.29"/>
    <col customWidth="1" min="7" max="7" width="14.43"/>
    <col customWidth="1" min="8" max="9" width="11.57"/>
    <col customWidth="1" min="10" max="10" width="14.43"/>
    <col customWidth="1" min="11" max="11" width="9.86"/>
    <col customWidth="1" min="12" max="12" width="14.43"/>
    <col customWidth="1" min="13" max="13" width="8.57"/>
    <col customWidth="1" min="14" max="14" width="10.86"/>
    <col customWidth="1" min="15" max="15" width="2.43"/>
    <col customWidth="1" min="16" max="16" width="12.29"/>
    <col customWidth="1" min="17" max="17" width="1.43"/>
    <col customWidth="1" min="18" max="18" width="14.14"/>
    <col customWidth="1" min="19" max="20" width="14.43"/>
  </cols>
  <sheetData>
    <row r="1">
      <c r="A1" s="425"/>
      <c r="B1" s="426" t="s">
        <v>69</v>
      </c>
      <c r="C1" s="427" t="str">
        <f>getDocumentName()</f>
        <v>Кошторис Генерація_2.0</v>
      </c>
      <c r="J1" s="427"/>
      <c r="K1" s="427"/>
      <c r="L1" s="427"/>
      <c r="M1" s="428"/>
      <c r="N1" s="429"/>
      <c r="O1" s="428"/>
      <c r="P1" s="430" t="s">
        <v>1537</v>
      </c>
      <c r="Q1" s="431"/>
      <c r="R1" s="432" t="s">
        <v>1538</v>
      </c>
      <c r="S1" s="433"/>
      <c r="T1" s="433"/>
    </row>
    <row r="2" ht="18.75" customHeight="1">
      <c r="A2" s="434"/>
      <c r="B2" s="435" t="s">
        <v>70</v>
      </c>
      <c r="C2" s="436"/>
      <c r="I2" s="436"/>
      <c r="J2" s="437"/>
      <c r="K2" s="438"/>
      <c r="L2" s="438"/>
      <c r="M2" s="428"/>
      <c r="N2" s="429"/>
      <c r="O2" s="428"/>
      <c r="P2" s="439"/>
      <c r="Q2" s="431"/>
      <c r="R2" s="439"/>
      <c r="S2" s="433"/>
      <c r="T2" s="433"/>
    </row>
    <row r="3" ht="37.5" customHeight="1">
      <c r="A3" s="440" t="s">
        <v>72</v>
      </c>
      <c r="B3" s="441" t="s">
        <v>73</v>
      </c>
      <c r="C3" s="442" t="s">
        <v>1539</v>
      </c>
      <c r="D3" s="443" t="s">
        <v>75</v>
      </c>
      <c r="E3" s="444" t="s">
        <v>76</v>
      </c>
      <c r="F3" s="444" t="s">
        <v>77</v>
      </c>
      <c r="G3" s="444" t="s">
        <v>78</v>
      </c>
      <c r="H3" s="442" t="s">
        <v>79</v>
      </c>
      <c r="I3" s="442" t="s">
        <v>80</v>
      </c>
      <c r="J3" s="445" t="s">
        <v>1540</v>
      </c>
      <c r="K3" s="446" t="s">
        <v>1541</v>
      </c>
      <c r="L3" s="444" t="s">
        <v>83</v>
      </c>
      <c r="M3" s="447" t="s">
        <v>84</v>
      </c>
      <c r="N3" s="448" t="s">
        <v>85</v>
      </c>
      <c r="O3" s="449"/>
      <c r="P3" s="450" t="b">
        <v>0</v>
      </c>
      <c r="Q3" s="451"/>
      <c r="R3" s="452">
        <f>IFERROR(__xludf.DUMMYFUNCTION("IMPORTXML(""https://index.minfin.com.ua/ua/exchange/bank/nbu/"",""/html/body/main/div/div/div[1]/div/div[1]/article/div[4]/table/tbody/tr[10]/td[5]"")"),41.7)</f>
        <v>41.7</v>
      </c>
      <c r="S3" s="453"/>
      <c r="T3" s="453"/>
    </row>
    <row r="4" ht="6.75" customHeight="1">
      <c r="A4" s="454"/>
      <c r="B4" s="455"/>
      <c r="C4" s="454"/>
      <c r="D4" s="454"/>
      <c r="E4" s="456"/>
      <c r="F4" s="457"/>
      <c r="G4" s="458"/>
      <c r="H4" s="454"/>
      <c r="I4" s="454"/>
      <c r="J4" s="459"/>
      <c r="K4" s="460"/>
      <c r="L4" s="461"/>
      <c r="M4" s="462"/>
      <c r="N4" s="429"/>
      <c r="O4" s="463"/>
      <c r="P4" s="464"/>
      <c r="Q4" s="462"/>
      <c r="R4" s="465"/>
      <c r="S4" s="465"/>
      <c r="T4" s="466"/>
    </row>
    <row r="5" ht="18.75" customHeight="1">
      <c r="A5" s="467" t="s">
        <v>86</v>
      </c>
      <c r="B5" s="468" t="s">
        <v>87</v>
      </c>
      <c r="C5" s="469"/>
      <c r="D5" s="469"/>
      <c r="E5" s="469"/>
      <c r="F5" s="470"/>
      <c r="G5" s="471">
        <f t="array" ref="G5">SUM(OFFSET(INDIRECT(ADDRESS(ROW(), COLUMN())), 1, 0, MATCH("Інвертор", $B:$B, 0) - ROW() - 1))</f>
        <v>0</v>
      </c>
      <c r="H5" s="472"/>
      <c r="I5" s="469"/>
      <c r="J5" s="473">
        <f t="shared" ref="J5:L5" si="1">SUM(OFFSET(INDIRECT(ADDRESS(ROW(), COLUMN())), 1, 0, MATCH("Інвертор", $B:$B, 0) - ROW() - 1))</f>
        <v>0</v>
      </c>
      <c r="K5" s="474">
        <f t="shared" si="1"/>
        <v>0</v>
      </c>
      <c r="L5" s="475">
        <f t="shared" si="1"/>
        <v>0</v>
      </c>
      <c r="M5" s="463"/>
      <c r="N5" s="429"/>
      <c r="O5" s="365"/>
      <c r="Q5" s="476"/>
      <c r="R5" s="464"/>
      <c r="S5" s="464"/>
      <c r="T5" s="464"/>
    </row>
    <row r="6">
      <c r="A6" s="477" t="s">
        <v>88</v>
      </c>
      <c r="B6" s="478"/>
      <c r="C6" s="479"/>
      <c r="D6" s="479" t="str">
        <f t="array" ref="D6">IFERROR(INDEX('Номенклатура_BAF'!$C$2:$C171, MATCH($B6, 'Номенклатура_BAF'!$B$2:$B171, 0)), "")</f>
        <v/>
      </c>
      <c r="E6" s="480" t="str">
        <f t="array" ref="E6">IFERROR(INDEX(IF('КОШТОРИС'!$P$3, 'Номенклатура_BAF'!$E$2:$E171, 'Номенклатура_BAF'!$D$2:$D171), MATCH($B6, 'Номенклатура_BAF'!$B$2:$B171, 0)), "")</f>
        <v/>
      </c>
      <c r="F6" s="481"/>
      <c r="G6" s="482" t="str">
        <f t="shared" ref="G6:G8" si="2">IF($E6*$C6=0,"",$E6*$C6)</f>
        <v/>
      </c>
      <c r="H6" s="483"/>
      <c r="I6" s="479"/>
      <c r="J6" s="484" t="str">
        <f t="shared" ref="J6:J8" si="3">IF(E6*(I6+H6)=0,"",E6*(I6+H6))</f>
        <v/>
      </c>
      <c r="K6" s="485" t="str">
        <f t="shared" ref="K6:K8" si="4">IF(C6-(H6+I6)=0,"",C6-(H6+I6))</f>
        <v/>
      </c>
      <c r="L6" s="486" t="str">
        <f t="shared" ref="L6:L8" si="5">IF(G6-J6=0,"",G6-J6)</f>
        <v/>
      </c>
      <c r="M6" s="487"/>
      <c r="N6" s="488" t="str">
        <f t="array" ref="N6">IFERROR(INDEX('Номенклатура_BAF'!$I$2:$I171, MATCH($B6, 'Номенклатура_BAF'!$B$2:$B171, 0)), "")</f>
        <v/>
      </c>
      <c r="O6" s="365"/>
      <c r="Q6" s="476"/>
      <c r="R6" s="465"/>
      <c r="S6" s="465"/>
      <c r="T6" s="466"/>
    </row>
    <row r="7" ht="15.0" customHeight="1">
      <c r="A7" s="489" t="s">
        <v>90</v>
      </c>
      <c r="B7" s="490"/>
      <c r="C7" s="491"/>
      <c r="D7" s="479" t="str">
        <f t="array" ref="D7">IFERROR(INDEX('Номенклатура_BAF'!$C$2:$C171, MATCH($B7, 'Номенклатура_BAF'!$B$2:$B171, 0)), "")</f>
        <v/>
      </c>
      <c r="E7" s="480" t="str">
        <f t="array" ref="E7">IFERROR(INDEX(IF('КОШТОРИС'!$P$3, 'Номенклатура_BAF'!$E$2:$E171, 'Номенклатура_BAF'!$D$2:$D171), MATCH($B7, 'Номенклатура_BAF'!$B$2:$B171, 0)), "")</f>
        <v/>
      </c>
      <c r="F7" s="492"/>
      <c r="G7" s="482" t="str">
        <f t="shared" si="2"/>
        <v/>
      </c>
      <c r="H7" s="493"/>
      <c r="I7" s="491"/>
      <c r="J7" s="484" t="str">
        <f t="shared" si="3"/>
        <v/>
      </c>
      <c r="K7" s="485" t="str">
        <f t="shared" si="4"/>
        <v/>
      </c>
      <c r="L7" s="486" t="str">
        <f t="shared" si="5"/>
        <v/>
      </c>
      <c r="M7" s="487"/>
      <c r="N7" s="488" t="str">
        <f t="array" ref="N7">IFERROR(INDEX('Номенклатура_BAF'!$I$2:$I171, MATCH($B7, 'Номенклатура_BAF'!$B$2:$B171, 0)), "")</f>
        <v/>
      </c>
      <c r="O7" s="365"/>
      <c r="Q7" s="476"/>
      <c r="R7" s="465"/>
      <c r="S7" s="465"/>
      <c r="T7" s="466"/>
    </row>
    <row r="8" ht="15.0" customHeight="1">
      <c r="A8" s="494" t="s">
        <v>91</v>
      </c>
      <c r="B8" s="495"/>
      <c r="C8" s="496"/>
      <c r="D8" s="479" t="str">
        <f t="array" ref="D8">IFERROR(INDEX('Номенклатура_BAF'!$C$2:$C171, MATCH($B8, 'Номенклатура_BAF'!$B$2:$B171, 0)), "")</f>
        <v/>
      </c>
      <c r="E8" s="480" t="str">
        <f t="array" ref="E8">IFERROR(INDEX(IF('КОШТОРИС'!$P$3, 'Номенклатура_BAF'!$E$2:$E171, 'Номенклатура_BAF'!$D$2:$D171), MATCH($B8, 'Номенклатура_BAF'!$B$2:$B171, 0)), "")</f>
        <v/>
      </c>
      <c r="F8" s="497"/>
      <c r="G8" s="482" t="str">
        <f t="shared" si="2"/>
        <v/>
      </c>
      <c r="H8" s="498"/>
      <c r="I8" s="496"/>
      <c r="J8" s="484" t="str">
        <f t="shared" si="3"/>
        <v/>
      </c>
      <c r="K8" s="485" t="str">
        <f t="shared" si="4"/>
        <v/>
      </c>
      <c r="L8" s="486" t="str">
        <f t="shared" si="5"/>
        <v/>
      </c>
      <c r="M8" s="487"/>
      <c r="N8" s="488" t="str">
        <f t="array" ref="N8">IFERROR(INDEX('Номенклатура_BAF'!$I$2:$I171, MATCH($B8, 'Номенклатура_BAF'!$B$2:$B171, 0)), "")</f>
        <v/>
      </c>
      <c r="O8" s="365"/>
      <c r="Q8" s="464"/>
      <c r="R8" s="365"/>
      <c r="S8" s="465"/>
      <c r="T8" s="466"/>
    </row>
    <row r="9" ht="18.75" customHeight="1">
      <c r="A9" s="467" t="s">
        <v>92</v>
      </c>
      <c r="B9" s="468" t="s">
        <v>93</v>
      </c>
      <c r="C9" s="469"/>
      <c r="D9" s="469"/>
      <c r="E9" s="469"/>
      <c r="F9" s="470"/>
      <c r="G9" s="471">
        <f t="array" ref="G9">SUM(OFFSET(INDIRECT(ADDRESS(ROW(), COLUMN())), 1, 0, MATCH("Аккумулятори (низьковольтні)", $B:$B, 0) - ROW() - 1))</f>
        <v>0</v>
      </c>
      <c r="H9" s="472"/>
      <c r="I9" s="469"/>
      <c r="J9" s="499">
        <f t="array" ref="J9">SUM(OFFSET(INDIRECT(ADDRESS(ROW(), COLUMN())), 1, 0, MATCH("Аккумулятори (низьковольтні)", $B:$B, 0) - ROW() - 1))</f>
        <v>0</v>
      </c>
      <c r="K9" s="500"/>
      <c r="L9" s="475">
        <f t="array" ref="L9">SUM(OFFSET(INDIRECT(ADDRESS(ROW(), COLUMN())), 1, 0, MATCH("Аккумулятори (низьковольтні)", $B:$B, 0) - ROW() - 1))</f>
        <v>0</v>
      </c>
      <c r="M9" s="487"/>
      <c r="N9" s="488" t="str">
        <f t="array" ref="N9">IFERROR(INDEX('Номенклатура_BAF'!$I$2:$I171, MATCH($B9, 'Номенклатура_BAF'!$B$2:$B171, 0)), "")</f>
        <v/>
      </c>
      <c r="O9" s="463"/>
      <c r="Q9" s="464"/>
      <c r="R9" s="365"/>
      <c r="S9" s="464"/>
      <c r="T9" s="464"/>
    </row>
    <row r="10" ht="15.0" customHeight="1">
      <c r="A10" s="477" t="s">
        <v>94</v>
      </c>
      <c r="B10" s="478"/>
      <c r="C10" s="479"/>
      <c r="D10" s="479" t="str">
        <f t="array" ref="D10">IFERROR(INDEX('Номенклатура_BAF'!$C$2:$C171, MATCH($B10, 'Номенклатура_BAF'!$B$2:$B171, 0)), "")</f>
        <v/>
      </c>
      <c r="E10" s="480" t="str">
        <f t="array" ref="E10">IFERROR(INDEX(IF('КОШТОРИС'!$P$3, 'Номенклатура_BAF'!$E$2:$E171, 'Номенклатура_BAF'!$D$2:$D171), MATCH($B10, 'Номенклатура_BAF'!$B$2:$B171, 0)), "")</f>
        <v/>
      </c>
      <c r="F10" s="481"/>
      <c r="G10" s="501" t="str">
        <f t="shared" ref="G10:G13" si="6">IF($E10*$C10=0,"",$E10*$C10)</f>
        <v/>
      </c>
      <c r="H10" s="483"/>
      <c r="I10" s="479"/>
      <c r="J10" s="484" t="str">
        <f t="shared" ref="J10:J13" si="7">IF(E10*(I10+H10)=0,"",E10*(I10+H10))</f>
        <v/>
      </c>
      <c r="K10" s="485" t="str">
        <f t="shared" ref="K10:K13" si="8">IF(C10-(H10+I10)=0,"",C10-(H10+I10))</f>
        <v/>
      </c>
      <c r="L10" s="486" t="str">
        <f t="shared" ref="L10:L13" si="9">IF(G10-J10=0,"",G10-J10)</f>
        <v/>
      </c>
      <c r="M10" s="487"/>
      <c r="N10" s="488" t="str">
        <f t="array" ref="N10">IFERROR(INDEX('Номенклатура_BAF'!$I$2:$I171, MATCH($B10, 'Номенклатура_BAF'!$B$2:$B171, 0)), "")</f>
        <v/>
      </c>
      <c r="O10" s="433"/>
      <c r="P10" s="476"/>
      <c r="Q10" s="476"/>
      <c r="R10" s="464"/>
      <c r="S10" s="464"/>
      <c r="T10" s="464"/>
    </row>
    <row r="11" ht="15.0" customHeight="1">
      <c r="A11" s="489" t="s">
        <v>96</v>
      </c>
      <c r="B11" s="502"/>
      <c r="C11" s="503"/>
      <c r="D11" s="479" t="str">
        <f t="array" ref="D11">IFERROR(INDEX('Номенклатура_BAF'!$C$2:$C171, MATCH($B11, 'Номенклатура_BAF'!$B$2:$B171, 0)), "")</f>
        <v/>
      </c>
      <c r="E11" s="480" t="str">
        <f t="array" ref="E11">IFERROR(INDEX(IF('КОШТОРИС'!$P$3, 'Номенклатура_BAF'!$E$2:$E171, 'Номенклатура_BAF'!$D$2:$D171), MATCH($B11, 'Номенклатура_BAF'!$B$2:$B171, 0)), "")</f>
        <v/>
      </c>
      <c r="F11" s="492"/>
      <c r="G11" s="501" t="str">
        <f t="shared" si="6"/>
        <v/>
      </c>
      <c r="H11" s="504"/>
      <c r="I11" s="503"/>
      <c r="J11" s="484" t="str">
        <f t="shared" si="7"/>
        <v/>
      </c>
      <c r="K11" s="485" t="str">
        <f t="shared" si="8"/>
        <v/>
      </c>
      <c r="L11" s="486" t="str">
        <f t="shared" si="9"/>
        <v/>
      </c>
      <c r="M11" s="487"/>
      <c r="N11" s="488" t="str">
        <f t="array" ref="N11">IFERROR(INDEX('Номенклатура_BAF'!$I$2:$I171, MATCH($B11, 'Номенклатура_BAF'!$B$2:$B171, 0)), "")</f>
        <v/>
      </c>
      <c r="O11" s="433"/>
      <c r="P11" s="476"/>
      <c r="Q11" s="476"/>
      <c r="R11" s="464"/>
      <c r="S11" s="464"/>
      <c r="T11" s="464"/>
    </row>
    <row r="12" ht="15.0" customHeight="1">
      <c r="A12" s="494" t="s">
        <v>97</v>
      </c>
      <c r="B12" s="505"/>
      <c r="C12" s="506"/>
      <c r="D12" s="479" t="str">
        <f t="array" ref="D12">IFERROR(INDEX('Номенклатура_BAF'!$C$2:$C171, MATCH($B12, 'Номенклатура_BAF'!$B$2:$B171, 0)), "")</f>
        <v/>
      </c>
      <c r="E12" s="480" t="str">
        <f t="array" ref="E12">IFERROR(INDEX(IF('КОШТОРИС'!$P$3, 'Номенклатура_BAF'!$E$2:$E171, 'Номенклатура_BAF'!$D$2:$D171), MATCH($B12, 'Номенклатура_BAF'!$B$2:$B171, 0)), "")</f>
        <v/>
      </c>
      <c r="F12" s="497"/>
      <c r="G12" s="501" t="str">
        <f t="shared" si="6"/>
        <v/>
      </c>
      <c r="H12" s="507"/>
      <c r="I12" s="506"/>
      <c r="J12" s="484" t="str">
        <f t="shared" si="7"/>
        <v/>
      </c>
      <c r="K12" s="485" t="str">
        <f t="shared" si="8"/>
        <v/>
      </c>
      <c r="L12" s="486" t="str">
        <f t="shared" si="9"/>
        <v/>
      </c>
      <c r="M12" s="487"/>
      <c r="N12" s="488" t="str">
        <f t="array" ref="N12">IFERROR(INDEX('Номенклатура_BAF'!$I$2:$I171, MATCH($B12, 'Номенклатура_BAF'!$B$2:$B171, 0)), "")</f>
        <v/>
      </c>
      <c r="O12" s="508"/>
      <c r="P12" s="509"/>
      <c r="Q12" s="476"/>
      <c r="R12" s="464"/>
      <c r="S12" s="464"/>
      <c r="T12" s="464"/>
    </row>
    <row r="13" ht="15.0" customHeight="1">
      <c r="A13" s="494" t="s">
        <v>98</v>
      </c>
      <c r="B13" s="505"/>
      <c r="C13" s="506"/>
      <c r="D13" s="479" t="str">
        <f t="array" ref="D13">IFERROR(INDEX('Номенклатура_BAF'!$C$2:$C171, MATCH($B13, 'Номенклатура_BAF'!$B$2:$B171, 0)), "")</f>
        <v/>
      </c>
      <c r="E13" s="480" t="str">
        <f t="array" ref="E13">IFERROR(INDEX(IF('КОШТОРИС'!$P$3, 'Номенклатура_BAF'!$E$2:$E171, 'Номенклатура_BAF'!$D$2:$D171), MATCH($B13, 'Номенклатура_BAF'!$B$2:$B171, 0)), "")</f>
        <v/>
      </c>
      <c r="F13" s="497"/>
      <c r="G13" s="501" t="str">
        <f t="shared" si="6"/>
        <v/>
      </c>
      <c r="H13" s="507"/>
      <c r="I13" s="506"/>
      <c r="J13" s="484" t="str">
        <f t="shared" si="7"/>
        <v/>
      </c>
      <c r="K13" s="485" t="str">
        <f t="shared" si="8"/>
        <v/>
      </c>
      <c r="L13" s="486" t="str">
        <f t="shared" si="9"/>
        <v/>
      </c>
      <c r="M13" s="487"/>
      <c r="N13" s="488" t="str">
        <f t="array" ref="N13">IFERROR(INDEX('Номенклатура_BAF'!$I$2:$I171, MATCH($B13, 'Номенклатура_BAF'!$B$2:$B171, 0)), "")</f>
        <v/>
      </c>
      <c r="O13" s="508"/>
      <c r="P13" s="509"/>
      <c r="Q13" s="476"/>
      <c r="R13" s="464"/>
      <c r="S13" s="464"/>
      <c r="T13" s="464"/>
    </row>
    <row r="14" ht="18.75" customHeight="1">
      <c r="A14" s="467" t="s">
        <v>99</v>
      </c>
      <c r="B14" s="468" t="s">
        <v>100</v>
      </c>
      <c r="C14" s="469"/>
      <c r="D14" s="469"/>
      <c r="E14" s="469"/>
      <c r="F14" s="470"/>
      <c r="G14" s="499">
        <f t="array" ref="G14">SUM(OFFSET(INDIRECT(ADDRESS(ROW(), COLUMN())), 1, 0, MATCH("Аккумулятори (високовольтні)", $B:$B, 0) - ROW() - 1))</f>
        <v>0</v>
      </c>
      <c r="H14" s="472"/>
      <c r="I14" s="469"/>
      <c r="J14" s="510">
        <f t="array" ref="J14">SUM(OFFSET(INDIRECT(ADDRESS(ROW(), COLUMN())), 1, 0, MATCH("Аккумулятори (високовольтні)", $B:$B, 0) - ROW() - 1))</f>
        <v>0</v>
      </c>
      <c r="K14" s="500"/>
      <c r="L14" s="475">
        <f t="array" ref="L14">SUM(OFFSET(INDIRECT(ADDRESS(ROW(), COLUMN())), 1, 0, MATCH("Аккумулятори (високовольтні)", $B:$B, 0) - ROW() - 1))</f>
        <v>0</v>
      </c>
      <c r="M14" s="487"/>
      <c r="N14" s="488" t="str">
        <f t="array" ref="N14">IFERROR(INDEX('Номенклатура_BAF'!$I$2:$I171, MATCH($B14, 'Номенклатура_BAF'!$B$2:$B171, 0)), "")</f>
        <v/>
      </c>
      <c r="O14" s="508"/>
      <c r="P14" s="509"/>
      <c r="Q14" s="476"/>
      <c r="R14" s="464"/>
      <c r="S14" s="464"/>
      <c r="T14" s="464"/>
    </row>
    <row r="15" ht="15.0" customHeight="1">
      <c r="A15" s="477" t="s">
        <v>101</v>
      </c>
      <c r="B15" s="478"/>
      <c r="C15" s="479"/>
      <c r="D15" s="479" t="str">
        <f t="array" ref="D15">IFERROR(INDEX('Номенклатура_BAF'!$C$2:$C171, MATCH($B15, 'Номенклатура_BAF'!$B$2:$B171, 0)), "")</f>
        <v/>
      </c>
      <c r="E15" s="480" t="str">
        <f t="array" ref="E15">IFERROR(INDEX(IF('КОШТОРИС'!$P$3, 'Номенклатура_BAF'!$E$2:$E171, 'Номенклатура_BAF'!$D$2:$D171), MATCH($B15, 'Номенклатура_BAF'!$B$2:$B171, 0)), "")</f>
        <v/>
      </c>
      <c r="F15" s="481"/>
      <c r="G15" s="501" t="str">
        <f t="shared" ref="G15:G17" si="10">IF($E15*$C15=0,"",$E15*$C15)</f>
        <v/>
      </c>
      <c r="H15" s="483"/>
      <c r="I15" s="479"/>
      <c r="J15" s="484" t="str">
        <f t="shared" ref="J15:J17" si="11">IF(E15*(I15+H15)=0,"",E15*(I15+H15))</f>
        <v/>
      </c>
      <c r="K15" s="485" t="str">
        <f t="shared" ref="K15:K17" si="12">IF(C15-(H15+I15)=0,"",C15-(H15+I15))</f>
        <v/>
      </c>
      <c r="L15" s="486" t="str">
        <f t="shared" ref="L15:L17" si="13">IF(G15-J15=0,"",G15-J15)</f>
        <v/>
      </c>
      <c r="M15" s="487"/>
      <c r="N15" s="488" t="str">
        <f t="array" ref="N15">IFERROR(INDEX('Номенклатура_BAF'!$I$2:$I171, MATCH($B15, 'Номенклатура_BAF'!$B$2:$B171, 0)), "")</f>
        <v/>
      </c>
      <c r="O15" s="511"/>
      <c r="P15" s="509"/>
      <c r="Q15" s="476"/>
      <c r="R15" s="464"/>
      <c r="S15" s="464"/>
      <c r="T15" s="464"/>
    </row>
    <row r="16" ht="15.0" customHeight="1">
      <c r="A16" s="489" t="s">
        <v>102</v>
      </c>
      <c r="B16" s="490"/>
      <c r="C16" s="491"/>
      <c r="D16" s="479" t="str">
        <f t="array" ref="D16">IFERROR(INDEX('Номенклатура_BAF'!$C$2:$C171, MATCH($B16, 'Номенклатура_BAF'!$B$2:$B171, 0)), "")</f>
        <v/>
      </c>
      <c r="E16" s="480" t="str">
        <f t="array" ref="E16">IFERROR(INDEX(IF('КОШТОРИС'!$P$3, 'Номенклатура_BAF'!$E$2:$E171, 'Номенклатура_BAF'!$D$2:$D171), MATCH($B16, 'Номенклатура_BAF'!$B$2:$B171, 0)), "")</f>
        <v/>
      </c>
      <c r="F16" s="492"/>
      <c r="G16" s="501" t="str">
        <f t="shared" si="10"/>
        <v/>
      </c>
      <c r="H16" s="493"/>
      <c r="I16" s="491"/>
      <c r="J16" s="484" t="str">
        <f t="shared" si="11"/>
        <v/>
      </c>
      <c r="K16" s="485" t="str">
        <f t="shared" si="12"/>
        <v/>
      </c>
      <c r="L16" s="486" t="str">
        <f t="shared" si="13"/>
        <v/>
      </c>
      <c r="M16" s="487"/>
      <c r="N16" s="488" t="str">
        <f t="array" ref="N16">IFERROR(INDEX('Номенклатура_BAF'!$I$2:$I171, MATCH($B16, 'Номенклатура_BAF'!$B$2:$B171, 0)), "")</f>
        <v/>
      </c>
      <c r="O16" s="511"/>
      <c r="P16" s="509"/>
      <c r="Q16" s="476"/>
      <c r="R16" s="464"/>
      <c r="S16" s="464"/>
      <c r="T16" s="464"/>
    </row>
    <row r="17" ht="15.0" customHeight="1">
      <c r="A17" s="512" t="s">
        <v>103</v>
      </c>
      <c r="B17" s="495"/>
      <c r="C17" s="513"/>
      <c r="D17" s="479" t="str">
        <f t="array" ref="D17">IFERROR(INDEX('Номенклатура_BAF'!$C$2:$C171, MATCH($B17, 'Номенклатура_BAF'!$B$2:$B171, 0)), "")</f>
        <v/>
      </c>
      <c r="E17" s="480" t="str">
        <f t="array" ref="E17">IFERROR(INDEX(IF('КОШТОРИС'!$P$3, 'Номенклатура_BAF'!$E$2:$E171, 'Номенклатура_BAF'!$D$2:$D171), MATCH($B17, 'Номенклатура_BAF'!$B$2:$B171, 0)), "")</f>
        <v/>
      </c>
      <c r="F17" s="497"/>
      <c r="G17" s="501" t="str">
        <f t="shared" si="10"/>
        <v/>
      </c>
      <c r="H17" s="498"/>
      <c r="I17" s="496"/>
      <c r="J17" s="484" t="str">
        <f t="shared" si="11"/>
        <v/>
      </c>
      <c r="K17" s="485" t="str">
        <f t="shared" si="12"/>
        <v/>
      </c>
      <c r="L17" s="486" t="str">
        <f t="shared" si="13"/>
        <v/>
      </c>
      <c r="M17" s="487"/>
      <c r="N17" s="488" t="str">
        <f t="array" ref="N17">IFERROR(INDEX('Номенклатура_BAF'!$I$2:$I171, MATCH($B17, 'Номенклатура_BAF'!$B$2:$B171, 0)), "")</f>
        <v/>
      </c>
      <c r="O17" s="511"/>
      <c r="P17" s="509"/>
      <c r="Q17" s="476"/>
      <c r="R17" s="464"/>
      <c r="S17" s="464"/>
      <c r="T17" s="464"/>
    </row>
    <row r="18" ht="18.75" customHeight="1">
      <c r="A18" s="467" t="s">
        <v>104</v>
      </c>
      <c r="B18" s="468" t="s">
        <v>105</v>
      </c>
      <c r="C18" s="469"/>
      <c r="D18" s="469"/>
      <c r="E18" s="469"/>
      <c r="F18" s="470"/>
      <c r="G18" s="499">
        <f t="array" ref="G18">SUM(OFFSET(INDIRECT(ADDRESS(ROW(), COLUMN())), 1, 0, MATCH("Блок BMS (для високовольтних АКБ)", $B:$B, 0) - ROW() - 1))</f>
        <v>0</v>
      </c>
      <c r="H18" s="472"/>
      <c r="I18" s="469"/>
      <c r="J18" s="510">
        <f t="array" ref="J18">SUM(OFFSET(INDIRECT(ADDRESS(ROW(), COLUMN())), 1, 0, MATCH("Блок BMS (для високовольтних АКБ)", $B:$B, 0) - ROW() - 1))</f>
        <v>0</v>
      </c>
      <c r="K18" s="500"/>
      <c r="L18" s="475">
        <f t="array" ref="L18">SUM(OFFSET(INDIRECT(ADDRESS(ROW(), COLUMN())), 1, 0, MATCH("Блок BMS (для високовольтних АКБ)", $B:$B, 0) - ROW() - 1))</f>
        <v>0</v>
      </c>
      <c r="M18" s="487"/>
      <c r="N18" s="488" t="str">
        <f t="array" ref="N18">IFERROR(INDEX('Номенклатура_BAF'!$I$2:$I171, MATCH($B18, 'Номенклатура_BAF'!$B$2:$B171, 0)), "")</f>
        <v/>
      </c>
      <c r="O18" s="511"/>
      <c r="P18" s="509"/>
      <c r="Q18" s="476"/>
      <c r="R18" s="464"/>
      <c r="S18" s="464"/>
      <c r="T18" s="464"/>
    </row>
    <row r="19" ht="15.0" customHeight="1">
      <c r="A19" s="477" t="s">
        <v>106</v>
      </c>
      <c r="B19" s="478"/>
      <c r="C19" s="479"/>
      <c r="D19" s="479" t="str">
        <f t="array" ref="D19">IFERROR(INDEX('Номенклатура_BAF'!$C$2:$C171, MATCH($B19, 'Номенклатура_BAF'!$B$2:$B171, 0)), "")</f>
        <v/>
      </c>
      <c r="E19" s="480" t="str">
        <f t="array" ref="E19">IFERROR(INDEX(IF('КОШТОРИС'!$P$3, 'Номенклатура_BAF'!$E$2:$E171, 'Номенклатура_BAF'!$D$2:$D171), MATCH($B19, 'Номенклатура_BAF'!$B$2:$B171, 0)), "")</f>
        <v/>
      </c>
      <c r="F19" s="481"/>
      <c r="G19" s="501" t="str">
        <f t="shared" ref="G19:G21" si="14">IF($E19*$C19=0,"",$E19*$C19)</f>
        <v/>
      </c>
      <c r="H19" s="483"/>
      <c r="I19" s="479"/>
      <c r="J19" s="484" t="str">
        <f t="shared" ref="J19:J21" si="15">IF(E19*(I19+H19)=0,"",E19*(I19+H19))</f>
        <v/>
      </c>
      <c r="K19" s="485" t="str">
        <f t="shared" ref="K19:K21" si="16">IF(C19-(H19+I19)=0,"",C19-(H19+I19))</f>
        <v/>
      </c>
      <c r="L19" s="486" t="str">
        <f t="shared" ref="L19:L21" si="17">IF(G19-J19=0,"",G19-J19)</f>
        <v/>
      </c>
      <c r="M19" s="487"/>
      <c r="N19" s="488" t="str">
        <f t="array" ref="N19">IFERROR(INDEX('Номенклатура_BAF'!$I$2:$I171, MATCH($B19, 'Номенклатура_BAF'!$B$2:$B171, 0)), "")</f>
        <v/>
      </c>
      <c r="O19" s="508"/>
      <c r="P19" s="509"/>
      <c r="Q19" s="476"/>
      <c r="R19" s="464"/>
      <c r="S19" s="464"/>
      <c r="T19" s="464"/>
    </row>
    <row r="20" ht="15.0" customHeight="1">
      <c r="A20" s="489" t="s">
        <v>107</v>
      </c>
      <c r="B20" s="490"/>
      <c r="C20" s="491"/>
      <c r="D20" s="479" t="str">
        <f t="array" ref="D20">IFERROR(INDEX('Номенклатура_BAF'!$C$2:$C171, MATCH($B20, 'Номенклатура_BAF'!$B$2:$B171, 0)), "")</f>
        <v/>
      </c>
      <c r="E20" s="480" t="str">
        <f t="array" ref="E20">IFERROR(INDEX(IF('КОШТОРИС'!$P$3, 'Номенклатура_BAF'!$E$2:$E171, 'Номенклатура_BAF'!$D$2:$D171), MATCH($B20, 'Номенклатура_BAF'!$B$2:$B171, 0)), "")</f>
        <v/>
      </c>
      <c r="F20" s="492"/>
      <c r="G20" s="501" t="str">
        <f t="shared" si="14"/>
        <v/>
      </c>
      <c r="H20" s="493"/>
      <c r="I20" s="491"/>
      <c r="J20" s="484" t="str">
        <f t="shared" si="15"/>
        <v/>
      </c>
      <c r="K20" s="485" t="str">
        <f t="shared" si="16"/>
        <v/>
      </c>
      <c r="L20" s="486" t="str">
        <f t="shared" si="17"/>
        <v/>
      </c>
      <c r="M20" s="487"/>
      <c r="N20" s="488" t="str">
        <f t="array" ref="N20">IFERROR(INDEX('Номенклатура_BAF'!$I$2:$I171, MATCH($B20, 'Номенклатура_BAF'!$B$2:$B171, 0)), "")</f>
        <v/>
      </c>
      <c r="O20" s="508"/>
      <c r="P20" s="509"/>
      <c r="Q20" s="476"/>
      <c r="R20" s="464"/>
      <c r="S20" s="464"/>
      <c r="T20" s="464"/>
    </row>
    <row r="21" ht="15.0" customHeight="1">
      <c r="A21" s="512" t="s">
        <v>108</v>
      </c>
      <c r="B21" s="495"/>
      <c r="C21" s="513"/>
      <c r="D21" s="479" t="str">
        <f t="array" ref="D21">IFERROR(INDEX('Номенклатура_BAF'!$C$2:$C171, MATCH($B21, 'Номенклатура_BAF'!$B$2:$B171, 0)), "")</f>
        <v/>
      </c>
      <c r="E21" s="480" t="str">
        <f t="array" ref="E21">IFERROR(INDEX(IF('КОШТОРИС'!$P$3, 'Номенклатура_BAF'!$E$2:$E171, 'Номенклатура_BAF'!$D$2:$D171), MATCH($B21, 'Номенклатура_BAF'!$B$2:$B171, 0)), "")</f>
        <v/>
      </c>
      <c r="F21" s="497"/>
      <c r="G21" s="501" t="str">
        <f t="shared" si="14"/>
        <v/>
      </c>
      <c r="H21" s="498"/>
      <c r="I21" s="496"/>
      <c r="J21" s="484" t="str">
        <f t="shared" si="15"/>
        <v/>
      </c>
      <c r="K21" s="485" t="str">
        <f t="shared" si="16"/>
        <v/>
      </c>
      <c r="L21" s="486" t="str">
        <f t="shared" si="17"/>
        <v/>
      </c>
      <c r="M21" s="487"/>
      <c r="N21" s="488" t="str">
        <f t="array" ref="N21">IFERROR(INDEX('Номенклатура_BAF'!$I$2:$I171, MATCH($B21, 'Номенклатура_BAF'!$B$2:$B171, 0)), "")</f>
        <v/>
      </c>
      <c r="O21" s="508"/>
      <c r="P21" s="509"/>
      <c r="Q21" s="476"/>
      <c r="R21" s="464"/>
      <c r="S21" s="464"/>
      <c r="T21" s="464"/>
    </row>
    <row r="22" ht="18.75" customHeight="1">
      <c r="A22" s="467" t="s">
        <v>109</v>
      </c>
      <c r="B22" s="468" t="s">
        <v>110</v>
      </c>
      <c r="C22" s="469"/>
      <c r="D22" s="469"/>
      <c r="E22" s="469"/>
      <c r="F22" s="470"/>
      <c r="G22" s="499">
        <f t="array" ref="G22">SUM(OFFSET(INDIRECT(ADDRESS(ROW(), COLUMN())), 1, 0, MATCH("Лічильник Smart Meter", $B:$B, 0) - ROW() - 1))</f>
        <v>0</v>
      </c>
      <c r="H22" s="472"/>
      <c r="I22" s="469"/>
      <c r="J22" s="510">
        <f t="array" ref="J22">SUM(OFFSET(INDIRECT(ADDRESS(ROW(), COLUMN())), 1, 0, MATCH("Лічильник Smart Meter", $B:$B, 0) - ROW() - 1))</f>
        <v>0</v>
      </c>
      <c r="K22" s="500"/>
      <c r="L22" s="475">
        <f t="array" ref="L22">SUM(OFFSET(INDIRECT(ADDRESS(ROW(), COLUMN())), 1, 0, MATCH("Лічильник Smart Meter", $B:$B, 0) - ROW() - 1))</f>
        <v>0</v>
      </c>
      <c r="M22" s="487"/>
      <c r="N22" s="488" t="str">
        <f t="array" ref="N22">IFERROR(INDEX('Номенклатура_BAF'!$I$2:$I171, MATCH($B22, 'Номенклатура_BAF'!$B$2:$B171, 0)), "")</f>
        <v/>
      </c>
      <c r="O22" s="433"/>
      <c r="P22" s="476"/>
      <c r="Q22" s="476"/>
      <c r="R22" s="464"/>
      <c r="S22" s="464"/>
      <c r="T22" s="464"/>
    </row>
    <row r="23" ht="15.0" customHeight="1">
      <c r="A23" s="477" t="s">
        <v>111</v>
      </c>
      <c r="B23" s="478"/>
      <c r="C23" s="479"/>
      <c r="D23" s="479" t="str">
        <f t="array" ref="D23">IFERROR(INDEX('Номенклатура_BAF'!$C$2:$C171, MATCH($B23, 'Номенклатура_BAF'!$B$2:$B171, 0)), "")</f>
        <v/>
      </c>
      <c r="E23" s="480" t="str">
        <f t="array" ref="E23">IFERROR(INDEX(IF('КОШТОРИС'!$P$3, 'Номенклатура_BAF'!$E$2:$E171, 'Номенклатура_BAF'!$D$2:$D171), MATCH($B23, 'Номенклатура_BAF'!$B$2:$B171, 0)), "")</f>
        <v/>
      </c>
      <c r="F23" s="481"/>
      <c r="G23" s="501" t="str">
        <f t="shared" ref="G23:G25" si="18">IF($E23*$C23=0,"",$E23*$C23)</f>
        <v/>
      </c>
      <c r="H23" s="483"/>
      <c r="I23" s="479"/>
      <c r="J23" s="484" t="str">
        <f t="shared" ref="J23:J25" si="19">IF(E23*(I23+H23)=0,"",E23*(I23+H23))</f>
        <v/>
      </c>
      <c r="K23" s="485" t="str">
        <f t="shared" ref="K23:K25" si="20">IF(C23-(H23+I23)=0,"",C23-(H23+I23))</f>
        <v/>
      </c>
      <c r="L23" s="486" t="str">
        <f t="shared" ref="L23:L25" si="21">IF(G23-J23=0,"",G23-J23)</f>
        <v/>
      </c>
      <c r="M23" s="487"/>
      <c r="N23" s="488" t="str">
        <f t="array" ref="N23">IFERROR(INDEX('Номенклатура_BAF'!$I$2:$I171, MATCH($B23, 'Номенклатура_BAF'!$B$2:$B171, 0)), "")</f>
        <v/>
      </c>
      <c r="O23" s="433"/>
      <c r="P23" s="476"/>
      <c r="Q23" s="476"/>
      <c r="R23" s="464"/>
      <c r="S23" s="464"/>
      <c r="T23" s="464"/>
    </row>
    <row r="24" ht="15.0" customHeight="1">
      <c r="A24" s="477" t="s">
        <v>112</v>
      </c>
      <c r="B24" s="478"/>
      <c r="C24" s="479"/>
      <c r="D24" s="479" t="str">
        <f t="array" ref="D24">IFERROR(INDEX('Номенклатура_BAF'!$C$2:$C171, MATCH($B24, 'Номенклатура_BAF'!$B$2:$B171, 0)), "")</f>
        <v/>
      </c>
      <c r="E24" s="480" t="str">
        <f t="array" ref="E24">IFERROR(INDEX(IF('КОШТОРИС'!$P$3, 'Номенклатура_BAF'!$E$2:$E171, 'Номенклатура_BAF'!$D$2:$D171), MATCH($B24, 'Номенклатура_BAF'!$B$2:$B171, 0)), "")</f>
        <v/>
      </c>
      <c r="F24" s="481"/>
      <c r="G24" s="501" t="str">
        <f t="shared" si="18"/>
        <v/>
      </c>
      <c r="H24" s="483"/>
      <c r="I24" s="479"/>
      <c r="J24" s="484" t="str">
        <f t="shared" si="19"/>
        <v/>
      </c>
      <c r="K24" s="485" t="str">
        <f t="shared" si="20"/>
        <v/>
      </c>
      <c r="L24" s="486" t="str">
        <f t="shared" si="21"/>
        <v/>
      </c>
      <c r="M24" s="487"/>
      <c r="N24" s="488" t="str">
        <f t="array" ref="N24">IFERROR(INDEX('Номенклатура_BAF'!$I$2:$I171, MATCH($B24, 'Номенклатура_BAF'!$B$2:$B171, 0)), "")</f>
        <v/>
      </c>
      <c r="O24" s="433"/>
      <c r="P24" s="476"/>
      <c r="Q24" s="476"/>
      <c r="R24" s="464"/>
      <c r="S24" s="464"/>
      <c r="T24" s="464"/>
    </row>
    <row r="25" ht="15.0" customHeight="1">
      <c r="A25" s="512" t="s">
        <v>112</v>
      </c>
      <c r="B25" s="495"/>
      <c r="C25" s="513"/>
      <c r="D25" s="479" t="str">
        <f t="array" ref="D25">IFERROR(INDEX('Номенклатура_BAF'!$C$2:$C171, MATCH($B25, 'Номенклатура_BAF'!$B$2:$B171, 0)), "")</f>
        <v/>
      </c>
      <c r="E25" s="480" t="str">
        <f t="array" ref="E25">IFERROR(INDEX(IF('КОШТОРИС'!$P$3, 'Номенклатура_BAF'!$E$2:$E171, 'Номенклатура_BAF'!$D$2:$D171), MATCH($B25, 'Номенклатура_BAF'!$B$2:$B171, 0)), "")</f>
        <v/>
      </c>
      <c r="F25" s="497"/>
      <c r="G25" s="501" t="str">
        <f t="shared" si="18"/>
        <v/>
      </c>
      <c r="H25" s="498"/>
      <c r="I25" s="496"/>
      <c r="J25" s="484" t="str">
        <f t="shared" si="19"/>
        <v/>
      </c>
      <c r="K25" s="485" t="str">
        <f t="shared" si="20"/>
        <v/>
      </c>
      <c r="L25" s="486" t="str">
        <f t="shared" si="21"/>
        <v/>
      </c>
      <c r="M25" s="487"/>
      <c r="N25" s="488" t="str">
        <f t="array" ref="N25">IFERROR(INDEX('Номенклатура_BAF'!$I$2:$I171, MATCH($B25, 'Номенклатура_BAF'!$B$2:$B171, 0)), "")</f>
        <v/>
      </c>
      <c r="O25" s="433"/>
      <c r="P25" s="476"/>
      <c r="Q25" s="476"/>
      <c r="R25" s="464"/>
      <c r="S25" s="464"/>
      <c r="T25" s="464"/>
    </row>
    <row r="26" ht="18.75" customHeight="1">
      <c r="A26" s="467" t="s">
        <v>113</v>
      </c>
      <c r="B26" s="468" t="s">
        <v>114</v>
      </c>
      <c r="C26" s="469"/>
      <c r="D26" s="469"/>
      <c r="E26" s="469"/>
      <c r="F26" s="470"/>
      <c r="G26" s="499">
        <f t="array" ref="G26">SUM(OFFSET(INDIRECT(ADDRESS(ROW(), COLUMN())), 1, 0, MATCH("Моніторинг", $B:$B, 0) - ROW() - 1))</f>
        <v>0</v>
      </c>
      <c r="H26" s="472"/>
      <c r="I26" s="469"/>
      <c r="J26" s="510">
        <f t="array" ref="J26">SUM(OFFSET(INDIRECT(ADDRESS(ROW(), COLUMN())), 1, 0, MATCH("Моніторинг", $B:$B, 0) - ROW() - 1))</f>
        <v>0</v>
      </c>
      <c r="K26" s="500"/>
      <c r="L26" s="475">
        <f t="array" ref="L26">SUM(OFFSET(INDIRECT(ADDRESS(ROW(), COLUMN())), 1, 0, MATCH("Моніторинг", $B:$B, 0) - ROW() - 1))</f>
        <v>0</v>
      </c>
      <c r="M26" s="487"/>
      <c r="N26" s="488" t="str">
        <f t="array" ref="N26">IFERROR(INDEX('Номенклатура_BAF'!$I$2:$I171, MATCH($B26, 'Номенклатура_BAF'!$B$2:$B171, 0)), "")</f>
        <v/>
      </c>
      <c r="O26" s="433"/>
      <c r="P26" s="476"/>
      <c r="Q26" s="476"/>
      <c r="R26" s="464"/>
      <c r="S26" s="464"/>
      <c r="T26" s="464"/>
    </row>
    <row r="27" ht="15.0" customHeight="1">
      <c r="A27" s="477" t="s">
        <v>115</v>
      </c>
      <c r="B27" s="478"/>
      <c r="C27" s="479"/>
      <c r="D27" s="479" t="str">
        <f t="array" ref="D27">IFERROR(INDEX('Номенклатура_BAF'!$C$2:$C171, MATCH($B27, 'Номенклатура_BAF'!$B$2:$B171, 0)), "")</f>
        <v/>
      </c>
      <c r="E27" s="480" t="str">
        <f t="array" ref="E27">IFERROR(INDEX(IF('КОШТОРИС'!$P$3, 'Номенклатура_BAF'!$E$2:$E171, 'Номенклатура_BAF'!$D$2:$D171), MATCH($B27, 'Номенклатура_BAF'!$B$2:$B171, 0)), "")</f>
        <v/>
      </c>
      <c r="F27" s="481"/>
      <c r="G27" s="501" t="str">
        <f t="shared" ref="G27:G28" si="22">IF($E27*$C27=0,"",$E27*$C27)</f>
        <v/>
      </c>
      <c r="H27" s="483"/>
      <c r="I27" s="479"/>
      <c r="J27" s="484" t="str">
        <f t="shared" ref="J27:J28" si="23">IF(E27*(I27+H27)=0,"",E27*(I27+H27))</f>
        <v/>
      </c>
      <c r="K27" s="485" t="str">
        <f t="shared" ref="K27:K28" si="24">IF(C27-(H27+I27)=0,"",C27-(H27+I27))</f>
        <v/>
      </c>
      <c r="L27" s="486" t="str">
        <f t="shared" ref="L27:L28" si="25">IF(G27-J27=0,"",G27-J27)</f>
        <v/>
      </c>
      <c r="M27" s="487"/>
      <c r="N27" s="488" t="str">
        <f t="array" ref="N27">IFERROR(INDEX('Номенклатура_BAF'!$I$2:$I171, MATCH($B27, 'Номенклатура_BAF'!$B$2:$B171, 0)), "")</f>
        <v/>
      </c>
      <c r="O27" s="433"/>
      <c r="P27" s="476"/>
      <c r="Q27" s="476"/>
      <c r="R27" s="464"/>
      <c r="S27" s="464"/>
      <c r="T27" s="464"/>
    </row>
    <row r="28" ht="15.0" customHeight="1">
      <c r="A28" s="512" t="s">
        <v>117</v>
      </c>
      <c r="B28" s="495"/>
      <c r="C28" s="513"/>
      <c r="D28" s="479" t="str">
        <f t="array" ref="D28">IFERROR(INDEX('Номенклатура_BAF'!$C$2:$C171, MATCH($B28, 'Номенклатура_BAF'!$B$2:$B171, 0)), "")</f>
        <v/>
      </c>
      <c r="E28" s="480" t="str">
        <f t="array" ref="E28">IFERROR(INDEX(IF('КОШТОРИС'!$P$3, 'Номенклатура_BAF'!$E$2:$E171, 'Номенклатура_BAF'!$D$2:$D171), MATCH($B28, 'Номенклатура_BAF'!$B$2:$B171, 0)), "")</f>
        <v/>
      </c>
      <c r="F28" s="497"/>
      <c r="G28" s="501" t="str">
        <f t="shared" si="22"/>
        <v/>
      </c>
      <c r="H28" s="498"/>
      <c r="I28" s="496"/>
      <c r="J28" s="484" t="str">
        <f t="shared" si="23"/>
        <v/>
      </c>
      <c r="K28" s="485" t="str">
        <f t="shared" si="24"/>
        <v/>
      </c>
      <c r="L28" s="486" t="str">
        <f t="shared" si="25"/>
        <v/>
      </c>
      <c r="M28" s="487"/>
      <c r="N28" s="488" t="str">
        <f t="array" ref="N28">IFERROR(INDEX('Номенклатура_BAF'!$I$2:$I171, MATCH($B28, 'Номенклатура_BAF'!$B$2:$B171, 0)), "")</f>
        <v/>
      </c>
      <c r="O28" s="433"/>
      <c r="P28" s="476"/>
      <c r="Q28" s="476"/>
      <c r="R28" s="464"/>
      <c r="S28" s="464"/>
      <c r="T28" s="464"/>
    </row>
    <row r="29" ht="18.75" customHeight="1">
      <c r="A29" s="467" t="s">
        <v>118</v>
      </c>
      <c r="B29" s="468" t="s">
        <v>119</v>
      </c>
      <c r="C29" s="469"/>
      <c r="D29" s="469"/>
      <c r="E29" s="469"/>
      <c r="F29" s="470"/>
      <c r="G29" s="499">
        <f t="array" ref="G29">SUM(OFFSET(INDIRECT(ADDRESS(ROW(), COLUMN())), 1, 0, MATCH("Трансформатор струму", $B:$B, 0) - ROW() - 1))</f>
        <v>0</v>
      </c>
      <c r="H29" s="472"/>
      <c r="I29" s="469"/>
      <c r="J29" s="510">
        <f t="array" ref="J29">SUM(OFFSET(INDIRECT(ADDRESS(ROW(), COLUMN())), 1, 0, MATCH("Трансформатор струму", $B:$B, 0) - ROW() - 1))</f>
        <v>0</v>
      </c>
      <c r="K29" s="500"/>
      <c r="L29" s="475">
        <f t="array" ref="L29">SUM(OFFSET(INDIRECT(ADDRESS(ROW(), COLUMN())), 1, 0, MATCH("Трансформатор струму", $B:$B, 0) - ROW() - 1))</f>
        <v>0</v>
      </c>
      <c r="M29" s="487"/>
      <c r="N29" s="488" t="str">
        <f t="array" ref="N29">IFERROR(INDEX('Номенклатура_BAF'!$I$2:$I171, MATCH($B29, 'Номенклатура_BAF'!$B$2:$B171, 0)), "")</f>
        <v/>
      </c>
      <c r="O29" s="433"/>
      <c r="P29" s="476"/>
      <c r="Q29" s="476"/>
      <c r="R29" s="464"/>
      <c r="S29" s="464"/>
      <c r="T29" s="464"/>
    </row>
    <row r="30" ht="15.0" customHeight="1">
      <c r="A30" s="477" t="s">
        <v>120</v>
      </c>
      <c r="B30" s="478"/>
      <c r="C30" s="479"/>
      <c r="D30" s="479" t="str">
        <f t="array" ref="D30">IFERROR(INDEX('Номенклатура_BAF'!$C$2:$C171, MATCH($B30, 'Номенклатура_BAF'!$B$2:$B171, 0)), "")</f>
        <v/>
      </c>
      <c r="E30" s="480" t="str">
        <f t="array" ref="E30">IFERROR(INDEX(IF('КОШТОРИС'!$P$3, 'Номенклатура_BAF'!$E$2:$E171, 'Номенклатура_BAF'!$D$2:$D171), MATCH($B30, 'Номенклатура_BAF'!$B$2:$B171, 0)), "")</f>
        <v/>
      </c>
      <c r="F30" s="481"/>
      <c r="G30" s="501" t="str">
        <f t="shared" ref="G30:G31" si="26">IF($E30*$C30=0,"",$E30*$C30)</f>
        <v/>
      </c>
      <c r="H30" s="483"/>
      <c r="I30" s="479"/>
      <c r="J30" s="484" t="str">
        <f t="shared" ref="J30:J31" si="27">IF(E30*(I30+H30)=0,"",E30*(I30+H30))</f>
        <v/>
      </c>
      <c r="K30" s="485" t="str">
        <f t="shared" ref="K30:K31" si="28">IF(C30-(H30+I30)=0,"",C30-(H30+I30))</f>
        <v/>
      </c>
      <c r="L30" s="486" t="str">
        <f t="shared" ref="L30:L31" si="29">IF(G30-J30=0,"",G30-J30)</f>
        <v/>
      </c>
      <c r="M30" s="487"/>
      <c r="N30" s="488" t="str">
        <f t="array" ref="N30">IFERROR(INDEX('Номенклатура_BAF'!$I$2:$I171, MATCH($B30, 'Номенклатура_BAF'!$B$2:$B171, 0)), "")</f>
        <v/>
      </c>
      <c r="O30" s="433"/>
      <c r="P30" s="476"/>
      <c r="Q30" s="476"/>
      <c r="R30" s="464"/>
      <c r="S30" s="464"/>
      <c r="T30" s="464"/>
    </row>
    <row r="31" ht="15.0" customHeight="1">
      <c r="A31" s="512" t="s">
        <v>122</v>
      </c>
      <c r="B31" s="495"/>
      <c r="C31" s="513"/>
      <c r="D31" s="479" t="str">
        <f t="array" ref="D31">IFERROR(INDEX('Номенклатура_BAF'!$C$2:$C171, MATCH($B31, 'Номенклатура_BAF'!$B$2:$B171, 0)), "")</f>
        <v/>
      </c>
      <c r="E31" s="480" t="str">
        <f t="array" ref="E31">IFERROR(INDEX(IF('КОШТОРИС'!$P$3, 'Номенклатура_BAF'!$E$2:$E171, 'Номенклатура_BAF'!$D$2:$D171), MATCH($B31, 'Номенклатура_BAF'!$B$2:$B171, 0)), "")</f>
        <v/>
      </c>
      <c r="F31" s="497"/>
      <c r="G31" s="501" t="str">
        <f t="shared" si="26"/>
        <v/>
      </c>
      <c r="H31" s="498"/>
      <c r="I31" s="496"/>
      <c r="J31" s="484" t="str">
        <f t="shared" si="27"/>
        <v/>
      </c>
      <c r="K31" s="485" t="str">
        <f t="shared" si="28"/>
        <v/>
      </c>
      <c r="L31" s="486" t="str">
        <f t="shared" si="29"/>
        <v/>
      </c>
      <c r="M31" s="487"/>
      <c r="N31" s="488" t="str">
        <f t="array" ref="N31">IFERROR(INDEX('Номенклатура_BAF'!$I$2:$I171, MATCH($B31, 'Номенклатура_BAF'!$B$2:$B171, 0)), "")</f>
        <v/>
      </c>
      <c r="O31" s="433"/>
      <c r="P31" s="476"/>
      <c r="Q31" s="476"/>
      <c r="R31" s="464"/>
      <c r="S31" s="464"/>
      <c r="T31" s="464"/>
    </row>
    <row r="32" ht="18.75" customHeight="1">
      <c r="A32" s="467" t="s">
        <v>123</v>
      </c>
      <c r="B32" s="468" t="s">
        <v>124</v>
      </c>
      <c r="C32" s="469"/>
      <c r="D32" s="469"/>
      <c r="E32" s="469"/>
      <c r="F32" s="470"/>
      <c r="G32" s="499">
        <f t="array" ref="G32">SUM(OFFSET(INDIRECT(ADDRESS(ROW(), COLUMN())), 1, 0, MATCH("Кріплення", $B:$B, 0) - ROW() - 1))</f>
        <v>0</v>
      </c>
      <c r="H32" s="472"/>
      <c r="I32" s="469"/>
      <c r="J32" s="510">
        <f t="array" ref="J32">SUM(OFFSET(INDIRECT(ADDRESS(ROW(), COLUMN())), 1, 0, MATCH("Кріплення", $B:$B, 0) - ROW() - 1))</f>
        <v>0</v>
      </c>
      <c r="K32" s="500"/>
      <c r="L32" s="475">
        <f t="array" ref="L32">SUM(OFFSET(INDIRECT(ADDRESS(ROW(), COLUMN())), 1, 0, MATCH("Кріплення", $B:$B, 0) - ROW() - 1))</f>
        <v>0</v>
      </c>
      <c r="M32" s="487"/>
      <c r="N32" s="488" t="str">
        <f t="array" ref="N32">IFERROR(INDEX('Номенклатура_BAF'!$I$2:$I171, MATCH($B32, 'Номенклатура_BAF'!$B$2:$B171, 0)), "")</f>
        <v/>
      </c>
      <c r="O32" s="433"/>
      <c r="P32" s="476"/>
      <c r="Q32" s="476"/>
      <c r="R32" s="464"/>
      <c r="S32" s="464"/>
      <c r="T32" s="464"/>
    </row>
    <row r="33" ht="15.0" customHeight="1">
      <c r="A33" s="477" t="s">
        <v>125</v>
      </c>
      <c r="B33" s="478"/>
      <c r="C33" s="479"/>
      <c r="D33" s="479" t="str">
        <f t="array" ref="D33">IFERROR(INDEX('Номенклатура_BAF'!$C$2:$C171, MATCH($B33, 'Номенклатура_BAF'!$B$2:$B171, 0)), "")</f>
        <v/>
      </c>
      <c r="E33" s="480" t="str">
        <f t="array" ref="E33">IFERROR(INDEX(IF('КОШТОРИС'!$P$3, 'Номенклатура_BAF'!$E$2:$E171, 'Номенклатура_BAF'!$D$2:$D171), MATCH($B33, 'Номенклатура_BAF'!$B$2:$B171, 0)), "")</f>
        <v/>
      </c>
      <c r="F33" s="481"/>
      <c r="G33" s="501" t="str">
        <f t="shared" ref="G33:G34" si="30">IF($E33*$C33=0,"",$E33*$C33)</f>
        <v/>
      </c>
      <c r="H33" s="483"/>
      <c r="I33" s="479"/>
      <c r="J33" s="484" t="str">
        <f t="shared" ref="J33:J34" si="31">IF(E33*(I33+H33)=0,"",E33*(I33+H33))</f>
        <v/>
      </c>
      <c r="K33" s="485" t="str">
        <f t="shared" ref="K33:K34" si="32">IF(C33-(H33+I33)=0,"",C33-(H33+I33))</f>
        <v/>
      </c>
      <c r="L33" s="486" t="str">
        <f t="shared" ref="L33:L34" si="33">IF(G33-J33=0,"",G33-J33)</f>
        <v/>
      </c>
      <c r="M33" s="487"/>
      <c r="N33" s="488" t="str">
        <f t="array" ref="N33">IFERROR(INDEX('Номенклатура_BAF'!$I$2:$I171, MATCH($B33, 'Номенклатура_BAF'!$B$2:$B171, 0)), "")</f>
        <v/>
      </c>
      <c r="O33" s="433"/>
      <c r="P33" s="476"/>
      <c r="Q33" s="476"/>
      <c r="R33" s="464"/>
      <c r="S33" s="464"/>
      <c r="T33" s="464"/>
    </row>
    <row r="34" ht="15.0" customHeight="1">
      <c r="A34" s="494" t="s">
        <v>126</v>
      </c>
      <c r="B34" s="495"/>
      <c r="C34" s="513"/>
      <c r="D34" s="479" t="str">
        <f t="array" ref="D34">IFERROR(INDEX('Номенклатура_BAF'!$C$2:$C171, MATCH($B34, 'Номенклатура_BAF'!$B$2:$B171, 0)), "")</f>
        <v/>
      </c>
      <c r="E34" s="480" t="str">
        <f t="array" ref="E34">IFERROR(INDEX(IF('КОШТОРИС'!$P$3, 'Номенклатура_BAF'!$E$2:$E171, 'Номенклатура_BAF'!$D$2:$D171), MATCH($B34, 'Номенклатура_BAF'!$B$2:$B171, 0)), "")</f>
        <v/>
      </c>
      <c r="F34" s="497"/>
      <c r="G34" s="501" t="str">
        <f t="shared" si="30"/>
        <v/>
      </c>
      <c r="H34" s="498"/>
      <c r="I34" s="496"/>
      <c r="J34" s="484" t="str">
        <f t="shared" si="31"/>
        <v/>
      </c>
      <c r="K34" s="485" t="str">
        <f t="shared" si="32"/>
        <v/>
      </c>
      <c r="L34" s="486" t="str">
        <f t="shared" si="33"/>
        <v/>
      </c>
      <c r="M34" s="487"/>
      <c r="N34" s="488" t="str">
        <f t="array" ref="N34">IFERROR(INDEX('Номенклатура_BAF'!$I$2:$I171, MATCH($B34, 'Номенклатура_BAF'!$B$2:$B171, 0)), "")</f>
        <v/>
      </c>
      <c r="O34" s="433"/>
      <c r="P34" s="514"/>
      <c r="Q34" s="476"/>
      <c r="R34" s="464"/>
      <c r="S34" s="464"/>
      <c r="T34" s="464"/>
    </row>
    <row r="35" ht="18.75" customHeight="1">
      <c r="A35" s="515" t="s">
        <v>127</v>
      </c>
      <c r="B35" s="516" t="s">
        <v>13</v>
      </c>
      <c r="C35" s="517"/>
      <c r="D35" s="517"/>
      <c r="E35" s="517"/>
      <c r="F35" s="518"/>
      <c r="G35" s="519">
        <f t="array" ref="G35">SUM(OFFSET(INDIRECT(ADDRESS(ROW(), COLUMN())), 1, 0, MATCH("Захист DC (основне)", $B:$B, 0) - ROW() - 1))</f>
        <v>0</v>
      </c>
      <c r="H35" s="520"/>
      <c r="I35" s="517"/>
      <c r="J35" s="521">
        <f t="array" ref="J35">SUM(OFFSET(INDIRECT(ADDRESS(ROW(), COLUMN())), 1, 0, MATCH("Захист DC (основне)", $B:$B, 0) - ROW() - 1))</f>
        <v>0</v>
      </c>
      <c r="K35" s="522"/>
      <c r="L35" s="475">
        <f t="array" ref="L35">SUM(OFFSET(INDIRECT(ADDRESS(ROW(), COLUMN())), 1, 0, MATCH("Захист DC (основне)", $B:$B, 0) - ROW() - 1))</f>
        <v>0</v>
      </c>
      <c r="M35" s="487"/>
      <c r="N35" s="488" t="str">
        <f t="array" ref="N35">IFERROR(INDEX('Номенклатура_BAF'!$I$2:$I171, MATCH($B35, 'Номенклатура_BAF'!$B$2:$B171, 0)), "")</f>
        <v/>
      </c>
      <c r="O35" s="523"/>
      <c r="P35" s="514"/>
      <c r="Q35" s="476"/>
      <c r="R35" s="464"/>
      <c r="S35" s="464"/>
      <c r="T35" s="464"/>
    </row>
    <row r="36" ht="15.0" customHeight="1">
      <c r="A36" s="477" t="s">
        <v>128</v>
      </c>
      <c r="B36" s="478"/>
      <c r="C36" s="479"/>
      <c r="D36" s="479" t="str">
        <f t="array" ref="D36">IFERROR(INDEX('Номенклатура_BAF'!$C$2:$C171, MATCH($B36, 'Номенклатура_BAF'!$B$2:$B171, 0)), "")</f>
        <v/>
      </c>
      <c r="E36" s="480" t="str">
        <f t="array" ref="E36">IFERROR(INDEX(IF('КОШТОРИС'!$P$3, 'Номенклатура_BAF'!$E$2:$E171, 'Номенклатура_BAF'!$D$2:$D171), MATCH($B36, 'Номенклатура_BAF'!$B$2:$B171, 0)), "")</f>
        <v/>
      </c>
      <c r="F36" s="524"/>
      <c r="G36" s="501" t="str">
        <f t="shared" ref="G36:G50" si="34">IF($E36*$C36=0,"",$E36*$C36)</f>
        <v/>
      </c>
      <c r="H36" s="483"/>
      <c r="I36" s="479"/>
      <c r="J36" s="484" t="str">
        <f t="shared" ref="J36:J50" si="35">IF(E36*(I36+H36)=0,"",E36*(I36+H36))</f>
        <v/>
      </c>
      <c r="K36" s="485" t="str">
        <f t="shared" ref="K36:K50" si="36">IF(C36-(H36+I36)=0,"",C36-(H36+I36))</f>
        <v/>
      </c>
      <c r="L36" s="486" t="str">
        <f t="shared" ref="L36:L50" si="37">IF(G36-J36=0,"",G36-J36)</f>
        <v/>
      </c>
      <c r="M36" s="487"/>
      <c r="N36" s="488" t="str">
        <f t="array" ref="N36">IFERROR(INDEX('Номенклатура_BAF'!$I$2:$I171, MATCH($B36, 'Номенклатура_BAF'!$B$2:$B171, 0)), "")</f>
        <v/>
      </c>
      <c r="O36" s="433"/>
      <c r="P36" s="509"/>
      <c r="Q36" s="476"/>
      <c r="R36" s="464"/>
      <c r="S36" s="464"/>
      <c r="T36" s="464"/>
    </row>
    <row r="37" ht="15.0" customHeight="1">
      <c r="A37" s="489" t="s">
        <v>130</v>
      </c>
      <c r="B37" s="478"/>
      <c r="C37" s="491"/>
      <c r="D37" s="479" t="str">
        <f t="array" ref="D37">IFERROR(INDEX('Номенклатура_BAF'!$C$2:$C171, MATCH($B37, 'Номенклатура_BAF'!$B$2:$B171, 0)), "")</f>
        <v/>
      </c>
      <c r="E37" s="480" t="str">
        <f t="array" ref="E37">IFERROR(INDEX(IF('КОШТОРИС'!$P$3, 'Номенклатура_BAF'!$E$2:$E171, 'Номенклатура_BAF'!$D$2:$D171), MATCH($B37, 'Номенклатура_BAF'!$B$2:$B171, 0)), "")</f>
        <v/>
      </c>
      <c r="F37" s="525"/>
      <c r="G37" s="501" t="str">
        <f t="shared" si="34"/>
        <v/>
      </c>
      <c r="H37" s="493"/>
      <c r="I37" s="491"/>
      <c r="J37" s="484" t="str">
        <f t="shared" si="35"/>
        <v/>
      </c>
      <c r="K37" s="485" t="str">
        <f t="shared" si="36"/>
        <v/>
      </c>
      <c r="L37" s="486" t="str">
        <f t="shared" si="37"/>
        <v/>
      </c>
      <c r="M37" s="487"/>
      <c r="N37" s="488" t="str">
        <f t="array" ref="N37">IFERROR(INDEX('Номенклатура_BAF'!$I$2:$I171, MATCH($B37, 'Номенклатура_BAF'!$B$2:$B171, 0)), "")</f>
        <v/>
      </c>
      <c r="O37" s="433"/>
      <c r="P37" s="509"/>
      <c r="Q37" s="476"/>
      <c r="R37" s="464"/>
      <c r="S37" s="464"/>
      <c r="T37" s="464"/>
    </row>
    <row r="38" ht="15.0" customHeight="1">
      <c r="A38" s="489" t="s">
        <v>132</v>
      </c>
      <c r="B38" s="478"/>
      <c r="C38" s="491"/>
      <c r="D38" s="479" t="str">
        <f t="array" ref="D38">IFERROR(INDEX('Номенклатура_BAF'!$C$2:$C171, MATCH($B38, 'Номенклатура_BAF'!$B$2:$B171, 0)), "")</f>
        <v/>
      </c>
      <c r="E38" s="480" t="str">
        <f t="array" ref="E38">IFERROR(INDEX(IF('КОШТОРИС'!$P$3, 'Номенклатура_BAF'!$E$2:$E171, 'Номенклатура_BAF'!$D$2:$D171), MATCH($B38, 'Номенклатура_BAF'!$B$2:$B171, 0)), "")</f>
        <v/>
      </c>
      <c r="F38" s="492"/>
      <c r="G38" s="501" t="str">
        <f t="shared" si="34"/>
        <v/>
      </c>
      <c r="H38" s="493"/>
      <c r="I38" s="491"/>
      <c r="J38" s="484" t="str">
        <f t="shared" si="35"/>
        <v/>
      </c>
      <c r="K38" s="485" t="str">
        <f t="shared" si="36"/>
        <v/>
      </c>
      <c r="L38" s="486" t="str">
        <f t="shared" si="37"/>
        <v/>
      </c>
      <c r="M38" s="487"/>
      <c r="N38" s="488" t="str">
        <f t="array" ref="N38">IFERROR(INDEX('Номенклатура_BAF'!$I$2:$I171, MATCH($B38, 'Номенклатура_BAF'!$B$2:$B171, 0)), "")</f>
        <v/>
      </c>
      <c r="O38" s="433"/>
      <c r="P38" s="509"/>
      <c r="Q38" s="476"/>
      <c r="R38" s="464"/>
      <c r="S38" s="464"/>
      <c r="T38" s="464"/>
    </row>
    <row r="39" ht="15.0" customHeight="1">
      <c r="A39" s="489" t="s">
        <v>133</v>
      </c>
      <c r="B39" s="490"/>
      <c r="C39" s="491"/>
      <c r="D39" s="479" t="str">
        <f t="array" ref="D39">IFERROR(INDEX('Номенклатура_BAF'!$C$2:$C171, MATCH($B39, 'Номенклатура_BAF'!$B$2:$B171, 0)), "")</f>
        <v/>
      </c>
      <c r="E39" s="480" t="str">
        <f t="array" ref="E39">IFERROR(INDEX(IF('КОШТОРИС'!$P$3, 'Номенклатура_BAF'!$E$2:$E171, 'Номенклатура_BAF'!$D$2:$D171), MATCH($B39, 'Номенклатура_BAF'!$B$2:$B171, 0)), "")</f>
        <v/>
      </c>
      <c r="F39" s="492"/>
      <c r="G39" s="501" t="str">
        <f t="shared" si="34"/>
        <v/>
      </c>
      <c r="H39" s="493"/>
      <c r="I39" s="491"/>
      <c r="J39" s="484" t="str">
        <f t="shared" si="35"/>
        <v/>
      </c>
      <c r="K39" s="485" t="str">
        <f t="shared" si="36"/>
        <v/>
      </c>
      <c r="L39" s="486" t="str">
        <f t="shared" si="37"/>
        <v/>
      </c>
      <c r="M39" s="487"/>
      <c r="N39" s="488" t="str">
        <f t="array" ref="N39">IFERROR(INDEX('Номенклатура_BAF'!$I$2:$I171, MATCH($B39, 'Номенклатура_BAF'!$B$2:$B171, 0)), "")</f>
        <v/>
      </c>
      <c r="O39" s="433"/>
      <c r="P39" s="509"/>
      <c r="Q39" s="476"/>
      <c r="R39" s="464"/>
      <c r="S39" s="464"/>
      <c r="T39" s="464"/>
    </row>
    <row r="40" ht="15.0" customHeight="1">
      <c r="A40" s="489" t="s">
        <v>134</v>
      </c>
      <c r="B40" s="490"/>
      <c r="C40" s="491"/>
      <c r="D40" s="479" t="str">
        <f t="array" ref="D40">IFERROR(INDEX('Номенклатура_BAF'!$C$2:$C171, MATCH($B40, 'Номенклатура_BAF'!$B$2:$B171, 0)), "")</f>
        <v/>
      </c>
      <c r="E40" s="480" t="str">
        <f t="array" ref="E40">IFERROR(INDEX(IF('КОШТОРИС'!$P$3, 'Номенклатура_BAF'!$E$2:$E171, 'Номенклатура_BAF'!$D$2:$D171), MATCH($B40, 'Номенклатура_BAF'!$B$2:$B171, 0)), "")</f>
        <v/>
      </c>
      <c r="F40" s="492"/>
      <c r="G40" s="501" t="str">
        <f t="shared" si="34"/>
        <v/>
      </c>
      <c r="H40" s="493"/>
      <c r="I40" s="491"/>
      <c r="J40" s="484" t="str">
        <f t="shared" si="35"/>
        <v/>
      </c>
      <c r="K40" s="485" t="str">
        <f t="shared" si="36"/>
        <v/>
      </c>
      <c r="L40" s="486" t="str">
        <f t="shared" si="37"/>
        <v/>
      </c>
      <c r="M40" s="487"/>
      <c r="N40" s="488" t="str">
        <f t="array" ref="N40">IFERROR(INDEX('Номенклатура_BAF'!$I$2:$I171, MATCH($B40, 'Номенклатура_BAF'!$B$2:$B171, 0)), "")</f>
        <v/>
      </c>
      <c r="O40" s="433"/>
      <c r="P40" s="509"/>
      <c r="Q40" s="476"/>
      <c r="R40" s="464"/>
      <c r="S40" s="464"/>
      <c r="T40" s="464"/>
    </row>
    <row r="41" ht="15.0" customHeight="1">
      <c r="A41" s="489" t="s">
        <v>135</v>
      </c>
      <c r="B41" s="490"/>
      <c r="C41" s="491"/>
      <c r="D41" s="479" t="str">
        <f t="array" ref="D41">IFERROR(INDEX('Номенклатура_BAF'!$C$2:$C171, MATCH($B41, 'Номенклатура_BAF'!$B$2:$B171, 0)), "")</f>
        <v/>
      </c>
      <c r="E41" s="480" t="str">
        <f t="array" ref="E41">IFERROR(INDEX(IF('КОШТОРИС'!$P$3, 'Номенклатура_BAF'!$E$2:$E171, 'Номенклатура_BAF'!$D$2:$D171), MATCH($B41, 'Номенклатура_BAF'!$B$2:$B171, 0)), "")</f>
        <v/>
      </c>
      <c r="F41" s="492"/>
      <c r="G41" s="501" t="str">
        <f t="shared" si="34"/>
        <v/>
      </c>
      <c r="H41" s="493"/>
      <c r="I41" s="491"/>
      <c r="J41" s="484" t="str">
        <f t="shared" si="35"/>
        <v/>
      </c>
      <c r="K41" s="485" t="str">
        <f t="shared" si="36"/>
        <v/>
      </c>
      <c r="L41" s="486" t="str">
        <f t="shared" si="37"/>
        <v/>
      </c>
      <c r="M41" s="487"/>
      <c r="N41" s="488" t="str">
        <f t="array" ref="N41">IFERROR(INDEX('Номенклатура_BAF'!$I$2:$I171, MATCH($B41, 'Номенклатура_BAF'!$B$2:$B171, 0)), "")</f>
        <v/>
      </c>
      <c r="O41" s="433"/>
      <c r="P41" s="509"/>
      <c r="Q41" s="476"/>
      <c r="R41" s="464"/>
      <c r="S41" s="464"/>
      <c r="T41" s="464"/>
    </row>
    <row r="42" ht="15.0" customHeight="1">
      <c r="A42" s="489" t="s">
        <v>136</v>
      </c>
      <c r="B42" s="490"/>
      <c r="C42" s="491"/>
      <c r="D42" s="479" t="str">
        <f t="array" ref="D42">IFERROR(INDEX('Номенклатура_BAF'!$C$2:$C171, MATCH($B42, 'Номенклатура_BAF'!$B$2:$B171, 0)), "")</f>
        <v/>
      </c>
      <c r="E42" s="480" t="str">
        <f t="array" ref="E42">IFERROR(INDEX(IF('КОШТОРИС'!$P$3, 'Номенклатура_BAF'!$E$2:$E171, 'Номенклатура_BAF'!$D$2:$D171), MATCH($B42, 'Номенклатура_BAF'!$B$2:$B171, 0)), "")</f>
        <v/>
      </c>
      <c r="F42" s="492"/>
      <c r="G42" s="501" t="str">
        <f t="shared" si="34"/>
        <v/>
      </c>
      <c r="H42" s="493"/>
      <c r="I42" s="491"/>
      <c r="J42" s="484" t="str">
        <f t="shared" si="35"/>
        <v/>
      </c>
      <c r="K42" s="485" t="str">
        <f t="shared" si="36"/>
        <v/>
      </c>
      <c r="L42" s="486" t="str">
        <f t="shared" si="37"/>
        <v/>
      </c>
      <c r="M42" s="487"/>
      <c r="N42" s="488" t="str">
        <f t="array" ref="N42">IFERROR(INDEX('Номенклатура_BAF'!$I$2:$I171, MATCH($B42, 'Номенклатура_BAF'!$B$2:$B171, 0)), "")</f>
        <v/>
      </c>
      <c r="O42" s="433"/>
      <c r="P42" s="509"/>
      <c r="Q42" s="476"/>
      <c r="R42" s="464"/>
      <c r="S42" s="464"/>
      <c r="T42" s="464"/>
    </row>
    <row r="43" ht="15.0" customHeight="1">
      <c r="A43" s="489" t="s">
        <v>137</v>
      </c>
      <c r="B43" s="490"/>
      <c r="C43" s="491"/>
      <c r="D43" s="479" t="str">
        <f t="array" ref="D43">IFERROR(INDEX('Номенклатура_BAF'!$C$2:$C171, MATCH($B43, 'Номенклатура_BAF'!$B$2:$B171, 0)), "")</f>
        <v/>
      </c>
      <c r="E43" s="480" t="str">
        <f t="array" ref="E43">IFERROR(INDEX(IF('КОШТОРИС'!$P$3, 'Номенклатура_BAF'!$E$2:$E171, 'Номенклатура_BAF'!$D$2:$D171), MATCH($B43, 'Номенклатура_BAF'!$B$2:$B171, 0)), "")</f>
        <v/>
      </c>
      <c r="F43" s="492"/>
      <c r="G43" s="501" t="str">
        <f t="shared" si="34"/>
        <v/>
      </c>
      <c r="H43" s="493"/>
      <c r="I43" s="491"/>
      <c r="J43" s="484" t="str">
        <f t="shared" si="35"/>
        <v/>
      </c>
      <c r="K43" s="485" t="str">
        <f t="shared" si="36"/>
        <v/>
      </c>
      <c r="L43" s="486" t="str">
        <f t="shared" si="37"/>
        <v/>
      </c>
      <c r="M43" s="487"/>
      <c r="N43" s="488" t="str">
        <f t="array" ref="N43">IFERROR(INDEX('Номенклатура_BAF'!$I$2:$I171, MATCH($B43, 'Номенклатура_BAF'!$B$2:$B171, 0)), "")</f>
        <v/>
      </c>
      <c r="O43" s="433"/>
      <c r="P43" s="509"/>
      <c r="Q43" s="476"/>
      <c r="R43" s="464"/>
      <c r="S43" s="464"/>
      <c r="T43" s="464"/>
    </row>
    <row r="44" ht="15.0" customHeight="1">
      <c r="A44" s="489" t="s">
        <v>138</v>
      </c>
      <c r="B44" s="490"/>
      <c r="C44" s="491"/>
      <c r="D44" s="479" t="str">
        <f t="array" ref="D44">IFERROR(INDEX('Номенклатура_BAF'!$C$2:$C171, MATCH($B44, 'Номенклатура_BAF'!$B$2:$B171, 0)), "")</f>
        <v/>
      </c>
      <c r="E44" s="480" t="str">
        <f t="array" ref="E44">IFERROR(INDEX(IF('КОШТОРИС'!$P$3, 'Номенклатура_BAF'!$E$2:$E171, 'Номенклатура_BAF'!$D$2:$D171), MATCH($B44, 'Номенклатура_BAF'!$B$2:$B171, 0)), "")</f>
        <v/>
      </c>
      <c r="F44" s="492"/>
      <c r="G44" s="501" t="str">
        <f t="shared" si="34"/>
        <v/>
      </c>
      <c r="H44" s="493"/>
      <c r="I44" s="491"/>
      <c r="J44" s="484" t="str">
        <f t="shared" si="35"/>
        <v/>
      </c>
      <c r="K44" s="485" t="str">
        <f t="shared" si="36"/>
        <v/>
      </c>
      <c r="L44" s="486" t="str">
        <f t="shared" si="37"/>
        <v/>
      </c>
      <c r="M44" s="487"/>
      <c r="N44" s="488" t="str">
        <f t="array" ref="N44">IFERROR(INDEX('Номенклатура_BAF'!$I$2:$I171, MATCH($B44, 'Номенклатура_BAF'!$B$2:$B171, 0)), "")</f>
        <v/>
      </c>
      <c r="O44" s="433"/>
      <c r="P44" s="476"/>
      <c r="Q44" s="476"/>
      <c r="R44" s="464"/>
      <c r="S44" s="464"/>
      <c r="T44" s="464"/>
    </row>
    <row r="45" ht="15.0" customHeight="1">
      <c r="A45" s="494" t="s">
        <v>139</v>
      </c>
      <c r="B45" s="495"/>
      <c r="C45" s="496"/>
      <c r="D45" s="479" t="str">
        <f t="array" ref="D45">IFERROR(INDEX('Номенклатура_BAF'!$C$2:$C171, MATCH($B45, 'Номенклатура_BAF'!$B$2:$B171, 0)), "")</f>
        <v/>
      </c>
      <c r="E45" s="480" t="str">
        <f t="array" ref="E45">IFERROR(INDEX(IF('КОШТОРИС'!$P$3, 'Номенклатура_BAF'!$E$2:$E171, 'Номенклатура_BAF'!$D$2:$D171), MATCH($B45, 'Номенклатура_BAF'!$B$2:$B171, 0)), "")</f>
        <v/>
      </c>
      <c r="F45" s="497"/>
      <c r="G45" s="501" t="str">
        <f t="shared" si="34"/>
        <v/>
      </c>
      <c r="H45" s="498"/>
      <c r="I45" s="496"/>
      <c r="J45" s="484" t="str">
        <f t="shared" si="35"/>
        <v/>
      </c>
      <c r="K45" s="485" t="str">
        <f t="shared" si="36"/>
        <v/>
      </c>
      <c r="L45" s="486" t="str">
        <f t="shared" si="37"/>
        <v/>
      </c>
      <c r="M45" s="487"/>
      <c r="N45" s="488" t="str">
        <f t="array" ref="N45">IFERROR(INDEX('Номенклатура_BAF'!$I$2:$I171, MATCH($B45, 'Номенклатура_BAF'!$B$2:$B171, 0)), "")</f>
        <v/>
      </c>
      <c r="O45" s="433"/>
      <c r="P45" s="476"/>
      <c r="Q45" s="476"/>
      <c r="R45" s="464"/>
      <c r="S45" s="464"/>
      <c r="T45" s="464"/>
    </row>
    <row r="46" ht="15.0" customHeight="1">
      <c r="A46" s="494" t="s">
        <v>140</v>
      </c>
      <c r="B46" s="495"/>
      <c r="C46" s="496"/>
      <c r="D46" s="479" t="str">
        <f t="array" ref="D46">IFERROR(INDEX('Номенклатура_BAF'!$C$2:$C171, MATCH($B46, 'Номенклатура_BAF'!$B$2:$B171, 0)), "")</f>
        <v/>
      </c>
      <c r="E46" s="480" t="str">
        <f t="array" ref="E46">IFERROR(INDEX(IF('КОШТОРИС'!$P$3, 'Номенклатура_BAF'!$E$2:$E171, 'Номенклатура_BAF'!$D$2:$D171), MATCH($B46, 'Номенклатура_BAF'!$B$2:$B171, 0)), "")</f>
        <v/>
      </c>
      <c r="F46" s="497"/>
      <c r="G46" s="501" t="str">
        <f t="shared" si="34"/>
        <v/>
      </c>
      <c r="H46" s="498"/>
      <c r="I46" s="496"/>
      <c r="J46" s="484" t="str">
        <f t="shared" si="35"/>
        <v/>
      </c>
      <c r="K46" s="485" t="str">
        <f t="shared" si="36"/>
        <v/>
      </c>
      <c r="L46" s="486" t="str">
        <f t="shared" si="37"/>
        <v/>
      </c>
      <c r="M46" s="487"/>
      <c r="N46" s="488" t="str">
        <f t="array" ref="N46">IFERROR(INDEX('Номенклатура_BAF'!$I$2:$I171, MATCH($B46, 'Номенклатура_BAF'!$B$2:$B171, 0)), "")</f>
        <v/>
      </c>
      <c r="O46" s="433"/>
      <c r="P46" s="476"/>
      <c r="Q46" s="476"/>
      <c r="R46" s="464"/>
      <c r="S46" s="464"/>
      <c r="T46" s="464"/>
    </row>
    <row r="47" ht="15.0" customHeight="1">
      <c r="A47" s="494" t="s">
        <v>141</v>
      </c>
      <c r="B47" s="495"/>
      <c r="C47" s="496"/>
      <c r="D47" s="479" t="str">
        <f t="array" ref="D47">IFERROR(INDEX('Номенклатура_BAF'!$C$2:$C171, MATCH($B47, 'Номенклатура_BAF'!$B$2:$B171, 0)), "")</f>
        <v/>
      </c>
      <c r="E47" s="480" t="str">
        <f t="array" ref="E47">IFERROR(INDEX(IF('КОШТОРИС'!$P$3, 'Номенклатура_BAF'!$E$2:$E171, 'Номенклатура_BAF'!$D$2:$D171), MATCH($B47, 'Номенклатура_BAF'!$B$2:$B171, 0)), "")</f>
        <v/>
      </c>
      <c r="F47" s="497"/>
      <c r="G47" s="501" t="str">
        <f t="shared" si="34"/>
        <v/>
      </c>
      <c r="H47" s="498"/>
      <c r="I47" s="496"/>
      <c r="J47" s="484" t="str">
        <f t="shared" si="35"/>
        <v/>
      </c>
      <c r="K47" s="485" t="str">
        <f t="shared" si="36"/>
        <v/>
      </c>
      <c r="L47" s="486" t="str">
        <f t="shared" si="37"/>
        <v/>
      </c>
      <c r="M47" s="487"/>
      <c r="N47" s="488" t="str">
        <f t="array" ref="N47">IFERROR(INDEX('Номенклатура_BAF'!$I$2:$I171, MATCH($B47, 'Номенклатура_BAF'!$B$2:$B171, 0)), "")</f>
        <v/>
      </c>
      <c r="O47" s="433"/>
      <c r="P47" s="476"/>
      <c r="Q47" s="476"/>
      <c r="R47" s="464"/>
      <c r="S47" s="464"/>
      <c r="T47" s="464"/>
    </row>
    <row r="48" ht="15.0" customHeight="1">
      <c r="A48" s="494" t="s">
        <v>142</v>
      </c>
      <c r="B48" s="495"/>
      <c r="C48" s="496"/>
      <c r="D48" s="479" t="str">
        <f t="array" ref="D48">IFERROR(INDEX('Номенклатура_BAF'!$C$2:$C171, MATCH($B48, 'Номенклатура_BAF'!$B$2:$B171, 0)), "")</f>
        <v/>
      </c>
      <c r="E48" s="480" t="str">
        <f t="array" ref="E48">IFERROR(INDEX(IF('КОШТОРИС'!$P$3, 'Номенклатура_BAF'!$E$2:$E171, 'Номенклатура_BAF'!$D$2:$D171), MATCH($B48, 'Номенклатура_BAF'!$B$2:$B171, 0)), "")</f>
        <v/>
      </c>
      <c r="F48" s="497"/>
      <c r="G48" s="501" t="str">
        <f t="shared" si="34"/>
        <v/>
      </c>
      <c r="H48" s="498"/>
      <c r="I48" s="496"/>
      <c r="J48" s="484" t="str">
        <f t="shared" si="35"/>
        <v/>
      </c>
      <c r="K48" s="485" t="str">
        <f t="shared" si="36"/>
        <v/>
      </c>
      <c r="L48" s="486" t="str">
        <f t="shared" si="37"/>
        <v/>
      </c>
      <c r="M48" s="487"/>
      <c r="N48" s="488" t="str">
        <f t="array" ref="N48">IFERROR(INDEX('Номенклатура_BAF'!$I$2:$I171, MATCH($B48, 'Номенклатура_BAF'!$B$2:$B171, 0)), "")</f>
        <v/>
      </c>
      <c r="O48" s="433"/>
      <c r="P48" s="476"/>
      <c r="Q48" s="476"/>
      <c r="R48" s="464"/>
      <c r="S48" s="464"/>
      <c r="T48" s="464"/>
    </row>
    <row r="49" ht="15.0" customHeight="1">
      <c r="A49" s="494" t="s">
        <v>143</v>
      </c>
      <c r="B49" s="495"/>
      <c r="C49" s="496"/>
      <c r="D49" s="479" t="str">
        <f t="array" ref="D49">IFERROR(INDEX('Номенклатура_BAF'!$C$2:$C171, MATCH($B49, 'Номенклатура_BAF'!$B$2:$B171, 0)), "")</f>
        <v/>
      </c>
      <c r="E49" s="480" t="str">
        <f t="array" ref="E49">IFERROR(INDEX(IF('КОШТОРИС'!$P$3, 'Номенклатура_BAF'!$E$2:$E171, 'Номенклатура_BAF'!$D$2:$D171), MATCH($B49, 'Номенклатура_BAF'!$B$2:$B171, 0)), "")</f>
        <v/>
      </c>
      <c r="F49" s="497"/>
      <c r="G49" s="501" t="str">
        <f t="shared" si="34"/>
        <v/>
      </c>
      <c r="H49" s="498"/>
      <c r="I49" s="496"/>
      <c r="J49" s="484" t="str">
        <f t="shared" si="35"/>
        <v/>
      </c>
      <c r="K49" s="485" t="str">
        <f t="shared" si="36"/>
        <v/>
      </c>
      <c r="L49" s="486" t="str">
        <f t="shared" si="37"/>
        <v/>
      </c>
      <c r="M49" s="487"/>
      <c r="N49" s="488" t="str">
        <f t="array" ref="N49">IFERROR(INDEX('Номенклатура_BAF'!$I$2:$I171, MATCH($B49, 'Номенклатура_BAF'!$B$2:$B171, 0)), "")</f>
        <v/>
      </c>
      <c r="O49" s="433"/>
      <c r="P49" s="476"/>
      <c r="Q49" s="476"/>
      <c r="R49" s="464"/>
      <c r="S49" s="464"/>
      <c r="T49" s="464"/>
    </row>
    <row r="50" ht="15.0" customHeight="1">
      <c r="A50" s="494" t="s">
        <v>144</v>
      </c>
      <c r="B50" s="495"/>
      <c r="C50" s="496"/>
      <c r="D50" s="479" t="str">
        <f t="array" ref="D50">IFERROR(INDEX('Номенклатура_BAF'!$C$2:$C171, MATCH($B50, 'Номенклатура_BAF'!$B$2:$B171, 0)), "")</f>
        <v/>
      </c>
      <c r="E50" s="480" t="str">
        <f t="array" ref="E50">IFERROR(INDEX(IF('КОШТОРИС'!$P$3, 'Номенклатура_BAF'!$E$2:$E171, 'Номенклатура_BAF'!$D$2:$D171), MATCH($B50, 'Номенклатура_BAF'!$B$2:$B171, 0)), "")</f>
        <v/>
      </c>
      <c r="F50" s="497"/>
      <c r="G50" s="501" t="str">
        <f t="shared" si="34"/>
        <v/>
      </c>
      <c r="H50" s="498"/>
      <c r="I50" s="496"/>
      <c r="J50" s="484" t="str">
        <f t="shared" si="35"/>
        <v/>
      </c>
      <c r="K50" s="485" t="str">
        <f t="shared" si="36"/>
        <v/>
      </c>
      <c r="L50" s="486" t="str">
        <f t="shared" si="37"/>
        <v/>
      </c>
      <c r="M50" s="487"/>
      <c r="N50" s="488" t="str">
        <f t="array" ref="N50">IFERROR(INDEX('Номенклатура_BAF'!$I$2:$I171, MATCH($B50, 'Номенклатура_BAF'!$B$2:$B171, 0)), "")</f>
        <v/>
      </c>
      <c r="O50" s="433"/>
      <c r="P50" s="476"/>
      <c r="Q50" s="476"/>
      <c r="R50" s="464"/>
      <c r="S50" s="464"/>
      <c r="T50" s="464"/>
    </row>
    <row r="51" ht="18.75" customHeight="1">
      <c r="A51" s="526" t="s">
        <v>145</v>
      </c>
      <c r="B51" s="527" t="s">
        <v>146</v>
      </c>
      <c r="C51" s="528"/>
      <c r="D51" s="528"/>
      <c r="E51" s="528"/>
      <c r="F51" s="529"/>
      <c r="G51" s="530">
        <f t="array" ref="G51">SUM(OFFSET(INDIRECT(ADDRESS(ROW(), COLUMN())), 1, 0, MATCH("Захист AC (основне)", $B:$B, 0) - ROW() - 1))</f>
        <v>0</v>
      </c>
      <c r="H51" s="531"/>
      <c r="I51" s="528"/>
      <c r="J51" s="532">
        <f t="array" ref="J51">SUM(OFFSET(INDIRECT(ADDRESS(ROW(), COLUMN())), 1, 0, MATCH("Захист AC (основне)", $B:$B, 0) - ROW() - 1))</f>
        <v>0</v>
      </c>
      <c r="K51" s="533"/>
      <c r="L51" s="475">
        <f t="array" ref="L51">SUM(OFFSET(INDIRECT(ADDRESS(ROW(), COLUMN())), 1, 0, MATCH("Захист AC (основне)", $B:$B, 0) - ROW() - 1))</f>
        <v>0</v>
      </c>
      <c r="M51" s="487"/>
      <c r="N51" s="488" t="str">
        <f t="array" ref="N51">IFERROR(INDEX('Номенклатура_BAF'!$I$2:$I171, MATCH($B51, 'Номенклатура_BAF'!$B$2:$B171, 0)), "")</f>
        <v/>
      </c>
      <c r="O51" s="508"/>
      <c r="P51" s="508"/>
      <c r="Q51" s="508"/>
      <c r="R51" s="508"/>
      <c r="S51" s="508"/>
      <c r="T51" s="464"/>
    </row>
    <row r="52" ht="15.0" customHeight="1">
      <c r="A52" s="477" t="s">
        <v>147</v>
      </c>
      <c r="B52" s="478"/>
      <c r="C52" s="479"/>
      <c r="D52" s="479" t="str">
        <f t="array" ref="D52">IFERROR(INDEX('Номенклатура_BAF'!$C$2:$C171, MATCH($B52, 'Номенклатура_BAF'!$B$2:$B171, 0)), "")</f>
        <v/>
      </c>
      <c r="E52" s="480" t="str">
        <f t="array" ref="E52">IFERROR(INDEX(IF('КОШТОРИС'!$P$3, 'Номенклатура_BAF'!$E$2:$E171, 'Номенклатура_BAF'!$D$2:$D171), MATCH($B52, 'Номенклатура_BAF'!$B$2:$B171, 0)), "")</f>
        <v/>
      </c>
      <c r="F52" s="481"/>
      <c r="G52" s="501" t="str">
        <f t="shared" ref="G52:G61" si="38">IF($E52*$C52=0,"",$E52*$C52)</f>
        <v/>
      </c>
      <c r="H52" s="483"/>
      <c r="I52" s="479"/>
      <c r="J52" s="484" t="str">
        <f t="shared" ref="J52:J61" si="39">IF(E52*(I52+H52)=0,"",E52*(I52+H52))</f>
        <v/>
      </c>
      <c r="K52" s="485" t="str">
        <f t="shared" ref="K52:K61" si="40">IF(C52-(H52+I52)=0,"",C52-(H52+I52))</f>
        <v/>
      </c>
      <c r="L52" s="486" t="str">
        <f t="shared" ref="L52:L61" si="41">IF(G52-J52=0,"",G52-J52)</f>
        <v/>
      </c>
      <c r="M52" s="534" t="str">
        <f t="array" ref="M52">IFERROR(IF(ISNUMBER(INDEX('Номенклатура_BAF'!$G$2:$G171, MATCH($B52, 'Номенклатура_BAF'!$B$2:$B171, 0))), 
    INDEX('Номенклатура_BAF'!$G$2:$G171, MATCH($B52, 'Номенклатура_BAF'!$B$2:$B171, 0)) * 'КОШТОРИС'!C52, 
    ""), 
"")</f>
        <v/>
      </c>
      <c r="N52" s="488" t="str">
        <f t="array" ref="N52">IFERROR(INDEX('Номенклатура_BAF'!$I$2:$I171, MATCH($B52, 'Номенклатура_BAF'!$B$2:$B171, 0)), "")</f>
        <v/>
      </c>
      <c r="O52" s="508"/>
      <c r="P52" s="508"/>
      <c r="Q52" s="508"/>
      <c r="R52" s="508"/>
      <c r="S52" s="508"/>
      <c r="T52" s="464"/>
    </row>
    <row r="53" ht="15.0" customHeight="1">
      <c r="A53" s="489" t="s">
        <v>149</v>
      </c>
      <c r="B53" s="490"/>
      <c r="C53" s="491"/>
      <c r="D53" s="479" t="str">
        <f t="array" ref="D53">IFERROR(INDEX('Номенклатура_BAF'!$C$2:$C171, MATCH($B53, 'Номенклатура_BAF'!$B$2:$B171, 0)), "")</f>
        <v/>
      </c>
      <c r="E53" s="480" t="str">
        <f t="array" ref="E53">IFERROR(INDEX(IF('КОШТОРИС'!$P$3, 'Номенклатура_BAF'!$E$2:$E171, 'Номенклатура_BAF'!$D$2:$D171), MATCH($B53, 'Номенклатура_BAF'!$B$2:$B171, 0)), "")</f>
        <v/>
      </c>
      <c r="F53" s="492"/>
      <c r="G53" s="501" t="str">
        <f t="shared" si="38"/>
        <v/>
      </c>
      <c r="H53" s="493"/>
      <c r="I53" s="491"/>
      <c r="J53" s="484" t="str">
        <f t="shared" si="39"/>
        <v/>
      </c>
      <c r="K53" s="485" t="str">
        <f t="shared" si="40"/>
        <v/>
      </c>
      <c r="L53" s="486" t="str">
        <f t="shared" si="41"/>
        <v/>
      </c>
      <c r="M53" s="534" t="str">
        <f t="array" ref="M53">IFERROR(IF(ISNUMBER(INDEX('Номенклатура_BAF'!$G$2:$G171, MATCH($B53, 'Номенклатура_BAF'!$B$2:$B171, 0))), 
    INDEX('Номенклатура_BAF'!$G$2:$G171, MATCH($B53, 'Номенклатура_BAF'!$B$2:$B171, 0)) * 'КОШТОРИС'!C53, 
    ""), 
"")</f>
        <v/>
      </c>
      <c r="N53" s="488" t="str">
        <f t="array" ref="N53">IFERROR(INDEX('Номенклатура_BAF'!$I$2:$I171, MATCH($B53, 'Номенклатура_BAF'!$B$2:$B171, 0)), "")</f>
        <v/>
      </c>
      <c r="O53" s="508"/>
      <c r="P53" s="508"/>
      <c r="Q53" s="508"/>
      <c r="R53" s="508"/>
      <c r="S53" s="508"/>
      <c r="T53" s="464"/>
    </row>
    <row r="54" ht="15.0" customHeight="1">
      <c r="A54" s="489" t="s">
        <v>151</v>
      </c>
      <c r="B54" s="490"/>
      <c r="C54" s="491"/>
      <c r="D54" s="479" t="str">
        <f t="array" ref="D54">IFERROR(INDEX('Номенклатура_BAF'!$C$2:$C171, MATCH($B54, 'Номенклатура_BAF'!$B$2:$B171, 0)), "")</f>
        <v/>
      </c>
      <c r="E54" s="480" t="str">
        <f t="array" ref="E54">IFERROR(INDEX(IF('КОШТОРИС'!$P$3, 'Номенклатура_BAF'!$E$2:$E171, 'Номенклатура_BAF'!$D$2:$D171), MATCH($B54, 'Номенклатура_BAF'!$B$2:$B171, 0)), "")</f>
        <v/>
      </c>
      <c r="F54" s="492"/>
      <c r="G54" s="501" t="str">
        <f t="shared" si="38"/>
        <v/>
      </c>
      <c r="H54" s="493"/>
      <c r="I54" s="491"/>
      <c r="J54" s="484" t="str">
        <f t="shared" si="39"/>
        <v/>
      </c>
      <c r="K54" s="485" t="str">
        <f t="shared" si="40"/>
        <v/>
      </c>
      <c r="L54" s="486" t="str">
        <f t="shared" si="41"/>
        <v/>
      </c>
      <c r="M54" s="534" t="str">
        <f t="array" ref="M54">IFERROR(IF(ISNUMBER(INDEX('Номенклатура_BAF'!$G$2:$G171, MATCH($B54, 'Номенклатура_BAF'!$B$2:$B171, 0))), 
    INDEX('Номенклатура_BAF'!$G$2:$G171, MATCH($B54, 'Номенклатура_BAF'!$B$2:$B171, 0)) * 'КОШТОРИС'!C54, 
    ""), 
"")</f>
        <v/>
      </c>
      <c r="N54" s="488" t="str">
        <f t="array" ref="N54">IFERROR(INDEX('Номенклатура_BAF'!$I$2:$I171, MATCH($B54, 'Номенклатура_BAF'!$B$2:$B171, 0)), "")</f>
        <v/>
      </c>
      <c r="O54" s="508"/>
      <c r="P54" s="508"/>
      <c r="Q54" s="508"/>
      <c r="R54" s="508"/>
      <c r="S54" s="508"/>
      <c r="T54" s="464"/>
    </row>
    <row r="55" ht="15.0" customHeight="1">
      <c r="A55" s="489" t="s">
        <v>153</v>
      </c>
      <c r="B55" s="490"/>
      <c r="C55" s="491"/>
      <c r="D55" s="479" t="str">
        <f t="array" ref="D55">IFERROR(INDEX('Номенклатура_BAF'!$C$2:$C171, MATCH($B55, 'Номенклатура_BAF'!$B$2:$B171, 0)), "")</f>
        <v/>
      </c>
      <c r="E55" s="480" t="str">
        <f t="array" ref="E55">IFERROR(INDEX(IF('КОШТОРИС'!$P$3, 'Номенклатура_BAF'!$E$2:$E171, 'Номенклатура_BAF'!$D$2:$D171), MATCH($B55, 'Номенклатура_BAF'!$B$2:$B171, 0)), "")</f>
        <v/>
      </c>
      <c r="F55" s="492"/>
      <c r="G55" s="501" t="str">
        <f t="shared" si="38"/>
        <v/>
      </c>
      <c r="H55" s="493"/>
      <c r="I55" s="491"/>
      <c r="J55" s="484" t="str">
        <f t="shared" si="39"/>
        <v/>
      </c>
      <c r="K55" s="485" t="str">
        <f t="shared" si="40"/>
        <v/>
      </c>
      <c r="L55" s="486" t="str">
        <f t="shared" si="41"/>
        <v/>
      </c>
      <c r="M55" s="534" t="str">
        <f t="array" ref="M55">IFERROR(IF(ISNUMBER(INDEX('Номенклатура_BAF'!$G$2:$G171, MATCH($B55, 'Номенклатура_BAF'!$B$2:$B171, 0))), 
    INDEX('Номенклатура_BAF'!$G$2:$G171, MATCH($B55, 'Номенклатура_BAF'!$B$2:$B171, 0)) * 'КОШТОРИС'!C55, 
    ""), 
"")</f>
        <v/>
      </c>
      <c r="N55" s="488" t="str">
        <f t="array" ref="N55">IFERROR(INDEX('Номенклатура_BAF'!$I$2:$I171, MATCH($B55, 'Номенклатура_BAF'!$B$2:$B171, 0)), "")</f>
        <v/>
      </c>
      <c r="O55" s="508"/>
      <c r="P55" s="508"/>
      <c r="Q55" s="508"/>
      <c r="R55" s="508"/>
      <c r="S55" s="508"/>
      <c r="T55" s="464"/>
    </row>
    <row r="56" ht="15.0" customHeight="1">
      <c r="A56" s="489" t="s">
        <v>155</v>
      </c>
      <c r="B56" s="490"/>
      <c r="C56" s="491"/>
      <c r="D56" s="479" t="str">
        <f t="array" ref="D56">IFERROR(INDEX('Номенклатура_BAF'!$C$2:$C171, MATCH($B56, 'Номенклатура_BAF'!$B$2:$B171, 0)), "")</f>
        <v/>
      </c>
      <c r="E56" s="480" t="str">
        <f t="array" ref="E56">IFERROR(INDEX(IF('КОШТОРИС'!$P$3, 'Номенклатура_BAF'!$E$2:$E171, 'Номенклатура_BAF'!$D$2:$D171), MATCH($B56, 'Номенклатура_BAF'!$B$2:$B171, 0)), "")</f>
        <v/>
      </c>
      <c r="F56" s="492"/>
      <c r="G56" s="501" t="str">
        <f t="shared" si="38"/>
        <v/>
      </c>
      <c r="H56" s="493"/>
      <c r="I56" s="491"/>
      <c r="J56" s="484" t="str">
        <f t="shared" si="39"/>
        <v/>
      </c>
      <c r="K56" s="485" t="str">
        <f t="shared" si="40"/>
        <v/>
      </c>
      <c r="L56" s="486" t="str">
        <f t="shared" si="41"/>
        <v/>
      </c>
      <c r="M56" s="534" t="str">
        <f t="array" ref="M56">IFERROR(IF(ISNUMBER(INDEX('Номенклатура_BAF'!$G$2:$G171, MATCH($B56, 'Номенклатура_BAF'!$B$2:$B171, 0))), 
    INDEX('Номенклатура_BAF'!$G$2:$G171, MATCH($B56, 'Номенклатура_BAF'!$B$2:$B171, 0)) * 'КОШТОРИС'!C56, 
    ""), 
"")</f>
        <v/>
      </c>
      <c r="N56" s="488" t="str">
        <f t="array" ref="N56">IFERROR(INDEX('Номенклатура_BAF'!$I$2:$I171, MATCH($B56, 'Номенклатура_BAF'!$B$2:$B171, 0)), "")</f>
        <v/>
      </c>
      <c r="O56" s="508"/>
      <c r="P56" s="508"/>
      <c r="Q56" s="508"/>
      <c r="R56" s="508"/>
      <c r="S56" s="508"/>
      <c r="T56" s="464"/>
    </row>
    <row r="57" ht="15.0" customHeight="1">
      <c r="A57" s="489" t="s">
        <v>156</v>
      </c>
      <c r="B57" s="490"/>
      <c r="C57" s="491"/>
      <c r="D57" s="479" t="str">
        <f t="array" ref="D57">IFERROR(INDEX('Номенклатура_BAF'!$C$2:$C171, MATCH($B57, 'Номенклатура_BAF'!$B$2:$B171, 0)), "")</f>
        <v/>
      </c>
      <c r="E57" s="480" t="str">
        <f t="array" ref="E57">IFERROR(INDEX(IF('КОШТОРИС'!$P$3, 'Номенклатура_BAF'!$E$2:$E171, 'Номенклатура_BAF'!$D$2:$D171), MATCH($B57, 'Номенклатура_BAF'!$B$2:$B171, 0)), "")</f>
        <v/>
      </c>
      <c r="F57" s="492"/>
      <c r="G57" s="501" t="str">
        <f t="shared" si="38"/>
        <v/>
      </c>
      <c r="H57" s="493"/>
      <c r="I57" s="491"/>
      <c r="J57" s="484" t="str">
        <f t="shared" si="39"/>
        <v/>
      </c>
      <c r="K57" s="485" t="str">
        <f t="shared" si="40"/>
        <v/>
      </c>
      <c r="L57" s="486" t="str">
        <f t="shared" si="41"/>
        <v/>
      </c>
      <c r="M57" s="534" t="str">
        <f t="array" ref="M57">IFERROR(IF(ISNUMBER(INDEX('Номенклатура_BAF'!$G$2:$G171, MATCH($B57, 'Номенклатура_BAF'!$B$2:$B171, 0))), 
    INDEX('Номенклатура_BAF'!$G$2:$G171, MATCH($B57, 'Номенклатура_BAF'!$B$2:$B171, 0)) * 'КОШТОРИС'!C57, 
    ""), 
"")</f>
        <v/>
      </c>
      <c r="N57" s="488" t="str">
        <f t="array" ref="N57">IFERROR(INDEX('Номенклатура_BAF'!$I$2:$I171, MATCH($B57, 'Номенклатура_BAF'!$B$2:$B171, 0)), "")</f>
        <v/>
      </c>
      <c r="O57" s="508"/>
      <c r="P57" s="508"/>
      <c r="Q57" s="508"/>
      <c r="R57" s="508"/>
      <c r="S57" s="508"/>
      <c r="T57" s="464"/>
    </row>
    <row r="58" ht="15.0" customHeight="1">
      <c r="A58" s="489" t="s">
        <v>157</v>
      </c>
      <c r="B58" s="490"/>
      <c r="C58" s="491"/>
      <c r="D58" s="479" t="str">
        <f t="array" ref="D58">IFERROR(INDEX('Номенклатура_BAF'!$C$2:$C171, MATCH($B58, 'Номенклатура_BAF'!$B$2:$B171, 0)), "")</f>
        <v/>
      </c>
      <c r="E58" s="480" t="str">
        <f t="array" ref="E58">IFERROR(INDEX(IF('КОШТОРИС'!$P$3, 'Номенклатура_BAF'!$E$2:$E171, 'Номенклатура_BAF'!$D$2:$D171), MATCH($B58, 'Номенклатура_BAF'!$B$2:$B171, 0)), "")</f>
        <v/>
      </c>
      <c r="F58" s="492"/>
      <c r="G58" s="501" t="str">
        <f t="shared" si="38"/>
        <v/>
      </c>
      <c r="H58" s="493"/>
      <c r="I58" s="491"/>
      <c r="J58" s="484" t="str">
        <f t="shared" si="39"/>
        <v/>
      </c>
      <c r="K58" s="485" t="str">
        <f t="shared" si="40"/>
        <v/>
      </c>
      <c r="L58" s="486" t="str">
        <f t="shared" si="41"/>
        <v/>
      </c>
      <c r="M58" s="534" t="str">
        <f t="array" ref="M58">IFERROR(IF(ISNUMBER(INDEX('Номенклатура_BAF'!$G$2:$G171, MATCH($B58, 'Номенклатура_BAF'!$B$2:$B171, 0))), 
    INDEX('Номенклатура_BAF'!$G$2:$G171, MATCH($B58, 'Номенклатура_BAF'!$B$2:$B171, 0)) * 'КОШТОРИС'!C58, 
    ""), 
"")</f>
        <v/>
      </c>
      <c r="N58" s="488" t="str">
        <f t="array" ref="N58">IFERROR(INDEX('Номенклатура_BAF'!$I$2:$I171, MATCH($B58, 'Номенклатура_BAF'!$B$2:$B171, 0)), "")</f>
        <v/>
      </c>
      <c r="O58" s="508"/>
      <c r="P58" s="508"/>
      <c r="Q58" s="508"/>
      <c r="R58" s="508"/>
      <c r="S58" s="508"/>
      <c r="T58" s="464"/>
    </row>
    <row r="59" ht="15.0" customHeight="1">
      <c r="A59" s="489" t="s">
        <v>158</v>
      </c>
      <c r="B59" s="490"/>
      <c r="C59" s="491"/>
      <c r="D59" s="479" t="str">
        <f t="array" ref="D59">IFERROR(INDEX('Номенклатура_BAF'!$C$2:$C171, MATCH($B59, 'Номенклатура_BAF'!$B$2:$B171, 0)), "")</f>
        <v/>
      </c>
      <c r="E59" s="480" t="str">
        <f t="array" ref="E59">IFERROR(INDEX(IF('КОШТОРИС'!$P$3, 'Номенклатура_BAF'!$E$2:$E171, 'Номенклатура_BAF'!$D$2:$D171), MATCH($B59, 'Номенклатура_BAF'!$B$2:$B171, 0)), "")</f>
        <v/>
      </c>
      <c r="F59" s="492"/>
      <c r="G59" s="501" t="str">
        <f t="shared" si="38"/>
        <v/>
      </c>
      <c r="H59" s="493"/>
      <c r="I59" s="491"/>
      <c r="J59" s="484" t="str">
        <f t="shared" si="39"/>
        <v/>
      </c>
      <c r="K59" s="485" t="str">
        <f t="shared" si="40"/>
        <v/>
      </c>
      <c r="L59" s="486" t="str">
        <f t="shared" si="41"/>
        <v/>
      </c>
      <c r="M59" s="534" t="str">
        <f t="array" ref="M59">IFERROR(IF(ISNUMBER(INDEX('Номенклатура_BAF'!$G$2:$G171, MATCH($B59, 'Номенклатура_BAF'!$B$2:$B171, 0))), 
    INDEX('Номенклатура_BAF'!$G$2:$G171, MATCH($B59, 'Номенклатура_BAF'!$B$2:$B171, 0)) * 'КОШТОРИС'!C59, 
    ""), 
"")</f>
        <v/>
      </c>
      <c r="N59" s="488" t="str">
        <f t="array" ref="N59">IFERROR(INDEX('Номенклатура_BAF'!$I$2:$I171, MATCH($B59, 'Номенклатура_BAF'!$B$2:$B171, 0)), "")</f>
        <v/>
      </c>
      <c r="O59" s="508"/>
      <c r="P59" s="508"/>
      <c r="Q59" s="508"/>
      <c r="R59" s="508"/>
      <c r="S59" s="508"/>
      <c r="T59" s="464"/>
    </row>
    <row r="60" ht="15.0" customHeight="1">
      <c r="A60" s="489" t="s">
        <v>159</v>
      </c>
      <c r="B60" s="490"/>
      <c r="C60" s="491"/>
      <c r="D60" s="479" t="str">
        <f t="array" ref="D60">IFERROR(INDEX('Номенклатура_BAF'!$C$2:$C171, MATCH($B60, 'Номенклатура_BAF'!$B$2:$B171, 0)), "")</f>
        <v/>
      </c>
      <c r="E60" s="480" t="str">
        <f t="array" ref="E60">IFERROR(INDEX(IF('КОШТОРИС'!$P$3, 'Номенклатура_BAF'!$E$2:$E171, 'Номенклатура_BAF'!$D$2:$D171), MATCH($B60, 'Номенклатура_BAF'!$B$2:$B171, 0)), "")</f>
        <v/>
      </c>
      <c r="F60" s="492"/>
      <c r="G60" s="501" t="str">
        <f t="shared" si="38"/>
        <v/>
      </c>
      <c r="H60" s="493"/>
      <c r="I60" s="491"/>
      <c r="J60" s="484" t="str">
        <f t="shared" si="39"/>
        <v/>
      </c>
      <c r="K60" s="485" t="str">
        <f t="shared" si="40"/>
        <v/>
      </c>
      <c r="L60" s="486" t="str">
        <f t="shared" si="41"/>
        <v/>
      </c>
      <c r="M60" s="534" t="str">
        <f t="array" ref="M60">IFERROR(IF(ISNUMBER(INDEX('Номенклатура_BAF'!$G$2:$G171, MATCH($B60, 'Номенклатура_BAF'!$B$2:$B171, 0))), 
    INDEX('Номенклатура_BAF'!$G$2:$G171, MATCH($B60, 'Номенклатура_BAF'!$B$2:$B171, 0)) * 'КОШТОРИС'!C60, 
    ""), 
"")</f>
        <v/>
      </c>
      <c r="N60" s="488" t="str">
        <f t="array" ref="N60">IFERROR(INDEX('Номенклатура_BAF'!$I$2:$I171, MATCH($B60, 'Номенклатура_BAF'!$B$2:$B171, 0)), "")</f>
        <v/>
      </c>
      <c r="O60" s="508"/>
      <c r="P60" s="508"/>
      <c r="Q60" s="508"/>
      <c r="R60" s="508"/>
      <c r="S60" s="508"/>
      <c r="T60" s="464"/>
    </row>
    <row r="61" ht="15.0" customHeight="1">
      <c r="A61" s="494" t="s">
        <v>160</v>
      </c>
      <c r="B61" s="495"/>
      <c r="C61" s="496"/>
      <c r="D61" s="535" t="str">
        <f t="array" ref="D61">IFERROR(INDEX('Номенклатура_BAF'!$C$2:$C171, MATCH($B61, 'Номенклатура_BAF'!$B$2:$B171, 0)), "")</f>
        <v/>
      </c>
      <c r="E61" s="480" t="str">
        <f t="array" ref="E61">IFERROR(INDEX(IF('КОШТОРИС'!$P$3, 'Номенклатура_BAF'!$E$2:$E171, 'Номенклатура_BAF'!$D$2:$D171), MATCH($B61, 'Номенклатура_BAF'!$B$2:$B171, 0)), "")</f>
        <v/>
      </c>
      <c r="F61" s="497"/>
      <c r="G61" s="536" t="str">
        <f t="shared" si="38"/>
        <v/>
      </c>
      <c r="H61" s="498"/>
      <c r="I61" s="496"/>
      <c r="J61" s="537" t="str">
        <f t="shared" si="39"/>
        <v/>
      </c>
      <c r="K61" s="538" t="str">
        <f t="shared" si="40"/>
        <v/>
      </c>
      <c r="L61" s="486" t="str">
        <f t="shared" si="41"/>
        <v/>
      </c>
      <c r="M61" s="534" t="str">
        <f t="array" ref="M61">IFERROR(IF(ISNUMBER(INDEX('Номенклатура_BAF'!$G$2:$G171, MATCH($B61, 'Номенклатура_BAF'!$B$2:$B171, 0))), 
    INDEX('Номенклатура_BAF'!$G$2:$G171, MATCH($B61, 'Номенклатура_BAF'!$B$2:$B171, 0)) * 'КОШТОРИС'!C61, 
    ""), 
"")</f>
        <v/>
      </c>
      <c r="N61" s="488" t="str">
        <f t="array" ref="N61">IFERROR(INDEX('Номенклатура_BAF'!$I$2:$I171, MATCH($B61, 'Номенклатура_BAF'!$B$2:$B171, 0)), "")</f>
        <v/>
      </c>
      <c r="O61" s="508"/>
      <c r="P61" s="508"/>
      <c r="Q61" s="508"/>
      <c r="R61" s="508"/>
      <c r="S61" s="508"/>
      <c r="T61" s="464"/>
    </row>
    <row r="62" ht="18.75" customHeight="1">
      <c r="A62" s="526" t="s">
        <v>161</v>
      </c>
      <c r="B62" s="539" t="s">
        <v>162</v>
      </c>
      <c r="C62" s="528"/>
      <c r="D62" s="528"/>
      <c r="E62" s="528"/>
      <c r="F62" s="529"/>
      <c r="G62" s="540"/>
      <c r="H62" s="541"/>
      <c r="I62" s="542"/>
      <c r="J62" s="543"/>
      <c r="K62" s="544"/>
      <c r="L62" s="486"/>
      <c r="M62" s="545">
        <f t="array" ref="M62">SUM(INDIRECT("M" &amp; MATCH("Захист DC (основне)", B:B, 0) + 1):INDIRECT("M" &amp; MATCH("Щит DC", B:B, 0) - 1))</f>
        <v>0</v>
      </c>
      <c r="N62" s="488" t="str">
        <f t="array" ref="N62">IFERROR(INDEX('Номенклатура_BAF'!$I$2:$I171, MATCH($B62, 'Номенклатура_BAF'!$B$2:$B171, 0)), "")</f>
        <v/>
      </c>
      <c r="O62" s="508"/>
      <c r="P62" s="508"/>
      <c r="Q62" s="508"/>
      <c r="R62" s="508"/>
      <c r="S62" s="508"/>
      <c r="T62" s="464"/>
    </row>
    <row r="63" ht="15.0" customHeight="1">
      <c r="A63" s="477" t="s">
        <v>163</v>
      </c>
      <c r="B63" s="478"/>
      <c r="C63" s="479"/>
      <c r="D63" s="479" t="str">
        <f t="array" ref="D63">IFERROR(INDEX('Номенклатура_BAF'!$C$2:$C171, MATCH($B63, 'Номенклатура_BAF'!$B$2:$B171, 0)), "")</f>
        <v/>
      </c>
      <c r="E63" s="480" t="str">
        <f t="array" ref="E63">IFERROR(INDEX(IF('КОШТОРИС'!$P$3, 'Номенклатура_BAF'!$E$2:$E171, 'Номенклатура_BAF'!$D$2:$D171), MATCH($B63, 'Номенклатура_BAF'!$B$2:$B171, 0)), "")</f>
        <v/>
      </c>
      <c r="F63" s="481"/>
      <c r="G63" s="501" t="str">
        <f t="shared" ref="G63:G67" si="42">IF($E63*$C63=0,"",$E63*$C63)</f>
        <v/>
      </c>
      <c r="H63" s="483"/>
      <c r="I63" s="479"/>
      <c r="J63" s="484" t="str">
        <f t="shared" ref="J63:J67" si="43">IF(E63*(I63+H63)=0,"",E63*(I63+H63))</f>
        <v/>
      </c>
      <c r="K63" s="485" t="str">
        <f t="shared" ref="K63:K67" si="44">IF(C63-(H63+I63)=0,"",C63-(H63+I63))</f>
        <v/>
      </c>
      <c r="L63" s="486" t="str">
        <f t="shared" ref="L63:L67" si="45">IF(G63-J63=0,"",G63-J63)</f>
        <v/>
      </c>
      <c r="M63" s="487"/>
      <c r="N63" s="488" t="str">
        <f t="array" ref="N63">IFERROR(INDEX('Номенклатура_BAF'!$I$2:$I171, MATCH($B63, 'Номенклатура_BAF'!$B$2:$B171, 0)), "")</f>
        <v/>
      </c>
      <c r="O63" s="546"/>
      <c r="P63" s="508"/>
      <c r="Q63" s="508"/>
      <c r="R63" s="508"/>
      <c r="S63" s="508"/>
      <c r="T63" s="464"/>
    </row>
    <row r="64" ht="15.0" customHeight="1">
      <c r="A64" s="489" t="s">
        <v>165</v>
      </c>
      <c r="B64" s="495"/>
      <c r="C64" s="496"/>
      <c r="D64" s="479" t="str">
        <f t="array" ref="D64">IFERROR(INDEX('Номенклатура_BAF'!$C$2:$C171, MATCH($B64, 'Номенклатура_BAF'!$B$2:$B171, 0)), "")</f>
        <v/>
      </c>
      <c r="E64" s="480" t="str">
        <f t="array" ref="E64">IFERROR(INDEX(IF('КОШТОРИС'!$P$3, 'Номенклатура_BAF'!$E$2:$E171, 'Номенклатура_BAF'!$D$2:$D171), MATCH($B64, 'Номенклатура_BAF'!$B$2:$B171, 0)), "")</f>
        <v/>
      </c>
      <c r="F64" s="497"/>
      <c r="G64" s="501" t="str">
        <f t="shared" si="42"/>
        <v/>
      </c>
      <c r="H64" s="498"/>
      <c r="I64" s="496"/>
      <c r="J64" s="484" t="str">
        <f t="shared" si="43"/>
        <v/>
      </c>
      <c r="K64" s="485" t="str">
        <f t="shared" si="44"/>
        <v/>
      </c>
      <c r="L64" s="486" t="str">
        <f t="shared" si="45"/>
        <v/>
      </c>
      <c r="M64" s="487"/>
      <c r="N64" s="488" t="str">
        <f t="array" ref="N64">IFERROR(INDEX('Номенклатура_BAF'!$I$2:$I171, MATCH($B64, 'Номенклатура_BAF'!$B$2:$B171, 0)), "")</f>
        <v/>
      </c>
      <c r="O64" s="508"/>
      <c r="P64" s="508"/>
      <c r="Q64" s="508"/>
      <c r="R64" s="508"/>
      <c r="S64" s="508"/>
      <c r="T64" s="464"/>
    </row>
    <row r="65" ht="15.0" customHeight="1">
      <c r="A65" s="489" t="s">
        <v>166</v>
      </c>
      <c r="B65" s="495"/>
      <c r="C65" s="496"/>
      <c r="D65" s="479" t="str">
        <f t="array" ref="D65">IFERROR(INDEX('Номенклатура_BAF'!$C$2:$C171, MATCH($B65, 'Номенклатура_BAF'!$B$2:$B171, 0)), "")</f>
        <v/>
      </c>
      <c r="E65" s="480" t="str">
        <f t="array" ref="E65">IFERROR(INDEX(IF('КОШТОРИС'!$P$3, 'Номенклатура_BAF'!$E$2:$E171, 'Номенклатура_BAF'!$D$2:$D171), MATCH($B65, 'Номенклатура_BAF'!$B$2:$B171, 0)), "")</f>
        <v/>
      </c>
      <c r="F65" s="497"/>
      <c r="G65" s="501" t="str">
        <f t="shared" si="42"/>
        <v/>
      </c>
      <c r="H65" s="498"/>
      <c r="I65" s="496"/>
      <c r="J65" s="484" t="str">
        <f t="shared" si="43"/>
        <v/>
      </c>
      <c r="K65" s="485" t="str">
        <f t="shared" si="44"/>
        <v/>
      </c>
      <c r="L65" s="486" t="str">
        <f t="shared" si="45"/>
        <v/>
      </c>
      <c r="M65" s="487"/>
      <c r="N65" s="488" t="str">
        <f t="array" ref="N65">IFERROR(INDEX('Номенклатура_BAF'!$I$2:$I171, MATCH($B65, 'Номенклатура_BAF'!$B$2:$B171, 0)), "")</f>
        <v/>
      </c>
      <c r="O65" s="508"/>
      <c r="P65" s="508"/>
      <c r="Q65" s="508"/>
      <c r="R65" s="508"/>
      <c r="S65" s="508"/>
      <c r="T65" s="464"/>
    </row>
    <row r="66" ht="15.0" customHeight="1">
      <c r="A66" s="489" t="s">
        <v>167</v>
      </c>
      <c r="B66" s="495"/>
      <c r="C66" s="496"/>
      <c r="D66" s="479" t="str">
        <f t="array" ref="D66">IFERROR(INDEX('Номенклатура_BAF'!$C$2:$C171, MATCH($B66, 'Номенклатура_BAF'!$B$2:$B171, 0)), "")</f>
        <v/>
      </c>
      <c r="E66" s="480" t="str">
        <f t="array" ref="E66">IFERROR(INDEX(IF('КОШТОРИС'!$P$3, 'Номенклатура_BAF'!$E$2:$E171, 'Номенклатура_BAF'!$D$2:$D171), MATCH($B66, 'Номенклатура_BAF'!$B$2:$B171, 0)), "")</f>
        <v/>
      </c>
      <c r="F66" s="497"/>
      <c r="G66" s="501" t="str">
        <f t="shared" si="42"/>
        <v/>
      </c>
      <c r="H66" s="498"/>
      <c r="I66" s="496"/>
      <c r="J66" s="484" t="str">
        <f t="shared" si="43"/>
        <v/>
      </c>
      <c r="K66" s="485" t="str">
        <f t="shared" si="44"/>
        <v/>
      </c>
      <c r="L66" s="486" t="str">
        <f t="shared" si="45"/>
        <v/>
      </c>
      <c r="M66" s="487"/>
      <c r="N66" s="488" t="str">
        <f t="array" ref="N66">IFERROR(INDEX('Номенклатура_BAF'!$I$2:$I171, MATCH($B66, 'Номенклатура_BAF'!$B$2:$B171, 0)), "")</f>
        <v/>
      </c>
      <c r="O66" s="508"/>
      <c r="P66" s="508"/>
      <c r="Q66" s="508"/>
      <c r="R66" s="508"/>
      <c r="S66" s="508"/>
      <c r="T66" s="464"/>
    </row>
    <row r="67" ht="15.0" customHeight="1">
      <c r="A67" s="489" t="s">
        <v>168</v>
      </c>
      <c r="B67" s="495"/>
      <c r="C67" s="496"/>
      <c r="D67" s="479" t="str">
        <f t="array" ref="D67">IFERROR(INDEX('Номенклатура_BAF'!$C$2:$C171, MATCH($B67, 'Номенклатура_BAF'!$B$2:$B171, 0)), "")</f>
        <v/>
      </c>
      <c r="E67" s="480" t="str">
        <f t="array" ref="E67">IFERROR(INDEX(IF('КОШТОРИС'!$P$3, 'Номенклатура_BAF'!$E$2:$E171, 'Номенклатура_BAF'!$D$2:$D171), MATCH($B67, 'Номенклатура_BAF'!$B$2:$B171, 0)), "")</f>
        <v/>
      </c>
      <c r="F67" s="497"/>
      <c r="G67" s="501" t="str">
        <f t="shared" si="42"/>
        <v/>
      </c>
      <c r="H67" s="498"/>
      <c r="I67" s="496"/>
      <c r="J67" s="484" t="str">
        <f t="shared" si="43"/>
        <v/>
      </c>
      <c r="K67" s="485" t="str">
        <f t="shared" si="44"/>
        <v/>
      </c>
      <c r="L67" s="486" t="str">
        <f t="shared" si="45"/>
        <v/>
      </c>
      <c r="M67" s="487"/>
      <c r="N67" s="488" t="str">
        <f t="array" ref="N67">IFERROR(INDEX('Номенклатура_BAF'!$I$2:$I171, MATCH($B67, 'Номенклатура_BAF'!$B$2:$B171, 0)), "")</f>
        <v/>
      </c>
      <c r="O67" s="508"/>
      <c r="P67" s="508"/>
      <c r="Q67" s="508"/>
      <c r="R67" s="508"/>
      <c r="S67" s="508"/>
      <c r="T67" s="464"/>
    </row>
    <row r="68" ht="18.75" customHeight="1">
      <c r="A68" s="547" t="s">
        <v>169</v>
      </c>
      <c r="B68" s="548" t="s">
        <v>170</v>
      </c>
      <c r="C68" s="549"/>
      <c r="D68" s="549"/>
      <c r="E68" s="549"/>
      <c r="F68" s="550"/>
      <c r="G68" s="551">
        <f t="array" ref="G68">SUM(OFFSET(INDIRECT(ADDRESS(ROW(), COLUMN())), 1, 0, MATCH("АВР (автоматичне ввімкнення резерву)", $B:$B, 0) - ROW() - 1))</f>
        <v>0</v>
      </c>
      <c r="H68" s="552"/>
      <c r="I68" s="549"/>
      <c r="J68" s="553">
        <f t="array" ref="J68">SUM(OFFSET(INDIRECT(ADDRESS(ROW(), COLUMN())), 1, 0, MATCH("АВР (автоматичне ввімкнення резерву)", $B:$B, 0) - ROW() - 1))</f>
        <v>0</v>
      </c>
      <c r="K68" s="554"/>
      <c r="L68" s="475">
        <f t="array" ref="L68">SUM(OFFSET(INDIRECT(ADDRESS(ROW(), COLUMN())), 1, 0, MATCH("АВР (автоматичне ввімкнення резерву)", $B:$B, 0) - ROW() - 1))</f>
        <v>0</v>
      </c>
      <c r="M68" s="555"/>
      <c r="N68" s="488" t="str">
        <f t="array" ref="N68">IFERROR(INDEX('Номенклатура_BAF'!$I$2:$I171, MATCH($B68, 'Номенклатура_BAF'!$B$2:$B171, 0)), "")</f>
        <v/>
      </c>
      <c r="O68" s="508"/>
      <c r="P68" s="508"/>
      <c r="Q68" s="508"/>
      <c r="R68" s="508"/>
      <c r="S68" s="508"/>
      <c r="T68" s="464"/>
    </row>
    <row r="69" ht="15.0" customHeight="1">
      <c r="A69" s="477" t="s">
        <v>171</v>
      </c>
      <c r="B69" s="478"/>
      <c r="C69" s="479"/>
      <c r="D69" s="479" t="str">
        <f t="array" ref="D69">IFERROR(INDEX('Номенклатура_BAF'!$C$2:$C171, MATCH($B69, 'Номенклатура_BAF'!$B$2:$B171, 0)), "")</f>
        <v/>
      </c>
      <c r="E69" s="480" t="str">
        <f t="array" ref="E69">IFERROR(INDEX(IF('КОШТОРИС'!$P$3, 'Номенклатура_BAF'!$E$2:$E171, 'Номенклатура_BAF'!$D$2:$D171), MATCH($B69, 'Номенклатура_BAF'!$B$2:$B171, 0)), "")</f>
        <v/>
      </c>
      <c r="F69" s="481"/>
      <c r="G69" s="501" t="str">
        <f t="shared" ref="G69:G78" si="46">IF($E69*$C69=0,"",$E69*$C69)</f>
        <v/>
      </c>
      <c r="H69" s="483"/>
      <c r="I69" s="479"/>
      <c r="J69" s="484" t="str">
        <f t="shared" ref="J69:J78" si="47">IF(E69*(I69+H69)=0,"",E69*(I69+H69))</f>
        <v/>
      </c>
      <c r="K69" s="485" t="str">
        <f t="shared" ref="K69:K78" si="48">IF(C69-(H69+I69)=0,"",C69-(H69+I69))</f>
        <v/>
      </c>
      <c r="L69" s="486" t="str">
        <f t="shared" ref="L69:L78" si="49">IF(G69-J69=0,"",G69-J69)</f>
        <v/>
      </c>
      <c r="M69" s="534" t="str">
        <f t="array" ref="M69">IFERROR(IF(ISNUMBER(INDEX('Номенклатура_BAF'!$G$2:$G171, MATCH($B69, 'Номенклатура_BAF'!$B$2:$B171, 0))), 
    INDEX('Номенклатура_BAF'!$G$2:$G171, MATCH($B69, 'Номенклатура_BAF'!$B$2:$B171, 0)) * 'КОШТОРИС'!C69, 
    ""), 
"")</f>
        <v/>
      </c>
      <c r="N69" s="488" t="str">
        <f t="array" ref="N69">IFERROR(INDEX('Номенклатура_BAF'!$I$2:$I171, MATCH($B69, 'Номенклатура_BAF'!$B$2:$B171, 0)), "")</f>
        <v/>
      </c>
      <c r="O69" s="508"/>
      <c r="P69" s="508"/>
      <c r="Q69" s="508"/>
      <c r="R69" s="508"/>
      <c r="S69" s="508"/>
      <c r="T69" s="464"/>
    </row>
    <row r="70" ht="15.0" customHeight="1">
      <c r="A70" s="489" t="s">
        <v>173</v>
      </c>
      <c r="B70" s="490"/>
      <c r="C70" s="491"/>
      <c r="D70" s="479" t="str">
        <f t="array" ref="D70">IFERROR(INDEX('Номенклатура_BAF'!$C$2:$C171, MATCH($B70, 'Номенклатура_BAF'!$B$2:$B171, 0)), "")</f>
        <v/>
      </c>
      <c r="E70" s="480" t="str">
        <f t="array" ref="E70">IFERROR(INDEX(IF('КОШТОРИС'!$P$3, 'Номенклатура_BAF'!$E$2:$E171, 'Номенклатура_BAF'!$D$2:$D171), MATCH($B70, 'Номенклатура_BAF'!$B$2:$B171, 0)), "")</f>
        <v/>
      </c>
      <c r="F70" s="492"/>
      <c r="G70" s="501" t="str">
        <f t="shared" si="46"/>
        <v/>
      </c>
      <c r="H70" s="493"/>
      <c r="I70" s="491"/>
      <c r="J70" s="484" t="str">
        <f t="shared" si="47"/>
        <v/>
      </c>
      <c r="K70" s="485" t="str">
        <f t="shared" si="48"/>
        <v/>
      </c>
      <c r="L70" s="486" t="str">
        <f t="shared" si="49"/>
        <v/>
      </c>
      <c r="M70" s="534" t="str">
        <f t="array" ref="M70">IFERROR(IF(ISNUMBER(INDEX('Номенклатура_BAF'!$G$2:$G171, MATCH($B70, 'Номенклатура_BAF'!$B$2:$B171, 0))), 
    INDEX('Номенклатура_BAF'!$G$2:$G171, MATCH($B70, 'Номенклатура_BAF'!$B$2:$B171, 0)) * 'КОШТОРИС'!C70, 
    ""), 
"")</f>
        <v/>
      </c>
      <c r="N70" s="488" t="str">
        <f t="array" ref="N70">IFERROR(INDEX('Номенклатура_BAF'!$I$2:$I171, MATCH($B70, 'Номенклатура_BAF'!$B$2:$B171, 0)), "")</f>
        <v/>
      </c>
      <c r="O70" s="508"/>
      <c r="P70" s="508"/>
      <c r="Q70" s="508"/>
      <c r="R70" s="508"/>
      <c r="S70" s="508"/>
      <c r="T70" s="464"/>
    </row>
    <row r="71" ht="15.0" customHeight="1">
      <c r="A71" s="489" t="s">
        <v>175</v>
      </c>
      <c r="B71" s="490"/>
      <c r="C71" s="491"/>
      <c r="D71" s="479" t="str">
        <f t="array" ref="D71">IFERROR(INDEX('Номенклатура_BAF'!$C$2:$C171, MATCH($B71, 'Номенклатура_BAF'!$B$2:$B171, 0)), "")</f>
        <v/>
      </c>
      <c r="E71" s="480" t="str">
        <f t="array" ref="E71">IFERROR(INDEX(IF('КОШТОРИС'!$P$3, 'Номенклатура_BAF'!$E$2:$E171, 'Номенклатура_BAF'!$D$2:$D171), MATCH($B71, 'Номенклатура_BAF'!$B$2:$B171, 0)), "")</f>
        <v/>
      </c>
      <c r="F71" s="492"/>
      <c r="G71" s="501" t="str">
        <f t="shared" si="46"/>
        <v/>
      </c>
      <c r="H71" s="493"/>
      <c r="I71" s="491"/>
      <c r="J71" s="484" t="str">
        <f t="shared" si="47"/>
        <v/>
      </c>
      <c r="K71" s="485" t="str">
        <f t="shared" si="48"/>
        <v/>
      </c>
      <c r="L71" s="486" t="str">
        <f t="shared" si="49"/>
        <v/>
      </c>
      <c r="M71" s="534" t="str">
        <f t="array" ref="M71">IFERROR(IF(ISNUMBER(INDEX('Номенклатура_BAF'!$G$2:$G171, MATCH($B71, 'Номенклатура_BAF'!$B$2:$B171, 0))), 
    INDEX('Номенклатура_BAF'!$G$2:$G171, MATCH($B71, 'Номенклатура_BAF'!$B$2:$B171, 0)) * 'КОШТОРИС'!C71, 
    ""), 
"")</f>
        <v/>
      </c>
      <c r="N71" s="488" t="str">
        <f t="array" ref="N71">IFERROR(INDEX('Номенклатура_BAF'!$I$2:$I171, MATCH($B71, 'Номенклатура_BAF'!$B$2:$B171, 0)), "")</f>
        <v/>
      </c>
      <c r="O71" s="508"/>
      <c r="P71" s="508"/>
      <c r="Q71" s="508"/>
      <c r="R71" s="508"/>
      <c r="S71" s="508"/>
      <c r="T71" s="464"/>
    </row>
    <row r="72" ht="15.0" customHeight="1">
      <c r="A72" s="489" t="s">
        <v>177</v>
      </c>
      <c r="B72" s="490"/>
      <c r="C72" s="491"/>
      <c r="D72" s="479" t="str">
        <f t="array" ref="D72">IFERROR(INDEX('Номенклатура_BAF'!$C$2:$C171, MATCH($B72, 'Номенклатура_BAF'!$B$2:$B171, 0)), "")</f>
        <v/>
      </c>
      <c r="E72" s="480" t="str">
        <f t="array" ref="E72">IFERROR(INDEX(IF('КОШТОРИС'!$P$3, 'Номенклатура_BAF'!$E$2:$E171, 'Номенклатура_BAF'!$D$2:$D171), MATCH($B72, 'Номенклатура_BAF'!$B$2:$B171, 0)), "")</f>
        <v/>
      </c>
      <c r="F72" s="492"/>
      <c r="G72" s="501" t="str">
        <f t="shared" si="46"/>
        <v/>
      </c>
      <c r="H72" s="493"/>
      <c r="I72" s="491"/>
      <c r="J72" s="484" t="str">
        <f t="shared" si="47"/>
        <v/>
      </c>
      <c r="K72" s="485" t="str">
        <f t="shared" si="48"/>
        <v/>
      </c>
      <c r="L72" s="486" t="str">
        <f t="shared" si="49"/>
        <v/>
      </c>
      <c r="M72" s="534" t="str">
        <f t="array" ref="M72">IFERROR(IF(ISNUMBER(INDEX('Номенклатура_BAF'!$G$2:$G171, MATCH($B72, 'Номенклатура_BAF'!$B$2:$B171, 0))), 
    INDEX('Номенклатура_BAF'!$G$2:$G171, MATCH($B72, 'Номенклатура_BAF'!$B$2:$B171, 0)) * 'КОШТОРИС'!C72, 
    ""), 
"")</f>
        <v/>
      </c>
      <c r="N72" s="488" t="str">
        <f t="array" ref="N72">IFERROR(INDEX('Номенклатура_BAF'!$I$2:$I171, MATCH($B72, 'Номенклатура_BAF'!$B$2:$B171, 0)), "")</f>
        <v/>
      </c>
      <c r="O72" s="508"/>
      <c r="P72" s="508"/>
      <c r="Q72" s="508"/>
      <c r="R72" s="508"/>
      <c r="S72" s="508"/>
      <c r="T72" s="464"/>
    </row>
    <row r="73" ht="15.0" customHeight="1">
      <c r="A73" s="489" t="s">
        <v>178</v>
      </c>
      <c r="B73" s="490"/>
      <c r="C73" s="491"/>
      <c r="D73" s="479" t="str">
        <f t="array" ref="D73">IFERROR(INDEX('Номенклатура_BAF'!$C$2:$C171, MATCH($B73, 'Номенклатура_BAF'!$B$2:$B171, 0)), "")</f>
        <v/>
      </c>
      <c r="E73" s="480" t="str">
        <f t="array" ref="E73">IFERROR(INDEX(IF('КОШТОРИС'!$P$3, 'Номенклатура_BAF'!$E$2:$E171, 'Номенклатура_BAF'!$D$2:$D171), MATCH($B73, 'Номенклатура_BAF'!$B$2:$B171, 0)), "")</f>
        <v/>
      </c>
      <c r="F73" s="492"/>
      <c r="G73" s="501" t="str">
        <f t="shared" si="46"/>
        <v/>
      </c>
      <c r="H73" s="493"/>
      <c r="I73" s="491"/>
      <c r="J73" s="484" t="str">
        <f t="shared" si="47"/>
        <v/>
      </c>
      <c r="K73" s="485" t="str">
        <f t="shared" si="48"/>
        <v/>
      </c>
      <c r="L73" s="486" t="str">
        <f t="shared" si="49"/>
        <v/>
      </c>
      <c r="M73" s="534" t="str">
        <f t="array" ref="M73">IFERROR(IF(ISNUMBER(INDEX('Номенклатура_BAF'!$G$2:$G171, MATCH($B73, 'Номенклатура_BAF'!$B$2:$B171, 0))), 
    INDEX('Номенклатура_BAF'!$G$2:$G171, MATCH($B73, 'Номенклатура_BAF'!$B$2:$B171, 0)) * 'КОШТОРИС'!C73, 
    ""), 
"")</f>
        <v/>
      </c>
      <c r="N73" s="488" t="str">
        <f t="array" ref="N73">IFERROR(INDEX('Номенклатура_BAF'!$I$2:$I171, MATCH($B73, 'Номенклатура_BAF'!$B$2:$B171, 0)), "")</f>
        <v/>
      </c>
      <c r="O73" s="508"/>
      <c r="P73" s="508"/>
      <c r="Q73" s="508"/>
      <c r="R73" s="508"/>
      <c r="S73" s="508"/>
      <c r="T73" s="464"/>
    </row>
    <row r="74" ht="15.0" customHeight="1">
      <c r="A74" s="489" t="s">
        <v>179</v>
      </c>
      <c r="B74" s="490"/>
      <c r="C74" s="491"/>
      <c r="D74" s="479" t="str">
        <f t="array" ref="D74">IFERROR(INDEX('Номенклатура_BAF'!$C$2:$C171, MATCH($B74, 'Номенклатура_BAF'!$B$2:$B171, 0)), "")</f>
        <v/>
      </c>
      <c r="E74" s="480" t="str">
        <f t="array" ref="E74">IFERROR(INDEX(IF('КОШТОРИС'!$P$3, 'Номенклатура_BAF'!$E$2:$E171, 'Номенклатура_BAF'!$D$2:$D171), MATCH($B74, 'Номенклатура_BAF'!$B$2:$B171, 0)), "")</f>
        <v/>
      </c>
      <c r="F74" s="492"/>
      <c r="G74" s="501" t="str">
        <f t="shared" si="46"/>
        <v/>
      </c>
      <c r="H74" s="493"/>
      <c r="I74" s="491"/>
      <c r="J74" s="484" t="str">
        <f t="shared" si="47"/>
        <v/>
      </c>
      <c r="K74" s="485" t="str">
        <f t="shared" si="48"/>
        <v/>
      </c>
      <c r="L74" s="486" t="str">
        <f t="shared" si="49"/>
        <v/>
      </c>
      <c r="M74" s="534" t="str">
        <f t="array" ref="M74">IFERROR(IF(ISNUMBER(INDEX('Номенклатура_BAF'!$G$2:$G171, MATCH($B74, 'Номенклатура_BAF'!$B$2:$B171, 0))), 
    INDEX('Номенклатура_BAF'!$G$2:$G171, MATCH($B74, 'Номенклатура_BAF'!$B$2:$B171, 0)) * 'КОШТОРИС'!C74, 
    ""), 
"")</f>
        <v/>
      </c>
      <c r="N74" s="488" t="str">
        <f t="array" ref="N74">IFERROR(INDEX('Номенклатура_BAF'!$I$2:$I171, MATCH($B74, 'Номенклатура_BAF'!$B$2:$B171, 0)), "")</f>
        <v/>
      </c>
      <c r="O74" s="508"/>
      <c r="P74" s="508"/>
      <c r="Q74" s="508"/>
      <c r="R74" s="508"/>
      <c r="S74" s="508"/>
      <c r="T74" s="464"/>
    </row>
    <row r="75" ht="15.0" customHeight="1">
      <c r="A75" s="489" t="s">
        <v>180</v>
      </c>
      <c r="B75" s="490"/>
      <c r="C75" s="491"/>
      <c r="D75" s="479" t="str">
        <f t="array" ref="D75">IFERROR(INDEX('Номенклатура_BAF'!$C$2:$C171, MATCH($B75, 'Номенклатура_BAF'!$B$2:$B171, 0)), "")</f>
        <v/>
      </c>
      <c r="E75" s="480" t="str">
        <f t="array" ref="E75">IFERROR(INDEX(IF('КОШТОРИС'!$P$3, 'Номенклатура_BAF'!$E$2:$E171, 'Номенклатура_BAF'!$D$2:$D171), MATCH($B75, 'Номенклатура_BAF'!$B$2:$B171, 0)), "")</f>
        <v/>
      </c>
      <c r="F75" s="492"/>
      <c r="G75" s="501" t="str">
        <f t="shared" si="46"/>
        <v/>
      </c>
      <c r="H75" s="493"/>
      <c r="I75" s="491"/>
      <c r="J75" s="484" t="str">
        <f t="shared" si="47"/>
        <v/>
      </c>
      <c r="K75" s="485" t="str">
        <f t="shared" si="48"/>
        <v/>
      </c>
      <c r="L75" s="486" t="str">
        <f t="shared" si="49"/>
        <v/>
      </c>
      <c r="M75" s="534" t="str">
        <f t="array" ref="M75">IFERROR(IF(ISNUMBER(INDEX('Номенклатура_BAF'!$G$2:$G171, MATCH($B75, 'Номенклатура_BAF'!$B$2:$B171, 0))), 
    INDEX('Номенклатура_BAF'!$G$2:$G171, MATCH($B75, 'Номенклатура_BAF'!$B$2:$B171, 0)) * 'КОШТОРИС'!C75, 
    ""), 
"")</f>
        <v/>
      </c>
      <c r="N75" s="488" t="str">
        <f t="array" ref="N75">IFERROR(INDEX('Номенклатура_BAF'!$I$2:$I171, MATCH($B75, 'Номенклатура_BAF'!$B$2:$B171, 0)), "")</f>
        <v/>
      </c>
      <c r="O75" s="508"/>
      <c r="P75" s="508"/>
      <c r="Q75" s="508"/>
      <c r="R75" s="508"/>
      <c r="S75" s="508"/>
      <c r="T75" s="464"/>
    </row>
    <row r="76" ht="15.0" customHeight="1">
      <c r="A76" s="489" t="s">
        <v>181</v>
      </c>
      <c r="B76" s="490"/>
      <c r="C76" s="491"/>
      <c r="D76" s="479" t="str">
        <f t="array" ref="D76">IFERROR(INDEX('Номенклатура_BAF'!$C$2:$C171, MATCH($B76, 'Номенклатура_BAF'!$B$2:$B171, 0)), "")</f>
        <v/>
      </c>
      <c r="E76" s="480" t="str">
        <f t="array" ref="E76">IFERROR(INDEX(IF('КОШТОРИС'!$P$3, 'Номенклатура_BAF'!$E$2:$E171, 'Номенклатура_BAF'!$D$2:$D171), MATCH($B76, 'Номенклатура_BAF'!$B$2:$B171, 0)), "")</f>
        <v/>
      </c>
      <c r="F76" s="492"/>
      <c r="G76" s="501" t="str">
        <f t="shared" si="46"/>
        <v/>
      </c>
      <c r="H76" s="493"/>
      <c r="I76" s="491"/>
      <c r="J76" s="484" t="str">
        <f t="shared" si="47"/>
        <v/>
      </c>
      <c r="K76" s="485" t="str">
        <f t="shared" si="48"/>
        <v/>
      </c>
      <c r="L76" s="486" t="str">
        <f t="shared" si="49"/>
        <v/>
      </c>
      <c r="M76" s="534" t="str">
        <f t="array" ref="M76">IFERROR(IF(ISNUMBER(INDEX('Номенклатура_BAF'!$G$2:$G171, MATCH($B76, 'Номенклатура_BAF'!$B$2:$B171, 0))), 
    INDEX('Номенклатура_BAF'!$G$2:$G171, MATCH($B76, 'Номенклатура_BAF'!$B$2:$B171, 0)) * 'КОШТОРИС'!C76, 
    ""), 
"")</f>
        <v/>
      </c>
      <c r="N76" s="488" t="str">
        <f t="array" ref="N76">IFERROR(INDEX('Номенклатура_BAF'!$I$2:$I171, MATCH($B76, 'Номенклатура_BAF'!$B$2:$B171, 0)), "")</f>
        <v/>
      </c>
      <c r="O76" s="508"/>
      <c r="P76" s="508"/>
      <c r="Q76" s="508"/>
      <c r="R76" s="508"/>
      <c r="S76" s="508"/>
      <c r="T76" s="464"/>
    </row>
    <row r="77" ht="15.0" customHeight="1">
      <c r="A77" s="489" t="s">
        <v>182</v>
      </c>
      <c r="B77" s="490"/>
      <c r="C77" s="491"/>
      <c r="D77" s="479" t="str">
        <f t="array" ref="D77">IFERROR(INDEX('Номенклатура_BAF'!$C$2:$C171, MATCH($B77, 'Номенклатура_BAF'!$B$2:$B171, 0)), "")</f>
        <v/>
      </c>
      <c r="E77" s="480" t="str">
        <f t="array" ref="E77">IFERROR(INDEX(IF('КОШТОРИС'!$P$3, 'Номенклатура_BAF'!$E$2:$E171, 'Номенклатура_BAF'!$D$2:$D171), MATCH($B77, 'Номенклатура_BAF'!$B$2:$B171, 0)), "")</f>
        <v/>
      </c>
      <c r="F77" s="492"/>
      <c r="G77" s="501" t="str">
        <f t="shared" si="46"/>
        <v/>
      </c>
      <c r="H77" s="493"/>
      <c r="I77" s="491"/>
      <c r="J77" s="484" t="str">
        <f t="shared" si="47"/>
        <v/>
      </c>
      <c r="K77" s="485" t="str">
        <f t="shared" si="48"/>
        <v/>
      </c>
      <c r="L77" s="486" t="str">
        <f t="shared" si="49"/>
        <v/>
      </c>
      <c r="M77" s="534" t="str">
        <f t="array" ref="M77">IFERROR(IF(ISNUMBER(INDEX('Номенклатура_BAF'!$G$2:$G171, MATCH($B77, 'Номенклатура_BAF'!$B$2:$B171, 0))), 
    INDEX('Номенклатура_BAF'!$G$2:$G171, MATCH($B77, 'Номенклатура_BAF'!$B$2:$B171, 0)) * 'КОШТОРИС'!C77, 
    ""), 
"")</f>
        <v/>
      </c>
      <c r="N77" s="488" t="str">
        <f t="array" ref="N77">IFERROR(INDEX('Номенклатура_BAF'!$I$2:$I171, MATCH($B77, 'Номенклатура_BAF'!$B$2:$B171, 0)), "")</f>
        <v/>
      </c>
      <c r="O77" s="508"/>
      <c r="P77" s="508"/>
      <c r="Q77" s="508"/>
      <c r="R77" s="508"/>
      <c r="S77" s="508"/>
      <c r="T77" s="464"/>
    </row>
    <row r="78" ht="15.0" customHeight="1">
      <c r="A78" s="494" t="s">
        <v>183</v>
      </c>
      <c r="B78" s="495"/>
      <c r="C78" s="496"/>
      <c r="D78" s="535" t="str">
        <f t="array" ref="D78">IFERROR(INDEX('Номенклатура_BAF'!$C$2:$C171, MATCH($B78, 'Номенклатура_BAF'!$B$2:$B171, 0)), "")</f>
        <v/>
      </c>
      <c r="E78" s="480" t="str">
        <f t="array" ref="E78">IFERROR(INDEX(IF('КОШТОРИС'!$P$3, 'Номенклатура_BAF'!$E$2:$E171, 'Номенклатура_BAF'!$D$2:$D171), MATCH($B78, 'Номенклатура_BAF'!$B$2:$B171, 0)), "")</f>
        <v/>
      </c>
      <c r="F78" s="497"/>
      <c r="G78" s="536" t="str">
        <f t="shared" si="46"/>
        <v/>
      </c>
      <c r="H78" s="498"/>
      <c r="I78" s="496"/>
      <c r="J78" s="537" t="str">
        <f t="shared" si="47"/>
        <v/>
      </c>
      <c r="K78" s="538" t="str">
        <f t="shared" si="48"/>
        <v/>
      </c>
      <c r="L78" s="486" t="str">
        <f t="shared" si="49"/>
        <v/>
      </c>
      <c r="M78" s="534" t="str">
        <f t="array" ref="M78">IFERROR(IF(ISNUMBER(INDEX('Номенклатура_BAF'!$G$2:$G171, MATCH($B78, 'Номенклатура_BAF'!$B$2:$B171, 0))), 
    INDEX('Номенклатура_BAF'!$G$2:$G171, MATCH($B78, 'Номенклатура_BAF'!$B$2:$B171, 0)) * 'КОШТОРИС'!C78, 
    ""), 
"")</f>
        <v/>
      </c>
      <c r="N78" s="488" t="str">
        <f t="array" ref="N78">IFERROR(INDEX('Номенклатура_BAF'!$I$2:$I171, MATCH($B78, 'Номенклатура_BAF'!$B$2:$B171, 0)), "")</f>
        <v/>
      </c>
      <c r="O78" s="508"/>
      <c r="P78" s="508"/>
      <c r="Q78" s="508"/>
      <c r="R78" s="508"/>
      <c r="S78" s="508"/>
      <c r="T78" s="464"/>
    </row>
    <row r="79" ht="18.75" customHeight="1">
      <c r="A79" s="547" t="s">
        <v>185</v>
      </c>
      <c r="B79" s="548" t="s">
        <v>186</v>
      </c>
      <c r="C79" s="549"/>
      <c r="D79" s="549"/>
      <c r="E79" s="549"/>
      <c r="F79" s="550"/>
      <c r="G79" s="556"/>
      <c r="H79" s="557"/>
      <c r="I79" s="557"/>
      <c r="J79" s="556"/>
      <c r="K79" s="558"/>
      <c r="L79" s="486"/>
      <c r="M79" s="545">
        <f t="array" ref="M79">SUM(
INDIRECT("M" &amp; MATCH("Захист AC (основне)", B:B, 0) + 1):INDIRECT("M" &amp; MATCH("Щит AC", B:B, 0) - 1),
INDIRECT("M" &amp; MATCH("АВР (автоматичне ввімкнення резерву)", B:B, 0) + 1):INDIRECT("M" &amp; MATCH("Стійка для АКБ", B:B, 0) - 1)
)</f>
        <v>0</v>
      </c>
      <c r="N79" s="488" t="str">
        <f t="array" ref="N79">IFERROR(INDEX('Номенклатура_BAF'!$I$2:$I171, MATCH($B79, 'Номенклатура_BAF'!$B$2:$B171, 0)), "")</f>
        <v/>
      </c>
      <c r="O79" s="508"/>
      <c r="P79" s="508"/>
      <c r="Q79" s="508"/>
      <c r="R79" s="508"/>
      <c r="S79" s="508"/>
      <c r="T79" s="464"/>
    </row>
    <row r="80" ht="15.0" customHeight="1">
      <c r="A80" s="477" t="s">
        <v>187</v>
      </c>
      <c r="B80" s="478"/>
      <c r="C80" s="479"/>
      <c r="D80" s="479" t="str">
        <f t="array" ref="D80">IFERROR(INDEX('Номенклатура_BAF'!$C$2:$C171, MATCH($B80, 'Номенклатура_BAF'!$B$2:$B171, 0)), "")</f>
        <v/>
      </c>
      <c r="E80" s="480" t="str">
        <f t="array" ref="E80">IFERROR(INDEX(IF('КОШТОРИС'!$P$3, 'Номенклатура_BAF'!$E$2:$E171, 'Номенклатура_BAF'!$D$2:$D171), MATCH($B80, 'Номенклатура_BAF'!$B$2:$B171, 0)), "")</f>
        <v/>
      </c>
      <c r="F80" s="481"/>
      <c r="G80" s="501" t="str">
        <f t="shared" ref="G80:G84" si="50">IF($E80*$C80=0,"",$E80*$C80)</f>
        <v/>
      </c>
      <c r="H80" s="483"/>
      <c r="I80" s="479"/>
      <c r="J80" s="484" t="str">
        <f t="shared" ref="J80:J84" si="51">IF(E80*(I80+H80)=0,"",E80*(I80+H80))</f>
        <v/>
      </c>
      <c r="K80" s="485" t="str">
        <f t="shared" ref="K80:K84" si="52">IF(C80-(H80+I80)=0,"",C80-(H80+I80))</f>
        <v/>
      </c>
      <c r="L80" s="486" t="str">
        <f t="shared" ref="L80:L84" si="53">IF(G80-J80=0,"",G80-J80)</f>
        <v/>
      </c>
      <c r="M80" s="487"/>
      <c r="N80" s="488" t="str">
        <f t="array" ref="N80">IFERROR(INDEX('Номенклатура_BAF'!$I$2:$I171, MATCH($B80, 'Номенклатура_BAF'!$B$2:$B171, 0)), "")</f>
        <v/>
      </c>
      <c r="O80" s="508"/>
      <c r="P80" s="508"/>
      <c r="Q80" s="508"/>
      <c r="R80" s="508"/>
      <c r="S80" s="508"/>
      <c r="T80" s="464"/>
    </row>
    <row r="81" ht="15.0" customHeight="1">
      <c r="A81" s="494" t="s">
        <v>189</v>
      </c>
      <c r="B81" s="495"/>
      <c r="C81" s="496"/>
      <c r="D81" s="479" t="str">
        <f t="array" ref="D81">IFERROR(INDEX('Номенклатура_BAF'!$C$2:$C171, MATCH($B81, 'Номенклатура_BAF'!$B$2:$B171, 0)), "")</f>
        <v/>
      </c>
      <c r="E81" s="480" t="str">
        <f t="array" ref="E81">IFERROR(INDEX(IF('КОШТОРИС'!$P$3, 'Номенклатура_BAF'!$E$2:$E171, 'Номенклатура_BAF'!$D$2:$D171), MATCH($B81, 'Номенклатура_BAF'!$B$2:$B171, 0)), "")</f>
        <v/>
      </c>
      <c r="F81" s="497"/>
      <c r="G81" s="501" t="str">
        <f t="shared" si="50"/>
        <v/>
      </c>
      <c r="H81" s="498"/>
      <c r="I81" s="496"/>
      <c r="J81" s="484" t="str">
        <f t="shared" si="51"/>
        <v/>
      </c>
      <c r="K81" s="485" t="str">
        <f t="shared" si="52"/>
        <v/>
      </c>
      <c r="L81" s="486" t="str">
        <f t="shared" si="53"/>
        <v/>
      </c>
      <c r="M81" s="487"/>
      <c r="N81" s="488" t="str">
        <f t="array" ref="N81">IFERROR(INDEX('Номенклатура_BAF'!$I$2:$I171, MATCH($B81, 'Номенклатура_BAF'!$B$2:$B171, 0)), "")</f>
        <v/>
      </c>
      <c r="O81" s="508"/>
      <c r="P81" s="508"/>
      <c r="Q81" s="508"/>
      <c r="R81" s="508"/>
      <c r="S81" s="508"/>
      <c r="T81" s="464"/>
    </row>
    <row r="82" ht="15.0" customHeight="1">
      <c r="A82" s="494" t="s">
        <v>190</v>
      </c>
      <c r="B82" s="495"/>
      <c r="C82" s="496"/>
      <c r="D82" s="479" t="str">
        <f t="array" ref="D82">IFERROR(INDEX('Номенклатура_BAF'!$C$2:$C171, MATCH($B82, 'Номенклатура_BAF'!$B$2:$B171, 0)), "")</f>
        <v/>
      </c>
      <c r="E82" s="480" t="str">
        <f t="array" ref="E82">IFERROR(INDEX(IF('КОШТОРИС'!$P$3, 'Номенклатура_BAF'!$E$2:$E171, 'Номенклатура_BAF'!$D$2:$D171), MATCH($B82, 'Номенклатура_BAF'!$B$2:$B171, 0)), "")</f>
        <v/>
      </c>
      <c r="F82" s="497"/>
      <c r="G82" s="501" t="str">
        <f t="shared" si="50"/>
        <v/>
      </c>
      <c r="H82" s="498"/>
      <c r="I82" s="496"/>
      <c r="J82" s="484" t="str">
        <f t="shared" si="51"/>
        <v/>
      </c>
      <c r="K82" s="485" t="str">
        <f t="shared" si="52"/>
        <v/>
      </c>
      <c r="L82" s="486" t="str">
        <f t="shared" si="53"/>
        <v/>
      </c>
      <c r="M82" s="487"/>
      <c r="N82" s="488" t="str">
        <f t="array" ref="N82">IFERROR(INDEX('Номенклатура_BAF'!$I$2:$I171, MATCH($B82, 'Номенклатура_BAF'!$B$2:$B171, 0)), "")</f>
        <v/>
      </c>
      <c r="O82" s="508"/>
      <c r="P82" s="508"/>
      <c r="Q82" s="508"/>
      <c r="R82" s="508"/>
      <c r="S82" s="508"/>
      <c r="T82" s="464"/>
    </row>
    <row r="83" ht="15.0" customHeight="1">
      <c r="A83" s="494" t="s">
        <v>191</v>
      </c>
      <c r="B83" s="495"/>
      <c r="C83" s="496"/>
      <c r="D83" s="479" t="str">
        <f t="array" ref="D83">IFERROR(INDEX('Номенклатура_BAF'!$C$2:$C171, MATCH($B83, 'Номенклатура_BAF'!$B$2:$B171, 0)), "")</f>
        <v/>
      </c>
      <c r="E83" s="480" t="str">
        <f t="array" ref="E83">IFERROR(INDEX(IF('КОШТОРИС'!$P$3, 'Номенклатура_BAF'!$E$2:$E171, 'Номенклатура_BAF'!$D$2:$D171), MATCH($B83, 'Номенклатура_BAF'!$B$2:$B171, 0)), "")</f>
        <v/>
      </c>
      <c r="F83" s="497"/>
      <c r="G83" s="501" t="str">
        <f t="shared" si="50"/>
        <v/>
      </c>
      <c r="H83" s="498"/>
      <c r="I83" s="496"/>
      <c r="J83" s="484" t="str">
        <f t="shared" si="51"/>
        <v/>
      </c>
      <c r="K83" s="485" t="str">
        <f t="shared" si="52"/>
        <v/>
      </c>
      <c r="L83" s="486" t="str">
        <f t="shared" si="53"/>
        <v/>
      </c>
      <c r="M83" s="487"/>
      <c r="N83" s="488" t="str">
        <f t="array" ref="N83">IFERROR(INDEX('Номенклатура_BAF'!$I$2:$I171, MATCH($B83, 'Номенклатура_BAF'!$B$2:$B171, 0)), "")</f>
        <v/>
      </c>
      <c r="O83" s="508"/>
      <c r="P83" s="508"/>
      <c r="Q83" s="508"/>
      <c r="R83" s="508"/>
      <c r="S83" s="508"/>
      <c r="T83" s="464"/>
    </row>
    <row r="84" ht="15.0" customHeight="1">
      <c r="A84" s="494" t="s">
        <v>192</v>
      </c>
      <c r="B84" s="495"/>
      <c r="C84" s="496"/>
      <c r="D84" s="479" t="str">
        <f t="array" ref="D84">IFERROR(INDEX('Номенклатура_BAF'!$C$2:$C171, MATCH($B84, 'Номенклатура_BAF'!$B$2:$B171, 0)), "")</f>
        <v/>
      </c>
      <c r="E84" s="480" t="str">
        <f t="array" ref="E84">IFERROR(INDEX(IF('КОШТОРИС'!$P$3, 'Номенклатура_BAF'!$E$2:$E171, 'Номенклатура_BAF'!$D$2:$D171), MATCH($B84, 'Номенклатура_BAF'!$B$2:$B171, 0)), "")</f>
        <v/>
      </c>
      <c r="F84" s="497"/>
      <c r="G84" s="501" t="str">
        <f t="shared" si="50"/>
        <v/>
      </c>
      <c r="H84" s="498"/>
      <c r="I84" s="496"/>
      <c r="J84" s="484" t="str">
        <f t="shared" si="51"/>
        <v/>
      </c>
      <c r="K84" s="485" t="str">
        <f t="shared" si="52"/>
        <v/>
      </c>
      <c r="L84" s="486" t="str">
        <f t="shared" si="53"/>
        <v/>
      </c>
      <c r="M84" s="487"/>
      <c r="N84" s="488" t="str">
        <f t="array" ref="N84">IFERROR(INDEX('Номенклатура_BAF'!$I$2:$I171, MATCH($B84, 'Номенклатура_BAF'!$B$2:$B171, 0)), "")</f>
        <v/>
      </c>
      <c r="O84" s="508"/>
      <c r="P84" s="508"/>
      <c r="Q84" s="508"/>
      <c r="R84" s="508"/>
      <c r="S84" s="508"/>
      <c r="T84" s="464"/>
    </row>
    <row r="85" ht="18.75" customHeight="1">
      <c r="A85" s="559" t="s">
        <v>193</v>
      </c>
      <c r="B85" s="560" t="s">
        <v>14</v>
      </c>
      <c r="C85" s="561"/>
      <c r="D85" s="561"/>
      <c r="E85" s="561"/>
      <c r="F85" s="562"/>
      <c r="G85" s="563">
        <f t="array" ref="G85">SUM(OFFSET(INDIRECT(ADDRESS(ROW(), COLUMN())), 1, 0, MATCH("Стійка для АКБ", $B:$B, 0) - ROW() - 1))</f>
        <v>0</v>
      </c>
      <c r="H85" s="564"/>
      <c r="I85" s="561"/>
      <c r="J85" s="565">
        <f t="array" ref="J85">SUM(OFFSET(INDIRECT(ADDRESS(ROW(), COLUMN())), 1, 0, MATCH("Стійка для АКБ", $B:$B, 0) - ROW() - 1))</f>
        <v>0</v>
      </c>
      <c r="K85" s="566"/>
      <c r="L85" s="475">
        <f t="array" ref="L85">SUM(OFFSET(INDIRECT(ADDRESS(ROW(), COLUMN())), 1, 0, MATCH("Стійка для АКБ", $B:$B, 0) - ROW() - 1))</f>
        <v>0</v>
      </c>
      <c r="M85" s="567">
        <f t="array" ref="M85">SUM(INDIRECT("M" &amp; MATCH("АВР (автоматичне ввімкнення резерву)", B:B, 0) + 1):INDIRECT("M" &amp; MATCH("Стійка для АКБ", B:B, 0) - 1))</f>
        <v>0</v>
      </c>
      <c r="N85" s="488" t="str">
        <f t="array" ref="N85">IFERROR(INDEX('Номенклатура_BAF'!$I$2:$I171, MATCH($B85, 'Номенклатура_BAF'!$B$2:$B171, 0)), "")</f>
        <v/>
      </c>
      <c r="O85" s="508"/>
      <c r="P85" s="508"/>
      <c r="Q85" s="508"/>
      <c r="R85" s="508"/>
      <c r="S85" s="508"/>
      <c r="T85" s="464"/>
    </row>
    <row r="86" ht="15.0" customHeight="1">
      <c r="A86" s="477" t="s">
        <v>194</v>
      </c>
      <c r="B86" s="478"/>
      <c r="C86" s="479"/>
      <c r="D86" s="479" t="str">
        <f t="array" ref="D86">IFERROR(INDEX('Номенклатура_BAF'!$C$2:$C171, MATCH($B86, 'Номенклатура_BAF'!$B$2:$B171, 0)), "")</f>
        <v/>
      </c>
      <c r="E86" s="480" t="str">
        <f t="array" ref="E86">IFERROR(INDEX(IF('КОШТОРИС'!$P$3, 'Номенклатура_BAF'!$E$2:$E171, 'Номенклатура_BAF'!$D$2:$D171), MATCH($B86, 'Номенклатура_BAF'!$B$2:$B171, 0)), "")</f>
        <v/>
      </c>
      <c r="F86" s="481"/>
      <c r="G86" s="501" t="str">
        <f t="shared" ref="G86:G95" si="54">IF($E86*$C86=0,"",$E86*$C86)</f>
        <v/>
      </c>
      <c r="H86" s="483"/>
      <c r="I86" s="479"/>
      <c r="J86" s="484" t="str">
        <f t="shared" ref="J86:J95" si="55">IF(E86*(I86+H86)=0,"",E86*(I86+H86))</f>
        <v/>
      </c>
      <c r="K86" s="485" t="str">
        <f t="shared" ref="K86:K95" si="56">IF(C86-(H86+I86)=0,"",C86-(H86+I86))</f>
        <v/>
      </c>
      <c r="L86" s="486" t="str">
        <f t="shared" ref="L86:L95" si="57">IF(G86-J86=0,"",G86-J86)</f>
        <v/>
      </c>
      <c r="M86" s="568" t="str">
        <f t="array" ref="M86">IFERROR(IF(ISNUMBER(INDEX('Номенклатура_BAF'!$G$2:$G171, MATCH($B86, 'Номенклатура_BAF'!$B$2:$B171, 0))), 
    INDEX('Номенклатура_BAF'!$G$2:$G171, MATCH($B86, 'Номенклатура_BAF'!$B$2:$B171, 0)) * 'КОШТОРИС'!C86, 
    ""), 
"")</f>
        <v/>
      </c>
      <c r="N86" s="488" t="str">
        <f t="array" ref="N86">IFERROR(INDEX('Номенклатура_BAF'!$I$2:$I171, MATCH($B86, 'Номенклатура_BAF'!$B$2:$B171, 0)), "")</f>
        <v/>
      </c>
      <c r="O86" s="508"/>
      <c r="P86" s="508"/>
      <c r="Q86" s="508"/>
      <c r="R86" s="508"/>
      <c r="S86" s="508"/>
      <c r="T86" s="464"/>
    </row>
    <row r="87" ht="15.0" customHeight="1">
      <c r="A87" s="489" t="s">
        <v>196</v>
      </c>
      <c r="B87" s="490"/>
      <c r="C87" s="491"/>
      <c r="D87" s="479" t="str">
        <f t="array" ref="D87">IFERROR(INDEX('Номенклатура_BAF'!$C$2:$C171, MATCH($B87, 'Номенклатура_BAF'!$B$2:$B171, 0)), "")</f>
        <v/>
      </c>
      <c r="E87" s="480" t="str">
        <f t="array" ref="E87">IFERROR(INDEX(IF('КОШТОРИС'!$P$3, 'Номенклатура_BAF'!$E$2:$E171, 'Номенклатура_BAF'!$D$2:$D171), MATCH($B87, 'Номенклатура_BAF'!$B$2:$B171, 0)), "")</f>
        <v/>
      </c>
      <c r="F87" s="492"/>
      <c r="G87" s="501" t="str">
        <f t="shared" si="54"/>
        <v/>
      </c>
      <c r="H87" s="493"/>
      <c r="I87" s="491"/>
      <c r="J87" s="484" t="str">
        <f t="shared" si="55"/>
        <v/>
      </c>
      <c r="K87" s="485" t="str">
        <f t="shared" si="56"/>
        <v/>
      </c>
      <c r="L87" s="486" t="str">
        <f t="shared" si="57"/>
        <v/>
      </c>
      <c r="M87" s="568" t="str">
        <f t="array" ref="M87">IFERROR(IF(ISNUMBER(INDEX('Номенклатура_BAF'!$G$2:$G171, MATCH($B87, 'Номенклатура_BAF'!$B$2:$B171, 0))), 
    INDEX('Номенклатура_BAF'!$G$2:$G171, MATCH($B87, 'Номенклатура_BAF'!$B$2:$B171, 0)) * 'КОШТОРИС'!C87, 
    ""), 
"")</f>
        <v/>
      </c>
      <c r="N87" s="488" t="str">
        <f t="array" ref="N87">IFERROR(INDEX('Номенклатура_BAF'!$I$2:$I171, MATCH($B87, 'Номенклатура_BAF'!$B$2:$B171, 0)), "")</f>
        <v/>
      </c>
      <c r="O87" s="508"/>
      <c r="P87" s="508"/>
      <c r="Q87" s="508"/>
      <c r="R87" s="508"/>
      <c r="S87" s="508"/>
      <c r="T87" s="464"/>
    </row>
    <row r="88" ht="15.0" customHeight="1">
      <c r="A88" s="489" t="s">
        <v>197</v>
      </c>
      <c r="B88" s="490"/>
      <c r="C88" s="491"/>
      <c r="D88" s="479" t="str">
        <f t="array" ref="D88">IFERROR(INDEX('Номенклатура_BAF'!$C$2:$C171, MATCH($B88, 'Номенклатура_BAF'!$B$2:$B171, 0)), "")</f>
        <v/>
      </c>
      <c r="E88" s="480" t="str">
        <f t="array" ref="E88">IFERROR(INDEX(IF('КОШТОРИС'!$P$3, 'Номенклатура_BAF'!$E$2:$E171, 'Номенклатура_BAF'!$D$2:$D171), MATCH($B88, 'Номенклатура_BAF'!$B$2:$B171, 0)), "")</f>
        <v/>
      </c>
      <c r="F88" s="492"/>
      <c r="G88" s="501" t="str">
        <f t="shared" si="54"/>
        <v/>
      </c>
      <c r="H88" s="493"/>
      <c r="I88" s="491"/>
      <c r="J88" s="484" t="str">
        <f t="shared" si="55"/>
        <v/>
      </c>
      <c r="K88" s="485" t="str">
        <f t="shared" si="56"/>
        <v/>
      </c>
      <c r="L88" s="486" t="str">
        <f t="shared" si="57"/>
        <v/>
      </c>
      <c r="M88" s="568" t="str">
        <f t="array" ref="M88">IFERROR(IF(ISNUMBER(INDEX('Номенклатура_BAF'!$G$2:$G171, MATCH($B88, 'Номенклатура_BAF'!$B$2:$B171, 0))), 
    INDEX('Номенклатура_BAF'!$G$2:$G171, MATCH($B88, 'Номенклатура_BAF'!$B$2:$B171, 0)) * 'КОШТОРИС'!C88, 
    ""), 
"")</f>
        <v/>
      </c>
      <c r="N88" s="488" t="str">
        <f t="array" ref="N88">IFERROR(INDEX('Номенклатура_BAF'!$I$2:$I171, MATCH($B88, 'Номенклатура_BAF'!$B$2:$B171, 0)), "")</f>
        <v/>
      </c>
      <c r="O88" s="508"/>
      <c r="P88" s="508"/>
      <c r="Q88" s="508"/>
      <c r="R88" s="508"/>
      <c r="S88" s="508"/>
      <c r="T88" s="464"/>
    </row>
    <row r="89" ht="15.0" customHeight="1">
      <c r="A89" s="489" t="s">
        <v>198</v>
      </c>
      <c r="B89" s="490"/>
      <c r="C89" s="491"/>
      <c r="D89" s="479" t="str">
        <f t="array" ref="D89">IFERROR(INDEX('Номенклатура_BAF'!$C$2:$C171, MATCH($B89, 'Номенклатура_BAF'!$B$2:$B171, 0)), "")</f>
        <v/>
      </c>
      <c r="E89" s="480" t="str">
        <f t="array" ref="E89">IFERROR(INDEX(IF('КОШТОРИС'!$P$3, 'Номенклатура_BAF'!$E$2:$E171, 'Номенклатура_BAF'!$D$2:$D171), MATCH($B89, 'Номенклатура_BAF'!$B$2:$B171, 0)), "")</f>
        <v/>
      </c>
      <c r="F89" s="492"/>
      <c r="G89" s="501" t="str">
        <f t="shared" si="54"/>
        <v/>
      </c>
      <c r="H89" s="493"/>
      <c r="I89" s="491"/>
      <c r="J89" s="484" t="str">
        <f t="shared" si="55"/>
        <v/>
      </c>
      <c r="K89" s="485" t="str">
        <f t="shared" si="56"/>
        <v/>
      </c>
      <c r="L89" s="486" t="str">
        <f t="shared" si="57"/>
        <v/>
      </c>
      <c r="M89" s="568" t="str">
        <f t="array" ref="M89">IFERROR(IF(ISNUMBER(INDEX('Номенклатура_BAF'!$G$2:$G171, MATCH($B89, 'Номенклатура_BAF'!$B$2:$B171, 0))), 
    INDEX('Номенклатура_BAF'!$G$2:$G171, MATCH($B89, 'Номенклатура_BAF'!$B$2:$B171, 0)) * 'КОШТОРИС'!C89, 
    ""), 
"")</f>
        <v/>
      </c>
      <c r="N89" s="488" t="str">
        <f t="array" ref="N89">IFERROR(INDEX('Номенклатура_BAF'!$I$2:$I171, MATCH($B89, 'Номенклатура_BAF'!$B$2:$B171, 0)), "")</f>
        <v/>
      </c>
      <c r="O89" s="508"/>
      <c r="P89" s="508"/>
      <c r="Q89" s="508"/>
      <c r="R89" s="508"/>
      <c r="S89" s="508"/>
      <c r="T89" s="464"/>
    </row>
    <row r="90" ht="15.0" customHeight="1">
      <c r="A90" s="489" t="s">
        <v>199</v>
      </c>
      <c r="B90" s="490"/>
      <c r="C90" s="491"/>
      <c r="D90" s="479" t="str">
        <f t="array" ref="D90">IFERROR(INDEX('Номенклатура_BAF'!$C$2:$C171, MATCH($B90, 'Номенклатура_BAF'!$B$2:$B171, 0)), "")</f>
        <v/>
      </c>
      <c r="E90" s="480" t="str">
        <f t="array" ref="E90">IFERROR(INDEX(IF('КОШТОРИС'!$P$3, 'Номенклатура_BAF'!$E$2:$E171, 'Номенклатура_BAF'!$D$2:$D171), MATCH($B90, 'Номенклатура_BAF'!$B$2:$B171, 0)), "")</f>
        <v/>
      </c>
      <c r="F90" s="492"/>
      <c r="G90" s="501" t="str">
        <f t="shared" si="54"/>
        <v/>
      </c>
      <c r="H90" s="493"/>
      <c r="I90" s="491"/>
      <c r="J90" s="484" t="str">
        <f t="shared" si="55"/>
        <v/>
      </c>
      <c r="K90" s="485" t="str">
        <f t="shared" si="56"/>
        <v/>
      </c>
      <c r="L90" s="486" t="str">
        <f t="shared" si="57"/>
        <v/>
      </c>
      <c r="M90" s="568" t="str">
        <f t="array" ref="M90">IFERROR(IF(ISNUMBER(INDEX('Номенклатура_BAF'!$G$2:$G171, MATCH($B90, 'Номенклатура_BAF'!$B$2:$B171, 0))), 
    INDEX('Номенклатура_BAF'!$G$2:$G171, MATCH($B90, 'Номенклатура_BAF'!$B$2:$B171, 0)) * 'КОШТОРИС'!C90, 
    ""), 
"")</f>
        <v/>
      </c>
      <c r="N90" s="488" t="str">
        <f t="array" ref="N90">IFERROR(INDEX('Номенклатура_BAF'!$I$2:$I171, MATCH($B90, 'Номенклатура_BAF'!$B$2:$B171, 0)), "")</f>
        <v/>
      </c>
      <c r="O90" s="508"/>
      <c r="P90" s="508"/>
      <c r="Q90" s="508"/>
      <c r="R90" s="508"/>
      <c r="S90" s="508"/>
      <c r="T90" s="464"/>
    </row>
    <row r="91" ht="15.0" customHeight="1">
      <c r="A91" s="494" t="s">
        <v>200</v>
      </c>
      <c r="B91" s="495"/>
      <c r="C91" s="496"/>
      <c r="D91" s="479" t="str">
        <f t="array" ref="D91">IFERROR(INDEX('Номенклатура_BAF'!$C$2:$C171, MATCH($B91, 'Номенклатура_BAF'!$B$2:$B171, 0)), "")</f>
        <v/>
      </c>
      <c r="E91" s="480" t="str">
        <f t="array" ref="E91">IFERROR(INDEX(IF('КОШТОРИС'!$P$3, 'Номенклатура_BAF'!$E$2:$E171, 'Номенклатура_BAF'!$D$2:$D171), MATCH($B91, 'Номенклатура_BAF'!$B$2:$B171, 0)), "")</f>
        <v/>
      </c>
      <c r="F91" s="497"/>
      <c r="G91" s="501" t="str">
        <f t="shared" si="54"/>
        <v/>
      </c>
      <c r="H91" s="498"/>
      <c r="I91" s="496"/>
      <c r="J91" s="484" t="str">
        <f t="shared" si="55"/>
        <v/>
      </c>
      <c r="K91" s="485" t="str">
        <f t="shared" si="56"/>
        <v/>
      </c>
      <c r="L91" s="486" t="str">
        <f t="shared" si="57"/>
        <v/>
      </c>
      <c r="M91" s="568" t="str">
        <f t="array" ref="M91">IFERROR(IF(ISNUMBER(INDEX('Номенклатура_BAF'!$G$2:$G171, MATCH($B91, 'Номенклатура_BAF'!$B$2:$B171, 0))), 
    INDEX('Номенклатура_BAF'!$G$2:$G171, MATCH($B91, 'Номенклатура_BAF'!$B$2:$B171, 0)) * 'КОШТОРИС'!C91, 
    ""), 
"")</f>
        <v/>
      </c>
      <c r="N91" s="488" t="str">
        <f t="array" ref="N91">IFERROR(INDEX('Номенклатура_BAF'!$I$2:$I171, MATCH($B91, 'Номенклатура_BAF'!$B$2:$B171, 0)), "")</f>
        <v/>
      </c>
      <c r="O91" s="508"/>
      <c r="P91" s="508"/>
      <c r="Q91" s="508"/>
      <c r="R91" s="508"/>
      <c r="S91" s="508"/>
      <c r="T91" s="464"/>
    </row>
    <row r="92" ht="15.0" customHeight="1">
      <c r="A92" s="494" t="s">
        <v>201</v>
      </c>
      <c r="B92" s="495"/>
      <c r="C92" s="496"/>
      <c r="D92" s="479" t="str">
        <f t="array" ref="D92">IFERROR(INDEX('Номенклатура_BAF'!$C$2:$C171, MATCH($B92, 'Номенклатура_BAF'!$B$2:$B171, 0)), "")</f>
        <v/>
      </c>
      <c r="E92" s="480" t="str">
        <f t="array" ref="E92">IFERROR(INDEX(IF('КОШТОРИС'!$P$3, 'Номенклатура_BAF'!$E$2:$E171, 'Номенклатура_BAF'!$D$2:$D171), MATCH($B92, 'Номенклатура_BAF'!$B$2:$B171, 0)), "")</f>
        <v/>
      </c>
      <c r="F92" s="497"/>
      <c r="G92" s="501" t="str">
        <f t="shared" si="54"/>
        <v/>
      </c>
      <c r="H92" s="498"/>
      <c r="I92" s="496"/>
      <c r="J92" s="484" t="str">
        <f t="shared" si="55"/>
        <v/>
      </c>
      <c r="K92" s="485" t="str">
        <f t="shared" si="56"/>
        <v/>
      </c>
      <c r="L92" s="486" t="str">
        <f t="shared" si="57"/>
        <v/>
      </c>
      <c r="M92" s="568" t="str">
        <f t="array" ref="M92">IFERROR(IF(ISNUMBER(INDEX('Номенклатура_BAF'!$G$2:$G171, MATCH($B92, 'Номенклатура_BAF'!$B$2:$B171, 0))), 
    INDEX('Номенклатура_BAF'!$G$2:$G171, MATCH($B92, 'Номенклатура_BAF'!$B$2:$B171, 0)) * 'КОШТОРИС'!C92, 
    ""), 
"")</f>
        <v/>
      </c>
      <c r="N92" s="488" t="str">
        <f t="array" ref="N92">IFERROR(INDEX('Номенклатура_BAF'!$I$2:$I171, MATCH($B92, 'Номенклатура_BAF'!$B$2:$B171, 0)), "")</f>
        <v/>
      </c>
      <c r="O92" s="508"/>
      <c r="P92" s="508"/>
      <c r="Q92" s="508"/>
      <c r="R92" s="508"/>
      <c r="S92" s="508"/>
      <c r="T92" s="464"/>
    </row>
    <row r="93" ht="15.0" customHeight="1">
      <c r="A93" s="494" t="s">
        <v>202</v>
      </c>
      <c r="B93" s="495"/>
      <c r="C93" s="496"/>
      <c r="D93" s="479" t="str">
        <f t="array" ref="D93">IFERROR(INDEX('Номенклатура_BAF'!$C$2:$C171, MATCH($B93, 'Номенклатура_BAF'!$B$2:$B171, 0)), "")</f>
        <v/>
      </c>
      <c r="E93" s="480" t="str">
        <f t="array" ref="E93">IFERROR(INDEX(IF('КОШТОРИС'!$P$3, 'Номенклатура_BAF'!$E$2:$E171, 'Номенклатура_BAF'!$D$2:$D171), MATCH($B93, 'Номенклатура_BAF'!$B$2:$B171, 0)), "")</f>
        <v/>
      </c>
      <c r="F93" s="497"/>
      <c r="G93" s="501" t="str">
        <f t="shared" si="54"/>
        <v/>
      </c>
      <c r="H93" s="498"/>
      <c r="I93" s="496"/>
      <c r="J93" s="484" t="str">
        <f t="shared" si="55"/>
        <v/>
      </c>
      <c r="K93" s="485" t="str">
        <f t="shared" si="56"/>
        <v/>
      </c>
      <c r="L93" s="486" t="str">
        <f t="shared" si="57"/>
        <v/>
      </c>
      <c r="M93" s="568" t="str">
        <f t="array" ref="M93">IFERROR(IF(ISNUMBER(INDEX('Номенклатура_BAF'!$G$2:$G171, MATCH($B93, 'Номенклатура_BAF'!$B$2:$B171, 0))), 
    INDEX('Номенклатура_BAF'!$G$2:$G171, MATCH($B93, 'Номенклатура_BAF'!$B$2:$B171, 0)) * 'КОШТОРИС'!C93, 
    ""), 
"")</f>
        <v/>
      </c>
      <c r="N93" s="488" t="str">
        <f t="array" ref="N93">IFERROR(INDEX('Номенклатура_BAF'!$I$2:$I171, MATCH($B93, 'Номенклатура_BAF'!$B$2:$B171, 0)), "")</f>
        <v/>
      </c>
      <c r="O93" s="508"/>
      <c r="P93" s="508"/>
      <c r="Q93" s="508"/>
      <c r="R93" s="508"/>
      <c r="S93" s="508"/>
      <c r="T93" s="464"/>
    </row>
    <row r="94" ht="15.0" customHeight="1">
      <c r="A94" s="494" t="s">
        <v>203</v>
      </c>
      <c r="B94" s="495"/>
      <c r="C94" s="496"/>
      <c r="D94" s="479" t="str">
        <f t="array" ref="D94">IFERROR(INDEX('Номенклатура_BAF'!$C$2:$C171, MATCH($B94, 'Номенклатура_BAF'!$B$2:$B171, 0)), "")</f>
        <v/>
      </c>
      <c r="E94" s="480" t="str">
        <f t="array" ref="E94">IFERROR(INDEX(IF('КОШТОРИС'!$P$3, 'Номенклатура_BAF'!$E$2:$E171, 'Номенклатура_BAF'!$D$2:$D171), MATCH($B94, 'Номенклатура_BAF'!$B$2:$B171, 0)), "")</f>
        <v/>
      </c>
      <c r="F94" s="497"/>
      <c r="G94" s="501" t="str">
        <f t="shared" si="54"/>
        <v/>
      </c>
      <c r="H94" s="498"/>
      <c r="I94" s="496"/>
      <c r="J94" s="484" t="str">
        <f t="shared" si="55"/>
        <v/>
      </c>
      <c r="K94" s="485" t="str">
        <f t="shared" si="56"/>
        <v/>
      </c>
      <c r="L94" s="486" t="str">
        <f t="shared" si="57"/>
        <v/>
      </c>
      <c r="M94" s="568" t="str">
        <f t="array" ref="M94">IFERROR(IF(ISNUMBER(INDEX('Номенклатура_BAF'!$G$2:$G171, MATCH($B94, 'Номенклатура_BAF'!$B$2:$B171, 0))), 
    INDEX('Номенклатура_BAF'!$G$2:$G171, MATCH($B94, 'Номенклатура_BAF'!$B$2:$B171, 0)) * 'КОШТОРИС'!C94, 
    ""), 
"")</f>
        <v/>
      </c>
      <c r="N94" s="488" t="str">
        <f t="array" ref="N94">IFERROR(INDEX('Номенклатура_BAF'!$I$2:$I171, MATCH($B94, 'Номенклатура_BAF'!$B$2:$B171, 0)), "")</f>
        <v/>
      </c>
      <c r="O94" s="508"/>
      <c r="P94" s="508"/>
      <c r="Q94" s="508"/>
      <c r="R94" s="508"/>
      <c r="S94" s="508"/>
      <c r="T94" s="464"/>
    </row>
    <row r="95" ht="15.0" customHeight="1">
      <c r="A95" s="494" t="s">
        <v>204</v>
      </c>
      <c r="B95" s="495"/>
      <c r="C95" s="496"/>
      <c r="D95" s="479" t="str">
        <f t="array" ref="D95">IFERROR(INDEX('Номенклатура_BAF'!$C$2:$C171, MATCH($B95, 'Номенклатура_BAF'!$B$2:$B171, 0)), "")</f>
        <v/>
      </c>
      <c r="E95" s="480" t="str">
        <f t="array" ref="E95">IFERROR(INDEX(IF('КОШТОРИС'!$P$3, 'Номенклатура_BAF'!$E$2:$E171, 'Номенклатура_BAF'!$D$2:$D171), MATCH($B95, 'Номенклатура_BAF'!$B$2:$B171, 0)), "")</f>
        <v/>
      </c>
      <c r="F95" s="497"/>
      <c r="G95" s="501" t="str">
        <f t="shared" si="54"/>
        <v/>
      </c>
      <c r="H95" s="498"/>
      <c r="I95" s="496"/>
      <c r="J95" s="484" t="str">
        <f t="shared" si="55"/>
        <v/>
      </c>
      <c r="K95" s="485" t="str">
        <f t="shared" si="56"/>
        <v/>
      </c>
      <c r="L95" s="486" t="str">
        <f t="shared" si="57"/>
        <v/>
      </c>
      <c r="M95" s="568" t="str">
        <f t="array" ref="M95">IFERROR(IF(ISNUMBER(INDEX('Номенклатура_BAF'!$G$2:$G171, MATCH($B95, 'Номенклатура_BAF'!$B$2:$B171, 0))), 
    INDEX('Номенклатура_BAF'!$G$2:$G171, MATCH($B95, 'Номенклатура_BAF'!$B$2:$B171, 0)) * 'КОШТОРИС'!C95, 
    ""), 
"")</f>
        <v/>
      </c>
      <c r="N95" s="488" t="str">
        <f t="array" ref="N95">IFERROR(INDEX('Номенклатура_BAF'!$I$2:$I171, MATCH($B95, 'Номенклатура_BAF'!$B$2:$B171, 0)), "")</f>
        <v/>
      </c>
      <c r="O95" s="508"/>
      <c r="P95" s="508"/>
      <c r="Q95" s="508"/>
      <c r="R95" s="508"/>
      <c r="S95" s="508"/>
      <c r="T95" s="464"/>
    </row>
    <row r="96" ht="18.75" customHeight="1">
      <c r="A96" s="467" t="s">
        <v>206</v>
      </c>
      <c r="B96" s="468" t="s">
        <v>15</v>
      </c>
      <c r="C96" s="469"/>
      <c r="D96" s="469"/>
      <c r="E96" s="469"/>
      <c r="F96" s="470"/>
      <c r="G96" s="499">
        <f t="array" ref="G96">SUM(OFFSET(INDIRECT(ADDRESS(ROW(), COLUMN())), 1, 0, MATCH("Захист АКБ", $B:$B, 0) - ROW() - 1))</f>
        <v>0</v>
      </c>
      <c r="H96" s="472"/>
      <c r="I96" s="469"/>
      <c r="J96" s="510">
        <f t="array" ref="J96">SUM(OFFSET(INDIRECT(ADDRESS(ROW(), COLUMN())), 1, 0, MATCH("Захист АКБ", $B:$B, 0) - ROW() - 1))</f>
        <v>0</v>
      </c>
      <c r="K96" s="500"/>
      <c r="L96" s="475">
        <f t="array" ref="L96">SUM(OFFSET(INDIRECT(ADDRESS(ROW(), COLUMN())), 1, 0, MATCH("Захист АКБ", $B:$B, 0) - ROW() - 1))</f>
        <v>0</v>
      </c>
      <c r="M96" s="487"/>
      <c r="N96" s="488" t="str">
        <f t="array" ref="N96">IFERROR(INDEX('Номенклатура_BAF'!$I$2:$I171, MATCH($B96, 'Номенклатура_BAF'!$B$2:$B171, 0)), "")</f>
        <v/>
      </c>
      <c r="O96" s="508"/>
      <c r="P96" s="508"/>
      <c r="Q96" s="508"/>
      <c r="R96" s="508"/>
      <c r="S96" s="508"/>
      <c r="T96" s="464"/>
    </row>
    <row r="97" ht="15.0" customHeight="1">
      <c r="A97" s="477" t="s">
        <v>207</v>
      </c>
      <c r="B97" s="478" t="s">
        <v>208</v>
      </c>
      <c r="C97" s="479"/>
      <c r="D97" s="479" t="str">
        <f t="array" ref="D97">IFERROR(INDEX('Номенклатура_BAF'!$C$2:$C171, MATCH($B97, 'Номенклатура_BAF'!$B$2:$B171, 0)), "")</f>
        <v>шт</v>
      </c>
      <c r="E97" s="480">
        <f t="array" ref="E97">IFERROR(INDEX(IF('КОШТОРИС'!$P$3, 'Номенклатура_BAF'!$E$2:$E171, 'Номенклатура_BAF'!$D$2:$D171), MATCH($B97, 'Номенклатура_BAF'!$B$2:$B171, 0)), "")</f>
        <v>88</v>
      </c>
      <c r="F97" s="481"/>
      <c r="G97" s="501" t="str">
        <f t="shared" ref="G97:G100" si="58">IF($E97*$C97=0,"",$E97*$C97)</f>
        <v/>
      </c>
      <c r="H97" s="483"/>
      <c r="I97" s="479"/>
      <c r="J97" s="484" t="str">
        <f t="shared" ref="J97:J100" si="59">IF(E97*(I97+H97)=0,"",E97*(I97+H97))</f>
        <v/>
      </c>
      <c r="K97" s="485" t="str">
        <f t="shared" ref="K97:K100" si="60">IF(C97-(H97+I97)=0,"",C97-(H97+I97))</f>
        <v/>
      </c>
      <c r="L97" s="486" t="str">
        <f t="shared" ref="L97:L100" si="61">IF(G97-J97=0,"",G97-J97)</f>
        <v/>
      </c>
      <c r="M97" s="487"/>
      <c r="N97" s="569" t="str">
        <f t="array" ref="N97">IFERROR(INDEX('Номенклатура_BAF'!$I$2:$I171, MATCH($B97, 'Номенклатура_BAF'!$B$2:$B171, 0)), "")</f>
        <v>https://e-server.com.ua/uk/serverni-stijki/serverni-stijki-lite/serverna-stijka-16u-400-lite-detail</v>
      </c>
      <c r="O97" s="508"/>
      <c r="P97" s="508"/>
      <c r="Q97" s="508"/>
      <c r="R97" s="508"/>
      <c r="S97" s="508"/>
      <c r="T97" s="464"/>
    </row>
    <row r="98" ht="15.0" customHeight="1">
      <c r="A98" s="489" t="s">
        <v>209</v>
      </c>
      <c r="B98" s="490" t="s">
        <v>210</v>
      </c>
      <c r="C98" s="491"/>
      <c r="D98" s="479" t="str">
        <f t="array" ref="D98">IFERROR(INDEX('Номенклатура_BAF'!$C$2:$C171, MATCH($B98, 'Номенклатура_BAF'!$B$2:$B171, 0)), "")</f>
        <v>шт</v>
      </c>
      <c r="E98" s="480">
        <f t="array" ref="E98">IFERROR(INDEX(IF('КОШТОРИС'!$P$3, 'Номенклатура_BAF'!$E$2:$E171, 'Номенклатура_BAF'!$D$2:$D171), MATCH($B98, 'Номенклатура_BAF'!$B$2:$B171, 0)), "")</f>
        <v>4.1</v>
      </c>
      <c r="F98" s="492"/>
      <c r="G98" s="501" t="str">
        <f t="shared" si="58"/>
        <v/>
      </c>
      <c r="H98" s="493"/>
      <c r="I98" s="491"/>
      <c r="J98" s="484" t="str">
        <f t="shared" si="59"/>
        <v/>
      </c>
      <c r="K98" s="485" t="str">
        <f t="shared" si="60"/>
        <v/>
      </c>
      <c r="L98" s="486" t="str">
        <f t="shared" si="61"/>
        <v/>
      </c>
      <c r="M98" s="487"/>
      <c r="N98" s="569" t="str">
        <f t="array" ref="N98">IFERROR(INDEX('Номенклатура_BAF'!$I$2:$I171, MATCH($B98, 'Номенклатура_BAF'!$B$2:$B171, 0)), "")</f>
        <v>https://e-server.com.ua/uk/komplekt-bicnix-opor-400-mm-cornii</v>
      </c>
      <c r="O98" s="508"/>
      <c r="P98" s="508"/>
      <c r="Q98" s="508"/>
      <c r="R98" s="508"/>
      <c r="S98" s="508"/>
      <c r="T98" s="464"/>
    </row>
    <row r="99" ht="15.0" customHeight="1">
      <c r="A99" s="489" t="s">
        <v>211</v>
      </c>
      <c r="B99" s="490" t="s">
        <v>212</v>
      </c>
      <c r="C99" s="491"/>
      <c r="D99" s="479" t="str">
        <f t="array" ref="D99">IFERROR(INDEX('Номенклатура_BAF'!$C$2:$C171, MATCH($B99, 'Номенклатура_BAF'!$B$2:$B171, 0)), "")</f>
        <v>шт</v>
      </c>
      <c r="E99" s="480">
        <f t="array" ref="E99">IFERROR(INDEX(IF('КОШТОРИС'!$P$3, 'Номенклатура_BAF'!$E$2:$E171, 'Номенклатура_BAF'!$D$2:$D171), MATCH($B99, 'Номенклатура_BAF'!$B$2:$B171, 0)), "")</f>
        <v>12</v>
      </c>
      <c r="F99" s="492"/>
      <c r="G99" s="501" t="str">
        <f t="shared" si="58"/>
        <v/>
      </c>
      <c r="H99" s="493"/>
      <c r="I99" s="491"/>
      <c r="J99" s="484" t="str">
        <f t="shared" si="59"/>
        <v/>
      </c>
      <c r="K99" s="485" t="str">
        <f t="shared" si="60"/>
        <v/>
      </c>
      <c r="L99" s="486" t="str">
        <f t="shared" si="61"/>
        <v/>
      </c>
      <c r="M99" s="487"/>
      <c r="N99" s="569" t="str">
        <f t="array" ref="N99">IFERROR(INDEX('Номенклатура_BAF'!$I$2:$I171, MATCH($B99, 'Номенклатура_BAF'!$B$2:$B171, 0)), "")</f>
        <v>https://e-server.com.ua/uk/aksesuari-kriplennja/serverni-polici/policja-nizhnja-400-mm-detail</v>
      </c>
      <c r="O99" s="508"/>
      <c r="P99" s="508"/>
      <c r="Q99" s="508"/>
      <c r="R99" s="508"/>
      <c r="S99" s="508"/>
      <c r="T99" s="464"/>
    </row>
    <row r="100" ht="15.0" customHeight="1">
      <c r="A100" s="494" t="s">
        <v>213</v>
      </c>
      <c r="B100" s="495" t="s">
        <v>214</v>
      </c>
      <c r="C100" s="496"/>
      <c r="D100" s="479" t="str">
        <f t="array" ref="D100">IFERROR(INDEX('Номенклатура_BAF'!$C$2:$C171, MATCH($B100, 'Номенклатура_BAF'!$B$2:$B171, 0)), "")</f>
        <v>шт</v>
      </c>
      <c r="E100" s="480">
        <f t="array" ref="E100">IFERROR(INDEX(IF('КОШТОРИС'!$P$3, 'Номенклатура_BAF'!$E$2:$E171, 'Номенклатура_BAF'!$D$2:$D171), MATCH($B100, 'Номенклатура_BAF'!$B$2:$B171, 0)), "")</f>
        <v>0.13</v>
      </c>
      <c r="F100" s="497"/>
      <c r="G100" s="501" t="str">
        <f t="shared" si="58"/>
        <v/>
      </c>
      <c r="H100" s="498"/>
      <c r="I100" s="496"/>
      <c r="J100" s="484" t="str">
        <f t="shared" si="59"/>
        <v/>
      </c>
      <c r="K100" s="485" t="str">
        <f t="shared" si="60"/>
        <v/>
      </c>
      <c r="L100" s="486" t="str">
        <f t="shared" si="61"/>
        <v/>
      </c>
      <c r="M100" s="487"/>
      <c r="N100" s="569" t="str">
        <f t="array" ref="N100">IFERROR(INDEX('Номенклатура_BAF'!$I$2:$I171, MATCH($B100, 'Номенклатура_BAF'!$B$2:$B171, 0)), "")</f>
        <v>https://e-server.com.ua/uk/aksesuari-kriplennja/kriplennja-rizne/komplekt-kriplennja-chornij-gvint-20mm-gajka-shajba-detail</v>
      </c>
      <c r="O100" s="508"/>
      <c r="P100" s="508"/>
      <c r="Q100" s="508"/>
      <c r="R100" s="508"/>
      <c r="S100" s="508"/>
      <c r="T100" s="464"/>
    </row>
    <row r="101" ht="18.75" customHeight="1">
      <c r="A101" s="467" t="s">
        <v>215</v>
      </c>
      <c r="B101" s="468" t="s">
        <v>16</v>
      </c>
      <c r="C101" s="469"/>
      <c r="D101" s="469"/>
      <c r="E101" s="469"/>
      <c r="F101" s="470"/>
      <c r="G101" s="499">
        <f t="array" ref="G101">SUM(OFFSET(INDIRECT(ADDRESS(ROW(), COLUMN())), 1, 0, MATCH("Заземлення", $B:$B, 0) - ROW() - 1))</f>
        <v>0</v>
      </c>
      <c r="H101" s="472"/>
      <c r="I101" s="469"/>
      <c r="J101" s="510">
        <f t="array" ref="J101">SUM(OFFSET(INDIRECT(ADDRESS(ROW(), COLUMN())), 1, 0, MATCH("Заземлення", $B:$B, 0) - ROW() - 1))</f>
        <v>0</v>
      </c>
      <c r="K101" s="500"/>
      <c r="L101" s="475">
        <f t="array" ref="L101">SUM(OFFSET(INDIRECT(ADDRESS(ROW(), COLUMN())), 1, 0, MATCH("Заземлення", $B:$B, 0) - ROW() - 1))</f>
        <v>0</v>
      </c>
      <c r="M101" s="487"/>
      <c r="N101" s="488" t="str">
        <f t="array" ref="N101">IFERROR(INDEX('Номенклатура_BAF'!$I$2:$I171, MATCH($B101, 'Номенклатура_BAF'!$B$2:$B171, 0)), "")</f>
        <v/>
      </c>
      <c r="O101" s="508"/>
      <c r="P101" s="508"/>
      <c r="Q101" s="508"/>
      <c r="R101" s="508"/>
      <c r="S101" s="508"/>
      <c r="T101" s="464"/>
    </row>
    <row r="102" ht="15.0" customHeight="1">
      <c r="A102" s="477" t="s">
        <v>216</v>
      </c>
      <c r="B102" s="478"/>
      <c r="C102" s="479"/>
      <c r="D102" s="479" t="str">
        <f t="array" ref="D102">IFERROR(INDEX('Номенклатура_BAF'!$C$2:$C171, MATCH($B102, 'Номенклатура_BAF'!$B$2:$B171, 0)), "")</f>
        <v/>
      </c>
      <c r="E102" s="480" t="str">
        <f t="array" ref="E102">IFERROR(INDEX(IF('КОШТОРИС'!$P$3, 'Номенклатура_BAF'!$E$2:$E171, 'Номенклатура_BAF'!$D$2:$D171), MATCH($B102, 'Номенклатура_BAF'!$B$2:$B171, 0)), "")</f>
        <v/>
      </c>
      <c r="F102" s="481"/>
      <c r="G102" s="501" t="str">
        <f t="shared" ref="G102:G106" si="62">IF($E102*$C102=0,"",$E102*$C102)</f>
        <v/>
      </c>
      <c r="H102" s="483"/>
      <c r="I102" s="479"/>
      <c r="J102" s="484" t="str">
        <f t="shared" ref="J102:J106" si="63">IF(E102*(I102+H102)=0,"",E102*(I102+H102))</f>
        <v/>
      </c>
      <c r="K102" s="485" t="str">
        <f t="shared" ref="K102:K106" si="64">IF(C102-(H102+I102)=0,"",C102-(H102+I102))</f>
        <v/>
      </c>
      <c r="L102" s="486" t="str">
        <f t="shared" ref="L102:L106" si="65">IF(G102-J102=0,"",G102-J102)</f>
        <v/>
      </c>
      <c r="M102" s="487"/>
      <c r="N102" s="488" t="str">
        <f t="array" ref="N102">IFERROR(INDEX('Номенклатура_BAF'!$I$2:$I171, MATCH($B102, 'Номенклатура_BAF'!$B$2:$B171, 0)), "")</f>
        <v/>
      </c>
      <c r="O102" s="508"/>
      <c r="P102" s="508"/>
      <c r="Q102" s="508"/>
      <c r="R102" s="508"/>
      <c r="S102" s="508"/>
      <c r="T102" s="464"/>
    </row>
    <row r="103" ht="15.0" customHeight="1">
      <c r="A103" s="489" t="s">
        <v>217</v>
      </c>
      <c r="B103" s="490"/>
      <c r="C103" s="491"/>
      <c r="D103" s="479" t="str">
        <f t="array" ref="D103">IFERROR(INDEX('Номенклатура_BAF'!$C$2:$C171, MATCH($B103, 'Номенклатура_BAF'!$B$2:$B171, 0)), "")</f>
        <v/>
      </c>
      <c r="E103" s="480" t="str">
        <f t="array" ref="E103">IFERROR(INDEX(IF('КОШТОРИС'!$P$3, 'Номенклатура_BAF'!$E$2:$E171, 'Номенклатура_BAF'!$D$2:$D171), MATCH($B103, 'Номенклатура_BAF'!$B$2:$B171, 0)), "")</f>
        <v/>
      </c>
      <c r="F103" s="492"/>
      <c r="G103" s="501" t="str">
        <f t="shared" si="62"/>
        <v/>
      </c>
      <c r="H103" s="493"/>
      <c r="I103" s="491"/>
      <c r="J103" s="484" t="str">
        <f t="shared" si="63"/>
        <v/>
      </c>
      <c r="K103" s="485" t="str">
        <f t="shared" si="64"/>
        <v/>
      </c>
      <c r="L103" s="486" t="str">
        <f t="shared" si="65"/>
        <v/>
      </c>
      <c r="M103" s="487"/>
      <c r="N103" s="488" t="str">
        <f t="array" ref="N103">IFERROR(INDEX('Номенклатура_BAF'!$I$2:$I171, MATCH($B103, 'Номенклатура_BAF'!$B$2:$B171, 0)), "")</f>
        <v/>
      </c>
      <c r="O103" s="508"/>
      <c r="P103" s="508"/>
      <c r="Q103" s="508"/>
      <c r="R103" s="508"/>
      <c r="S103" s="508"/>
      <c r="T103" s="464"/>
    </row>
    <row r="104" ht="15.0" customHeight="1">
      <c r="A104" s="489" t="s">
        <v>218</v>
      </c>
      <c r="B104" s="490"/>
      <c r="C104" s="491"/>
      <c r="D104" s="479" t="str">
        <f t="array" ref="D104">IFERROR(INDEX('Номенклатура_BAF'!$C$2:$C171, MATCH($B104, 'Номенклатура_BAF'!$B$2:$B171, 0)), "")</f>
        <v/>
      </c>
      <c r="E104" s="480" t="str">
        <f t="array" ref="E104">IFERROR(INDEX(IF('КОШТОРИС'!$P$3, 'Номенклатура_BAF'!$E$2:$E171, 'Номенклатура_BAF'!$D$2:$D171), MATCH($B104, 'Номенклатура_BAF'!$B$2:$B171, 0)), "")</f>
        <v/>
      </c>
      <c r="F104" s="570"/>
      <c r="G104" s="501" t="str">
        <f t="shared" si="62"/>
        <v/>
      </c>
      <c r="H104" s="493"/>
      <c r="I104" s="491"/>
      <c r="J104" s="484" t="str">
        <f t="shared" si="63"/>
        <v/>
      </c>
      <c r="K104" s="485" t="str">
        <f t="shared" si="64"/>
        <v/>
      </c>
      <c r="L104" s="486" t="str">
        <f t="shared" si="65"/>
        <v/>
      </c>
      <c r="M104" s="487"/>
      <c r="N104" s="488" t="str">
        <f t="array" ref="N104">IFERROR(INDEX('Номенклатура_BAF'!$I$2:$I171, MATCH($B104, 'Номенклатура_BAF'!$B$2:$B171, 0)), "")</f>
        <v/>
      </c>
      <c r="O104" s="508"/>
      <c r="P104" s="508"/>
      <c r="Q104" s="508"/>
      <c r="R104" s="508"/>
      <c r="S104" s="508"/>
      <c r="T104" s="464"/>
    </row>
    <row r="105" ht="15.0" customHeight="1">
      <c r="A105" s="489" t="s">
        <v>219</v>
      </c>
      <c r="B105" s="490"/>
      <c r="C105" s="491"/>
      <c r="D105" s="479" t="str">
        <f t="array" ref="D105">IFERROR(INDEX('Номенклатура_BAF'!$C$2:$C171, MATCH($B105, 'Номенклатура_BAF'!$B$2:$B171, 0)), "")</f>
        <v/>
      </c>
      <c r="E105" s="480" t="str">
        <f t="array" ref="E105">IFERROR(INDEX(IF('КОШТОРИС'!$P$3, 'Номенклатура_BAF'!$E$2:$E171, 'Номенклатура_BAF'!$D$2:$D171), MATCH($B105, 'Номенклатура_BAF'!$B$2:$B171, 0)), "")</f>
        <v/>
      </c>
      <c r="F105" s="525"/>
      <c r="G105" s="501" t="str">
        <f t="shared" si="62"/>
        <v/>
      </c>
      <c r="H105" s="493"/>
      <c r="I105" s="491"/>
      <c r="J105" s="484" t="str">
        <f t="shared" si="63"/>
        <v/>
      </c>
      <c r="K105" s="485" t="str">
        <f t="shared" si="64"/>
        <v/>
      </c>
      <c r="L105" s="486" t="str">
        <f t="shared" si="65"/>
        <v/>
      </c>
      <c r="M105" s="487"/>
      <c r="N105" s="488" t="str">
        <f t="array" ref="N105">IFERROR(INDEX('Номенклатура_BAF'!$I$2:$I171, MATCH($B105, 'Номенклатура_BAF'!$B$2:$B171, 0)), "")</f>
        <v/>
      </c>
      <c r="O105" s="508"/>
      <c r="P105" s="508"/>
      <c r="Q105" s="508"/>
      <c r="R105" s="508"/>
      <c r="S105" s="508"/>
      <c r="T105" s="464"/>
    </row>
    <row r="106" ht="15.0" customHeight="1">
      <c r="A106" s="494" t="s">
        <v>220</v>
      </c>
      <c r="B106" s="495"/>
      <c r="C106" s="496"/>
      <c r="D106" s="479" t="str">
        <f t="array" ref="D106">IFERROR(INDEX('Номенклатура_BAF'!$C$2:$C171, MATCH($B106, 'Номенклатура_BAF'!$B$2:$B171, 0)), "")</f>
        <v/>
      </c>
      <c r="E106" s="480" t="str">
        <f t="array" ref="E106">IFERROR(INDEX(IF('КОШТОРИС'!$P$3, 'Номенклатура_BAF'!$E$2:$E171, 'Номенклатура_BAF'!$D$2:$D171), MATCH($B106, 'Номенклатура_BAF'!$B$2:$B171, 0)), "")</f>
        <v/>
      </c>
      <c r="F106" s="571"/>
      <c r="G106" s="501" t="str">
        <f t="shared" si="62"/>
        <v/>
      </c>
      <c r="H106" s="498"/>
      <c r="I106" s="496"/>
      <c r="J106" s="484" t="str">
        <f t="shared" si="63"/>
        <v/>
      </c>
      <c r="K106" s="485" t="str">
        <f t="shared" si="64"/>
        <v/>
      </c>
      <c r="L106" s="486" t="str">
        <f t="shared" si="65"/>
        <v/>
      </c>
      <c r="M106" s="487"/>
      <c r="N106" s="488" t="str">
        <f t="array" ref="N106">IFERROR(INDEX('Номенклатура_BAF'!$I$2:$I171, MATCH($B106, 'Номенклатура_BAF'!$B$2:$B171, 0)), "")</f>
        <v/>
      </c>
      <c r="O106" s="508"/>
      <c r="P106" s="508"/>
      <c r="Q106" s="508"/>
      <c r="R106" s="508"/>
      <c r="S106" s="508"/>
      <c r="T106" s="464"/>
    </row>
    <row r="107" ht="18.75" customHeight="1">
      <c r="A107" s="572" t="s">
        <v>221</v>
      </c>
      <c r="B107" s="573" t="s">
        <v>17</v>
      </c>
      <c r="C107" s="574"/>
      <c r="D107" s="574"/>
      <c r="E107" s="574"/>
      <c r="F107" s="575"/>
      <c r="G107" s="576">
        <f t="array" ref="G107">SUM(OFFSET(INDIRECT(ADDRESS(ROW(), COLUMN())), 1, 0, MATCH("Кабельна продукція", $B:$B, 0) - ROW() - 1))</f>
        <v>0</v>
      </c>
      <c r="H107" s="577"/>
      <c r="I107" s="574"/>
      <c r="J107" s="578">
        <f t="array" ref="J107">SUM(OFFSET(INDIRECT(ADDRESS(ROW(), COLUMN())), 1, 0, MATCH("Кабельна продукція", $B:$B, 0) - ROW() - 1))</f>
        <v>0</v>
      </c>
      <c r="K107" s="579"/>
      <c r="L107" s="475">
        <f t="array" ref="L107">SUM(OFFSET(INDIRECT(ADDRESS(ROW(), COLUMN())), 1, 0, MATCH("Кабельна продукція", $B:$B, 0) - ROW() - 1))</f>
        <v>0</v>
      </c>
      <c r="M107" s="487"/>
      <c r="N107" s="488" t="str">
        <f t="array" ref="N107">IFERROR(INDEX('Номенклатура_BAF'!$I$2:$I171, MATCH($B107, 'Номенклатура_BAF'!$B$2:$B171, 0)), "")</f>
        <v/>
      </c>
      <c r="O107" s="508"/>
      <c r="P107" s="508"/>
      <c r="Q107" s="508"/>
      <c r="R107" s="508"/>
      <c r="S107" s="508"/>
      <c r="T107" s="464"/>
    </row>
    <row r="108" ht="15.0" customHeight="1">
      <c r="A108" s="477" t="s">
        <v>222</v>
      </c>
      <c r="B108" s="478" t="s">
        <v>223</v>
      </c>
      <c r="C108" s="479"/>
      <c r="D108" s="479" t="str">
        <f t="array" ref="D108">IFERROR(INDEX('Номенклатура_BAF'!$C$2:$C171, MATCH($B108, 'Номенклатура_BAF'!$B$2:$B171, 0)), "")</f>
        <v>шт</v>
      </c>
      <c r="E108" s="480">
        <f t="array" ref="E108">IFERROR(INDEX(IF('КОШТОРИС'!$P$3, 'Номенклатура_BAF'!$E$2:$E171, 'Номенклатура_BAF'!$D$2:$D171), MATCH($B108, 'Номенклатура_BAF'!$B$2:$B171, 0)), "")</f>
        <v>4.71</v>
      </c>
      <c r="F108" s="481"/>
      <c r="G108" s="501" t="str">
        <f t="shared" ref="G108:G111" si="66">IF($E108*$C108=0,"",$E108*$C108)</f>
        <v/>
      </c>
      <c r="H108" s="483"/>
      <c r="I108" s="479"/>
      <c r="J108" s="484" t="str">
        <f t="shared" ref="J108:J111" si="67">IF(E108*(I108+H108)=0,"",E108*(I108+H108))</f>
        <v/>
      </c>
      <c r="K108" s="485" t="str">
        <f t="shared" ref="K108:K111" si="68">IF(C108-(H108+I108)=0,"",C108-(H108+I108))</f>
        <v/>
      </c>
      <c r="L108" s="486" t="str">
        <f t="shared" ref="L108:L111" si="69">IF(G108-J108=0,"",G108-J108)</f>
        <v/>
      </c>
      <c r="M108" s="487"/>
      <c r="N108" s="569" t="str">
        <f t="array" ref="N108">IFERROR(INDEX('Номенклатура_BAF'!$I$2:$I171, MATCH($B108, 'Номенклатура_BAF'!$B$2:$B171, 0)), "")</f>
        <v>https://axiomplus.com.ua/ua/zazemlenie-molniezashhita/product-90535/</v>
      </c>
      <c r="O108" s="508"/>
      <c r="P108" s="508"/>
      <c r="Q108" s="508"/>
      <c r="R108" s="508"/>
      <c r="S108" s="508"/>
      <c r="T108" s="464"/>
    </row>
    <row r="109" ht="15.0" customHeight="1">
      <c r="A109" s="489" t="s">
        <v>224</v>
      </c>
      <c r="B109" s="490" t="s">
        <v>225</v>
      </c>
      <c r="C109" s="491"/>
      <c r="D109" s="479" t="str">
        <f t="array" ref="D109">IFERROR(INDEX('Номенклатура_BAF'!$C$2:$C171, MATCH($B109, 'Номенклатура_BAF'!$B$2:$B171, 0)), "")</f>
        <v>шт</v>
      </c>
      <c r="E109" s="480">
        <f t="array" ref="E109">IFERROR(INDEX(IF('КОШТОРИС'!$P$3, 'Номенклатура_BAF'!$E$2:$E171, 'Номенклатура_BAF'!$D$2:$D171), MATCH($B109, 'Номенклатура_BAF'!$B$2:$B171, 0)), "")</f>
        <v>15.72</v>
      </c>
      <c r="F109" s="492"/>
      <c r="G109" s="501" t="str">
        <f t="shared" si="66"/>
        <v/>
      </c>
      <c r="H109" s="493"/>
      <c r="I109" s="491"/>
      <c r="J109" s="484" t="str">
        <f t="shared" si="67"/>
        <v/>
      </c>
      <c r="K109" s="485" t="str">
        <f t="shared" si="68"/>
        <v/>
      </c>
      <c r="L109" s="486" t="str">
        <f t="shared" si="69"/>
        <v/>
      </c>
      <c r="M109" s="487"/>
      <c r="N109" s="569" t="str">
        <f t="array" ref="N109">IFERROR(INDEX('Номенклатура_BAF'!$I$2:$I171, MATCH($B109, 'Номенклатура_BAF'!$B$2:$B171, 0)), "")</f>
        <v>https://axiomplus.com.ua/ua/zazemlenie-molniezashhita/product-90866/</v>
      </c>
      <c r="O109" s="508"/>
      <c r="P109" s="508"/>
      <c r="Q109" s="508"/>
      <c r="R109" s="508"/>
      <c r="S109" s="508"/>
      <c r="T109" s="464"/>
    </row>
    <row r="110" ht="15.0" customHeight="1">
      <c r="A110" s="489" t="s">
        <v>226</v>
      </c>
      <c r="B110" s="495" t="s">
        <v>227</v>
      </c>
      <c r="C110" s="496"/>
      <c r="D110" s="479" t="str">
        <f t="array" ref="D110">IFERROR(INDEX('Номенклатура_BAF'!$C$2:$C171, MATCH($B110, 'Номенклатура_BAF'!$B$2:$B171, 0)), "")</f>
        <v>шт</v>
      </c>
      <c r="E110" s="480">
        <f t="array" ref="E110">IFERROR(INDEX(IF('КОШТОРИС'!$P$3, 'Номенклатура_BAF'!$E$2:$E171, 'Номенклатура_BAF'!$D$2:$D171), MATCH($B110, 'Номенклатура_BAF'!$B$2:$B171, 0)), "")</f>
        <v>15.72</v>
      </c>
      <c r="F110" s="497"/>
      <c r="G110" s="501" t="str">
        <f t="shared" si="66"/>
        <v/>
      </c>
      <c r="H110" s="498"/>
      <c r="I110" s="496"/>
      <c r="J110" s="484" t="str">
        <f t="shared" si="67"/>
        <v/>
      </c>
      <c r="K110" s="485" t="str">
        <f t="shared" si="68"/>
        <v/>
      </c>
      <c r="L110" s="486" t="str">
        <f t="shared" si="69"/>
        <v/>
      </c>
      <c r="M110" s="487"/>
      <c r="N110" s="569" t="str">
        <f t="array" ref="N110">IFERROR(INDEX('Номенклатура_BAF'!$I$2:$I171, MATCH($B110, 'Номенклатура_BAF'!$B$2:$B171, 0)), "")</f>
        <v>https://axiomplus.com.ua/ua/zazemlenie-molniezashhita/product-90867/</v>
      </c>
      <c r="O110" s="508"/>
      <c r="P110" s="508"/>
      <c r="Q110" s="508"/>
      <c r="R110" s="508"/>
      <c r="S110" s="508"/>
      <c r="T110" s="464"/>
    </row>
    <row r="111" ht="15.0" customHeight="1">
      <c r="A111" s="512" t="s">
        <v>228</v>
      </c>
      <c r="B111" s="495" t="s">
        <v>229</v>
      </c>
      <c r="C111" s="496"/>
      <c r="D111" s="479" t="str">
        <f t="array" ref="D111">IFERROR(INDEX('Номенклатура_BAF'!$C$2:$C171, MATCH($B111, 'Номенклатура_BAF'!$B$2:$B171, 0)), "")</f>
        <v>м</v>
      </c>
      <c r="E111" s="480">
        <f t="array" ref="E111">IFERROR(INDEX(IF('КОШТОРИС'!$P$3, 'Номенклатура_BAF'!$E$2:$E171, 'Номенклатура_BAF'!$D$2:$D171), MATCH($B111, 'Номенклатура_BAF'!$B$2:$B171, 0)), "")</f>
        <v>2.76</v>
      </c>
      <c r="F111" s="497"/>
      <c r="G111" s="501" t="str">
        <f t="shared" si="66"/>
        <v/>
      </c>
      <c r="H111" s="498"/>
      <c r="I111" s="496"/>
      <c r="J111" s="484" t="str">
        <f t="shared" si="67"/>
        <v/>
      </c>
      <c r="K111" s="485" t="str">
        <f t="shared" si="68"/>
        <v/>
      </c>
      <c r="L111" s="486" t="str">
        <f t="shared" si="69"/>
        <v/>
      </c>
      <c r="M111" s="487"/>
      <c r="N111" s="569" t="str">
        <f t="array" ref="N111">IFERROR(INDEX('Номенклатура_BAF'!$I$2:$I171, MATCH($B111, 'Номенклатура_BAF'!$B$2:$B171, 0)), "")</f>
        <v>https://amperok.com.ua/ru/smuga_zazemlennja_25_4mm_buhta_32m_nc2254_1</v>
      </c>
      <c r="O111" s="508"/>
      <c r="P111" s="508"/>
      <c r="Q111" s="508"/>
      <c r="R111" s="508"/>
      <c r="S111" s="508"/>
      <c r="T111" s="464"/>
    </row>
    <row r="112" ht="18.75" customHeight="1">
      <c r="A112" s="580" t="s">
        <v>230</v>
      </c>
      <c r="B112" s="581" t="s">
        <v>231</v>
      </c>
      <c r="C112" s="582"/>
      <c r="D112" s="582"/>
      <c r="E112" s="582"/>
      <c r="F112" s="583"/>
      <c r="G112" s="584">
        <f t="array" ref="G112">SUM(OFFSET(INDIRECT(ADDRESS(ROW(), COLUMN())), 1, 0, MATCH("Монтажні вироби та інше", $B:$B, 0) - ROW() - 1))</f>
        <v>0</v>
      </c>
      <c r="H112" s="585"/>
      <c r="I112" s="582"/>
      <c r="J112" s="586">
        <f t="array" ref="J112">SUM(OFFSET(INDIRECT(ADDRESS(ROW(), COLUMN())), 1, 0, MATCH("Монтажні вироби та інше", $B:$B, 0) - ROW() - 1))</f>
        <v>0</v>
      </c>
      <c r="K112" s="587"/>
      <c r="L112" s="475">
        <f t="array" ref="L112">SUM(OFFSET(INDIRECT(ADDRESS(ROW(), COLUMN())), 1, 0, MATCH("Монтажні вироби та інше", $B:$B, 0) - ROW() - 1))</f>
        <v>0</v>
      </c>
      <c r="M112" s="487"/>
      <c r="N112" s="488" t="str">
        <f t="array" ref="N112">IFERROR(INDEX('Номенклатура_BAF'!$I$2:$I171, MATCH($B112, 'Номенклатура_BAF'!$B$2:$B171, 0)), "")</f>
        <v/>
      </c>
      <c r="O112" s="508"/>
      <c r="P112" s="508"/>
      <c r="Q112" s="508"/>
      <c r="R112" s="508"/>
      <c r="S112" s="508"/>
      <c r="T112" s="464"/>
    </row>
    <row r="113" ht="15.0" customHeight="1">
      <c r="A113" s="477" t="s">
        <v>232</v>
      </c>
      <c r="B113" s="478"/>
      <c r="C113" s="479"/>
      <c r="D113" s="479" t="str">
        <f t="array" ref="D113">IFERROR(INDEX('Номенклатура_BAF'!$C$2:$C171, MATCH($B113, 'Номенклатура_BAF'!$B$2:$B171, 0)), "")</f>
        <v/>
      </c>
      <c r="E113" s="480" t="str">
        <f t="array" ref="E113">IFERROR(INDEX(IF('КОШТОРИС'!$P$3, 'Номенклатура_BAF'!$E$2:$E171, 'Номенклатура_BAF'!$D$2:$D171), MATCH($B113, 'Номенклатура_BAF'!$B$2:$B171, 0)), "")</f>
        <v/>
      </c>
      <c r="F113" s="481"/>
      <c r="G113" s="501" t="str">
        <f t="shared" ref="G113:G127" si="70">IF($E113*$C113=0,"",$E113*$C113)</f>
        <v/>
      </c>
      <c r="H113" s="483"/>
      <c r="I113" s="479"/>
      <c r="J113" s="484" t="str">
        <f t="shared" ref="J113:J127" si="71">IF(E113*(I113+H113)=0,"",E113*(I113+H113))</f>
        <v/>
      </c>
      <c r="K113" s="485" t="str">
        <f t="shared" ref="K113:K127" si="72">IF(C113-(H113+I113)=0,"",C113-(H113+I113))</f>
        <v/>
      </c>
      <c r="L113" s="486" t="str">
        <f t="shared" ref="L113:L127" si="73">IF(G113-J113=0,"",G113-J113)</f>
        <v/>
      </c>
      <c r="M113" s="487"/>
      <c r="N113" s="488" t="str">
        <f t="array" ref="N113">IFERROR(INDEX('Номенклатура_BAF'!$I$2:$I171, MATCH($B113, 'Номенклатура_BAF'!$B$2:$B171, 0)), "")</f>
        <v/>
      </c>
      <c r="O113" s="508"/>
      <c r="P113" s="508"/>
      <c r="Q113" s="508"/>
      <c r="R113" s="508"/>
      <c r="S113" s="508"/>
      <c r="T113" s="464"/>
    </row>
    <row r="114" ht="15.0" customHeight="1">
      <c r="A114" s="489" t="s">
        <v>234</v>
      </c>
      <c r="B114" s="490"/>
      <c r="C114" s="491"/>
      <c r="D114" s="479" t="str">
        <f t="array" ref="D114">IFERROR(INDEX('Номенклатура_BAF'!$C$2:$C171, MATCH($B114, 'Номенклатура_BAF'!$B$2:$B171, 0)), "")</f>
        <v/>
      </c>
      <c r="E114" s="480" t="str">
        <f t="array" ref="E114">IFERROR(INDEX(IF('КОШТОРИС'!$P$3, 'Номенклатура_BAF'!$E$2:$E171, 'Номенклатура_BAF'!$D$2:$D171), MATCH($B114, 'Номенклатура_BAF'!$B$2:$B171, 0)), "")</f>
        <v/>
      </c>
      <c r="F114" s="492"/>
      <c r="G114" s="501" t="str">
        <f t="shared" si="70"/>
        <v/>
      </c>
      <c r="H114" s="493"/>
      <c r="I114" s="491"/>
      <c r="J114" s="484" t="str">
        <f t="shared" si="71"/>
        <v/>
      </c>
      <c r="K114" s="485" t="str">
        <f t="shared" si="72"/>
        <v/>
      </c>
      <c r="L114" s="486" t="str">
        <f t="shared" si="73"/>
        <v/>
      </c>
      <c r="M114" s="487"/>
      <c r="N114" s="488" t="str">
        <f t="array" ref="N114">IFERROR(INDEX('Номенклатура_BAF'!$I$2:$I171, MATCH($B114, 'Номенклатура_BAF'!$B$2:$B171, 0)), "")</f>
        <v/>
      </c>
      <c r="O114" s="508"/>
      <c r="P114" s="508"/>
      <c r="Q114" s="508"/>
      <c r="R114" s="508"/>
      <c r="S114" s="508"/>
      <c r="T114" s="464"/>
    </row>
    <row r="115" ht="15.0" customHeight="1">
      <c r="A115" s="489" t="s">
        <v>236</v>
      </c>
      <c r="B115" s="490"/>
      <c r="C115" s="491"/>
      <c r="D115" s="479" t="str">
        <f t="array" ref="D115">IFERROR(INDEX('Номенклатура_BAF'!$C$2:$C171, MATCH($B115, 'Номенклатура_BAF'!$B$2:$B171, 0)), "")</f>
        <v/>
      </c>
      <c r="E115" s="480" t="str">
        <f t="array" ref="E115">IFERROR(INDEX(IF('КОШТОРИС'!$P$3, 'Номенклатура_BAF'!$E$2:$E171, 'Номенклатура_BAF'!$D$2:$D171), MATCH($B115, 'Номенклатура_BAF'!$B$2:$B171, 0)), "")</f>
        <v/>
      </c>
      <c r="F115" s="492"/>
      <c r="G115" s="501" t="str">
        <f t="shared" si="70"/>
        <v/>
      </c>
      <c r="H115" s="493"/>
      <c r="I115" s="491"/>
      <c r="J115" s="484" t="str">
        <f t="shared" si="71"/>
        <v/>
      </c>
      <c r="K115" s="485" t="str">
        <f t="shared" si="72"/>
        <v/>
      </c>
      <c r="L115" s="486" t="str">
        <f t="shared" si="73"/>
        <v/>
      </c>
      <c r="M115" s="487"/>
      <c r="N115" s="488" t="str">
        <f t="array" ref="N115">IFERROR(INDEX('Номенклатура_BAF'!$I$2:$I171, MATCH($B115, 'Номенклатура_BAF'!$B$2:$B171, 0)), "")</f>
        <v/>
      </c>
      <c r="O115" s="508"/>
      <c r="P115" s="508"/>
      <c r="Q115" s="508"/>
      <c r="R115" s="508"/>
      <c r="S115" s="508"/>
      <c r="T115" s="464"/>
    </row>
    <row r="116" ht="15.0" customHeight="1">
      <c r="A116" s="489" t="s">
        <v>238</v>
      </c>
      <c r="B116" s="490"/>
      <c r="C116" s="491"/>
      <c r="D116" s="479" t="str">
        <f t="array" ref="D116">IFERROR(INDEX('Номенклатура_BAF'!$C$2:$C171, MATCH($B116, 'Номенклатура_BAF'!$B$2:$B171, 0)), "")</f>
        <v/>
      </c>
      <c r="E116" s="480" t="str">
        <f t="array" ref="E116">IFERROR(INDEX(IF('КОШТОРИС'!$P$3, 'Номенклатура_BAF'!$E$2:$E171, 'Номенклатура_BAF'!$D$2:$D171), MATCH($B116, 'Номенклатура_BAF'!$B$2:$B171, 0)), "")</f>
        <v/>
      </c>
      <c r="F116" s="492"/>
      <c r="G116" s="501" t="str">
        <f t="shared" si="70"/>
        <v/>
      </c>
      <c r="H116" s="493"/>
      <c r="I116" s="491"/>
      <c r="J116" s="484" t="str">
        <f t="shared" si="71"/>
        <v/>
      </c>
      <c r="K116" s="485" t="str">
        <f t="shared" si="72"/>
        <v/>
      </c>
      <c r="L116" s="486" t="str">
        <f t="shared" si="73"/>
        <v/>
      </c>
      <c r="M116" s="487"/>
      <c r="N116" s="488" t="str">
        <f t="array" ref="N116">IFERROR(INDEX('Номенклатура_BAF'!$I$2:$I171, MATCH($B116, 'Номенклатура_BAF'!$B$2:$B171, 0)), "")</f>
        <v/>
      </c>
      <c r="O116" s="508"/>
      <c r="P116" s="508"/>
      <c r="Q116" s="508"/>
      <c r="R116" s="508"/>
      <c r="S116" s="508"/>
      <c r="T116" s="464"/>
    </row>
    <row r="117" ht="15.0" customHeight="1">
      <c r="A117" s="489" t="s">
        <v>240</v>
      </c>
      <c r="B117" s="490"/>
      <c r="C117" s="491"/>
      <c r="D117" s="479" t="str">
        <f t="array" ref="D117">IFERROR(INDEX('Номенклатура_BAF'!$C$2:$C171, MATCH($B117, 'Номенклатура_BAF'!$B$2:$B171, 0)), "")</f>
        <v/>
      </c>
      <c r="E117" s="480" t="str">
        <f t="array" ref="E117">IFERROR(INDEX(IF('КОШТОРИС'!$P$3, 'Номенклатура_BAF'!$E$2:$E171, 'Номенклатура_BAF'!$D$2:$D171), MATCH($B117, 'Номенклатура_BAF'!$B$2:$B171, 0)), "")</f>
        <v/>
      </c>
      <c r="F117" s="492"/>
      <c r="G117" s="501" t="str">
        <f t="shared" si="70"/>
        <v/>
      </c>
      <c r="H117" s="493"/>
      <c r="I117" s="491"/>
      <c r="J117" s="484" t="str">
        <f t="shared" si="71"/>
        <v/>
      </c>
      <c r="K117" s="485" t="str">
        <f t="shared" si="72"/>
        <v/>
      </c>
      <c r="L117" s="486" t="str">
        <f t="shared" si="73"/>
        <v/>
      </c>
      <c r="M117" s="487"/>
      <c r="N117" s="488" t="str">
        <f t="array" ref="N117">IFERROR(INDEX('Номенклатура_BAF'!$I$2:$I171, MATCH($B117, 'Номенклатура_BAF'!$B$2:$B171, 0)), "")</f>
        <v/>
      </c>
      <c r="O117" s="508"/>
      <c r="P117" s="508"/>
      <c r="Q117" s="508"/>
      <c r="R117" s="508"/>
      <c r="S117" s="508"/>
      <c r="T117" s="464"/>
    </row>
    <row r="118" ht="15.0" customHeight="1">
      <c r="A118" s="489" t="s">
        <v>242</v>
      </c>
      <c r="B118" s="490"/>
      <c r="C118" s="491"/>
      <c r="D118" s="479" t="str">
        <f t="array" ref="D118">IFERROR(INDEX('Номенклатура_BAF'!$C$2:$C171, MATCH($B118, 'Номенклатура_BAF'!$B$2:$B171, 0)), "")</f>
        <v/>
      </c>
      <c r="E118" s="480" t="str">
        <f t="array" ref="E118">IFERROR(INDEX(IF('КОШТОРИС'!$P$3, 'Номенклатура_BAF'!$E$2:$E171, 'Номенклатура_BAF'!$D$2:$D171), MATCH($B118, 'Номенклатура_BAF'!$B$2:$B171, 0)), "")</f>
        <v/>
      </c>
      <c r="F118" s="492"/>
      <c r="G118" s="501" t="str">
        <f t="shared" si="70"/>
        <v/>
      </c>
      <c r="H118" s="493"/>
      <c r="I118" s="491"/>
      <c r="J118" s="484" t="str">
        <f t="shared" si="71"/>
        <v/>
      </c>
      <c r="K118" s="485" t="str">
        <f t="shared" si="72"/>
        <v/>
      </c>
      <c r="L118" s="486" t="str">
        <f t="shared" si="73"/>
        <v/>
      </c>
      <c r="M118" s="487"/>
      <c r="N118" s="488" t="str">
        <f t="array" ref="N118">IFERROR(INDEX('Номенклатура_BAF'!$I$2:$I171, MATCH($B118, 'Номенклатура_BAF'!$B$2:$B171, 0)), "")</f>
        <v/>
      </c>
      <c r="O118" s="508"/>
      <c r="P118" s="508"/>
      <c r="Q118" s="508"/>
      <c r="R118" s="508"/>
      <c r="S118" s="508"/>
      <c r="T118" s="464"/>
    </row>
    <row r="119" ht="15.0" customHeight="1">
      <c r="A119" s="489" t="s">
        <v>243</v>
      </c>
      <c r="B119" s="490"/>
      <c r="C119" s="491"/>
      <c r="D119" s="479" t="str">
        <f t="array" ref="D119">IFERROR(INDEX('Номенклатура_BAF'!$C$2:$C171, MATCH($B119, 'Номенклатура_BAF'!$B$2:$B171, 0)), "")</f>
        <v/>
      </c>
      <c r="E119" s="480" t="str">
        <f t="array" ref="E119">IFERROR(INDEX(IF('КОШТОРИС'!$P$3, 'Номенклатура_BAF'!$E$2:$E171, 'Номенклатура_BAF'!$D$2:$D171), MATCH($B119, 'Номенклатура_BAF'!$B$2:$B171, 0)), "")</f>
        <v/>
      </c>
      <c r="F119" s="525"/>
      <c r="G119" s="501" t="str">
        <f t="shared" si="70"/>
        <v/>
      </c>
      <c r="H119" s="493"/>
      <c r="I119" s="491"/>
      <c r="J119" s="484" t="str">
        <f t="shared" si="71"/>
        <v/>
      </c>
      <c r="K119" s="485" t="str">
        <f t="shared" si="72"/>
        <v/>
      </c>
      <c r="L119" s="486" t="str">
        <f t="shared" si="73"/>
        <v/>
      </c>
      <c r="M119" s="487"/>
      <c r="N119" s="488" t="str">
        <f t="array" ref="N119">IFERROR(INDEX('Номенклатура_BAF'!$I$2:$I171, MATCH($B119, 'Номенклатура_BAF'!$B$2:$B171, 0)), "")</f>
        <v/>
      </c>
      <c r="O119" s="508"/>
      <c r="P119" s="508"/>
      <c r="Q119" s="508"/>
      <c r="R119" s="508"/>
      <c r="S119" s="508"/>
      <c r="T119" s="464"/>
    </row>
    <row r="120" ht="15.0" customHeight="1">
      <c r="A120" s="489" t="s">
        <v>244</v>
      </c>
      <c r="B120" s="490"/>
      <c r="C120" s="491"/>
      <c r="D120" s="479" t="str">
        <f t="array" ref="D120">IFERROR(INDEX('Номенклатура_BAF'!$C$2:$C171, MATCH($B120, 'Номенклатура_BAF'!$B$2:$B171, 0)), "")</f>
        <v/>
      </c>
      <c r="E120" s="480" t="str">
        <f t="array" ref="E120">IFERROR(INDEX(IF('КОШТОРИС'!$P$3, 'Номенклатура_BAF'!$E$2:$E171, 'Номенклатура_BAF'!$D$2:$D171), MATCH($B120, 'Номенклатура_BAF'!$B$2:$B171, 0)), "")</f>
        <v/>
      </c>
      <c r="F120" s="492"/>
      <c r="G120" s="501" t="str">
        <f t="shared" si="70"/>
        <v/>
      </c>
      <c r="H120" s="493"/>
      <c r="I120" s="491"/>
      <c r="J120" s="484" t="str">
        <f t="shared" si="71"/>
        <v/>
      </c>
      <c r="K120" s="485" t="str">
        <f t="shared" si="72"/>
        <v/>
      </c>
      <c r="L120" s="486" t="str">
        <f t="shared" si="73"/>
        <v/>
      </c>
      <c r="M120" s="487"/>
      <c r="N120" s="488" t="str">
        <f t="array" ref="N120">IFERROR(INDEX('Номенклатура_BAF'!$I$2:$I171, MATCH($B120, 'Номенклатура_BAF'!$B$2:$B171, 0)), "")</f>
        <v/>
      </c>
      <c r="O120" s="508"/>
      <c r="P120" s="508"/>
      <c r="Q120" s="508"/>
      <c r="R120" s="508"/>
      <c r="S120" s="508"/>
      <c r="T120" s="464"/>
    </row>
    <row r="121" ht="15.0" customHeight="1">
      <c r="A121" s="489" t="s">
        <v>245</v>
      </c>
      <c r="B121" s="490"/>
      <c r="C121" s="491"/>
      <c r="D121" s="479" t="str">
        <f t="array" ref="D121">IFERROR(INDEX('Номенклатура_BAF'!$C$2:$C171, MATCH($B121, 'Номенклатура_BAF'!$B$2:$B171, 0)), "")</f>
        <v/>
      </c>
      <c r="E121" s="480" t="str">
        <f t="array" ref="E121">IFERROR(INDEX(IF('КОШТОРИС'!$P$3, 'Номенклатура_BAF'!$E$2:$E171, 'Номенклатура_BAF'!$D$2:$D171), MATCH($B121, 'Номенклатура_BAF'!$B$2:$B171, 0)), "")</f>
        <v/>
      </c>
      <c r="F121" s="492"/>
      <c r="G121" s="501" t="str">
        <f t="shared" si="70"/>
        <v/>
      </c>
      <c r="H121" s="493"/>
      <c r="I121" s="491"/>
      <c r="J121" s="484" t="str">
        <f t="shared" si="71"/>
        <v/>
      </c>
      <c r="K121" s="485" t="str">
        <f t="shared" si="72"/>
        <v/>
      </c>
      <c r="L121" s="486" t="str">
        <f t="shared" si="73"/>
        <v/>
      </c>
      <c r="M121" s="487"/>
      <c r="N121" s="488" t="str">
        <f t="array" ref="N121">IFERROR(INDEX('Номенклатура_BAF'!$I$2:$I171, MATCH($B121, 'Номенклатура_BAF'!$B$2:$B171, 0)), "")</f>
        <v/>
      </c>
      <c r="O121" s="508"/>
      <c r="P121" s="508"/>
      <c r="Q121" s="508"/>
      <c r="R121" s="508"/>
      <c r="S121" s="508"/>
      <c r="T121" s="464"/>
    </row>
    <row r="122" ht="15.0" customHeight="1">
      <c r="A122" s="494" t="s">
        <v>246</v>
      </c>
      <c r="B122" s="495"/>
      <c r="C122" s="496"/>
      <c r="D122" s="479" t="str">
        <f t="array" ref="D122">IFERROR(INDEX('Номенклатура_BAF'!$C$2:$C171, MATCH($B122, 'Номенклатура_BAF'!$B$2:$B171, 0)), "")</f>
        <v/>
      </c>
      <c r="E122" s="480" t="str">
        <f t="array" ref="E122">IFERROR(INDEX(IF('КОШТОРИС'!$P$3, 'Номенклатура_BAF'!$E$2:$E171, 'Номенклатура_BAF'!$D$2:$D171), MATCH($B122, 'Номенклатура_BAF'!$B$2:$B171, 0)), "")</f>
        <v/>
      </c>
      <c r="F122" s="497"/>
      <c r="G122" s="501" t="str">
        <f t="shared" si="70"/>
        <v/>
      </c>
      <c r="H122" s="498"/>
      <c r="I122" s="496"/>
      <c r="J122" s="484" t="str">
        <f t="shared" si="71"/>
        <v/>
      </c>
      <c r="K122" s="485" t="str">
        <f t="shared" si="72"/>
        <v/>
      </c>
      <c r="L122" s="486" t="str">
        <f t="shared" si="73"/>
        <v/>
      </c>
      <c r="M122" s="487"/>
      <c r="N122" s="488" t="str">
        <f t="array" ref="N122">IFERROR(INDEX('Номенклатура_BAF'!$I$2:$I171, MATCH($B122, 'Номенклатура_BAF'!$B$2:$B171, 0)), "")</f>
        <v/>
      </c>
      <c r="O122" s="508"/>
      <c r="P122" s="508"/>
      <c r="Q122" s="508"/>
      <c r="R122" s="508"/>
      <c r="S122" s="508"/>
      <c r="T122" s="464"/>
    </row>
    <row r="123" ht="15.0" customHeight="1">
      <c r="A123" s="494" t="s">
        <v>247</v>
      </c>
      <c r="B123" s="495"/>
      <c r="C123" s="496"/>
      <c r="D123" s="479" t="str">
        <f t="array" ref="D123">IFERROR(INDEX('Номенклатура_BAF'!$C$2:$C171, MATCH($B123, 'Номенклатура_BAF'!$B$2:$B171, 0)), "")</f>
        <v/>
      </c>
      <c r="E123" s="480" t="str">
        <f t="array" ref="E123">IFERROR(INDEX(IF('КОШТОРИС'!$P$3, 'Номенклатура_BAF'!$E$2:$E171, 'Номенклатура_BAF'!$D$2:$D171), MATCH($B123, 'Номенклатура_BAF'!$B$2:$B171, 0)), "")</f>
        <v/>
      </c>
      <c r="F123" s="497"/>
      <c r="G123" s="501" t="str">
        <f t="shared" si="70"/>
        <v/>
      </c>
      <c r="H123" s="498"/>
      <c r="I123" s="496"/>
      <c r="J123" s="484" t="str">
        <f t="shared" si="71"/>
        <v/>
      </c>
      <c r="K123" s="485" t="str">
        <f t="shared" si="72"/>
        <v/>
      </c>
      <c r="L123" s="486" t="str">
        <f t="shared" si="73"/>
        <v/>
      </c>
      <c r="M123" s="487"/>
      <c r="N123" s="488" t="str">
        <f t="array" ref="N123">IFERROR(INDEX('Номенклатура_BAF'!$I$2:$I171, MATCH($B123, 'Номенклатура_BAF'!$B$2:$B171, 0)), "")</f>
        <v/>
      </c>
      <c r="O123" s="508"/>
      <c r="P123" s="508"/>
      <c r="Q123" s="508"/>
      <c r="R123" s="508"/>
      <c r="S123" s="508"/>
      <c r="T123" s="464"/>
    </row>
    <row r="124" ht="15.0" customHeight="1">
      <c r="A124" s="494" t="s">
        <v>248</v>
      </c>
      <c r="B124" s="495"/>
      <c r="C124" s="496"/>
      <c r="D124" s="479" t="str">
        <f t="array" ref="D124">IFERROR(INDEX('Номенклатура_BAF'!$C$2:$C171, MATCH($B124, 'Номенклатура_BAF'!$B$2:$B171, 0)), "")</f>
        <v/>
      </c>
      <c r="E124" s="480" t="str">
        <f t="array" ref="E124">IFERROR(INDEX(IF('КОШТОРИС'!$P$3, 'Номенклатура_BAF'!$E$2:$E171, 'Номенклатура_BAF'!$D$2:$D171), MATCH($B124, 'Номенклатура_BAF'!$B$2:$B171, 0)), "")</f>
        <v/>
      </c>
      <c r="F124" s="497"/>
      <c r="G124" s="501" t="str">
        <f t="shared" si="70"/>
        <v/>
      </c>
      <c r="H124" s="498"/>
      <c r="I124" s="496"/>
      <c r="J124" s="484" t="str">
        <f t="shared" si="71"/>
        <v/>
      </c>
      <c r="K124" s="485" t="str">
        <f t="shared" si="72"/>
        <v/>
      </c>
      <c r="L124" s="486" t="str">
        <f t="shared" si="73"/>
        <v/>
      </c>
      <c r="M124" s="487"/>
      <c r="N124" s="488" t="str">
        <f t="array" ref="N124">IFERROR(INDEX('Номенклатура_BAF'!$I$2:$I171, MATCH($B124, 'Номенклатура_BAF'!$B$2:$B171, 0)), "")</f>
        <v/>
      </c>
      <c r="O124" s="508"/>
      <c r="P124" s="508"/>
      <c r="Q124" s="508"/>
      <c r="R124" s="508"/>
      <c r="S124" s="508"/>
      <c r="T124" s="464"/>
    </row>
    <row r="125" ht="15.0" customHeight="1">
      <c r="A125" s="494" t="s">
        <v>249</v>
      </c>
      <c r="B125" s="495"/>
      <c r="C125" s="496"/>
      <c r="D125" s="479" t="str">
        <f t="array" ref="D125">IFERROR(INDEX('Номенклатура_BAF'!$C$2:$C171, MATCH($B125, 'Номенклатура_BAF'!$B$2:$B171, 0)), "")</f>
        <v/>
      </c>
      <c r="E125" s="480" t="str">
        <f t="array" ref="E125">IFERROR(INDEX(IF('КОШТОРИС'!$P$3, 'Номенклатура_BAF'!$E$2:$E171, 'Номенклатура_BAF'!$D$2:$D171), MATCH($B125, 'Номенклатура_BAF'!$B$2:$B171, 0)), "")</f>
        <v/>
      </c>
      <c r="F125" s="497"/>
      <c r="G125" s="501" t="str">
        <f t="shared" si="70"/>
        <v/>
      </c>
      <c r="H125" s="498"/>
      <c r="I125" s="496"/>
      <c r="J125" s="484" t="str">
        <f t="shared" si="71"/>
        <v/>
      </c>
      <c r="K125" s="485" t="str">
        <f t="shared" si="72"/>
        <v/>
      </c>
      <c r="L125" s="486" t="str">
        <f t="shared" si="73"/>
        <v/>
      </c>
      <c r="M125" s="487"/>
      <c r="N125" s="488" t="str">
        <f t="array" ref="N125">IFERROR(INDEX('Номенклатура_BAF'!$I$2:$I171, MATCH($B125, 'Номенклатура_BAF'!$B$2:$B171, 0)), "")</f>
        <v/>
      </c>
      <c r="O125" s="508"/>
      <c r="P125" s="508"/>
      <c r="Q125" s="508"/>
      <c r="R125" s="508"/>
      <c r="S125" s="508"/>
      <c r="T125" s="464"/>
    </row>
    <row r="126" ht="15.0" customHeight="1">
      <c r="A126" s="494" t="s">
        <v>250</v>
      </c>
      <c r="B126" s="495"/>
      <c r="C126" s="496"/>
      <c r="D126" s="479" t="str">
        <f t="array" ref="D126">IFERROR(INDEX('Номенклатура_BAF'!$C$2:$C171, MATCH($B126, 'Номенклатура_BAF'!$B$2:$B171, 0)), "")</f>
        <v/>
      </c>
      <c r="E126" s="480" t="str">
        <f t="array" ref="E126">IFERROR(INDEX(IF('КОШТОРИС'!$P$3, 'Номенклатура_BAF'!$E$2:$E171, 'Номенклатура_BAF'!$D$2:$D171), MATCH($B126, 'Номенклатура_BAF'!$B$2:$B171, 0)), "")</f>
        <v/>
      </c>
      <c r="F126" s="497"/>
      <c r="G126" s="501" t="str">
        <f t="shared" si="70"/>
        <v/>
      </c>
      <c r="H126" s="498"/>
      <c r="I126" s="496"/>
      <c r="J126" s="484" t="str">
        <f t="shared" si="71"/>
        <v/>
      </c>
      <c r="K126" s="485" t="str">
        <f t="shared" si="72"/>
        <v/>
      </c>
      <c r="L126" s="486" t="str">
        <f t="shared" si="73"/>
        <v/>
      </c>
      <c r="M126" s="487"/>
      <c r="N126" s="488" t="str">
        <f t="array" ref="N126">IFERROR(INDEX('Номенклатура_BAF'!$I$2:$I171, MATCH($B126, 'Номенклатура_BAF'!$B$2:$B171, 0)), "")</f>
        <v/>
      </c>
      <c r="O126" s="508"/>
      <c r="P126" s="508"/>
      <c r="Q126" s="508"/>
      <c r="R126" s="508"/>
      <c r="S126" s="508"/>
      <c r="T126" s="464"/>
    </row>
    <row r="127" ht="15.0" customHeight="1">
      <c r="A127" s="494" t="s">
        <v>251</v>
      </c>
      <c r="B127" s="495"/>
      <c r="C127" s="496"/>
      <c r="D127" s="479" t="str">
        <f t="array" ref="D127">IFERROR(INDEX('Номенклатура_BAF'!$C$2:$C171, MATCH($B127, 'Номенклатура_BAF'!$B$2:$B171, 0)), "")</f>
        <v/>
      </c>
      <c r="E127" s="480" t="str">
        <f t="array" ref="E127">IFERROR(INDEX(IF('КОШТОРИС'!$P$3, 'Номенклатура_BAF'!$E$2:$E171, 'Номенклатура_BAF'!$D$2:$D171), MATCH($B127, 'Номенклатура_BAF'!$B$2:$B171, 0)), "")</f>
        <v/>
      </c>
      <c r="F127" s="497"/>
      <c r="G127" s="501" t="str">
        <f t="shared" si="70"/>
        <v/>
      </c>
      <c r="H127" s="498"/>
      <c r="I127" s="496"/>
      <c r="J127" s="484" t="str">
        <f t="shared" si="71"/>
        <v/>
      </c>
      <c r="K127" s="485" t="str">
        <f t="shared" si="72"/>
        <v/>
      </c>
      <c r="L127" s="486" t="str">
        <f t="shared" si="73"/>
        <v/>
      </c>
      <c r="M127" s="487"/>
      <c r="N127" s="488" t="str">
        <f t="array" ref="N127">IFERROR(INDEX('Номенклатура_BAF'!$I$2:$I171, MATCH($B127, 'Номенклатура_BAF'!$B$2:$B171, 0)), "")</f>
        <v/>
      </c>
      <c r="O127" s="508"/>
      <c r="P127" s="508"/>
      <c r="Q127" s="508"/>
      <c r="R127" s="508"/>
      <c r="S127" s="508"/>
      <c r="T127" s="464"/>
    </row>
    <row r="128" ht="18.75" customHeight="1">
      <c r="A128" s="588" t="s">
        <v>252</v>
      </c>
      <c r="B128" s="589" t="s">
        <v>18</v>
      </c>
      <c r="C128" s="590"/>
      <c r="D128" s="590"/>
      <c r="E128" s="590"/>
      <c r="F128" s="591"/>
      <c r="G128" s="592">
        <f t="array" ref="G128">SUM(OFFSET(INDIRECT(ADDRESS(ROW(), COLUMN())), 1, 0, MATCH("Послуги", $B:$B, 0) - ROW() - 1))+$G$152</f>
        <v>0</v>
      </c>
      <c r="H128" s="593"/>
      <c r="I128" s="590"/>
      <c r="J128" s="594">
        <f t="array" ref="J128">SUM(OFFSET(INDIRECT(ADDRESS(ROW(), COLUMN())), 1, 0, MATCH("Послуги", $B:$B, 0) - ROW() - 1))</f>
        <v>0</v>
      </c>
      <c r="K128" s="595"/>
      <c r="L128" s="475">
        <f t="array" ref="L128">SUM(OFFSET(INDIRECT(ADDRESS(ROW(), COLUMN())), 1, 0, MATCH("Послуги", $B:$B, 0) - ROW() - 1))</f>
        <v>0</v>
      </c>
      <c r="M128" s="596">
        <f t="array" ref="M128">SUM(INDIRECT("M" &amp; MATCH("Монтажні вироби та інше", B:B, 0) + 1):INDIRECT("M" &amp; MATCH("Послуги", B:B, 0) - 1))</f>
        <v>0</v>
      </c>
      <c r="N128" s="488" t="str">
        <f t="array" ref="N128">IFERROR(INDEX('Номенклатура_BAF'!$I$2:$I171, MATCH($B128, 'Номенклатура_BAF'!$B$2:$B171, 0)), "")</f>
        <v/>
      </c>
      <c r="O128" s="508"/>
      <c r="P128" s="508"/>
      <c r="Q128" s="508"/>
      <c r="R128" s="508"/>
      <c r="S128" s="508"/>
      <c r="T128" s="464"/>
    </row>
    <row r="129" ht="15.0" customHeight="1">
      <c r="A129" s="477" t="s">
        <v>253</v>
      </c>
      <c r="B129" s="478"/>
      <c r="C129" s="479"/>
      <c r="D129" s="479" t="str">
        <f t="array" ref="D129">IFERROR(INDEX('Номенклатура_BAF'!$C$2:$C171, MATCH($B129, 'Номенклатура_BAF'!$B$2:$B171, 0)), "")</f>
        <v/>
      </c>
      <c r="E129" s="480" t="str">
        <f t="array" ref="E129">IFERROR(INDEX(IF('КОШТОРИС'!$P$3, 'Номенклатура_BAF'!$E$2:$E171, 'Номенклатура_BAF'!$D$2:$D171), MATCH($B129, 'Номенклатура_BAF'!$B$2:$B171, 0)), "")</f>
        <v/>
      </c>
      <c r="F129" s="481"/>
      <c r="G129" s="501" t="str">
        <f t="shared" ref="G129:G143" si="74">IF($E129*$C129=0,"",$E129*$C129)</f>
        <v/>
      </c>
      <c r="H129" s="483"/>
      <c r="I129" s="479"/>
      <c r="J129" s="484" t="str">
        <f t="shared" ref="J129:J143" si="75">IF(E129*(I129+H129)=0,"",E129*(I129+H129))</f>
        <v/>
      </c>
      <c r="K129" s="485" t="str">
        <f t="shared" ref="K129:K143" si="76">IF(C129-(H129+I129)=0,"",C129-(H129+I129))</f>
        <v/>
      </c>
      <c r="L129" s="486" t="str">
        <f t="shared" ref="L129:L143" si="77">IF(G129-J129=0,"",G129-J129)</f>
        <v/>
      </c>
      <c r="M129" s="597" t="str">
        <f t="array" ref="M129">IFERROR(IF(ISNUMBER(INDEX('Номенклатура_BAF'!$G$2:$G171, MATCH($B129, 'Номенклатура_BAF'!$B$2:$B171, 0))), 
    INDEX('Номенклатура_BAF'!$G$2:$G171, MATCH($B129, 'Номенклатура_BAF'!$B$2:$B171, 0)) * 'КОШТОРИС'!C129, 
    ""), 
"")</f>
        <v/>
      </c>
      <c r="N129" s="488" t="str">
        <f t="array" ref="N129">IFERROR(INDEX('Номенклатура_BAF'!$I$2:$I171, MATCH($B129, 'Номенклатура_BAF'!$B$2:$B171, 0)), "")</f>
        <v/>
      </c>
      <c r="O129" s="508"/>
      <c r="P129" s="508"/>
      <c r="Q129" s="508"/>
      <c r="R129" s="508"/>
      <c r="S129" s="508"/>
      <c r="T129" s="464"/>
    </row>
    <row r="130" ht="15.0" customHeight="1">
      <c r="A130" s="489" t="s">
        <v>255</v>
      </c>
      <c r="B130" s="490"/>
      <c r="C130" s="491"/>
      <c r="D130" s="479" t="str">
        <f t="array" ref="D130">IFERROR(INDEX('Номенклатура_BAF'!$C$2:$C171, MATCH($B130, 'Номенклатура_BAF'!$B$2:$B171, 0)), "")</f>
        <v/>
      </c>
      <c r="E130" s="480" t="str">
        <f t="array" ref="E130">IFERROR(INDEX(IF('КОШТОРИС'!$P$3, 'Номенклатура_BAF'!$E$2:$E171, 'Номенклатура_BAF'!$D$2:$D171), MATCH($B130, 'Номенклатура_BAF'!$B$2:$B171, 0)), "")</f>
        <v/>
      </c>
      <c r="F130" s="492"/>
      <c r="G130" s="501" t="str">
        <f t="shared" si="74"/>
        <v/>
      </c>
      <c r="H130" s="493"/>
      <c r="I130" s="491"/>
      <c r="J130" s="484" t="str">
        <f t="shared" si="75"/>
        <v/>
      </c>
      <c r="K130" s="485" t="str">
        <f t="shared" si="76"/>
        <v/>
      </c>
      <c r="L130" s="486" t="str">
        <f t="shared" si="77"/>
        <v/>
      </c>
      <c r="M130" s="597" t="str">
        <f t="array" ref="M130">IFERROR(IF(ISNUMBER(INDEX('Номенклатура_BAF'!$G$2:$G171, MATCH($B130, 'Номенклатура_BAF'!$B$2:$B171, 0))), 
    INDEX('Номенклатура_BAF'!$G$2:$G171, MATCH($B130, 'Номенклатура_BAF'!$B$2:$B171, 0)) * 'КОШТОРИС'!C130, 
    ""), 
"")</f>
        <v/>
      </c>
      <c r="N130" s="488" t="str">
        <f t="array" ref="N130">IFERROR(INDEX('Номенклатура_BAF'!$I$2:$I171, MATCH($B130, 'Номенклатура_BAF'!$B$2:$B171, 0)), "")</f>
        <v/>
      </c>
      <c r="O130" s="508"/>
      <c r="P130" s="508"/>
      <c r="Q130" s="508"/>
      <c r="R130" s="508"/>
      <c r="S130" s="508"/>
      <c r="T130" s="464"/>
    </row>
    <row r="131" ht="15.0" customHeight="1">
      <c r="A131" s="489" t="s">
        <v>257</v>
      </c>
      <c r="B131" s="490"/>
      <c r="C131" s="491"/>
      <c r="D131" s="479" t="str">
        <f t="array" ref="D131">IFERROR(INDEX('Номенклатура_BAF'!$C$2:$C171, MATCH($B131, 'Номенклатура_BAF'!$B$2:$B171, 0)), "")</f>
        <v/>
      </c>
      <c r="E131" s="480" t="str">
        <f t="array" ref="E131">IFERROR(INDEX(IF('КОШТОРИС'!$P$3, 'Номенклатура_BAF'!$E$2:$E171, 'Номенклатура_BAF'!$D$2:$D171), MATCH($B131, 'Номенклатура_BAF'!$B$2:$B171, 0)), "")</f>
        <v/>
      </c>
      <c r="F131" s="492"/>
      <c r="G131" s="501" t="str">
        <f t="shared" si="74"/>
        <v/>
      </c>
      <c r="H131" s="493"/>
      <c r="I131" s="491"/>
      <c r="J131" s="484" t="str">
        <f t="shared" si="75"/>
        <v/>
      </c>
      <c r="K131" s="485" t="str">
        <f t="shared" si="76"/>
        <v/>
      </c>
      <c r="L131" s="486" t="str">
        <f t="shared" si="77"/>
        <v/>
      </c>
      <c r="M131" s="597" t="str">
        <f t="array" ref="M131">IFERROR(IF(ISNUMBER(INDEX('Номенклатура_BAF'!$G$2:$G171, MATCH($B131, 'Номенклатура_BAF'!$B$2:$B171, 0))), 
    INDEX('Номенклатура_BAF'!$G$2:$G171, MATCH($B131, 'Номенклатура_BAF'!$B$2:$B171, 0)) * 'КОШТОРИС'!C131, 
    ""), 
"")</f>
        <v/>
      </c>
      <c r="N131" s="488" t="str">
        <f t="array" ref="N131">IFERROR(INDEX('Номенклатура_BAF'!$I$2:$I171, MATCH($B131, 'Номенклатура_BAF'!$B$2:$B171, 0)), "")</f>
        <v/>
      </c>
      <c r="O131" s="508"/>
      <c r="P131" s="508"/>
      <c r="Q131" s="508"/>
      <c r="R131" s="508"/>
      <c r="S131" s="508"/>
      <c r="T131" s="464"/>
    </row>
    <row r="132" ht="15.0" customHeight="1">
      <c r="A132" s="489" t="s">
        <v>259</v>
      </c>
      <c r="B132" s="490"/>
      <c r="C132" s="491"/>
      <c r="D132" s="479" t="str">
        <f t="array" ref="D132">IFERROR(INDEX('Номенклатура_BAF'!$C$2:$C171, MATCH($B132, 'Номенклатура_BAF'!$B$2:$B171, 0)), "")</f>
        <v/>
      </c>
      <c r="E132" s="480" t="str">
        <f t="array" ref="E132">IFERROR(INDEX(IF('КОШТОРИС'!$P$3, 'Номенклатура_BAF'!$E$2:$E171, 'Номенклатура_BAF'!$D$2:$D171), MATCH($B132, 'Номенклатура_BAF'!$B$2:$B171, 0)), "")</f>
        <v/>
      </c>
      <c r="F132" s="492"/>
      <c r="G132" s="501" t="str">
        <f t="shared" si="74"/>
        <v/>
      </c>
      <c r="H132" s="493"/>
      <c r="I132" s="491"/>
      <c r="J132" s="484" t="str">
        <f t="shared" si="75"/>
        <v/>
      </c>
      <c r="K132" s="485" t="str">
        <f t="shared" si="76"/>
        <v/>
      </c>
      <c r="L132" s="486" t="str">
        <f t="shared" si="77"/>
        <v/>
      </c>
      <c r="M132" s="597" t="str">
        <f t="array" ref="M132">IFERROR(IF(ISNUMBER(INDEX('Номенклатура_BAF'!$G$2:$G171, MATCH($B132, 'Номенклатура_BAF'!$B$2:$B171, 0))), 
    INDEX('Номенклатура_BAF'!$G$2:$G171, MATCH($B132, 'Номенклатура_BAF'!$B$2:$B171, 0)) * 'КОШТОРИС'!C132, 
    ""), 
"")</f>
        <v/>
      </c>
      <c r="N132" s="488" t="str">
        <f t="array" ref="N132">IFERROR(INDEX('Номенклатура_BAF'!$I$2:$I171, MATCH($B132, 'Номенклатура_BAF'!$B$2:$B171, 0)), "")</f>
        <v/>
      </c>
      <c r="O132" s="508"/>
      <c r="P132" s="508"/>
      <c r="Q132" s="508"/>
      <c r="R132" s="508"/>
      <c r="S132" s="508"/>
      <c r="T132" s="464"/>
    </row>
    <row r="133" ht="15.0" customHeight="1">
      <c r="A133" s="489" t="s">
        <v>261</v>
      </c>
      <c r="B133" s="490"/>
      <c r="C133" s="491"/>
      <c r="D133" s="479" t="str">
        <f t="array" ref="D133">IFERROR(INDEX('Номенклатура_BAF'!$C$2:$C171, MATCH($B133, 'Номенклатура_BAF'!$B$2:$B171, 0)), "")</f>
        <v/>
      </c>
      <c r="E133" s="480" t="str">
        <f t="array" ref="E133">IFERROR(INDEX(IF('КОШТОРИС'!$P$3, 'Номенклатура_BAF'!$E$2:$E171, 'Номенклатура_BAF'!$D$2:$D171), MATCH($B133, 'Номенклатура_BAF'!$B$2:$B171, 0)), "")</f>
        <v/>
      </c>
      <c r="F133" s="492"/>
      <c r="G133" s="501" t="str">
        <f t="shared" si="74"/>
        <v/>
      </c>
      <c r="H133" s="493"/>
      <c r="I133" s="491"/>
      <c r="J133" s="484" t="str">
        <f t="shared" si="75"/>
        <v/>
      </c>
      <c r="K133" s="485" t="str">
        <f t="shared" si="76"/>
        <v/>
      </c>
      <c r="L133" s="486" t="str">
        <f t="shared" si="77"/>
        <v/>
      </c>
      <c r="M133" s="597" t="str">
        <f t="array" ref="M133">IFERROR(IF(ISNUMBER(INDEX('Номенклатура_BAF'!$G$2:$G171, MATCH($B133, 'Номенклатура_BAF'!$B$2:$B171, 0))), 
    INDEX('Номенклатура_BAF'!$G$2:$G171, MATCH($B133, 'Номенклатура_BAF'!$B$2:$B171, 0)) * 'КОШТОРИС'!C133, 
    ""), 
"")</f>
        <v/>
      </c>
      <c r="N133" s="488" t="str">
        <f t="array" ref="N133">IFERROR(INDEX('Номенклатура_BAF'!$I$2:$I171, MATCH($B133, 'Номенклатура_BAF'!$B$2:$B171, 0)), "")</f>
        <v/>
      </c>
      <c r="O133" s="508"/>
      <c r="P133" s="508"/>
      <c r="Q133" s="508"/>
      <c r="R133" s="508"/>
      <c r="S133" s="508"/>
      <c r="T133" s="464"/>
    </row>
    <row r="134" ht="15.0" customHeight="1">
      <c r="A134" s="489" t="s">
        <v>263</v>
      </c>
      <c r="B134" s="490"/>
      <c r="C134" s="491"/>
      <c r="D134" s="479" t="str">
        <f t="array" ref="D134">IFERROR(INDEX('Номенклатура_BAF'!$C$2:$C171, MATCH($B134, 'Номенклатура_BAF'!$B$2:$B171, 0)), "")</f>
        <v/>
      </c>
      <c r="E134" s="480" t="str">
        <f t="array" ref="E134">IFERROR(INDEX(IF('КОШТОРИС'!$P$3, 'Номенклатура_BAF'!$E$2:$E171, 'Номенклатура_BAF'!$D$2:$D171), MATCH($B134, 'Номенклатура_BAF'!$B$2:$B171, 0)), "")</f>
        <v/>
      </c>
      <c r="F134" s="492"/>
      <c r="G134" s="501" t="str">
        <f t="shared" si="74"/>
        <v/>
      </c>
      <c r="H134" s="493"/>
      <c r="I134" s="491"/>
      <c r="J134" s="484" t="str">
        <f t="shared" si="75"/>
        <v/>
      </c>
      <c r="K134" s="485" t="str">
        <f t="shared" si="76"/>
        <v/>
      </c>
      <c r="L134" s="486" t="str">
        <f t="shared" si="77"/>
        <v/>
      </c>
      <c r="M134" s="597" t="str">
        <f t="array" ref="M134">IFERROR(IF(ISNUMBER(INDEX('Номенклатура_BAF'!$G$2:$G171, MATCH($B134, 'Номенклатура_BAF'!$B$2:$B171, 0))), 
    INDEX('Номенклатура_BAF'!$G$2:$G171, MATCH($B134, 'Номенклатура_BAF'!$B$2:$B171, 0)) * 'КОШТОРИС'!C134, 
    ""), 
"")</f>
        <v/>
      </c>
      <c r="N134" s="488" t="str">
        <f t="array" ref="N134">IFERROR(INDEX('Номенклатура_BAF'!$I$2:$I171, MATCH($B134, 'Номенклатура_BAF'!$B$2:$B171, 0)), "")</f>
        <v/>
      </c>
      <c r="O134" s="508"/>
      <c r="P134" s="508"/>
      <c r="Q134" s="508"/>
      <c r="R134" s="508"/>
      <c r="S134" s="508"/>
      <c r="T134" s="464"/>
    </row>
    <row r="135" ht="15.0" customHeight="1">
      <c r="A135" s="489" t="s">
        <v>265</v>
      </c>
      <c r="B135" s="490"/>
      <c r="C135" s="491"/>
      <c r="D135" s="479" t="str">
        <f t="array" ref="D135">IFERROR(INDEX('Номенклатура_BAF'!$C$2:$C171, MATCH($B135, 'Номенклатура_BAF'!$B$2:$B171, 0)), "")</f>
        <v/>
      </c>
      <c r="E135" s="480" t="str">
        <f t="array" ref="E135">IFERROR(INDEX(IF('КОШТОРИС'!$P$3, 'Номенклатура_BAF'!$E$2:$E171, 'Номенклатура_BAF'!$D$2:$D171), MATCH($B135, 'Номенклатура_BAF'!$B$2:$B171, 0)), "")</f>
        <v/>
      </c>
      <c r="F135" s="492"/>
      <c r="G135" s="501" t="str">
        <f t="shared" si="74"/>
        <v/>
      </c>
      <c r="H135" s="493"/>
      <c r="I135" s="491"/>
      <c r="J135" s="484" t="str">
        <f t="shared" si="75"/>
        <v/>
      </c>
      <c r="K135" s="485" t="str">
        <f t="shared" si="76"/>
        <v/>
      </c>
      <c r="L135" s="486" t="str">
        <f t="shared" si="77"/>
        <v/>
      </c>
      <c r="M135" s="597" t="str">
        <f t="array" ref="M135">IFERROR(IF(ISNUMBER(INDEX('Номенклатура_BAF'!$G$2:$G171, MATCH($B135, 'Номенклатура_BAF'!$B$2:$B171, 0))), 
    INDEX('Номенклатура_BAF'!$G$2:$G171, MATCH($B135, 'Номенклатура_BAF'!$B$2:$B171, 0)) * 'КОШТОРИС'!C135, 
    ""), 
"")</f>
        <v/>
      </c>
      <c r="N135" s="488" t="str">
        <f t="array" ref="N135">IFERROR(INDEX('Номенклатура_BAF'!$I$2:$I171, MATCH($B135, 'Номенклатура_BAF'!$B$2:$B171, 0)), "")</f>
        <v/>
      </c>
      <c r="O135" s="508"/>
      <c r="P135" s="508"/>
      <c r="Q135" s="508"/>
      <c r="R135" s="508"/>
      <c r="S135" s="508"/>
      <c r="T135" s="464"/>
    </row>
    <row r="136" ht="15.0" customHeight="1">
      <c r="A136" s="489" t="s">
        <v>267</v>
      </c>
      <c r="B136" s="490"/>
      <c r="C136" s="491"/>
      <c r="D136" s="479" t="str">
        <f t="array" ref="D136">IFERROR(INDEX('Номенклатура_BAF'!$C$2:$C171, MATCH($B136, 'Номенклатура_BAF'!$B$2:$B171, 0)), "")</f>
        <v/>
      </c>
      <c r="E136" s="480" t="str">
        <f t="array" ref="E136">IFERROR(INDEX(IF('КОШТОРИС'!$P$3, 'Номенклатура_BAF'!$E$2:$E171, 'Номенклатура_BAF'!$D$2:$D171), MATCH($B136, 'Номенклатура_BAF'!$B$2:$B171, 0)), "")</f>
        <v/>
      </c>
      <c r="F136" s="492"/>
      <c r="G136" s="501" t="str">
        <f t="shared" si="74"/>
        <v/>
      </c>
      <c r="H136" s="493"/>
      <c r="I136" s="491"/>
      <c r="J136" s="484" t="str">
        <f t="shared" si="75"/>
        <v/>
      </c>
      <c r="K136" s="485" t="str">
        <f t="shared" si="76"/>
        <v/>
      </c>
      <c r="L136" s="486" t="str">
        <f t="shared" si="77"/>
        <v/>
      </c>
      <c r="M136" s="597" t="str">
        <f t="array" ref="M136">IFERROR(IF(ISNUMBER(INDEX('Номенклатура_BAF'!$G$2:$G171, MATCH($B136, 'Номенклатура_BAF'!$B$2:$B171, 0))), 
    INDEX('Номенклатура_BAF'!$G$2:$G171, MATCH($B136, 'Номенклатура_BAF'!$B$2:$B171, 0)) * 'КОШТОРИС'!C136, 
    ""), 
"")</f>
        <v/>
      </c>
      <c r="N136" s="488" t="str">
        <f t="array" ref="N136">IFERROR(INDEX('Номенклатура_BAF'!$I$2:$I171, MATCH($B136, 'Номенклатура_BAF'!$B$2:$B171, 0)), "")</f>
        <v/>
      </c>
      <c r="O136" s="508"/>
      <c r="P136" s="508"/>
      <c r="Q136" s="508"/>
      <c r="R136" s="508"/>
      <c r="S136" s="508"/>
      <c r="T136" s="464"/>
    </row>
    <row r="137" ht="15.0" customHeight="1">
      <c r="A137" s="489" t="s">
        <v>269</v>
      </c>
      <c r="B137" s="490"/>
      <c r="C137" s="491"/>
      <c r="D137" s="479" t="str">
        <f t="array" ref="D137">IFERROR(INDEX('Номенклатура_BAF'!$C$2:$C171, MATCH($B137, 'Номенклатура_BAF'!$B$2:$B171, 0)), "")</f>
        <v/>
      </c>
      <c r="E137" s="480" t="str">
        <f t="array" ref="E137">IFERROR(INDEX(IF('КОШТОРИС'!$P$3, 'Номенклатура_BAF'!$E$2:$E171, 'Номенклатура_BAF'!$D$2:$D171), MATCH($B137, 'Номенклатура_BAF'!$B$2:$B171, 0)), "")</f>
        <v/>
      </c>
      <c r="F137" s="492"/>
      <c r="G137" s="501" t="str">
        <f t="shared" si="74"/>
        <v/>
      </c>
      <c r="H137" s="493"/>
      <c r="I137" s="491"/>
      <c r="J137" s="484" t="str">
        <f t="shared" si="75"/>
        <v/>
      </c>
      <c r="K137" s="485" t="str">
        <f t="shared" si="76"/>
        <v/>
      </c>
      <c r="L137" s="486" t="str">
        <f t="shared" si="77"/>
        <v/>
      </c>
      <c r="M137" s="597" t="str">
        <f t="array" ref="M137">IFERROR(IF(ISNUMBER(INDEX('Номенклатура_BAF'!$G$2:$G171, MATCH($B137, 'Номенклатура_BAF'!$B$2:$B171, 0))), 
    INDEX('Номенклатура_BAF'!$G$2:$G171, MATCH($B137, 'Номенклатура_BAF'!$B$2:$B171, 0)) * 'КОШТОРИС'!C137, 
    ""), 
"")</f>
        <v/>
      </c>
      <c r="N137" s="488" t="str">
        <f t="array" ref="N137">IFERROR(INDEX('Номенклатура_BAF'!$I$2:$I171, MATCH($B137, 'Номенклатура_BAF'!$B$2:$B171, 0)), "")</f>
        <v/>
      </c>
      <c r="O137" s="508"/>
      <c r="P137" s="508"/>
      <c r="Q137" s="508"/>
      <c r="R137" s="508"/>
      <c r="S137" s="508"/>
      <c r="T137" s="464"/>
    </row>
    <row r="138" ht="15.0" customHeight="1">
      <c r="A138" s="489" t="s">
        <v>270</v>
      </c>
      <c r="B138" s="490"/>
      <c r="C138" s="491"/>
      <c r="D138" s="479" t="str">
        <f t="array" ref="D138">IFERROR(INDEX('Номенклатура_BAF'!$C$2:$C171, MATCH($B138, 'Номенклатура_BAF'!$B$2:$B171, 0)), "")</f>
        <v/>
      </c>
      <c r="E138" s="480" t="str">
        <f t="array" ref="E138">IFERROR(INDEX(IF('КОШТОРИС'!$P$3, 'Номенклатура_BAF'!$E$2:$E171, 'Номенклатура_BAF'!$D$2:$D171), MATCH($B138, 'Номенклатура_BAF'!$B$2:$B171, 0)), "")</f>
        <v/>
      </c>
      <c r="F138" s="492"/>
      <c r="G138" s="501" t="str">
        <f t="shared" si="74"/>
        <v/>
      </c>
      <c r="H138" s="493"/>
      <c r="I138" s="491"/>
      <c r="J138" s="484" t="str">
        <f t="shared" si="75"/>
        <v/>
      </c>
      <c r="K138" s="485" t="str">
        <f t="shared" si="76"/>
        <v/>
      </c>
      <c r="L138" s="486" t="str">
        <f t="shared" si="77"/>
        <v/>
      </c>
      <c r="M138" s="597" t="str">
        <f t="array" ref="M138">IFERROR(IF(ISNUMBER(INDEX('Номенклатура_BAF'!$G$2:$G171, MATCH($B138, 'Номенклатура_BAF'!$B$2:$B171, 0))), 
    INDEX('Номенклатура_BAF'!$G$2:$G171, MATCH($B138, 'Номенклатура_BAF'!$B$2:$B171, 0)) * 'КОШТОРИС'!C138, 
    ""), 
"")</f>
        <v/>
      </c>
      <c r="N138" s="488" t="str">
        <f t="array" ref="N138">IFERROR(INDEX('Номенклатура_BAF'!$I$2:$I171, MATCH($B138, 'Номенклатура_BAF'!$B$2:$B171, 0)), "")</f>
        <v/>
      </c>
      <c r="O138" s="508"/>
      <c r="P138" s="508"/>
      <c r="Q138" s="508"/>
      <c r="R138" s="508"/>
      <c r="S138" s="508"/>
      <c r="T138" s="464"/>
    </row>
    <row r="139" ht="15.0" customHeight="1">
      <c r="A139" s="489" t="s">
        <v>271</v>
      </c>
      <c r="B139" s="490"/>
      <c r="C139" s="491"/>
      <c r="D139" s="479" t="str">
        <f t="array" ref="D139">IFERROR(INDEX('Номенклатура_BAF'!$C$2:$C171, MATCH($B139, 'Номенклатура_BAF'!$B$2:$B171, 0)), "")</f>
        <v/>
      </c>
      <c r="E139" s="480" t="str">
        <f t="array" ref="E139">IFERROR(INDEX(IF('КОШТОРИС'!$P$3, 'Номенклатура_BAF'!$E$2:$E171, 'Номенклатура_BAF'!$D$2:$D171), MATCH($B139, 'Номенклатура_BAF'!$B$2:$B171, 0)), "")</f>
        <v/>
      </c>
      <c r="F139" s="525"/>
      <c r="G139" s="501" t="str">
        <f t="shared" si="74"/>
        <v/>
      </c>
      <c r="H139" s="493"/>
      <c r="I139" s="491"/>
      <c r="J139" s="484" t="str">
        <f t="shared" si="75"/>
        <v/>
      </c>
      <c r="K139" s="485" t="str">
        <f t="shared" si="76"/>
        <v/>
      </c>
      <c r="L139" s="486" t="str">
        <f t="shared" si="77"/>
        <v/>
      </c>
      <c r="M139" s="597" t="str">
        <f t="array" ref="M139">IFERROR(IF(ISNUMBER(INDEX('Номенклатура_BAF'!$G$2:$G171, MATCH($B139, 'Номенклатура_BAF'!$B$2:$B171, 0))), 
    INDEX('Номенклатура_BAF'!$G$2:$G171, MATCH($B139, 'Номенклатура_BAF'!$B$2:$B171, 0)) * 'КОШТОРИС'!C139, 
    ""), 
"")</f>
        <v/>
      </c>
      <c r="N139" s="488" t="str">
        <f t="array" ref="N139">IFERROR(INDEX('Номенклатура_BAF'!$I$2:$I171, MATCH($B139, 'Номенклатура_BAF'!$B$2:$B171, 0)), "")</f>
        <v/>
      </c>
      <c r="O139" s="508"/>
      <c r="P139" s="508"/>
      <c r="Q139" s="508"/>
      <c r="R139" s="508"/>
      <c r="S139" s="508"/>
      <c r="T139" s="464"/>
    </row>
    <row r="140" ht="15.0" customHeight="1">
      <c r="A140" s="489" t="s">
        <v>272</v>
      </c>
      <c r="B140" s="490"/>
      <c r="C140" s="491"/>
      <c r="D140" s="479" t="str">
        <f t="array" ref="D140">IFERROR(INDEX('Номенклатура_BAF'!$C$2:$C171, MATCH($B140, 'Номенклатура_BAF'!$B$2:$B171, 0)), "")</f>
        <v/>
      </c>
      <c r="E140" s="480" t="str">
        <f t="array" ref="E140">IFERROR(INDEX(IF('КОШТОРИС'!$P$3, 'Номенклатура_BAF'!$E$2:$E171, 'Номенклатура_BAF'!$D$2:$D171), MATCH($B140, 'Номенклатура_BAF'!$B$2:$B171, 0)), "")</f>
        <v/>
      </c>
      <c r="F140" s="492"/>
      <c r="G140" s="501" t="str">
        <f t="shared" si="74"/>
        <v/>
      </c>
      <c r="H140" s="493"/>
      <c r="I140" s="491"/>
      <c r="J140" s="484" t="str">
        <f t="shared" si="75"/>
        <v/>
      </c>
      <c r="K140" s="485" t="str">
        <f t="shared" si="76"/>
        <v/>
      </c>
      <c r="L140" s="486" t="str">
        <f t="shared" si="77"/>
        <v/>
      </c>
      <c r="M140" s="597" t="str">
        <f t="array" ref="M140">IFERROR(IF(ISNUMBER(INDEX('Номенклатура_BAF'!$G$2:$G171, MATCH($B140, 'Номенклатура_BAF'!$B$2:$B171, 0))), 
    INDEX('Номенклатура_BAF'!$G$2:$G171, MATCH($B140, 'Номенклатура_BAF'!$B$2:$B171, 0)) * 'КОШТОРИС'!C140, 
    ""), 
"")</f>
        <v/>
      </c>
      <c r="N140" s="488" t="str">
        <f t="array" ref="N140">IFERROR(INDEX('Номенклатура_BAF'!$I$2:$I171, MATCH($B140, 'Номенклатура_BAF'!$B$2:$B171, 0)), "")</f>
        <v/>
      </c>
      <c r="O140" s="508"/>
      <c r="P140" s="508"/>
      <c r="Q140" s="508"/>
      <c r="R140" s="508"/>
      <c r="S140" s="508"/>
      <c r="T140" s="464"/>
    </row>
    <row r="141" ht="15.0" customHeight="1">
      <c r="A141" s="489" t="s">
        <v>273</v>
      </c>
      <c r="B141" s="490"/>
      <c r="C141" s="491"/>
      <c r="D141" s="479" t="str">
        <f t="array" ref="D141">IFERROR(INDEX('Номенклатура_BAF'!$C$2:$C171, MATCH($B141, 'Номенклатура_BAF'!$B$2:$B171, 0)), "")</f>
        <v/>
      </c>
      <c r="E141" s="480" t="str">
        <f t="array" ref="E141">IFERROR(INDEX(IF('КОШТОРИС'!$P$3, 'Номенклатура_BAF'!$E$2:$E171, 'Номенклатура_BAF'!$D$2:$D171), MATCH($B141, 'Номенклатура_BAF'!$B$2:$B171, 0)), "")</f>
        <v/>
      </c>
      <c r="F141" s="492"/>
      <c r="G141" s="501" t="str">
        <f t="shared" si="74"/>
        <v/>
      </c>
      <c r="H141" s="493"/>
      <c r="I141" s="491"/>
      <c r="J141" s="484" t="str">
        <f t="shared" si="75"/>
        <v/>
      </c>
      <c r="K141" s="485" t="str">
        <f t="shared" si="76"/>
        <v/>
      </c>
      <c r="L141" s="486" t="str">
        <f t="shared" si="77"/>
        <v/>
      </c>
      <c r="M141" s="597" t="str">
        <f t="array" ref="M141">IFERROR(IF(ISNUMBER(INDEX('Номенклатура_BAF'!$G$2:$G171, MATCH($B141, 'Номенклатура_BAF'!$B$2:$B171, 0))), 
    INDEX('Номенклатура_BAF'!$G$2:$G171, MATCH($B141, 'Номенклатура_BAF'!$B$2:$B171, 0)) * 'КОШТОРИС'!C141, 
    ""), 
"")</f>
        <v/>
      </c>
      <c r="N141" s="488" t="str">
        <f t="array" ref="N141">IFERROR(INDEX('Номенклатура_BAF'!$I$2:$I171, MATCH($B141, 'Номенклатура_BAF'!$B$2:$B171, 0)), "")</f>
        <v/>
      </c>
      <c r="O141" s="508"/>
      <c r="P141" s="508"/>
      <c r="Q141" s="508"/>
      <c r="R141" s="508"/>
      <c r="S141" s="508"/>
      <c r="T141" s="464"/>
    </row>
    <row r="142" ht="15.0" customHeight="1">
      <c r="A142" s="494" t="s">
        <v>274</v>
      </c>
      <c r="B142" s="495"/>
      <c r="C142" s="496"/>
      <c r="D142" s="479" t="str">
        <f t="array" ref="D142">IFERROR(INDEX('Номенклатура_BAF'!$C$2:$C171, MATCH($B142, 'Номенклатура_BAF'!$B$2:$B171, 0)), "")</f>
        <v/>
      </c>
      <c r="E142" s="480" t="str">
        <f t="array" ref="E142">IFERROR(INDEX(IF('КОШТОРИС'!$P$3, 'Номенклатура_BAF'!$E$2:$E171, 'Номенклатура_BAF'!$D$2:$D171), MATCH($B142, 'Номенклатура_BAF'!$B$2:$B171, 0)), "")</f>
        <v/>
      </c>
      <c r="F142" s="497"/>
      <c r="G142" s="501" t="str">
        <f t="shared" si="74"/>
        <v/>
      </c>
      <c r="H142" s="498"/>
      <c r="I142" s="496"/>
      <c r="J142" s="484" t="str">
        <f t="shared" si="75"/>
        <v/>
      </c>
      <c r="K142" s="485" t="str">
        <f t="shared" si="76"/>
        <v/>
      </c>
      <c r="L142" s="486" t="str">
        <f t="shared" si="77"/>
        <v/>
      </c>
      <c r="M142" s="597" t="str">
        <f t="array" ref="M142">IFERROR(IF(ISNUMBER(INDEX('Номенклатура_BAF'!$G$2:$G171, MATCH($B142, 'Номенклатура_BAF'!$B$2:$B171, 0))), 
    INDEX('Номенклатура_BAF'!$G$2:$G171, MATCH($B142, 'Номенклатура_BAF'!$B$2:$B171, 0)) * 'КОШТОРИС'!C142, 
    ""), 
"")</f>
        <v/>
      </c>
      <c r="N142" s="488" t="str">
        <f t="array" ref="N142">IFERROR(INDEX('Номенклатура_BAF'!$I$2:$I171, MATCH($B142, 'Номенклатура_BAF'!$B$2:$B171, 0)), "")</f>
        <v/>
      </c>
      <c r="O142" s="508"/>
      <c r="P142" s="508"/>
      <c r="Q142" s="508"/>
      <c r="R142" s="508"/>
      <c r="S142" s="508"/>
      <c r="T142" s="464"/>
    </row>
    <row r="143" ht="15.0" customHeight="1">
      <c r="A143" s="494" t="s">
        <v>275</v>
      </c>
      <c r="B143" s="495"/>
      <c r="C143" s="496"/>
      <c r="D143" s="479" t="str">
        <f t="array" ref="D143">IFERROR(INDEX('Номенклатура_BAF'!$C$2:$C171, MATCH($B143, 'Номенклатура_BAF'!$B$2:$B171, 0)), "")</f>
        <v/>
      </c>
      <c r="E143" s="480" t="str">
        <f t="array" ref="E143">IFERROR(INDEX(IF('КОШТОРИС'!$P$3, 'Номенклатура_BAF'!$E$2:$E171, 'Номенклатура_BAF'!$D$2:$D171), MATCH($B143, 'Номенклатура_BAF'!$B$2:$B171, 0)), "")</f>
        <v/>
      </c>
      <c r="F143" s="497"/>
      <c r="G143" s="501" t="str">
        <f t="shared" si="74"/>
        <v/>
      </c>
      <c r="H143" s="498"/>
      <c r="I143" s="496"/>
      <c r="J143" s="484" t="str">
        <f t="shared" si="75"/>
        <v/>
      </c>
      <c r="K143" s="485" t="str">
        <f t="shared" si="76"/>
        <v/>
      </c>
      <c r="L143" s="486" t="str">
        <f t="shared" si="77"/>
        <v/>
      </c>
      <c r="M143" s="597" t="str">
        <f t="array" ref="M143">IFERROR(IF(ISNUMBER(INDEX('Номенклатура_BAF'!$G$2:$G171, MATCH($B143, 'Номенклатура_BAF'!$B$2:$B171, 0))), 
    INDEX('Номенклатура_BAF'!$G$2:$G171, MATCH($B143, 'Номенклатура_BAF'!$B$2:$B171, 0)) * 'КОШТОРИС'!C143, 
    ""), 
"")</f>
        <v/>
      </c>
      <c r="N143" s="488" t="str">
        <f t="array" ref="N143">IFERROR(INDEX('Номенклатура_BAF'!$I$2:$I171, MATCH($B143, 'Номенклатура_BAF'!$B$2:$B171, 0)), "")</f>
        <v/>
      </c>
      <c r="O143" s="508"/>
      <c r="P143" s="508"/>
      <c r="Q143" s="508"/>
      <c r="R143" s="508"/>
      <c r="S143" s="508"/>
      <c r="T143" s="464"/>
    </row>
    <row r="144" ht="18.75" customHeight="1">
      <c r="A144" s="572" t="s">
        <v>276</v>
      </c>
      <c r="B144" s="573" t="s">
        <v>277</v>
      </c>
      <c r="C144" s="574"/>
      <c r="D144" s="574"/>
      <c r="E144" s="574"/>
      <c r="F144" s="575"/>
      <c r="G144" s="576">
        <f t="array" ref="G144">SUM(OFFSET(INDIRECT(ADDRESS(ROW(), COLUMN())), 1, 0, MATCH("Номенклатура BAF та додаткові матеріали", $B:$B, 0) - ROW() - 1))</f>
        <v>0</v>
      </c>
      <c r="H144" s="577"/>
      <c r="I144" s="574"/>
      <c r="J144" s="578">
        <f t="array" ref="J144">SUM(OFFSET(INDIRECT(ADDRESS(ROW(), COLUMN())), 1, 0, MATCH("Номенклатура BAF та додаткові матеріали", $B:$B, 0) - ROW() - 1))</f>
        <v>0</v>
      </c>
      <c r="K144" s="579"/>
      <c r="L144" s="475">
        <f t="array" ref="L144">SUM(OFFSET(INDIRECT(ADDRESS(ROW(), COLUMN())), 1, 0, MATCH("Номенклатура BAF та додаткові матеріали", $B:$B, 0) - ROW() - 1))</f>
        <v>0</v>
      </c>
      <c r="M144" s="487"/>
      <c r="N144" s="488" t="str">
        <f t="array" ref="N144">IFERROR(INDEX('Номенклатура_BAF'!$I$2:$I171, MATCH($B144, 'Номенклатура_BAF'!$B$2:$B171, 0)), "")</f>
        <v/>
      </c>
      <c r="O144" s="508"/>
      <c r="P144" s="508"/>
      <c r="Q144" s="508"/>
      <c r="R144" s="508"/>
      <c r="S144" s="508"/>
      <c r="T144" s="464"/>
    </row>
    <row r="145">
      <c r="A145" s="598" t="s">
        <v>278</v>
      </c>
      <c r="B145" s="599" t="s">
        <v>1542</v>
      </c>
      <c r="C145" s="600"/>
      <c r="D145" s="601" t="s">
        <v>1495</v>
      </c>
      <c r="E145" s="602"/>
      <c r="F145" s="603"/>
      <c r="G145" s="501" t="str">
        <f t="shared" ref="G145:G151" si="78">IF($E145*$C145=0,"",$E145*$C145)</f>
        <v/>
      </c>
      <c r="H145" s="604"/>
      <c r="I145" s="605"/>
      <c r="J145" s="484" t="str">
        <f t="shared" ref="J145:J151" si="79">IF(SUM(H145:I145)=0,"",SUM(H145:I145))</f>
        <v/>
      </c>
      <c r="K145" s="485"/>
      <c r="L145" s="486" t="str">
        <f t="shared" ref="L145:L151" si="80">IF(G145-J145=0,"",G145-J145)</f>
        <v/>
      </c>
      <c r="M145" s="487"/>
      <c r="N145" s="488" t="str">
        <f t="array" ref="N145">IFERROR(INDEX('Номенклатура_BAF'!$I$2:$I171, MATCH($B145, 'Номенклатура_BAF'!$B$2:$B171, 0)), "")</f>
        <v/>
      </c>
      <c r="O145" s="508"/>
      <c r="P145" s="606"/>
      <c r="Q145" s="546"/>
      <c r="R145" s="508"/>
      <c r="S145" s="508"/>
      <c r="T145" s="464"/>
    </row>
    <row r="146">
      <c r="A146" s="607" t="s">
        <v>280</v>
      </c>
      <c r="B146" s="608" t="s">
        <v>1543</v>
      </c>
      <c r="C146" s="609"/>
      <c r="D146" s="601" t="s">
        <v>1495</v>
      </c>
      <c r="E146" s="610"/>
      <c r="F146" s="611"/>
      <c r="G146" s="501" t="str">
        <f t="shared" si="78"/>
        <v/>
      </c>
      <c r="H146" s="507"/>
      <c r="I146" s="506"/>
      <c r="J146" s="484" t="str">
        <f t="shared" si="79"/>
        <v/>
      </c>
      <c r="K146" s="485"/>
      <c r="L146" s="486" t="str">
        <f t="shared" si="80"/>
        <v/>
      </c>
      <c r="M146" s="487"/>
      <c r="N146" s="488" t="str">
        <f t="array" ref="N146">IFERROR(INDEX('Номенклатура_BAF'!$I$2:$I171, MATCH($B146, 'Номенклатура_BAF'!$B$2:$B171, 0)), "")</f>
        <v/>
      </c>
      <c r="O146" s="508"/>
      <c r="Q146" s="508"/>
      <c r="R146" s="508"/>
      <c r="S146" s="508"/>
      <c r="T146" s="464"/>
    </row>
    <row r="147">
      <c r="A147" s="607" t="s">
        <v>282</v>
      </c>
      <c r="B147" s="608" t="s">
        <v>1544</v>
      </c>
      <c r="C147" s="609"/>
      <c r="D147" s="601" t="s">
        <v>1495</v>
      </c>
      <c r="E147" s="610"/>
      <c r="F147" s="612"/>
      <c r="G147" s="501" t="str">
        <f t="shared" si="78"/>
        <v/>
      </c>
      <c r="H147" s="507"/>
      <c r="I147" s="506"/>
      <c r="J147" s="484" t="str">
        <f t="shared" si="79"/>
        <v/>
      </c>
      <c r="K147" s="485"/>
      <c r="L147" s="486" t="str">
        <f t="shared" si="80"/>
        <v/>
      </c>
      <c r="M147" s="487"/>
      <c r="N147" s="488" t="str">
        <f t="array" ref="N147">IFERROR(INDEX('Номенклатура_BAF'!$I$2:$I171, MATCH($B147, 'Номенклатура_BAF'!$B$2:$B171, 0)), "")</f>
        <v/>
      </c>
      <c r="O147" s="508"/>
      <c r="P147" s="508"/>
      <c r="Q147" s="508"/>
      <c r="R147" s="508"/>
      <c r="S147" s="508"/>
      <c r="T147" s="464"/>
    </row>
    <row r="148">
      <c r="A148" s="607" t="s">
        <v>284</v>
      </c>
      <c r="B148" s="608" t="s">
        <v>1545</v>
      </c>
      <c r="C148" s="609"/>
      <c r="D148" s="601" t="s">
        <v>1495</v>
      </c>
      <c r="E148" s="610"/>
      <c r="F148" s="612"/>
      <c r="G148" s="501" t="str">
        <f t="shared" si="78"/>
        <v/>
      </c>
      <c r="H148" s="507"/>
      <c r="I148" s="506"/>
      <c r="J148" s="484" t="str">
        <f t="shared" si="79"/>
        <v/>
      </c>
      <c r="K148" s="485"/>
      <c r="L148" s="486" t="str">
        <f t="shared" si="80"/>
        <v/>
      </c>
      <c r="M148" s="487"/>
      <c r="N148" s="488" t="str">
        <f t="array" ref="N148">IFERROR(INDEX('Номенклатура_BAF'!$I$2:$I171, MATCH($B148, 'Номенклатура_BAF'!$B$2:$B171, 0)), "")</f>
        <v/>
      </c>
      <c r="O148" s="508"/>
      <c r="P148" s="508"/>
      <c r="Q148" s="508"/>
      <c r="R148" s="508"/>
      <c r="S148" s="508"/>
      <c r="T148" s="464"/>
    </row>
    <row r="149">
      <c r="A149" s="607" t="s">
        <v>286</v>
      </c>
      <c r="B149" s="608" t="s">
        <v>1389</v>
      </c>
      <c r="C149" s="609"/>
      <c r="D149" s="601" t="s">
        <v>1495</v>
      </c>
      <c r="E149" s="610"/>
      <c r="F149" s="613"/>
      <c r="G149" s="501" t="str">
        <f t="shared" si="78"/>
        <v/>
      </c>
      <c r="H149" s="614"/>
      <c r="I149" s="615"/>
      <c r="J149" s="484" t="str">
        <f t="shared" si="79"/>
        <v/>
      </c>
      <c r="K149" s="485"/>
      <c r="L149" s="486" t="str">
        <f t="shared" si="80"/>
        <v/>
      </c>
      <c r="M149" s="487"/>
      <c r="N149" s="488" t="str">
        <f t="array" ref="N149">IFERROR(INDEX('Номенклатура_BAF'!$I$2:$I171, MATCH($B149, 'Номенклатура_BAF'!$B$2:$B171, 0)), "")</f>
        <v/>
      </c>
      <c r="O149" s="508"/>
      <c r="P149" s="508"/>
      <c r="Q149" s="508"/>
      <c r="R149" s="508"/>
      <c r="S149" s="508"/>
      <c r="T149" s="464"/>
    </row>
    <row r="150">
      <c r="A150" s="607" t="s">
        <v>1546</v>
      </c>
      <c r="B150" s="608" t="s">
        <v>1547</v>
      </c>
      <c r="C150" s="609"/>
      <c r="D150" s="601" t="s">
        <v>1495</v>
      </c>
      <c r="E150" s="610"/>
      <c r="F150" s="613"/>
      <c r="G150" s="501" t="str">
        <f t="shared" si="78"/>
        <v/>
      </c>
      <c r="H150" s="614"/>
      <c r="I150" s="615"/>
      <c r="J150" s="484" t="str">
        <f t="shared" si="79"/>
        <v/>
      </c>
      <c r="K150" s="485"/>
      <c r="L150" s="486" t="str">
        <f t="shared" si="80"/>
        <v/>
      </c>
      <c r="M150" s="487"/>
      <c r="N150" s="488" t="str">
        <f t="array" ref="N150">IFERROR(INDEX('Номенклатура_BAF'!$I$2:$I171, MATCH($B150, 'Номенклатура_BAF'!$B$2:$B171, 0)), "")</f>
        <v/>
      </c>
      <c r="O150" s="508"/>
      <c r="P150" s="508"/>
      <c r="Q150" s="508"/>
      <c r="R150" s="508"/>
      <c r="S150" s="508"/>
      <c r="T150" s="464"/>
    </row>
    <row r="151">
      <c r="A151" s="607" t="s">
        <v>1548</v>
      </c>
      <c r="B151" s="608" t="s">
        <v>1549</v>
      </c>
      <c r="C151" s="609"/>
      <c r="D151" s="601" t="s">
        <v>1495</v>
      </c>
      <c r="E151" s="610"/>
      <c r="F151" s="613"/>
      <c r="G151" s="501" t="str">
        <f t="shared" si="78"/>
        <v/>
      </c>
      <c r="H151" s="614"/>
      <c r="I151" s="615"/>
      <c r="J151" s="484" t="str">
        <f t="shared" si="79"/>
        <v/>
      </c>
      <c r="K151" s="485"/>
      <c r="L151" s="486" t="str">
        <f t="shared" si="80"/>
        <v/>
      </c>
      <c r="M151" s="487"/>
      <c r="N151" s="488" t="str">
        <f t="array" ref="N151">IFERROR(INDEX('Номенклатура_BAF'!$I$2:$I171, MATCH($B151, 'Номенклатура_BAF'!$B$2:$B171, 0)), "")</f>
        <v/>
      </c>
      <c r="O151" s="508"/>
      <c r="P151" s="508"/>
      <c r="Q151" s="508"/>
      <c r="R151" s="508"/>
      <c r="S151" s="508"/>
      <c r="T151" s="464"/>
    </row>
    <row r="152" ht="18.75" customHeight="1">
      <c r="A152" s="616" t="s">
        <v>288</v>
      </c>
      <c r="B152" s="617" t="s">
        <v>289</v>
      </c>
      <c r="C152" s="618"/>
      <c r="D152" s="618"/>
      <c r="E152" s="618"/>
      <c r="F152" s="619"/>
      <c r="G152" s="620">
        <f t="array" ref="G152">SUM(OFFSET(INDIRECT(ADDRESS(ROW(), COLUMN())), 1, 0, MATCH("Облікова/Гуртова БГ з ПДВ:", $F:$F, 0) - ROW() - 1))</f>
        <v>0</v>
      </c>
      <c r="H152" s="621"/>
      <c r="I152" s="618"/>
      <c r="J152" s="622">
        <f t="array" ref="J152">SUM(OFFSET(INDIRECT(ADDRESS(ROW(), COLUMN())), 1, 0, MATCH("Облікова/Гуртова БГ з ПДВ:", $F:$F, 0) - ROW() - 1))</f>
        <v>0</v>
      </c>
      <c r="K152" s="623"/>
      <c r="L152" s="475">
        <f t="array" ref="L152">SUM(OFFSET(INDIRECT(ADDRESS(ROW(), COLUMN())), 1, 0, MATCH("Облікова/Гуртова БГ з ПДВ:", $F:$F, 0) - ROW() - 1))</f>
        <v>0</v>
      </c>
      <c r="M152" s="487"/>
      <c r="N152" s="488" t="str">
        <f t="array" ref="N152">IFERROR(INDEX('Номенклатура_BAF'!$I$2:$I171, MATCH($B152, 'Номенклатура_BAF'!$B$2:$B171, 0)), "")</f>
        <v/>
      </c>
      <c r="O152" s="508"/>
      <c r="P152" s="508"/>
      <c r="Q152" s="508"/>
      <c r="R152" s="508"/>
      <c r="S152" s="508"/>
      <c r="T152" s="464"/>
    </row>
    <row r="153" ht="15.0" customHeight="1">
      <c r="A153" s="607" t="s">
        <v>290</v>
      </c>
      <c r="B153" s="495"/>
      <c r="C153" s="496"/>
      <c r="D153" s="479" t="str">
        <f t="array" ref="D153">IFERROR(INDEX('Номенклатура_BAF'!$C$2:$C171, MATCH($B153, 'Номенклатура_BAF'!$B$2:$B171, 0)), "")</f>
        <v/>
      </c>
      <c r="E153" s="480" t="str">
        <f t="array" ref="E153">IFERROR(INDEX(IF('КОШТОРИС'!$P$3, 'Номенклатура_BAF'!$E$2:$E171, 'Номенклатура_BAF'!$D$2:$D171), MATCH($B153, 'Номенклатура_BAF'!$B$2:$B171, 0)), "")</f>
        <v/>
      </c>
      <c r="F153" s="497"/>
      <c r="G153" s="501" t="str">
        <f t="shared" ref="G153:G167" si="81">IF($E153*$C153=0,"",$E153*$C153)</f>
        <v/>
      </c>
      <c r="H153" s="498"/>
      <c r="I153" s="496"/>
      <c r="J153" s="484" t="str">
        <f t="shared" ref="J153:J167" si="82">IF(E153*(I153+H153)=0,"",E153*(I153+H153))</f>
        <v/>
      </c>
      <c r="K153" s="485" t="str">
        <f t="shared" ref="K153:K167" si="83">IF(C153-(H153+I153)=0,"",C153-(H153+I153))</f>
        <v/>
      </c>
      <c r="L153" s="486" t="str">
        <f t="shared" ref="L153:L167" si="84">IF(G153-J153=0,"",G153-J153)</f>
        <v/>
      </c>
      <c r="M153" s="487"/>
      <c r="N153" s="488" t="str">
        <f t="array" ref="N153">IFERROR(INDEX('Номенклатура_BAF'!$I$2:$I171, MATCH($B153, 'Номенклатура_BAF'!$B$2:$B171, 0)), "")</f>
        <v/>
      </c>
      <c r="O153" s="508"/>
      <c r="P153" s="508"/>
      <c r="Q153" s="508"/>
      <c r="R153" s="508"/>
      <c r="S153" s="508"/>
      <c r="T153" s="464"/>
    </row>
    <row r="154" ht="15.0" customHeight="1">
      <c r="A154" s="607" t="s">
        <v>291</v>
      </c>
      <c r="B154" s="624"/>
      <c r="C154" s="496"/>
      <c r="D154" s="479" t="str">
        <f t="array" ref="D154">IFERROR(INDEX('Номенклатура_BAF'!$C$2:$C171, MATCH($B154, 'Номенклатура_BAF'!$B$2:$B171, 0)), "")</f>
        <v/>
      </c>
      <c r="E154" s="480" t="str">
        <f t="array" ref="E154">IFERROR(INDEX(IF('КОШТОРИС'!$P$3, 'Номенклатура_BAF'!$E$2:$E171, 'Номенклатура_BAF'!$D$2:$D171), MATCH($B154, 'Номенклатура_BAF'!$B$2:$B171, 0)), "")</f>
        <v/>
      </c>
      <c r="F154" s="497"/>
      <c r="G154" s="501" t="str">
        <f t="shared" si="81"/>
        <v/>
      </c>
      <c r="H154" s="498"/>
      <c r="I154" s="496"/>
      <c r="J154" s="484" t="str">
        <f t="shared" si="82"/>
        <v/>
      </c>
      <c r="K154" s="485" t="str">
        <f t="shared" si="83"/>
        <v/>
      </c>
      <c r="L154" s="486" t="str">
        <f t="shared" si="84"/>
        <v/>
      </c>
      <c r="M154" s="487"/>
      <c r="N154" s="488" t="str">
        <f t="array" ref="N154">IFERROR(INDEX('Номенклатура_BAF'!$I$2:$I171, MATCH($B154, 'Номенклатура_BAF'!$B$2:$B171, 0)), "")</f>
        <v/>
      </c>
      <c r="O154" s="508"/>
      <c r="P154" s="508"/>
      <c r="Q154" s="508"/>
      <c r="R154" s="508"/>
      <c r="S154" s="508"/>
      <c r="T154" s="464"/>
    </row>
    <row r="155" ht="15.0" customHeight="1">
      <c r="A155" s="607" t="s">
        <v>292</v>
      </c>
      <c r="B155" s="624"/>
      <c r="C155" s="496"/>
      <c r="D155" s="479" t="str">
        <f t="array" ref="D155">IFERROR(INDEX('Номенклатура_BAF'!$C$2:$C171, MATCH($B155, 'Номенклатура_BAF'!$B$2:$B171, 0)), "")</f>
        <v/>
      </c>
      <c r="E155" s="480" t="str">
        <f t="array" ref="E155">IFERROR(INDEX(IF('КОШТОРИС'!$P$3, 'Номенклатура_BAF'!$E$2:$E171, 'Номенклатура_BAF'!$D$2:$D171), MATCH($B155, 'Номенклатура_BAF'!$B$2:$B171, 0)), "")</f>
        <v/>
      </c>
      <c r="F155" s="497"/>
      <c r="G155" s="501" t="str">
        <f t="shared" si="81"/>
        <v/>
      </c>
      <c r="H155" s="498"/>
      <c r="I155" s="496"/>
      <c r="J155" s="484" t="str">
        <f t="shared" si="82"/>
        <v/>
      </c>
      <c r="K155" s="485" t="str">
        <f t="shared" si="83"/>
        <v/>
      </c>
      <c r="L155" s="486" t="str">
        <f t="shared" si="84"/>
        <v/>
      </c>
      <c r="M155" s="487"/>
      <c r="N155" s="488" t="str">
        <f t="array" ref="N155">IFERROR(INDEX('Номенклатура_BAF'!$I$2:$I171, MATCH($B155, 'Номенклатура_BAF'!$B$2:$B171, 0)), "")</f>
        <v/>
      </c>
      <c r="O155" s="508"/>
      <c r="P155" s="508"/>
      <c r="Q155" s="508"/>
      <c r="R155" s="508"/>
      <c r="S155" s="508"/>
      <c r="T155" s="464"/>
    </row>
    <row r="156" ht="15.0" customHeight="1">
      <c r="A156" s="607" t="s">
        <v>293</v>
      </c>
      <c r="B156" s="495"/>
      <c r="C156" s="496"/>
      <c r="D156" s="479" t="str">
        <f t="array" ref="D156">IFERROR(INDEX('Номенклатура_BAF'!$C$2:$C171, MATCH($B156, 'Номенклатура_BAF'!$B$2:$B171, 0)), "")</f>
        <v/>
      </c>
      <c r="E156" s="480" t="str">
        <f t="array" ref="E156">IFERROR(INDEX(IF('КОШТОРИС'!$P$3, 'Номенклатура_BAF'!$E$2:$E171, 'Номенклатура_BAF'!$D$2:$D171), MATCH($B156, 'Номенклатура_BAF'!$B$2:$B171, 0)), "")</f>
        <v/>
      </c>
      <c r="F156" s="497"/>
      <c r="G156" s="501" t="str">
        <f t="shared" si="81"/>
        <v/>
      </c>
      <c r="H156" s="498"/>
      <c r="I156" s="496"/>
      <c r="J156" s="484" t="str">
        <f t="shared" si="82"/>
        <v/>
      </c>
      <c r="K156" s="485" t="str">
        <f t="shared" si="83"/>
        <v/>
      </c>
      <c r="L156" s="486" t="str">
        <f t="shared" si="84"/>
        <v/>
      </c>
      <c r="M156" s="487"/>
      <c r="N156" s="488" t="str">
        <f t="array" ref="N156">IFERROR(INDEX('Номенклатура_BAF'!$I$2:$I171, MATCH($B156, 'Номенклатура_BAF'!$B$2:$B171, 0)), "")</f>
        <v/>
      </c>
      <c r="O156" s="508"/>
      <c r="P156" s="508"/>
      <c r="Q156" s="508"/>
      <c r="R156" s="508"/>
      <c r="S156" s="508"/>
      <c r="T156" s="464"/>
    </row>
    <row r="157" ht="15.0" customHeight="1">
      <c r="A157" s="607" t="s">
        <v>294</v>
      </c>
      <c r="B157" s="495"/>
      <c r="C157" s="496"/>
      <c r="D157" s="479" t="str">
        <f t="array" ref="D157">IFERROR(INDEX('Номенклатура_BAF'!$C$2:$C171, MATCH($B157, 'Номенклатура_BAF'!$B$2:$B171, 0)), "")</f>
        <v/>
      </c>
      <c r="E157" s="480" t="str">
        <f t="array" ref="E157">IFERROR(INDEX(IF('КОШТОРИС'!$P$3, 'Номенклатура_BAF'!$E$2:$E171, 'Номенклатура_BAF'!$D$2:$D171), MATCH($B157, 'Номенклатура_BAF'!$B$2:$B171, 0)), "")</f>
        <v/>
      </c>
      <c r="F157" s="497"/>
      <c r="G157" s="501" t="str">
        <f t="shared" si="81"/>
        <v/>
      </c>
      <c r="H157" s="498"/>
      <c r="I157" s="496"/>
      <c r="J157" s="484" t="str">
        <f t="shared" si="82"/>
        <v/>
      </c>
      <c r="K157" s="485" t="str">
        <f t="shared" si="83"/>
        <v/>
      </c>
      <c r="L157" s="486" t="str">
        <f t="shared" si="84"/>
        <v/>
      </c>
      <c r="M157" s="487"/>
      <c r="N157" s="488" t="str">
        <f t="array" ref="N157">IFERROR(INDEX('Номенклатура_BAF'!$I$2:$I171, MATCH($B157, 'Номенклатура_BAF'!$B$2:$B171, 0)), "")</f>
        <v/>
      </c>
      <c r="O157" s="508"/>
      <c r="P157" s="508"/>
      <c r="Q157" s="508"/>
      <c r="R157" s="508"/>
      <c r="S157" s="508"/>
      <c r="T157" s="464"/>
    </row>
    <row r="158" ht="15.0" customHeight="1">
      <c r="A158" s="607" t="s">
        <v>295</v>
      </c>
      <c r="B158" s="495"/>
      <c r="C158" s="496"/>
      <c r="D158" s="479" t="str">
        <f t="array" ref="D158">IFERROR(INDEX('Номенклатура_BAF'!$C$2:$C171, MATCH($B158, 'Номенклатура_BAF'!$B$2:$B171, 0)), "")</f>
        <v/>
      </c>
      <c r="E158" s="480" t="str">
        <f t="array" ref="E158">IFERROR(INDEX(IF('КОШТОРИС'!$P$3, 'Номенклатура_BAF'!$E$2:$E171, 'Номенклатура_BAF'!$D$2:$D171), MATCH($B158, 'Номенклатура_BAF'!$B$2:$B171, 0)), "")</f>
        <v/>
      </c>
      <c r="F158" s="497"/>
      <c r="G158" s="501" t="str">
        <f t="shared" si="81"/>
        <v/>
      </c>
      <c r="H158" s="498"/>
      <c r="I158" s="496"/>
      <c r="J158" s="484" t="str">
        <f t="shared" si="82"/>
        <v/>
      </c>
      <c r="K158" s="485" t="str">
        <f t="shared" si="83"/>
        <v/>
      </c>
      <c r="L158" s="486" t="str">
        <f t="shared" si="84"/>
        <v/>
      </c>
      <c r="M158" s="487"/>
      <c r="N158" s="488" t="str">
        <f t="array" ref="N158">IFERROR(INDEX('Номенклатура_BAF'!$I$2:$I171, MATCH($B158, 'Номенклатура_BAF'!$B$2:$B171, 0)), "")</f>
        <v/>
      </c>
      <c r="O158" s="508"/>
      <c r="P158" s="508"/>
      <c r="Q158" s="508"/>
      <c r="R158" s="508"/>
      <c r="S158" s="508"/>
      <c r="T158" s="464"/>
    </row>
    <row r="159" ht="15.0" customHeight="1">
      <c r="A159" s="607" t="s">
        <v>296</v>
      </c>
      <c r="B159" s="495"/>
      <c r="C159" s="496"/>
      <c r="D159" s="479" t="str">
        <f t="array" ref="D159">IFERROR(INDEX('Номенклатура_BAF'!$C$2:$C171, MATCH($B159, 'Номенклатура_BAF'!$B$2:$B171, 0)), "")</f>
        <v/>
      </c>
      <c r="E159" s="480" t="str">
        <f t="array" ref="E159">IFERROR(INDEX(IF('КОШТОРИС'!$P$3, 'Номенклатура_BAF'!$E$2:$E171, 'Номенклатура_BAF'!$D$2:$D171), MATCH($B159, 'Номенклатура_BAF'!$B$2:$B171, 0)), "")</f>
        <v/>
      </c>
      <c r="F159" s="497"/>
      <c r="G159" s="501" t="str">
        <f t="shared" si="81"/>
        <v/>
      </c>
      <c r="H159" s="498"/>
      <c r="I159" s="496"/>
      <c r="J159" s="484" t="str">
        <f t="shared" si="82"/>
        <v/>
      </c>
      <c r="K159" s="485" t="str">
        <f t="shared" si="83"/>
        <v/>
      </c>
      <c r="L159" s="486" t="str">
        <f t="shared" si="84"/>
        <v/>
      </c>
      <c r="M159" s="487"/>
      <c r="N159" s="488" t="str">
        <f t="array" ref="N159">IFERROR(INDEX('Номенклатура_BAF'!$I$2:$I171, MATCH($B159, 'Номенклатура_BAF'!$B$2:$B171, 0)), "")</f>
        <v/>
      </c>
      <c r="O159" s="508"/>
      <c r="P159" s="508"/>
      <c r="Q159" s="508"/>
      <c r="R159" s="508"/>
      <c r="S159" s="508"/>
      <c r="T159" s="464"/>
    </row>
    <row r="160" ht="15.0" customHeight="1">
      <c r="A160" s="607" t="s">
        <v>297</v>
      </c>
      <c r="B160" s="495"/>
      <c r="C160" s="496"/>
      <c r="D160" s="479" t="str">
        <f t="array" ref="D160">IFERROR(INDEX('Номенклатура_BAF'!$C$2:$C171, MATCH($B160, 'Номенклатура_BAF'!$B$2:$B171, 0)), "")</f>
        <v/>
      </c>
      <c r="E160" s="480" t="str">
        <f t="array" ref="E160">IFERROR(INDEX(IF('КОШТОРИС'!$P$3, 'Номенклатура_BAF'!$E$2:$E171, 'Номенклатура_BAF'!$D$2:$D171), MATCH($B160, 'Номенклатура_BAF'!$B$2:$B171, 0)), "")</f>
        <v/>
      </c>
      <c r="F160" s="497"/>
      <c r="G160" s="501" t="str">
        <f t="shared" si="81"/>
        <v/>
      </c>
      <c r="H160" s="498"/>
      <c r="I160" s="496"/>
      <c r="J160" s="484" t="str">
        <f t="shared" si="82"/>
        <v/>
      </c>
      <c r="K160" s="485" t="str">
        <f t="shared" si="83"/>
        <v/>
      </c>
      <c r="L160" s="486" t="str">
        <f t="shared" si="84"/>
        <v/>
      </c>
      <c r="M160" s="487"/>
      <c r="N160" s="488" t="str">
        <f t="array" ref="N160">IFERROR(INDEX('Номенклатура_BAF'!$I$2:$I171, MATCH($B160, 'Номенклатура_BAF'!$B$2:$B171, 0)), "")</f>
        <v/>
      </c>
      <c r="O160" s="508"/>
      <c r="P160" s="508"/>
      <c r="Q160" s="508"/>
      <c r="R160" s="508"/>
      <c r="S160" s="508"/>
      <c r="T160" s="464"/>
    </row>
    <row r="161" ht="15.0" customHeight="1">
      <c r="A161" s="607" t="s">
        <v>298</v>
      </c>
      <c r="B161" s="495"/>
      <c r="C161" s="496"/>
      <c r="D161" s="479" t="str">
        <f t="array" ref="D161">IFERROR(INDEX('Номенклатура_BAF'!$C$2:$C171, MATCH($B161, 'Номенклатура_BAF'!$B$2:$B171, 0)), "")</f>
        <v/>
      </c>
      <c r="E161" s="480" t="str">
        <f t="array" ref="E161">IFERROR(INDEX(IF('КОШТОРИС'!$P$3, 'Номенклатура_BAF'!$E$2:$E171, 'Номенклатура_BAF'!$D$2:$D171), MATCH($B161, 'Номенклатура_BAF'!$B$2:$B171, 0)), "")</f>
        <v/>
      </c>
      <c r="F161" s="497"/>
      <c r="G161" s="501" t="str">
        <f t="shared" si="81"/>
        <v/>
      </c>
      <c r="H161" s="498"/>
      <c r="I161" s="496"/>
      <c r="J161" s="484" t="str">
        <f t="shared" si="82"/>
        <v/>
      </c>
      <c r="K161" s="485" t="str">
        <f t="shared" si="83"/>
        <v/>
      </c>
      <c r="L161" s="486" t="str">
        <f t="shared" si="84"/>
        <v/>
      </c>
      <c r="M161" s="487"/>
      <c r="N161" s="488" t="str">
        <f t="array" ref="N161">IFERROR(INDEX('Номенклатура_BAF'!$I$2:$I171, MATCH($B161, 'Номенклатура_BAF'!$B$2:$B171, 0)), "")</f>
        <v/>
      </c>
      <c r="O161" s="508"/>
      <c r="P161" s="508"/>
      <c r="Q161" s="508"/>
      <c r="R161" s="508"/>
      <c r="S161" s="508"/>
      <c r="T161" s="464"/>
    </row>
    <row r="162" ht="15.0" customHeight="1">
      <c r="A162" s="607" t="s">
        <v>299</v>
      </c>
      <c r="B162" s="495"/>
      <c r="C162" s="496"/>
      <c r="D162" s="479" t="str">
        <f t="array" ref="D162">IFERROR(INDEX('Номенклатура_BAF'!$C$2:$C171, MATCH($B162, 'Номенклатура_BAF'!$B$2:$B171, 0)), "")</f>
        <v/>
      </c>
      <c r="E162" s="480" t="str">
        <f t="array" ref="E162">IFERROR(INDEX(IF('КОШТОРИС'!$P$3, 'Номенклатура_BAF'!$E$2:$E171, 'Номенклатура_BAF'!$D$2:$D171), MATCH($B162, 'Номенклатура_BAF'!$B$2:$B171, 0)), "")</f>
        <v/>
      </c>
      <c r="F162" s="497"/>
      <c r="G162" s="501" t="str">
        <f t="shared" si="81"/>
        <v/>
      </c>
      <c r="H162" s="498"/>
      <c r="I162" s="496"/>
      <c r="J162" s="484" t="str">
        <f t="shared" si="82"/>
        <v/>
      </c>
      <c r="K162" s="485" t="str">
        <f t="shared" si="83"/>
        <v/>
      </c>
      <c r="L162" s="486" t="str">
        <f t="shared" si="84"/>
        <v/>
      </c>
      <c r="M162" s="487"/>
      <c r="N162" s="488" t="str">
        <f t="array" ref="N162">IFERROR(INDEX('Номенклатура_BAF'!$I$2:$I171, MATCH($B162, 'Номенклатура_BAF'!$B$2:$B171, 0)), "")</f>
        <v/>
      </c>
      <c r="O162" s="508"/>
      <c r="P162" s="508"/>
      <c r="Q162" s="508"/>
      <c r="R162" s="508"/>
      <c r="S162" s="508"/>
      <c r="T162" s="464"/>
    </row>
    <row r="163" ht="15.0" customHeight="1">
      <c r="A163" s="607" t="s">
        <v>300</v>
      </c>
      <c r="B163" s="495"/>
      <c r="C163" s="496"/>
      <c r="D163" s="479" t="str">
        <f t="array" ref="D163">IFERROR(INDEX('Номенклатура_BAF'!$C$2:$C171, MATCH($B163, 'Номенклатура_BAF'!$B$2:$B171, 0)), "")</f>
        <v/>
      </c>
      <c r="E163" s="480" t="str">
        <f t="array" ref="E163">IFERROR(INDEX(IF('КОШТОРИС'!$P$3, 'Номенклатура_BAF'!$E$2:$E171, 'Номенклатура_BAF'!$D$2:$D171), MATCH($B163, 'Номенклатура_BAF'!$B$2:$B171, 0)), "")</f>
        <v/>
      </c>
      <c r="F163" s="497"/>
      <c r="G163" s="501" t="str">
        <f t="shared" si="81"/>
        <v/>
      </c>
      <c r="H163" s="498"/>
      <c r="I163" s="496"/>
      <c r="J163" s="484" t="str">
        <f t="shared" si="82"/>
        <v/>
      </c>
      <c r="K163" s="485" t="str">
        <f t="shared" si="83"/>
        <v/>
      </c>
      <c r="L163" s="486" t="str">
        <f t="shared" si="84"/>
        <v/>
      </c>
      <c r="M163" s="487"/>
      <c r="N163" s="488" t="str">
        <f t="array" ref="N163">IFERROR(INDEX('Номенклатура_BAF'!$I$2:$I171, MATCH($B163, 'Номенклатура_BAF'!$B$2:$B171, 0)), "")</f>
        <v/>
      </c>
      <c r="O163" s="508"/>
      <c r="P163" s="508"/>
      <c r="Q163" s="508"/>
      <c r="R163" s="508"/>
      <c r="S163" s="508"/>
      <c r="T163" s="464"/>
    </row>
    <row r="164" ht="15.0" customHeight="1">
      <c r="A164" s="607" t="s">
        <v>301</v>
      </c>
      <c r="B164" s="495"/>
      <c r="C164" s="496"/>
      <c r="D164" s="479" t="str">
        <f t="array" ref="D164">IFERROR(INDEX('Номенклатура_BAF'!$C$2:$C171, MATCH($B164, 'Номенклатура_BAF'!$B$2:$B171, 0)), "")</f>
        <v/>
      </c>
      <c r="E164" s="480" t="str">
        <f t="array" ref="E164">IFERROR(INDEX(IF('КОШТОРИС'!$P$3, 'Номенклатура_BAF'!$E$2:$E171, 'Номенклатура_BAF'!$D$2:$D171), MATCH($B164, 'Номенклатура_BAF'!$B$2:$B171, 0)), "")</f>
        <v/>
      </c>
      <c r="F164" s="497"/>
      <c r="G164" s="501" t="str">
        <f t="shared" si="81"/>
        <v/>
      </c>
      <c r="H164" s="498"/>
      <c r="I164" s="496"/>
      <c r="J164" s="484" t="str">
        <f t="shared" si="82"/>
        <v/>
      </c>
      <c r="K164" s="485" t="str">
        <f t="shared" si="83"/>
        <v/>
      </c>
      <c r="L164" s="486" t="str">
        <f t="shared" si="84"/>
        <v/>
      </c>
      <c r="M164" s="487"/>
      <c r="N164" s="488" t="str">
        <f t="array" ref="N164">IFERROR(INDEX('Номенклатура_BAF'!$I$2:$I171, MATCH($B164, 'Номенклатура_BAF'!$B$2:$B171, 0)), "")</f>
        <v/>
      </c>
      <c r="O164" s="508"/>
      <c r="P164" s="508"/>
      <c r="Q164" s="508"/>
      <c r="R164" s="508"/>
      <c r="S164" s="508"/>
      <c r="T164" s="464"/>
    </row>
    <row r="165" ht="15.0" customHeight="1">
      <c r="A165" s="607" t="s">
        <v>302</v>
      </c>
      <c r="B165" s="495"/>
      <c r="C165" s="496"/>
      <c r="D165" s="479" t="str">
        <f t="array" ref="D165">IFERROR(INDEX('Номенклатура_BAF'!$C$2:$C171, MATCH($B165, 'Номенклатура_BAF'!$B$2:$B171, 0)), "")</f>
        <v/>
      </c>
      <c r="E165" s="480" t="str">
        <f t="array" ref="E165">IFERROR(INDEX(IF('КОШТОРИС'!$P$3, 'Номенклатура_BAF'!$E$2:$E171, 'Номенклатура_BAF'!$D$2:$D171), MATCH($B165, 'Номенклатура_BAF'!$B$2:$B171, 0)), "")</f>
        <v/>
      </c>
      <c r="F165" s="497"/>
      <c r="G165" s="501" t="str">
        <f t="shared" si="81"/>
        <v/>
      </c>
      <c r="H165" s="498"/>
      <c r="I165" s="496"/>
      <c r="J165" s="484" t="str">
        <f t="shared" si="82"/>
        <v/>
      </c>
      <c r="K165" s="485" t="str">
        <f t="shared" si="83"/>
        <v/>
      </c>
      <c r="L165" s="486" t="str">
        <f t="shared" si="84"/>
        <v/>
      </c>
      <c r="M165" s="487"/>
      <c r="N165" s="488" t="str">
        <f t="array" ref="N165">IFERROR(INDEX('Номенклатура_BAF'!$I$2:$I171, MATCH($B165, 'Номенклатура_BAF'!$B$2:$B171, 0)), "")</f>
        <v/>
      </c>
      <c r="O165" s="508"/>
      <c r="P165" s="508"/>
      <c r="Q165" s="508"/>
      <c r="R165" s="508"/>
      <c r="S165" s="508"/>
      <c r="T165" s="464"/>
    </row>
    <row r="166" ht="15.0" customHeight="1">
      <c r="A166" s="607" t="s">
        <v>303</v>
      </c>
      <c r="B166" s="495"/>
      <c r="C166" s="496"/>
      <c r="D166" s="480" t="str">
        <f t="array" ref="D166">IFERROR(INDEX('Номенклатура_BAF'!$C$2:$C171, MATCH($B166, 'Номенклатура_BAF'!$B$2:$B171, 0)), "")</f>
        <v/>
      </c>
      <c r="E166" s="480" t="str">
        <f t="array" ref="E166">IFERROR(INDEX(IF('КОШТОРИС'!$P$3, 'Номенклатура_BAF'!$E$2:$E171, 'Номенклатура_BAF'!$D$2:$D171), MATCH($B166, 'Номенклатура_BAF'!$B$2:$B171, 0)), "")</f>
        <v/>
      </c>
      <c r="F166" s="497"/>
      <c r="G166" s="501" t="str">
        <f t="shared" si="81"/>
        <v/>
      </c>
      <c r="H166" s="498"/>
      <c r="I166" s="496"/>
      <c r="J166" s="484" t="str">
        <f t="shared" si="82"/>
        <v/>
      </c>
      <c r="K166" s="485" t="str">
        <f t="shared" si="83"/>
        <v/>
      </c>
      <c r="L166" s="486" t="str">
        <f t="shared" si="84"/>
        <v/>
      </c>
      <c r="M166" s="487"/>
      <c r="N166" s="488" t="str">
        <f t="array" ref="N166">IFERROR(INDEX('Номенклатура_BAF'!$I$2:$I171, MATCH($B166, 'Номенклатура_BAF'!$B$2:$B171, 0)), "")</f>
        <v/>
      </c>
      <c r="O166" s="508"/>
      <c r="P166" s="508"/>
      <c r="Q166" s="508"/>
      <c r="R166" s="508"/>
      <c r="S166" s="508"/>
      <c r="T166" s="464"/>
    </row>
    <row r="167" ht="15.0" customHeight="1">
      <c r="A167" s="607" t="s">
        <v>304</v>
      </c>
      <c r="B167" s="625"/>
      <c r="C167" s="513"/>
      <c r="D167" s="480" t="str">
        <f t="array" ref="D167">IFERROR(INDEX('Номенклатура_BAF'!$C$2:$C171, MATCH($B167, 'Номенклатура_BAF'!$B$2:$B171, 0)), "")</f>
        <v/>
      </c>
      <c r="E167" s="480" t="str">
        <f t="array" ref="E167">IFERROR(INDEX(IF('КОШТОРИС'!$P$3, 'Номенклатура_BAF'!$E$2:$E171, 'Номенклатура_BAF'!$D$2:$D171), MATCH($B167, 'Номенклатура_BAF'!$B$2:$B171, 0)), "")</f>
        <v/>
      </c>
      <c r="F167" s="626"/>
      <c r="G167" s="501" t="str">
        <f t="shared" si="81"/>
        <v/>
      </c>
      <c r="H167" s="627"/>
      <c r="I167" s="513"/>
      <c r="J167" s="484" t="str">
        <f t="shared" si="82"/>
        <v/>
      </c>
      <c r="K167" s="485" t="str">
        <f t="shared" si="83"/>
        <v/>
      </c>
      <c r="L167" s="486" t="str">
        <f t="shared" si="84"/>
        <v/>
      </c>
      <c r="M167" s="487"/>
      <c r="N167" s="488" t="str">
        <f t="array" ref="N167">IFERROR(INDEX('Номенклатура_BAF'!$I$2:$I171, MATCH($B167, 'Номенклатура_BAF'!$B$2:$B171, 0)), "")</f>
        <v/>
      </c>
      <c r="O167" s="508"/>
      <c r="P167" s="508"/>
      <c r="Q167" s="508"/>
      <c r="R167" s="508"/>
      <c r="S167" s="508"/>
      <c r="T167" s="464"/>
    </row>
    <row r="168" ht="22.5" customHeight="1">
      <c r="A168" s="628"/>
      <c r="B168" s="629">
        <f>TODAY()</f>
        <v>45883</v>
      </c>
      <c r="C168" s="630"/>
      <c r="D168" s="631"/>
      <c r="E168" s="631"/>
      <c r="F168" s="632" t="s">
        <v>1550</v>
      </c>
      <c r="G168" s="633">
        <f>SUM(G5,G9,G14,G18,G22,G26,G29,G32,G35,G51,G62,G68,G79,G85,G96,G101,G107,G112,G128,G144)</f>
        <v>0</v>
      </c>
      <c r="H168" s="634"/>
      <c r="I168" s="635"/>
      <c r="J168" s="636">
        <f>SUM(J5,J9,J14,J18,J22,J26,J29,J32,J35,J51,J62,J68,J79,J85,J96,J101,J107,J112,J128,J144,J152)</f>
        <v>0</v>
      </c>
      <c r="K168" s="637"/>
      <c r="L168" s="638">
        <f>SUM(L5,L9,L14,L18,L22,L26,L29,L32,L35,L51,L62,L68,L79,L85,L96,L101,L107,L112,L128,L144,L152)</f>
        <v>0</v>
      </c>
      <c r="M168" s="464"/>
      <c r="N168" s="429"/>
      <c r="O168" s="463"/>
      <c r="P168" s="464"/>
      <c r="Q168" s="464"/>
      <c r="R168" s="464"/>
      <c r="S168" s="464"/>
      <c r="T168" s="464"/>
    </row>
    <row r="169" ht="15.0" customHeight="1">
      <c r="A169" s="639"/>
      <c r="B169" s="509"/>
      <c r="C169" s="464"/>
      <c r="D169" s="464"/>
      <c r="E169" s="464"/>
      <c r="F169" s="640"/>
      <c r="G169" s="641"/>
      <c r="H169" s="464"/>
      <c r="I169" s="464"/>
      <c r="J169" s="642"/>
      <c r="K169" s="373"/>
      <c r="L169" s="373"/>
      <c r="M169" s="464"/>
      <c r="N169" s="429"/>
      <c r="O169" s="643"/>
      <c r="P169" s="462"/>
      <c r="Q169" s="462"/>
      <c r="R169" s="464"/>
      <c r="S169" s="464"/>
      <c r="T169" s="464"/>
    </row>
    <row r="170" ht="15.0" customHeight="1">
      <c r="A170" s="639"/>
      <c r="B170" s="509"/>
      <c r="C170" s="464"/>
      <c r="D170" s="464"/>
      <c r="E170" s="464"/>
      <c r="F170" s="640"/>
      <c r="G170" s="644"/>
      <c r="H170" s="464"/>
      <c r="I170" s="464"/>
      <c r="J170" s="642"/>
      <c r="K170" s="373"/>
      <c r="L170" s="373"/>
      <c r="M170" s="464"/>
      <c r="N170" s="429"/>
      <c r="O170" s="643"/>
      <c r="P170" s="462"/>
      <c r="Q170" s="462"/>
      <c r="R170" s="464"/>
      <c r="S170" s="464"/>
      <c r="T170" s="464"/>
    </row>
    <row r="171" ht="15.0" customHeight="1">
      <c r="A171" s="639"/>
      <c r="B171" s="645"/>
      <c r="C171" s="646"/>
      <c r="D171" s="464"/>
      <c r="E171" s="464"/>
      <c r="F171" s="640"/>
      <c r="G171" s="647"/>
      <c r="H171" s="464"/>
      <c r="I171" s="464"/>
      <c r="J171" s="642"/>
      <c r="K171" s="373"/>
      <c r="L171" s="373"/>
      <c r="M171" s="464"/>
      <c r="N171" s="429"/>
      <c r="O171" s="643"/>
      <c r="P171" s="462"/>
      <c r="Q171" s="462"/>
      <c r="R171" s="464"/>
      <c r="S171" s="464"/>
      <c r="T171" s="464"/>
    </row>
  </sheetData>
  <mergeCells count="4">
    <mergeCell ref="C1:I1"/>
    <mergeCell ref="P1:P2"/>
    <mergeCell ref="R1:R2"/>
    <mergeCell ref="C2:H2"/>
  </mergeCells>
  <conditionalFormatting sqref="B22">
    <cfRule type="colorScale" priority="1">
      <colorScale>
        <cfvo type="min"/>
        <cfvo type="max"/>
        <color rgb="FF57BB8A"/>
        <color rgb="FFFFFFFF"/>
      </colorScale>
    </cfRule>
  </conditionalFormatting>
  <conditionalFormatting sqref="K6:L8 K10:L13 K15:L17 K19:L21 K23:L25 K27:L28 K30:L31 K33:L34 K36:L50 K52:L67 G62 J62 K69:L84 G79 J79 K86:L95 K97:L100 K102:L106 K108:L111 K113:L127 K129:L143 K145:L151 K153:L167">
    <cfRule type="cellIs" dxfId="0" priority="2" operator="greaterThan">
      <formula>0</formula>
    </cfRule>
  </conditionalFormatting>
  <conditionalFormatting sqref="L5 L9 L14 L18 L22 L26 L29 L32 L35 L51 L68 G79 J79:K79 L85 L96 L101 L107 L112 L128 L144 L152">
    <cfRule type="cellIs" dxfId="1" priority="3" operator="greaterThan">
      <formula>0</formula>
    </cfRule>
  </conditionalFormatting>
  <conditionalFormatting sqref="L5 L9 L14 L18 L22 L26 L29 L32 L35 L51 L68 G79 J79:K79 L85 L96 L101 L107 L112 L128 L144 L152">
    <cfRule type="cellIs" dxfId="2" priority="4" operator="lessThan">
      <formula>0</formula>
    </cfRule>
  </conditionalFormatting>
  <conditionalFormatting sqref="K6:L8 K10:L13 K15:L17 K19:L21 K23:L25 K27:L28 K30:L31 K33:L34 K36:L50 K52:L67 G62 J62 K69:L84 G79 J79 K86:L95 K97:L100 K102:L106 K108:L111 K113:L127 K129:L143 K145:L151 K153:L167">
    <cfRule type="cellIs" dxfId="3" priority="5" operator="lessThan">
      <formula>0</formula>
    </cfRule>
  </conditionalFormatting>
  <conditionalFormatting sqref="L168">
    <cfRule type="cellIs" dxfId="4" priority="6" operator="greaterThan">
      <formula>0</formula>
    </cfRule>
  </conditionalFormatting>
  <conditionalFormatting sqref="L168">
    <cfRule type="cellIs" dxfId="5" priority="7" operator="lessThan">
      <formula>0</formula>
    </cfRule>
  </conditionalFormatting>
  <conditionalFormatting sqref="C2:H2">
    <cfRule type="containsBlanks" dxfId="12" priority="8">
      <formula>LEN(TRIM(C2))=0</formula>
    </cfRule>
  </conditionalFormatting>
  <dataValidations>
    <dataValidation type="list" allowBlank="1" sqref="B113:B127">
      <formula1>'ТЕХ_ЛИСТ_1'!$R$12:$R171</formula1>
    </dataValidation>
    <dataValidation type="list" allowBlank="1" sqref="B52:B61">
      <formula1>'ТЕХ_ЛИСТ_1'!$K$12:$K171</formula1>
    </dataValidation>
    <dataValidation type="list" allowBlank="1" sqref="B15:B17">
      <formula1>'ТЕХ_ЛИСТ_1'!$D$12:$D171</formula1>
    </dataValidation>
    <dataValidation type="list" allowBlank="1" sqref="B30:B31">
      <formula1>'ТЕХ_ЛИСТ_1'!$H$12:$H171</formula1>
    </dataValidation>
    <dataValidation type="list" allowBlank="1" sqref="B129:B143">
      <formula1>'ТЕХ_ЛИСТ_1'!$S$12:$S171</formula1>
    </dataValidation>
    <dataValidation type="list" allowBlank="1" sqref="B97:B100">
      <formula1>'ТЕХ_ЛИСТ_1'!$N$12:$N171</formula1>
    </dataValidation>
    <dataValidation type="list" allowBlank="1" sqref="B36:B50">
      <formula1>'ТЕХ_ЛИСТ_1'!$J$12:$J171</formula1>
    </dataValidation>
    <dataValidation type="list" allowBlank="1" sqref="B86:B95">
      <formula1>'ТЕХ_ЛИСТ_1'!$P$12:$P171</formula1>
    </dataValidation>
    <dataValidation type="list" allowBlank="1" showInputMessage="1" prompt="Все добре? Раджу вводити реальні назви!" sqref="B6:B8">
      <formula1>'ТЕХ_ЛИСТ_1'!$B$12:$B171</formula1>
    </dataValidation>
    <dataValidation type="list" allowBlank="1" sqref="B19:B21 B23:B25">
      <formula1>'ТЕХ_ЛИСТ_1'!$E$12:$E171</formula1>
    </dataValidation>
    <dataValidation type="list" allowBlank="1" sqref="B27:B28">
      <formula1>'ТЕХ_ЛИСТ_1'!$G$12:$G171</formula1>
    </dataValidation>
    <dataValidation type="list" allowBlank="1" sqref="B33:B34">
      <formula1>'ТЕХ_ЛИСТ_1'!$I$12:$I171</formula1>
    </dataValidation>
    <dataValidation type="list" allowBlank="1" sqref="B63:B67 B80:B84">
      <formula1>'ТЕХ_ЛИСТ_1'!$M$12:$M171</formula1>
    </dataValidation>
    <dataValidation type="list" allowBlank="1" sqref="B69:B78">
      <formula1>'ТЕХ_ЛИСТ_1'!$L$12:$L171</formula1>
    </dataValidation>
    <dataValidation type="list" allowBlank="1" sqref="B102:B106">
      <formula1>'ТЕХ_ЛИСТ_1'!$Q$12:$Q171</formula1>
    </dataValidation>
    <dataValidation type="list" allowBlank="1" sqref="B153:B167">
      <formula1>'ТЕХ_ЛИСТ_1'!$U$12:$U171</formula1>
    </dataValidation>
    <dataValidation type="list" allowBlank="1" sqref="B10:B13">
      <formula1>'ТЕХ_ЛИСТ_1'!$C$12:$C171</formula1>
    </dataValidation>
    <dataValidation type="list" allowBlank="1" sqref="B108:B111">
      <formula1>'ТЕХ_ЛИСТ_1'!$O$12:$O171</formula1>
    </dataValidation>
  </dataValidations>
  <printOptions gridLines="1"/>
  <pageMargins bottom="0.7874015748031495" footer="0.0" header="0.0" left="0.23622047244094488" right="0.23622047244094488" top="0.23622047244094488"/>
  <pageSetup paperSize="9" cellComments="atEnd" orientation="landscape"/>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95959"/>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29"/>
    <col customWidth="1" min="2" max="2" width="29.0"/>
    <col customWidth="1" min="3" max="3" width="14.57"/>
    <col customWidth="1" min="4" max="4" width="16.14"/>
    <col customWidth="1" min="5" max="6" width="13.71"/>
    <col customWidth="1" min="7" max="7" width="16.43"/>
    <col customWidth="1" min="8" max="8" width="17.43"/>
    <col customWidth="1" min="9" max="9" width="18.57"/>
    <col customWidth="1" min="10" max="10" width="14.43"/>
    <col customWidth="1" min="11" max="11" width="18.0"/>
    <col customWidth="1" min="12" max="14" width="14.43"/>
    <col customWidth="1" min="15" max="18" width="14.29"/>
  </cols>
  <sheetData>
    <row r="1" ht="21.75" customHeight="1">
      <c r="A1" s="648"/>
      <c r="B1" s="649" t="s">
        <v>0</v>
      </c>
      <c r="C1" s="21"/>
      <c r="D1" s="21"/>
      <c r="E1" s="21"/>
      <c r="F1" s="22"/>
      <c r="G1" s="650" t="s">
        <v>1</v>
      </c>
      <c r="H1" s="651" t="s">
        <v>2</v>
      </c>
      <c r="I1" s="651" t="s">
        <v>3</v>
      </c>
      <c r="J1" s="651" t="s">
        <v>4</v>
      </c>
      <c r="K1" s="651" t="s">
        <v>5</v>
      </c>
      <c r="L1" s="650" t="s">
        <v>6</v>
      </c>
      <c r="M1" s="650" t="s">
        <v>7</v>
      </c>
      <c r="N1" s="650" t="s">
        <v>8</v>
      </c>
      <c r="O1" s="652"/>
      <c r="P1" s="652"/>
      <c r="Q1" s="652"/>
      <c r="R1" s="652"/>
    </row>
    <row r="2" ht="22.5" customHeight="1">
      <c r="A2" s="653"/>
      <c r="B2" s="654" t="s">
        <v>10</v>
      </c>
      <c r="C2" s="21"/>
      <c r="D2" s="21"/>
      <c r="E2" s="21"/>
      <c r="F2" s="22"/>
      <c r="G2" s="655"/>
      <c r="H2" s="656"/>
      <c r="I2" s="657">
        <f t="array" ref="I2">SUM(OFFSET(INDIRECT(ADDRESS(ROW(), COLUMN())), 1, 0, MATCH("Загалом монтажні матеріали", $B:$B, 0) - ROW() - 1))</f>
        <v>0</v>
      </c>
      <c r="J2" s="657"/>
      <c r="K2" s="655"/>
      <c r="L2" s="657">
        <f t="shared" ref="L2:M2" si="1">SUM(OFFSET(INDIRECT(ADDRESS(ROW(), COLUMN())), 1, 0, MATCH("Загалом монтажні матеріали", $B:$B, 0) - ROW() - 1))</f>
        <v>0</v>
      </c>
      <c r="M2" s="657">
        <f t="shared" si="1"/>
        <v>0</v>
      </c>
      <c r="N2" s="658" t="str">
        <f>M2/L2</f>
        <v>#DIV/0!</v>
      </c>
      <c r="O2" s="659" t="str">
        <f>I2/$E$61</f>
        <v>#DIV/0!</v>
      </c>
      <c r="P2" s="660" t="str">
        <f>Q2-O2</f>
        <v>#DIV/0!</v>
      </c>
      <c r="Q2" s="661" t="str">
        <f t="shared" ref="Q2:Q3" si="2">L2/$E$61</f>
        <v>#DIV/0!</v>
      </c>
      <c r="R2" s="662" t="str">
        <f>Q2/$Q$43</f>
        <v>#DIV/0!</v>
      </c>
    </row>
    <row r="3">
      <c r="A3" s="663">
        <v>1.0</v>
      </c>
      <c r="B3" s="664" t="str">
        <f>'КОШТОРИС'!B6</f>
        <v/>
      </c>
      <c r="C3" s="21"/>
      <c r="D3" s="21"/>
      <c r="E3" s="21"/>
      <c r="F3" s="22"/>
      <c r="G3" s="665" t="str">
        <f>'КОШТОРИС'!C6</f>
        <v/>
      </c>
      <c r="H3" s="666" t="str">
        <f>'КОШТОРИС'!E6</f>
        <v/>
      </c>
      <c r="I3" s="667" t="str">
        <f t="shared" ref="I3:I24" si="3">IF(G3*H3=0,"",G3*H3)</f>
        <v/>
      </c>
      <c r="J3" s="668">
        <v>0.23</v>
      </c>
      <c r="K3" s="667" t="str">
        <f t="shared" ref="K3:K24" si="4">IF(H3+(H3*J3)=0,"",H3+(H3*J3))</f>
        <v/>
      </c>
      <c r="L3" s="669" t="str">
        <f t="shared" ref="L3:L24" si="5">IF(K3*G3=0,"",K3*G3)</f>
        <v/>
      </c>
      <c r="M3" s="670" t="str">
        <f t="shared" ref="M3:M24" si="6">IF(L3-I3=0,"",L3-I3)</f>
        <v/>
      </c>
      <c r="N3" s="671" t="str">
        <f t="shared" ref="N3:N24" si="7">IF(OR(I3=0,I3=""),"",L3/I3-100%)</f>
        <v/>
      </c>
      <c r="O3" s="672">
        <f>E61</f>
        <v>0</v>
      </c>
      <c r="P3" s="673">
        <f>H3/E59</f>
        <v>0</v>
      </c>
      <c r="Q3" s="674" t="str">
        <f t="shared" si="2"/>
        <v>#DIV/0!</v>
      </c>
      <c r="R3" s="675"/>
    </row>
    <row r="4">
      <c r="A4" s="676">
        <v>2.0</v>
      </c>
      <c r="B4" s="664" t="str">
        <f>'КОШТОРИС'!B7</f>
        <v/>
      </c>
      <c r="C4" s="21"/>
      <c r="D4" s="21"/>
      <c r="E4" s="21"/>
      <c r="F4" s="22"/>
      <c r="G4" s="665" t="str">
        <f>'КОШТОРИС'!C7</f>
        <v/>
      </c>
      <c r="H4" s="666" t="str">
        <f>'КОШТОРИС'!E7</f>
        <v/>
      </c>
      <c r="I4" s="667" t="str">
        <f t="shared" si="3"/>
        <v/>
      </c>
      <c r="J4" s="668">
        <v>0.23</v>
      </c>
      <c r="K4" s="667" t="str">
        <f t="shared" si="4"/>
        <v/>
      </c>
      <c r="L4" s="669" t="str">
        <f t="shared" si="5"/>
        <v/>
      </c>
      <c r="M4" s="670" t="str">
        <f t="shared" si="6"/>
        <v/>
      </c>
      <c r="N4" s="671" t="str">
        <f t="shared" si="7"/>
        <v/>
      </c>
      <c r="O4" s="652"/>
      <c r="P4" s="677" t="str">
        <f>L3/G3/E59</f>
        <v>#DIV/0!</v>
      </c>
      <c r="Q4" s="652"/>
      <c r="R4" s="652"/>
    </row>
    <row r="5">
      <c r="A5" s="663">
        <v>3.0</v>
      </c>
      <c r="B5" s="664" t="str">
        <f>'КОШТОРИС'!B8</f>
        <v/>
      </c>
      <c r="C5" s="21"/>
      <c r="D5" s="21"/>
      <c r="E5" s="21"/>
      <c r="F5" s="22"/>
      <c r="G5" s="665" t="str">
        <f>'КОШТОРИС'!C8</f>
        <v/>
      </c>
      <c r="H5" s="666" t="str">
        <f>'КОШТОРИС'!E8</f>
        <v/>
      </c>
      <c r="I5" s="667" t="str">
        <f t="shared" si="3"/>
        <v/>
      </c>
      <c r="J5" s="668">
        <v>0.23</v>
      </c>
      <c r="K5" s="667" t="str">
        <f t="shared" si="4"/>
        <v/>
      </c>
      <c r="L5" s="669" t="str">
        <f t="shared" si="5"/>
        <v/>
      </c>
      <c r="M5" s="670" t="str">
        <f t="shared" si="6"/>
        <v/>
      </c>
      <c r="N5" s="671" t="str">
        <f t="shared" si="7"/>
        <v/>
      </c>
      <c r="O5" s="652"/>
      <c r="P5" s="652"/>
      <c r="Q5" s="652"/>
      <c r="R5" s="652"/>
    </row>
    <row r="6">
      <c r="A6" s="676">
        <v>4.0</v>
      </c>
      <c r="B6" s="678" t="str">
        <f>'КОШТОРИС'!B10</f>
        <v/>
      </c>
      <c r="C6" s="21"/>
      <c r="D6" s="21"/>
      <c r="E6" s="21"/>
      <c r="F6" s="22"/>
      <c r="G6" s="665" t="str">
        <f>'КОШТОРИС'!C10</f>
        <v/>
      </c>
      <c r="H6" s="666" t="str">
        <f>'КОШТОРИС'!E10</f>
        <v/>
      </c>
      <c r="I6" s="667" t="str">
        <f t="shared" si="3"/>
        <v/>
      </c>
      <c r="J6" s="668">
        <v>0.15</v>
      </c>
      <c r="K6" s="667" t="str">
        <f t="shared" si="4"/>
        <v/>
      </c>
      <c r="L6" s="669" t="str">
        <f t="shared" si="5"/>
        <v/>
      </c>
      <c r="M6" s="670" t="str">
        <f t="shared" si="6"/>
        <v/>
      </c>
      <c r="N6" s="671" t="str">
        <f t="shared" si="7"/>
        <v/>
      </c>
      <c r="O6" s="652"/>
      <c r="P6" s="652"/>
      <c r="Q6" s="674" t="str">
        <f>L6/$E$61</f>
        <v>#DIV/0!</v>
      </c>
      <c r="R6" s="675"/>
    </row>
    <row r="7">
      <c r="A7" s="663">
        <v>5.0</v>
      </c>
      <c r="B7" s="678" t="str">
        <f>'КОШТОРИС'!B11</f>
        <v/>
      </c>
      <c r="C7" s="21"/>
      <c r="D7" s="21"/>
      <c r="E7" s="21"/>
      <c r="F7" s="22"/>
      <c r="G7" s="665" t="str">
        <f>'КОШТОРИС'!C11</f>
        <v/>
      </c>
      <c r="H7" s="666" t="str">
        <f>'КОШТОРИС'!E11</f>
        <v/>
      </c>
      <c r="I7" s="667" t="str">
        <f t="shared" si="3"/>
        <v/>
      </c>
      <c r="J7" s="668">
        <v>0.15</v>
      </c>
      <c r="K7" s="667" t="str">
        <f t="shared" si="4"/>
        <v/>
      </c>
      <c r="L7" s="669" t="str">
        <f t="shared" si="5"/>
        <v/>
      </c>
      <c r="M7" s="670" t="str">
        <f t="shared" si="6"/>
        <v/>
      </c>
      <c r="N7" s="671" t="str">
        <f t="shared" si="7"/>
        <v/>
      </c>
      <c r="O7" s="652"/>
      <c r="P7" s="652"/>
      <c r="Q7" s="652"/>
      <c r="R7" s="652"/>
    </row>
    <row r="8">
      <c r="A8" s="676">
        <v>6.0</v>
      </c>
      <c r="B8" s="678" t="str">
        <f>'КОШТОРИС'!B12</f>
        <v/>
      </c>
      <c r="C8" s="21"/>
      <c r="D8" s="21"/>
      <c r="E8" s="21"/>
      <c r="F8" s="22"/>
      <c r="G8" s="665" t="str">
        <f>'КОШТОРИС'!C12</f>
        <v/>
      </c>
      <c r="H8" s="666" t="str">
        <f>'КОШТОРИС'!E12</f>
        <v/>
      </c>
      <c r="I8" s="667" t="str">
        <f t="shared" si="3"/>
        <v/>
      </c>
      <c r="J8" s="668">
        <v>0.15</v>
      </c>
      <c r="K8" s="667" t="str">
        <f t="shared" si="4"/>
        <v/>
      </c>
      <c r="L8" s="669" t="str">
        <f t="shared" si="5"/>
        <v/>
      </c>
      <c r="M8" s="670" t="str">
        <f t="shared" si="6"/>
        <v/>
      </c>
      <c r="N8" s="671" t="str">
        <f t="shared" si="7"/>
        <v/>
      </c>
      <c r="O8" s="652"/>
      <c r="P8" s="652"/>
      <c r="Q8" s="652"/>
      <c r="R8" s="652"/>
    </row>
    <row r="9">
      <c r="A9" s="663">
        <v>7.0</v>
      </c>
      <c r="B9" s="678" t="str">
        <f>'КОШТОРИС'!B13</f>
        <v/>
      </c>
      <c r="C9" s="21"/>
      <c r="D9" s="21"/>
      <c r="E9" s="21"/>
      <c r="F9" s="22"/>
      <c r="G9" s="665" t="str">
        <f>'КОШТОРИС'!C13</f>
        <v/>
      </c>
      <c r="H9" s="666" t="str">
        <f>'КОШТОРИС'!E13</f>
        <v/>
      </c>
      <c r="I9" s="667" t="str">
        <f t="shared" si="3"/>
        <v/>
      </c>
      <c r="J9" s="668">
        <v>0.15</v>
      </c>
      <c r="K9" s="667" t="str">
        <f t="shared" si="4"/>
        <v/>
      </c>
      <c r="L9" s="669" t="str">
        <f t="shared" si="5"/>
        <v/>
      </c>
      <c r="M9" s="670" t="str">
        <f t="shared" si="6"/>
        <v/>
      </c>
      <c r="N9" s="671" t="str">
        <f t="shared" si="7"/>
        <v/>
      </c>
      <c r="O9" s="652"/>
      <c r="P9" s="652"/>
      <c r="Q9" s="652"/>
      <c r="R9" s="652"/>
    </row>
    <row r="10">
      <c r="A10" s="676">
        <v>8.0</v>
      </c>
      <c r="B10" s="679" t="str">
        <f>'КОШТОРИС'!B15</f>
        <v/>
      </c>
      <c r="C10" s="21"/>
      <c r="D10" s="21"/>
      <c r="E10" s="21"/>
      <c r="F10" s="22"/>
      <c r="G10" s="665" t="str">
        <f>'КОШТОРИС'!C15</f>
        <v/>
      </c>
      <c r="H10" s="666" t="str">
        <f>'КОШТОРИС'!E15</f>
        <v/>
      </c>
      <c r="I10" s="667" t="str">
        <f t="shared" si="3"/>
        <v/>
      </c>
      <c r="J10" s="668">
        <v>0.15</v>
      </c>
      <c r="K10" s="667" t="str">
        <f t="shared" si="4"/>
        <v/>
      </c>
      <c r="L10" s="669" t="str">
        <f t="shared" si="5"/>
        <v/>
      </c>
      <c r="M10" s="670" t="str">
        <f t="shared" si="6"/>
        <v/>
      </c>
      <c r="N10" s="671" t="str">
        <f t="shared" si="7"/>
        <v/>
      </c>
      <c r="O10" s="652"/>
      <c r="P10" s="652"/>
      <c r="Q10" s="652"/>
      <c r="R10" s="652"/>
    </row>
    <row r="11">
      <c r="A11" s="663">
        <v>9.0</v>
      </c>
      <c r="B11" s="679" t="str">
        <f>'КОШТОРИС'!B16</f>
        <v/>
      </c>
      <c r="C11" s="21"/>
      <c r="D11" s="21"/>
      <c r="E11" s="21"/>
      <c r="F11" s="22"/>
      <c r="G11" s="665" t="str">
        <f>'КОШТОРИС'!C16</f>
        <v/>
      </c>
      <c r="H11" s="666" t="str">
        <f>'КОШТОРИС'!E16</f>
        <v/>
      </c>
      <c r="I11" s="667" t="str">
        <f t="shared" si="3"/>
        <v/>
      </c>
      <c r="J11" s="668">
        <v>0.15</v>
      </c>
      <c r="K11" s="667" t="str">
        <f t="shared" si="4"/>
        <v/>
      </c>
      <c r="L11" s="669" t="str">
        <f t="shared" si="5"/>
        <v/>
      </c>
      <c r="M11" s="670" t="str">
        <f t="shared" si="6"/>
        <v/>
      </c>
      <c r="N11" s="671" t="str">
        <f t="shared" si="7"/>
        <v/>
      </c>
      <c r="O11" s="652"/>
      <c r="P11" s="652"/>
      <c r="Q11" s="652"/>
      <c r="R11" s="652"/>
    </row>
    <row r="12">
      <c r="A12" s="676">
        <v>10.0</v>
      </c>
      <c r="B12" s="679" t="str">
        <f>'КОШТОРИС'!B17</f>
        <v/>
      </c>
      <c r="C12" s="21"/>
      <c r="D12" s="21"/>
      <c r="E12" s="21"/>
      <c r="F12" s="22"/>
      <c r="G12" s="665" t="str">
        <f>'КОШТОРИС'!C17</f>
        <v/>
      </c>
      <c r="H12" s="666" t="str">
        <f>'КОШТОРИС'!E17</f>
        <v/>
      </c>
      <c r="I12" s="667" t="str">
        <f t="shared" si="3"/>
        <v/>
      </c>
      <c r="J12" s="668">
        <v>0.15</v>
      </c>
      <c r="K12" s="667" t="str">
        <f t="shared" si="4"/>
        <v/>
      </c>
      <c r="L12" s="669" t="str">
        <f t="shared" si="5"/>
        <v/>
      </c>
      <c r="M12" s="670" t="str">
        <f t="shared" si="6"/>
        <v/>
      </c>
      <c r="N12" s="671" t="str">
        <f t="shared" si="7"/>
        <v/>
      </c>
      <c r="O12" s="652"/>
      <c r="P12" s="652"/>
      <c r="Q12" s="652"/>
      <c r="R12" s="652"/>
    </row>
    <row r="13">
      <c r="A13" s="663">
        <v>11.0</v>
      </c>
      <c r="B13" s="678" t="str">
        <f>'КОШТОРИС'!B19</f>
        <v/>
      </c>
      <c r="C13" s="21"/>
      <c r="D13" s="21"/>
      <c r="E13" s="21"/>
      <c r="F13" s="22"/>
      <c r="G13" s="665" t="str">
        <f>'КОШТОРИС'!C19</f>
        <v/>
      </c>
      <c r="H13" s="666" t="str">
        <f>'КОШТОРИС'!E19</f>
        <v/>
      </c>
      <c r="I13" s="667" t="str">
        <f t="shared" si="3"/>
        <v/>
      </c>
      <c r="J13" s="668">
        <v>0.15</v>
      </c>
      <c r="K13" s="667" t="str">
        <f t="shared" si="4"/>
        <v/>
      </c>
      <c r="L13" s="669" t="str">
        <f t="shared" si="5"/>
        <v/>
      </c>
      <c r="M13" s="670" t="str">
        <f t="shared" si="6"/>
        <v/>
      </c>
      <c r="N13" s="671" t="str">
        <f t="shared" si="7"/>
        <v/>
      </c>
      <c r="O13" s="652"/>
      <c r="P13" s="652"/>
      <c r="Q13" s="652"/>
      <c r="R13" s="652"/>
    </row>
    <row r="14">
      <c r="A14" s="676">
        <v>12.0</v>
      </c>
      <c r="B14" s="678" t="str">
        <f>'КОШТОРИС'!B20</f>
        <v/>
      </c>
      <c r="C14" s="21"/>
      <c r="D14" s="21"/>
      <c r="E14" s="21"/>
      <c r="F14" s="22"/>
      <c r="G14" s="665" t="str">
        <f>'КОШТОРИС'!C20</f>
        <v/>
      </c>
      <c r="H14" s="666" t="str">
        <f>'КОШТОРИС'!E20</f>
        <v/>
      </c>
      <c r="I14" s="667" t="str">
        <f t="shared" si="3"/>
        <v/>
      </c>
      <c r="J14" s="668">
        <v>0.15</v>
      </c>
      <c r="K14" s="667" t="str">
        <f t="shared" si="4"/>
        <v/>
      </c>
      <c r="L14" s="669" t="str">
        <f t="shared" si="5"/>
        <v/>
      </c>
      <c r="M14" s="670" t="str">
        <f t="shared" si="6"/>
        <v/>
      </c>
      <c r="N14" s="671" t="str">
        <f t="shared" si="7"/>
        <v/>
      </c>
      <c r="O14" s="652"/>
      <c r="P14" s="652"/>
      <c r="Q14" s="652"/>
      <c r="R14" s="652"/>
    </row>
    <row r="15">
      <c r="A15" s="663">
        <v>13.0</v>
      </c>
      <c r="B15" s="678" t="str">
        <f>'КОШТОРИС'!B21</f>
        <v/>
      </c>
      <c r="C15" s="21"/>
      <c r="D15" s="21"/>
      <c r="E15" s="21"/>
      <c r="F15" s="22"/>
      <c r="G15" s="665" t="str">
        <f>'КОШТОРИС'!C21</f>
        <v/>
      </c>
      <c r="H15" s="666" t="str">
        <f>'КОШТОРИС'!E21</f>
        <v/>
      </c>
      <c r="I15" s="667" t="str">
        <f t="shared" si="3"/>
        <v/>
      </c>
      <c r="J15" s="668">
        <v>0.15</v>
      </c>
      <c r="K15" s="667" t="str">
        <f t="shared" si="4"/>
        <v/>
      </c>
      <c r="L15" s="669" t="str">
        <f t="shared" si="5"/>
        <v/>
      </c>
      <c r="M15" s="670" t="str">
        <f t="shared" si="6"/>
        <v/>
      </c>
      <c r="N15" s="671" t="str">
        <f t="shared" si="7"/>
        <v/>
      </c>
      <c r="O15" s="652"/>
      <c r="P15" s="652"/>
      <c r="Q15" s="652"/>
      <c r="R15" s="652"/>
    </row>
    <row r="16">
      <c r="A16" s="676">
        <v>14.0</v>
      </c>
      <c r="B16" s="680" t="str">
        <f>'КОШТОРИС'!B23</f>
        <v/>
      </c>
      <c r="C16" s="21"/>
      <c r="D16" s="21"/>
      <c r="E16" s="21"/>
      <c r="F16" s="22"/>
      <c r="G16" s="665" t="str">
        <f>'КОШТОРИС'!C23</f>
        <v/>
      </c>
      <c r="H16" s="666" t="str">
        <f>'КОШТОРИС'!E23</f>
        <v/>
      </c>
      <c r="I16" s="667" t="str">
        <f t="shared" si="3"/>
        <v/>
      </c>
      <c r="J16" s="668">
        <v>0.15</v>
      </c>
      <c r="K16" s="667" t="str">
        <f t="shared" si="4"/>
        <v/>
      </c>
      <c r="L16" s="669" t="str">
        <f t="shared" si="5"/>
        <v/>
      </c>
      <c r="M16" s="670" t="str">
        <f t="shared" si="6"/>
        <v/>
      </c>
      <c r="N16" s="671" t="str">
        <f t="shared" si="7"/>
        <v/>
      </c>
      <c r="O16" s="652"/>
      <c r="P16" s="652"/>
      <c r="Q16" s="652"/>
      <c r="R16" s="652"/>
    </row>
    <row r="17">
      <c r="A17" s="663">
        <v>15.0</v>
      </c>
      <c r="B17" s="680" t="str">
        <f>'КОШТОРИС'!B24</f>
        <v/>
      </c>
      <c r="C17" s="21"/>
      <c r="D17" s="21"/>
      <c r="E17" s="21"/>
      <c r="F17" s="22"/>
      <c r="G17" s="665" t="str">
        <f>'КОШТОРИС'!C24</f>
        <v/>
      </c>
      <c r="H17" s="666" t="str">
        <f>'КОШТОРИС'!E24</f>
        <v/>
      </c>
      <c r="I17" s="667" t="str">
        <f t="shared" si="3"/>
        <v/>
      </c>
      <c r="J17" s="668">
        <v>0.15</v>
      </c>
      <c r="K17" s="667" t="str">
        <f t="shared" si="4"/>
        <v/>
      </c>
      <c r="L17" s="669" t="str">
        <f t="shared" si="5"/>
        <v/>
      </c>
      <c r="M17" s="670" t="str">
        <f t="shared" si="6"/>
        <v/>
      </c>
      <c r="N17" s="671" t="str">
        <f t="shared" si="7"/>
        <v/>
      </c>
      <c r="O17" s="652"/>
      <c r="P17" s="652"/>
      <c r="Q17" s="652"/>
      <c r="R17" s="652"/>
    </row>
    <row r="18">
      <c r="A18" s="676">
        <v>16.0</v>
      </c>
      <c r="B18" s="680" t="str">
        <f>'КОШТОРИС'!B25</f>
        <v/>
      </c>
      <c r="C18" s="21"/>
      <c r="D18" s="21"/>
      <c r="E18" s="21"/>
      <c r="F18" s="22"/>
      <c r="G18" s="665" t="str">
        <f>'КОШТОРИС'!C25</f>
        <v/>
      </c>
      <c r="H18" s="666" t="str">
        <f>'КОШТОРИС'!E25</f>
        <v/>
      </c>
      <c r="I18" s="667" t="str">
        <f t="shared" si="3"/>
        <v/>
      </c>
      <c r="J18" s="668">
        <v>0.15</v>
      </c>
      <c r="K18" s="667" t="str">
        <f t="shared" si="4"/>
        <v/>
      </c>
      <c r="L18" s="669" t="str">
        <f t="shared" si="5"/>
        <v/>
      </c>
      <c r="M18" s="670" t="str">
        <f t="shared" si="6"/>
        <v/>
      </c>
      <c r="N18" s="671" t="str">
        <f t="shared" si="7"/>
        <v/>
      </c>
      <c r="O18" s="652"/>
      <c r="P18" s="652"/>
      <c r="Q18" s="652"/>
      <c r="R18" s="652"/>
    </row>
    <row r="19">
      <c r="A19" s="663">
        <v>17.0</v>
      </c>
      <c r="B19" s="681" t="str">
        <f>'КОШТОРИС'!B27</f>
        <v/>
      </c>
      <c r="C19" s="21"/>
      <c r="D19" s="21"/>
      <c r="E19" s="21"/>
      <c r="F19" s="22"/>
      <c r="G19" s="665" t="str">
        <f>'КОШТОРИС'!C27</f>
        <v/>
      </c>
      <c r="H19" s="666" t="str">
        <f>'КОШТОРИС'!E27</f>
        <v/>
      </c>
      <c r="I19" s="667" t="str">
        <f t="shared" si="3"/>
        <v/>
      </c>
      <c r="J19" s="668">
        <v>0.15</v>
      </c>
      <c r="K19" s="667" t="str">
        <f t="shared" si="4"/>
        <v/>
      </c>
      <c r="L19" s="669" t="str">
        <f t="shared" si="5"/>
        <v/>
      </c>
      <c r="M19" s="670" t="str">
        <f t="shared" si="6"/>
        <v/>
      </c>
      <c r="N19" s="671" t="str">
        <f t="shared" si="7"/>
        <v/>
      </c>
      <c r="O19" s="652"/>
      <c r="P19" s="652"/>
      <c r="Q19" s="674" t="str">
        <f>L19/$E$61</f>
        <v>#DIV/0!</v>
      </c>
      <c r="R19" s="675"/>
    </row>
    <row r="20">
      <c r="A20" s="676">
        <v>18.0</v>
      </c>
      <c r="B20" s="681" t="str">
        <f>'КОШТОРИС'!B28</f>
        <v/>
      </c>
      <c r="C20" s="21"/>
      <c r="D20" s="21"/>
      <c r="E20" s="21"/>
      <c r="F20" s="22"/>
      <c r="G20" s="665" t="str">
        <f>'КОШТОРИС'!C28</f>
        <v/>
      </c>
      <c r="H20" s="666" t="str">
        <f>'КОШТОРИС'!E28</f>
        <v/>
      </c>
      <c r="I20" s="667" t="str">
        <f t="shared" si="3"/>
        <v/>
      </c>
      <c r="J20" s="668">
        <v>0.15</v>
      </c>
      <c r="K20" s="667" t="str">
        <f t="shared" si="4"/>
        <v/>
      </c>
      <c r="L20" s="669" t="str">
        <f t="shared" si="5"/>
        <v/>
      </c>
      <c r="M20" s="670" t="str">
        <f t="shared" si="6"/>
        <v/>
      </c>
      <c r="N20" s="671" t="str">
        <f t="shared" si="7"/>
        <v/>
      </c>
      <c r="O20" s="652"/>
      <c r="P20" s="652"/>
      <c r="Q20" s="652"/>
      <c r="R20" s="652"/>
    </row>
    <row r="21">
      <c r="A21" s="663">
        <v>19.0</v>
      </c>
      <c r="B21" s="682" t="str">
        <f>'КОШТОРИС'!B30</f>
        <v/>
      </c>
      <c r="C21" s="21"/>
      <c r="D21" s="21"/>
      <c r="E21" s="21"/>
      <c r="F21" s="22"/>
      <c r="G21" s="665" t="str">
        <f>'КОШТОРИС'!C30</f>
        <v/>
      </c>
      <c r="H21" s="666" t="str">
        <f>'КОШТОРИС'!E30</f>
        <v/>
      </c>
      <c r="I21" s="667" t="str">
        <f t="shared" si="3"/>
        <v/>
      </c>
      <c r="J21" s="668">
        <v>0.15</v>
      </c>
      <c r="K21" s="667" t="str">
        <f t="shared" si="4"/>
        <v/>
      </c>
      <c r="L21" s="669" t="str">
        <f t="shared" si="5"/>
        <v/>
      </c>
      <c r="M21" s="670" t="str">
        <f t="shared" si="6"/>
        <v/>
      </c>
      <c r="N21" s="671" t="str">
        <f t="shared" si="7"/>
        <v/>
      </c>
      <c r="O21" s="652"/>
      <c r="P21" s="652"/>
      <c r="Q21" s="674" t="str">
        <f>L21/$E$61</f>
        <v>#DIV/0!</v>
      </c>
      <c r="R21" s="675"/>
    </row>
    <row r="22">
      <c r="A22" s="676">
        <v>20.0</v>
      </c>
      <c r="B22" s="682" t="str">
        <f>'КОШТОРИС'!B31</f>
        <v/>
      </c>
      <c r="C22" s="21"/>
      <c r="D22" s="21"/>
      <c r="E22" s="21"/>
      <c r="F22" s="22"/>
      <c r="G22" s="665" t="str">
        <f>'КОШТОРИС'!C31</f>
        <v/>
      </c>
      <c r="H22" s="666" t="str">
        <f>'КОШТОРИС'!E31</f>
        <v/>
      </c>
      <c r="I22" s="667" t="str">
        <f t="shared" si="3"/>
        <v/>
      </c>
      <c r="J22" s="668">
        <v>0.15</v>
      </c>
      <c r="K22" s="667" t="str">
        <f t="shared" si="4"/>
        <v/>
      </c>
      <c r="L22" s="669" t="str">
        <f t="shared" si="5"/>
        <v/>
      </c>
      <c r="M22" s="670" t="str">
        <f t="shared" si="6"/>
        <v/>
      </c>
      <c r="N22" s="671" t="str">
        <f t="shared" si="7"/>
        <v/>
      </c>
      <c r="O22" s="652"/>
      <c r="P22" s="652"/>
      <c r="Q22" s="652"/>
      <c r="R22" s="652"/>
    </row>
    <row r="23">
      <c r="A23" s="663">
        <v>21.0</v>
      </c>
      <c r="B23" s="679" t="str">
        <f>'КОШТОРИС'!B33</f>
        <v/>
      </c>
      <c r="C23" s="21"/>
      <c r="D23" s="21"/>
      <c r="E23" s="21"/>
      <c r="F23" s="22"/>
      <c r="G23" s="665" t="str">
        <f>'КОШТОРИС'!C33</f>
        <v/>
      </c>
      <c r="H23" s="666" t="str">
        <f>'КОШТОРИС'!E33</f>
        <v/>
      </c>
      <c r="I23" s="667" t="str">
        <f t="shared" si="3"/>
        <v/>
      </c>
      <c r="J23" s="668">
        <v>0.15</v>
      </c>
      <c r="K23" s="667" t="str">
        <f t="shared" si="4"/>
        <v/>
      </c>
      <c r="L23" s="669" t="str">
        <f t="shared" si="5"/>
        <v/>
      </c>
      <c r="M23" s="670" t="str">
        <f t="shared" si="6"/>
        <v/>
      </c>
      <c r="N23" s="671" t="str">
        <f t="shared" si="7"/>
        <v/>
      </c>
      <c r="O23" s="652"/>
      <c r="P23" s="652"/>
      <c r="Q23" s="674" t="str">
        <f>L23/$E$61</f>
        <v>#DIV/0!</v>
      </c>
      <c r="R23" s="675"/>
    </row>
    <row r="24">
      <c r="A24" s="676">
        <v>22.0</v>
      </c>
      <c r="B24" s="679" t="str">
        <f>'КОШТОРИС'!B34</f>
        <v/>
      </c>
      <c r="C24" s="21"/>
      <c r="D24" s="21"/>
      <c r="E24" s="21"/>
      <c r="F24" s="22"/>
      <c r="G24" s="665" t="str">
        <f>'КОШТОРИС'!C34</f>
        <v/>
      </c>
      <c r="H24" s="666" t="str">
        <f>'КОШТОРИС'!E34</f>
        <v/>
      </c>
      <c r="I24" s="667" t="str">
        <f t="shared" si="3"/>
        <v/>
      </c>
      <c r="J24" s="668">
        <v>0.15</v>
      </c>
      <c r="K24" s="667" t="str">
        <f t="shared" si="4"/>
        <v/>
      </c>
      <c r="L24" s="669" t="str">
        <f t="shared" si="5"/>
        <v/>
      </c>
      <c r="M24" s="670" t="str">
        <f t="shared" si="6"/>
        <v/>
      </c>
      <c r="N24" s="671" t="str">
        <f t="shared" si="7"/>
        <v/>
      </c>
      <c r="O24" s="652"/>
      <c r="P24" s="652"/>
      <c r="Q24" s="652"/>
      <c r="R24" s="652"/>
    </row>
    <row r="25" ht="26.25" customHeight="1">
      <c r="A25" s="653"/>
      <c r="B25" s="683" t="s">
        <v>12</v>
      </c>
      <c r="C25" s="21"/>
      <c r="D25" s="21"/>
      <c r="E25" s="21"/>
      <c r="F25" s="22"/>
      <c r="G25" s="655"/>
      <c r="H25" s="684"/>
      <c r="I25" s="657">
        <f t="array" ref="I25">SUM(OFFSET(INDIRECT(ADDRESS(ROW(), COLUMN())), 1, 0, MATCH("Загалом послуги", $B:$B, 0) - ROW() - 1))</f>
        <v>0</v>
      </c>
      <c r="J25" s="657"/>
      <c r="K25" s="685"/>
      <c r="L25" s="657" t="str">
        <f t="array" ref="L25">SUM(OFFSET(INDIRECT(ADDRESS(ROW(), COLUMN())), 1, 0, MATCH("Загалом послуги", $B:$B, 0) - ROW() - 1))</f>
        <v>#DIV/0!</v>
      </c>
      <c r="M25" s="657" t="str">
        <f>L25-I25</f>
        <v>#DIV/0!</v>
      </c>
      <c r="N25" s="658" t="str">
        <f>M25/L25</f>
        <v>#DIV/0!</v>
      </c>
      <c r="O25" s="659" t="str">
        <f>I25/$E$61</f>
        <v>#DIV/0!</v>
      </c>
      <c r="P25" s="660" t="str">
        <f>Q25-O25</f>
        <v>#DIV/0!</v>
      </c>
      <c r="Q25" s="661" t="str">
        <f t="shared" ref="Q25:Q28" si="8">L25/$E$61</f>
        <v>#DIV/0!</v>
      </c>
      <c r="R25" s="662" t="str">
        <f>Q25/$Q$43</f>
        <v>#DIV/0!</v>
      </c>
    </row>
    <row r="26">
      <c r="A26" s="676">
        <v>1.0</v>
      </c>
      <c r="B26" s="686" t="s">
        <v>13</v>
      </c>
      <c r="C26" s="21"/>
      <c r="D26" s="21"/>
      <c r="E26" s="21"/>
      <c r="F26" s="22"/>
      <c r="G26" s="687">
        <f>SUM(G3:G5)</f>
        <v>0</v>
      </c>
      <c r="H26" s="669" t="str">
        <f>IF(I26/G26=0,"",I26/G26)</f>
        <v>#DIV/0!</v>
      </c>
      <c r="I26" s="667" t="str">
        <f>IF('КОШТОРИС'!G35=0,"",'КОШТОРИС'!G35)</f>
        <v/>
      </c>
      <c r="J26" s="668">
        <v>0.5</v>
      </c>
      <c r="K26" s="667" t="str">
        <f t="shared" ref="K26:K34" si="9">IF(H26+(H26*J26)=0,"",H26+(H26*J26))</f>
        <v>#DIV/0!</v>
      </c>
      <c r="L26" s="669" t="str">
        <f t="shared" ref="L26:L34" si="10">IF(K26*G26=0,"",K26*G26)</f>
        <v>#DIV/0!</v>
      </c>
      <c r="M26" s="670" t="str">
        <f t="shared" ref="M26:M34" si="11">IF(L26-I26=0,"",L26-I26)</f>
        <v>#DIV/0!</v>
      </c>
      <c r="N26" s="671" t="str">
        <f t="shared" ref="N26:N34" si="12">IF(OR(I26=0,I26=""),"",L26/I26-100%)</f>
        <v/>
      </c>
      <c r="O26" s="652" t="s">
        <v>11</v>
      </c>
      <c r="P26" s="688" t="str">
        <f>L26/$G$26</f>
        <v>#DIV/0!</v>
      </c>
      <c r="Q26" s="689" t="str">
        <f t="shared" si="8"/>
        <v>#DIV/0!</v>
      </c>
      <c r="R26" s="675"/>
    </row>
    <row r="27">
      <c r="A27" s="676">
        <v>2.0</v>
      </c>
      <c r="B27" s="690" t="str">
        <f>'КОШТОРИС'!B51</f>
        <v>Захист DC (основне)</v>
      </c>
      <c r="C27" s="21"/>
      <c r="D27" s="21"/>
      <c r="E27" s="21"/>
      <c r="F27" s="22"/>
      <c r="G27" s="665" t="str">
        <f t="shared" ref="G27:G34" si="13">IF(NOT(H27=""),1,"")</f>
        <v/>
      </c>
      <c r="H27" s="691" t="str">
        <f>IF('КОШТОРИС'!G51=0,"",'КОШТОРИС'!G51)</f>
        <v/>
      </c>
      <c r="I27" s="667" t="str">
        <f t="shared" ref="I27:I34" si="14">IF(G27*H27=0,"",G27*H27)</f>
        <v/>
      </c>
      <c r="J27" s="668">
        <v>1.0</v>
      </c>
      <c r="K27" s="667" t="str">
        <f t="shared" si="9"/>
        <v/>
      </c>
      <c r="L27" s="669" t="str">
        <f t="shared" si="10"/>
        <v/>
      </c>
      <c r="M27" s="670" t="str">
        <f t="shared" si="11"/>
        <v/>
      </c>
      <c r="N27" s="671" t="str">
        <f t="shared" si="12"/>
        <v/>
      </c>
      <c r="O27" s="652"/>
      <c r="P27" s="652"/>
      <c r="Q27" s="689" t="str">
        <f t="shared" si="8"/>
        <v>#DIV/0!</v>
      </c>
      <c r="R27" s="675"/>
    </row>
    <row r="28">
      <c r="A28" s="663">
        <v>3.0</v>
      </c>
      <c r="B28" s="690" t="str">
        <f>'КОШТОРИС'!B68</f>
        <v>Захист AC (основне)</v>
      </c>
      <c r="C28" s="21"/>
      <c r="D28" s="21"/>
      <c r="E28" s="21"/>
      <c r="F28" s="22"/>
      <c r="G28" s="665" t="str">
        <f t="shared" si="13"/>
        <v/>
      </c>
      <c r="H28" s="691" t="str">
        <f>IF('КОШТОРИС'!G68=0,"",'КОШТОРИС'!G68)</f>
        <v/>
      </c>
      <c r="I28" s="667" t="str">
        <f t="shared" si="14"/>
        <v/>
      </c>
      <c r="J28" s="668">
        <v>0.5</v>
      </c>
      <c r="K28" s="667" t="str">
        <f t="shared" si="9"/>
        <v/>
      </c>
      <c r="L28" s="669" t="str">
        <f t="shared" si="10"/>
        <v/>
      </c>
      <c r="M28" s="670" t="str">
        <f t="shared" si="11"/>
        <v/>
      </c>
      <c r="N28" s="671" t="str">
        <f t="shared" si="12"/>
        <v/>
      </c>
      <c r="O28" s="652" t="s">
        <v>11</v>
      </c>
      <c r="P28" s="652"/>
      <c r="Q28" s="689" t="str">
        <f t="shared" si="8"/>
        <v>#DIV/0!</v>
      </c>
      <c r="R28" s="675"/>
    </row>
    <row r="29">
      <c r="A29" s="676">
        <v>4.0</v>
      </c>
      <c r="B29" s="686" t="str">
        <f>'КОШТОРИС'!B85</f>
        <v>АВР (автоматичне ввімкнення резерву)</v>
      </c>
      <c r="C29" s="21"/>
      <c r="D29" s="21"/>
      <c r="E29" s="21"/>
      <c r="F29" s="22"/>
      <c r="G29" s="665" t="str">
        <f t="shared" si="13"/>
        <v/>
      </c>
      <c r="H29" s="691" t="str">
        <f>IF('КОШТОРИС'!G85=0,"",'КОШТОРИС'!G85)</f>
        <v/>
      </c>
      <c r="I29" s="667" t="str">
        <f t="shared" si="14"/>
        <v/>
      </c>
      <c r="J29" s="668">
        <v>0.5</v>
      </c>
      <c r="K29" s="667" t="str">
        <f t="shared" si="9"/>
        <v/>
      </c>
      <c r="L29" s="669" t="str">
        <f t="shared" si="10"/>
        <v/>
      </c>
      <c r="M29" s="670" t="str">
        <f t="shared" si="11"/>
        <v/>
      </c>
      <c r="N29" s="671" t="str">
        <f t="shared" si="12"/>
        <v/>
      </c>
      <c r="O29" s="652"/>
      <c r="P29" s="652"/>
      <c r="Q29" s="652"/>
      <c r="R29" s="652"/>
    </row>
    <row r="30">
      <c r="A30" s="676">
        <v>5.0</v>
      </c>
      <c r="B30" s="686" t="str">
        <f>'КОШТОРИС'!B96</f>
        <v>Стійка для АКБ</v>
      </c>
      <c r="C30" s="21"/>
      <c r="D30" s="21"/>
      <c r="E30" s="21"/>
      <c r="F30" s="22"/>
      <c r="G30" s="665" t="str">
        <f t="shared" si="13"/>
        <v/>
      </c>
      <c r="H30" s="691" t="str">
        <f>IF('КОШТОРИС'!G96=0,"",'КОШТОРИС'!G96)</f>
        <v/>
      </c>
      <c r="I30" s="667" t="str">
        <f t="shared" si="14"/>
        <v/>
      </c>
      <c r="J30" s="668">
        <v>0.25</v>
      </c>
      <c r="K30" s="667" t="str">
        <f t="shared" si="9"/>
        <v/>
      </c>
      <c r="L30" s="669" t="str">
        <f t="shared" si="10"/>
        <v/>
      </c>
      <c r="M30" s="670" t="str">
        <f t="shared" si="11"/>
        <v/>
      </c>
      <c r="N30" s="671" t="str">
        <f t="shared" si="12"/>
        <v/>
      </c>
      <c r="O30" s="652" t="s">
        <v>11</v>
      </c>
      <c r="P30" s="652"/>
      <c r="Q30" s="652"/>
      <c r="R30" s="652"/>
    </row>
    <row r="31">
      <c r="A31" s="676">
        <v>6.0</v>
      </c>
      <c r="B31" s="686" t="str">
        <f>'КОШТОРИС'!B101</f>
        <v>Захист АКБ</v>
      </c>
      <c r="C31" s="21"/>
      <c r="D31" s="21"/>
      <c r="E31" s="21"/>
      <c r="F31" s="22"/>
      <c r="G31" s="665" t="str">
        <f t="shared" si="13"/>
        <v/>
      </c>
      <c r="H31" s="691" t="str">
        <f>IF('КОШТОРИС'!G101=0,"",'КОШТОРИС'!G101)</f>
        <v/>
      </c>
      <c r="I31" s="667" t="str">
        <f t="shared" si="14"/>
        <v/>
      </c>
      <c r="J31" s="668">
        <v>0.5</v>
      </c>
      <c r="K31" s="667" t="str">
        <f t="shared" si="9"/>
        <v/>
      </c>
      <c r="L31" s="669" t="str">
        <f t="shared" si="10"/>
        <v/>
      </c>
      <c r="M31" s="670" t="str">
        <f t="shared" si="11"/>
        <v/>
      </c>
      <c r="N31" s="671" t="str">
        <f t="shared" si="12"/>
        <v/>
      </c>
      <c r="O31" s="652" t="s">
        <v>11</v>
      </c>
      <c r="P31" s="652"/>
      <c r="Q31" s="652"/>
      <c r="R31" s="652"/>
    </row>
    <row r="32">
      <c r="A32" s="676">
        <v>7.0</v>
      </c>
      <c r="B32" s="686" t="str">
        <f>'КОШТОРИС'!B107</f>
        <v>Заземлення</v>
      </c>
      <c r="C32" s="21"/>
      <c r="D32" s="21"/>
      <c r="E32" s="21"/>
      <c r="F32" s="22"/>
      <c r="G32" s="665" t="str">
        <f t="shared" si="13"/>
        <v/>
      </c>
      <c r="H32" s="691" t="str">
        <f>IF('КОШТОРИС'!G107=0,"",'КОШТОРИС'!G107)</f>
        <v/>
      </c>
      <c r="I32" s="667" t="str">
        <f t="shared" si="14"/>
        <v/>
      </c>
      <c r="J32" s="668">
        <v>0.4</v>
      </c>
      <c r="K32" s="667" t="str">
        <f t="shared" si="9"/>
        <v/>
      </c>
      <c r="L32" s="669" t="str">
        <f t="shared" si="10"/>
        <v/>
      </c>
      <c r="M32" s="670" t="str">
        <f t="shared" si="11"/>
        <v/>
      </c>
      <c r="N32" s="671" t="str">
        <f t="shared" si="12"/>
        <v/>
      </c>
      <c r="O32" s="652"/>
      <c r="P32" s="652"/>
      <c r="Q32" s="689" t="str">
        <f t="shared" ref="Q32:Q41" si="15">L32/$E$61</f>
        <v>#DIV/0!</v>
      </c>
      <c r="R32" s="675"/>
    </row>
    <row r="33">
      <c r="A33" s="676">
        <v>8.0</v>
      </c>
      <c r="B33" s="690" t="str">
        <f>'КОШТОРИС'!B112</f>
        <v>Кабельна продукція</v>
      </c>
      <c r="C33" s="21"/>
      <c r="D33" s="21"/>
      <c r="E33" s="21"/>
      <c r="F33" s="22"/>
      <c r="G33" s="665" t="str">
        <f t="shared" si="13"/>
        <v/>
      </c>
      <c r="H33" s="691" t="str">
        <f>IF('КОШТОРИС'!G112=0,"",'КОШТОРИС'!G112)</f>
        <v/>
      </c>
      <c r="I33" s="667" t="str">
        <f t="shared" si="14"/>
        <v/>
      </c>
      <c r="J33" s="668">
        <v>0.5</v>
      </c>
      <c r="K33" s="667" t="str">
        <f t="shared" si="9"/>
        <v/>
      </c>
      <c r="L33" s="669" t="str">
        <f t="shared" si="10"/>
        <v/>
      </c>
      <c r="M33" s="670" t="str">
        <f t="shared" si="11"/>
        <v/>
      </c>
      <c r="N33" s="671" t="str">
        <f t="shared" si="12"/>
        <v/>
      </c>
      <c r="O33" s="652" t="s">
        <v>11</v>
      </c>
      <c r="P33" s="652"/>
      <c r="Q33" s="689" t="str">
        <f t="shared" si="15"/>
        <v>#DIV/0!</v>
      </c>
      <c r="R33" s="675"/>
    </row>
    <row r="34">
      <c r="A34" s="676">
        <v>9.0</v>
      </c>
      <c r="B34" s="686" t="str">
        <f>'КОШТОРИС'!B128</f>
        <v>Монтажні вироби та інше</v>
      </c>
      <c r="C34" s="21"/>
      <c r="D34" s="21"/>
      <c r="E34" s="21"/>
      <c r="F34" s="22"/>
      <c r="G34" s="665" t="str">
        <f t="shared" si="13"/>
        <v/>
      </c>
      <c r="H34" s="691" t="str">
        <f>IF('КОШТОРИС'!G128=0,"",'КОШТОРИС'!G128)</f>
        <v/>
      </c>
      <c r="I34" s="667" t="str">
        <f t="shared" si="14"/>
        <v/>
      </c>
      <c r="J34" s="668">
        <v>0.5</v>
      </c>
      <c r="K34" s="667" t="str">
        <f t="shared" si="9"/>
        <v/>
      </c>
      <c r="L34" s="669" t="str">
        <f t="shared" si="10"/>
        <v/>
      </c>
      <c r="M34" s="670" t="str">
        <f t="shared" si="11"/>
        <v/>
      </c>
      <c r="N34" s="671" t="str">
        <f t="shared" si="12"/>
        <v/>
      </c>
      <c r="O34" s="652"/>
      <c r="P34" s="652"/>
      <c r="Q34" s="689" t="str">
        <f t="shared" si="15"/>
        <v>#DIV/0!</v>
      </c>
      <c r="R34" s="675"/>
    </row>
    <row r="35" ht="26.25" customHeight="1">
      <c r="A35" s="653"/>
      <c r="B35" s="654" t="s">
        <v>19</v>
      </c>
      <c r="C35" s="21"/>
      <c r="D35" s="21"/>
      <c r="E35" s="21"/>
      <c r="F35" s="22"/>
      <c r="G35" s="655"/>
      <c r="H35" s="684"/>
      <c r="I35" s="657">
        <f>SUM(I36:I42)</f>
        <v>0</v>
      </c>
      <c r="J35" s="657"/>
      <c r="K35" s="685"/>
      <c r="L35" s="657">
        <f>SUM(L36:L42)</f>
        <v>0</v>
      </c>
      <c r="M35" s="657">
        <f>L35-I35</f>
        <v>0</v>
      </c>
      <c r="N35" s="658" t="str">
        <f>M35/L35</f>
        <v>#DIV/0!</v>
      </c>
      <c r="O35" s="659" t="str">
        <f>I35/$E$61</f>
        <v>#DIV/0!</v>
      </c>
      <c r="P35" s="660" t="str">
        <f>Q35-O35</f>
        <v>#DIV/0!</v>
      </c>
      <c r="Q35" s="661" t="str">
        <f t="shared" si="15"/>
        <v>#DIV/0!</v>
      </c>
      <c r="R35" s="662" t="str">
        <f>Q35/$Q$43</f>
        <v>#DIV/0!</v>
      </c>
    </row>
    <row r="36">
      <c r="A36" s="692">
        <v>1.0</v>
      </c>
      <c r="B36" s="693" t="str">
        <f>'КОШТОРИС'!B145</f>
        <v>Розробка технічного рішення з установки сонячної станції</v>
      </c>
      <c r="C36" s="21"/>
      <c r="D36" s="21"/>
      <c r="E36" s="21"/>
      <c r="F36" s="22"/>
      <c r="G36" s="694" t="str">
        <f t="shared" ref="G36:G42" si="16">IF(NOT(H36=""),1,"")</f>
        <v/>
      </c>
      <c r="H36" s="695" t="str">
        <f>'КОШТОРИС'!G145</f>
        <v/>
      </c>
      <c r="I36" s="696" t="str">
        <f t="shared" ref="I36:I42" si="17">IF(G36*H36=0,"",G36*H36)</f>
        <v/>
      </c>
      <c r="J36" s="697">
        <v>0.5</v>
      </c>
      <c r="K36" s="696" t="str">
        <f t="shared" ref="K36:K42" si="18">IF(H36+(H36*J36)=0,"",H36+(H36*J36))</f>
        <v/>
      </c>
      <c r="L36" s="698" t="str">
        <f t="shared" ref="L36:L42" si="19">IF(K36*G36=0,"",K36*G36)</f>
        <v/>
      </c>
      <c r="M36" s="699" t="str">
        <f t="shared" ref="M36:M42" si="20">IF(L36-I36=0,"",L36-I36)</f>
        <v/>
      </c>
      <c r="N36" s="700" t="str">
        <f t="shared" ref="N36:N42" si="21">IF(OR(I36=0,I36=""),"",L36/I36-100%)</f>
        <v/>
      </c>
      <c r="O36" s="652"/>
      <c r="P36" s="652"/>
      <c r="Q36" s="689" t="str">
        <f t="shared" si="15"/>
        <v>#DIV/0!</v>
      </c>
      <c r="R36" s="675"/>
    </row>
    <row r="37">
      <c r="A37" s="692">
        <v>2.0</v>
      </c>
      <c r="B37" s="693" t="str">
        <f>'КОШТОРИС'!B146</f>
        <v>Доставка обладнання, оренда спецтехніки та підйомних механізмів</v>
      </c>
      <c r="C37" s="21"/>
      <c r="D37" s="21"/>
      <c r="E37" s="21"/>
      <c r="F37" s="22"/>
      <c r="G37" s="694" t="str">
        <f t="shared" si="16"/>
        <v/>
      </c>
      <c r="H37" s="695" t="str">
        <f>'КОШТОРИС'!G146</f>
        <v/>
      </c>
      <c r="I37" s="696" t="str">
        <f t="shared" si="17"/>
        <v/>
      </c>
      <c r="J37" s="697">
        <v>0.5</v>
      </c>
      <c r="K37" s="696" t="str">
        <f t="shared" si="18"/>
        <v/>
      </c>
      <c r="L37" s="698" t="str">
        <f t="shared" si="19"/>
        <v/>
      </c>
      <c r="M37" s="699" t="str">
        <f t="shared" si="20"/>
        <v/>
      </c>
      <c r="N37" s="700" t="str">
        <f t="shared" si="21"/>
        <v/>
      </c>
      <c r="O37" s="652"/>
      <c r="P37" s="652"/>
      <c r="Q37" s="689" t="str">
        <f t="shared" si="15"/>
        <v>#DIV/0!</v>
      </c>
      <c r="R37" s="675"/>
    </row>
    <row r="38">
      <c r="A38" s="692">
        <v>3.0</v>
      </c>
      <c r="B38" s="693" t="str">
        <f>'КОШТОРИС'!B147</f>
        <v>Будівельно-монтажні роботи (монтаж сонячних модулів, опорних конструкцій)</v>
      </c>
      <c r="C38" s="21"/>
      <c r="D38" s="21"/>
      <c r="E38" s="21"/>
      <c r="F38" s="22"/>
      <c r="G38" s="694" t="str">
        <f t="shared" si="16"/>
        <v/>
      </c>
      <c r="H38" s="695" t="str">
        <f>'КОШТОРИС'!G147</f>
        <v/>
      </c>
      <c r="I38" s="696" t="str">
        <f t="shared" si="17"/>
        <v/>
      </c>
      <c r="J38" s="697">
        <v>0.5</v>
      </c>
      <c r="K38" s="696" t="str">
        <f t="shared" si="18"/>
        <v/>
      </c>
      <c r="L38" s="698" t="str">
        <f t="shared" si="19"/>
        <v/>
      </c>
      <c r="M38" s="699" t="str">
        <f t="shared" si="20"/>
        <v/>
      </c>
      <c r="N38" s="700" t="str">
        <f t="shared" si="21"/>
        <v/>
      </c>
      <c r="O38" s="652"/>
      <c r="P38" s="688" t="str">
        <f t="shared" ref="P38:P39" si="22">L38/$G$26</f>
        <v>#DIV/0!</v>
      </c>
      <c r="Q38" s="689" t="str">
        <f t="shared" si="15"/>
        <v>#DIV/0!</v>
      </c>
      <c r="R38" s="675"/>
    </row>
    <row r="39">
      <c r="A39" s="692">
        <v>4.0</v>
      </c>
      <c r="B39" s="693" t="str">
        <f>'КОШТОРИС'!B148</f>
        <v>Електромонтажні роботи (прокладання кабелів AC/DC, монтаж щитів захисту, монтаж основного обладнання)</v>
      </c>
      <c r="C39" s="21"/>
      <c r="D39" s="21"/>
      <c r="E39" s="21"/>
      <c r="F39" s="22"/>
      <c r="G39" s="694" t="str">
        <f t="shared" si="16"/>
        <v/>
      </c>
      <c r="H39" s="695" t="str">
        <f>'КОШТОРИС'!G148</f>
        <v/>
      </c>
      <c r="I39" s="696" t="str">
        <f t="shared" si="17"/>
        <v/>
      </c>
      <c r="J39" s="697">
        <v>0.5</v>
      </c>
      <c r="K39" s="696" t="str">
        <f t="shared" si="18"/>
        <v/>
      </c>
      <c r="L39" s="698" t="str">
        <f t="shared" si="19"/>
        <v/>
      </c>
      <c r="M39" s="699" t="str">
        <f t="shared" si="20"/>
        <v/>
      </c>
      <c r="N39" s="700" t="str">
        <f t="shared" si="21"/>
        <v/>
      </c>
      <c r="O39" s="652"/>
      <c r="P39" s="688" t="str">
        <f t="shared" si="22"/>
        <v>#DIV/0!</v>
      </c>
      <c r="Q39" s="689" t="str">
        <f t="shared" si="15"/>
        <v>#DIV/0!</v>
      </c>
      <c r="R39" s="675"/>
    </row>
    <row r="40">
      <c r="A40" s="692">
        <v>5.0</v>
      </c>
      <c r="B40" s="693" t="str">
        <f>'КОШТОРИС'!B149</f>
        <v>Програмування обладнання, пусконалагоджувальні роботи</v>
      </c>
      <c r="C40" s="21"/>
      <c r="D40" s="21"/>
      <c r="E40" s="21"/>
      <c r="F40" s="22"/>
      <c r="G40" s="694" t="str">
        <f t="shared" si="16"/>
        <v/>
      </c>
      <c r="H40" s="695" t="str">
        <f>'КОШТОРИС'!G149</f>
        <v/>
      </c>
      <c r="I40" s="696" t="str">
        <f t="shared" si="17"/>
        <v/>
      </c>
      <c r="J40" s="697">
        <v>0.5</v>
      </c>
      <c r="K40" s="696" t="str">
        <f t="shared" si="18"/>
        <v/>
      </c>
      <c r="L40" s="698" t="str">
        <f t="shared" si="19"/>
        <v/>
      </c>
      <c r="M40" s="699" t="str">
        <f t="shared" si="20"/>
        <v/>
      </c>
      <c r="N40" s="700" t="str">
        <f t="shared" si="21"/>
        <v/>
      </c>
      <c r="O40" s="652"/>
      <c r="P40" s="652"/>
      <c r="Q40" s="689" t="str">
        <f t="shared" si="15"/>
        <v>#DIV/0!</v>
      </c>
      <c r="R40" s="675"/>
    </row>
    <row r="41">
      <c r="A41" s="692">
        <v>6.0</v>
      </c>
      <c r="B41" s="693" t="str">
        <f>'КОШТОРИС'!B150</f>
        <v>Транспортні витрати монтажної бригади</v>
      </c>
      <c r="C41" s="21"/>
      <c r="D41" s="21"/>
      <c r="E41" s="21"/>
      <c r="F41" s="22"/>
      <c r="G41" s="694" t="str">
        <f t="shared" si="16"/>
        <v/>
      </c>
      <c r="H41" s="695" t="str">
        <f>'КОШТОРИС'!G150</f>
        <v/>
      </c>
      <c r="I41" s="696" t="str">
        <f t="shared" si="17"/>
        <v/>
      </c>
      <c r="J41" s="697">
        <v>0.5</v>
      </c>
      <c r="K41" s="696" t="str">
        <f t="shared" si="18"/>
        <v/>
      </c>
      <c r="L41" s="698" t="str">
        <f t="shared" si="19"/>
        <v/>
      </c>
      <c r="M41" s="699" t="str">
        <f t="shared" si="20"/>
        <v/>
      </c>
      <c r="N41" s="700" t="str">
        <f t="shared" si="21"/>
        <v/>
      </c>
      <c r="O41" s="652"/>
      <c r="P41" s="652"/>
      <c r="Q41" s="689" t="str">
        <f t="shared" si="15"/>
        <v>#DIV/0!</v>
      </c>
      <c r="R41" s="675"/>
    </row>
    <row r="42">
      <c r="A42" s="692">
        <v>7.0</v>
      </c>
      <c r="B42" s="693" t="str">
        <f>'КОШТОРИС'!B151</f>
        <v>Знижка на послузі проектування станції у разі розміщення замовлення</v>
      </c>
      <c r="C42" s="21"/>
      <c r="D42" s="21"/>
      <c r="E42" s="21"/>
      <c r="F42" s="22"/>
      <c r="G42" s="694" t="str">
        <f t="shared" si="16"/>
        <v/>
      </c>
      <c r="H42" s="695" t="str">
        <f>'КОШТОРИС'!G151</f>
        <v/>
      </c>
      <c r="I42" s="696" t="str">
        <f t="shared" si="17"/>
        <v/>
      </c>
      <c r="J42" s="697">
        <v>0.5</v>
      </c>
      <c r="K42" s="696" t="str">
        <f t="shared" si="18"/>
        <v/>
      </c>
      <c r="L42" s="698" t="str">
        <f t="shared" si="19"/>
        <v/>
      </c>
      <c r="M42" s="699" t="str">
        <f t="shared" si="20"/>
        <v/>
      </c>
      <c r="N42" s="700" t="str">
        <f t="shared" si="21"/>
        <v/>
      </c>
      <c r="O42" s="652"/>
      <c r="P42" s="652"/>
      <c r="Q42" s="652"/>
      <c r="R42" s="652"/>
    </row>
    <row r="43" ht="26.25" customHeight="1">
      <c r="A43" s="701"/>
      <c r="B43" s="702" t="s">
        <v>20</v>
      </c>
      <c r="C43" s="21"/>
      <c r="D43" s="21"/>
      <c r="E43" s="21"/>
      <c r="F43" s="22"/>
      <c r="G43" s="655"/>
      <c r="H43" s="703"/>
      <c r="I43" s="704">
        <f>I2+I25+I35</f>
        <v>0</v>
      </c>
      <c r="J43" s="704"/>
      <c r="K43" s="685"/>
      <c r="L43" s="705" t="str">
        <f>L2+L25+L35</f>
        <v>#DIV/0!</v>
      </c>
      <c r="M43" s="705" t="str">
        <f>L43-I43</f>
        <v>#DIV/0!</v>
      </c>
      <c r="N43" s="706" t="str">
        <f>M43/L43</f>
        <v>#DIV/0!</v>
      </c>
      <c r="O43" s="659" t="str">
        <f>I43/$E$61</f>
        <v>#DIV/0!</v>
      </c>
      <c r="P43" s="660" t="str">
        <f>Q43-O43</f>
        <v>#DIV/0!</v>
      </c>
      <c r="Q43" s="661" t="str">
        <f>L43/$E$61</f>
        <v>#DIV/0!</v>
      </c>
      <c r="R43" s="662" t="str">
        <f>Q43/$Q$43</f>
        <v>#DIV/0!</v>
      </c>
    </row>
    <row r="44" ht="15.0" customHeight="1">
      <c r="A44" s="707"/>
      <c r="B44" s="708"/>
      <c r="C44" s="21"/>
      <c r="D44" s="21"/>
      <c r="E44" s="21"/>
      <c r="F44" s="22"/>
      <c r="G44" s="709"/>
      <c r="H44" s="710"/>
      <c r="I44" s="710"/>
      <c r="J44" s="710"/>
      <c r="K44" s="709"/>
      <c r="L44" s="709"/>
      <c r="M44" s="710"/>
      <c r="N44" s="710"/>
      <c r="O44" s="652"/>
      <c r="P44" s="652"/>
      <c r="Q44" s="652"/>
      <c r="R44" s="652"/>
    </row>
    <row r="45" ht="21.75" customHeight="1">
      <c r="A45" s="711"/>
      <c r="B45" s="712" t="s">
        <v>21</v>
      </c>
      <c r="C45" s="21"/>
      <c r="D45" s="21"/>
      <c r="E45" s="21"/>
      <c r="F45" s="22"/>
      <c r="G45" s="713"/>
      <c r="H45" s="714"/>
      <c r="I45" s="714"/>
      <c r="J45" s="714"/>
      <c r="K45" s="713"/>
      <c r="L45" s="713"/>
      <c r="M45" s="714"/>
      <c r="N45" s="714"/>
      <c r="O45" s="652"/>
      <c r="P45" s="652"/>
      <c r="Q45" s="652"/>
      <c r="R45" s="652"/>
    </row>
    <row r="46">
      <c r="A46" s="707"/>
      <c r="B46" s="715" t="s">
        <v>22</v>
      </c>
      <c r="C46" s="21"/>
      <c r="D46" s="21"/>
      <c r="E46" s="21"/>
      <c r="F46" s="22"/>
      <c r="G46" s="716"/>
      <c r="H46" s="717"/>
      <c r="I46" s="670" t="str">
        <f>L43*K46</f>
        <v>#DIV/0!</v>
      </c>
      <c r="J46" s="670"/>
      <c r="K46" s="718">
        <v>0.01</v>
      </c>
      <c r="L46" s="717"/>
      <c r="M46" s="716"/>
      <c r="N46" s="716"/>
      <c r="O46" s="652"/>
      <c r="P46" s="652"/>
      <c r="Q46" s="652"/>
      <c r="R46" s="652"/>
    </row>
    <row r="47">
      <c r="A47" s="707"/>
      <c r="B47" s="715" t="s">
        <v>23</v>
      </c>
      <c r="C47" s="21"/>
      <c r="D47" s="21"/>
      <c r="E47" s="21"/>
      <c r="F47" s="22"/>
      <c r="G47" s="716"/>
      <c r="H47" s="716"/>
      <c r="I47" s="670" t="str">
        <f>L43*K47</f>
        <v>#DIV/0!</v>
      </c>
      <c r="J47" s="670"/>
      <c r="K47" s="718">
        <v>0.02</v>
      </c>
      <c r="L47" s="717"/>
      <c r="M47" s="716"/>
      <c r="N47" s="716"/>
      <c r="O47" s="652"/>
      <c r="P47" s="652"/>
      <c r="Q47" s="652"/>
      <c r="R47" s="652"/>
    </row>
    <row r="48">
      <c r="A48" s="707"/>
      <c r="B48" s="715" t="s">
        <v>24</v>
      </c>
      <c r="C48" s="21"/>
      <c r="D48" s="21"/>
      <c r="E48" s="21"/>
      <c r="F48" s="22"/>
      <c r="G48" s="716"/>
      <c r="H48" s="716"/>
      <c r="I48" s="670" t="str">
        <f>K48*(M2+M25)+(K48*L35)</f>
        <v>#DIV/0!</v>
      </c>
      <c r="J48" s="670"/>
      <c r="K48" s="718">
        <v>0.2</v>
      </c>
      <c r="L48" s="717"/>
      <c r="M48" s="716"/>
      <c r="N48" s="716"/>
      <c r="O48" s="652"/>
      <c r="P48" s="652"/>
      <c r="Q48" s="652"/>
      <c r="R48" s="652"/>
    </row>
    <row r="49">
      <c r="A49" s="707"/>
      <c r="B49" s="715" t="s">
        <v>25</v>
      </c>
      <c r="C49" s="21"/>
      <c r="D49" s="21"/>
      <c r="E49" s="21"/>
      <c r="F49" s="22"/>
      <c r="G49" s="716"/>
      <c r="H49" s="716"/>
      <c r="I49" s="670" t="str">
        <f>K49*M43</f>
        <v>#DIV/0!</v>
      </c>
      <c r="J49" s="670"/>
      <c r="K49" s="718">
        <v>0.05</v>
      </c>
      <c r="L49" s="717"/>
      <c r="M49" s="716"/>
      <c r="N49" s="716"/>
      <c r="O49" s="719" t="str">
        <f>O50-O43</f>
        <v>#DIV/0!</v>
      </c>
      <c r="P49" s="652"/>
      <c r="Q49" s="652"/>
      <c r="R49" s="652"/>
    </row>
    <row r="50" ht="21.75" customHeight="1">
      <c r="A50" s="653"/>
      <c r="B50" s="720" t="s">
        <v>26</v>
      </c>
      <c r="C50" s="21"/>
      <c r="D50" s="21"/>
      <c r="E50" s="21"/>
      <c r="F50" s="22"/>
      <c r="G50" s="655"/>
      <c r="H50" s="684"/>
      <c r="I50" s="721" t="str">
        <f>SUM(I43,I46:I49)</f>
        <v>#DIV/0!</v>
      </c>
      <c r="J50" s="721"/>
      <c r="K50" s="722"/>
      <c r="L50" s="705" t="str">
        <f>SUM(L43,L46:L49)</f>
        <v>#DIV/0!</v>
      </c>
      <c r="M50" s="705" t="str">
        <f>L50-I50</f>
        <v>#DIV/0!</v>
      </c>
      <c r="N50" s="706" t="str">
        <f>M50/L50</f>
        <v>#DIV/0!</v>
      </c>
      <c r="O50" s="659" t="str">
        <f>I50/$E$61</f>
        <v>#DIV/0!</v>
      </c>
      <c r="P50" s="660" t="str">
        <f>Q50-O50</f>
        <v>#DIV/0!</v>
      </c>
      <c r="Q50" s="661" t="str">
        <f>L50/$E$61</f>
        <v>#DIV/0!</v>
      </c>
      <c r="R50" s="723"/>
    </row>
    <row r="51" ht="15.75" customHeight="1">
      <c r="A51" s="724"/>
      <c r="B51" s="724"/>
      <c r="C51" s="725"/>
      <c r="D51" s="725"/>
      <c r="E51" s="725"/>
      <c r="F51" s="725"/>
      <c r="G51" s="725"/>
      <c r="H51" s="725"/>
      <c r="I51" s="725"/>
      <c r="J51" s="725"/>
      <c r="K51" s="724"/>
      <c r="L51" s="725"/>
      <c r="M51" s="725"/>
      <c r="N51" s="725"/>
      <c r="O51" s="652"/>
      <c r="P51" s="726" t="str">
        <f>P50/Q50</f>
        <v>#DIV/0!</v>
      </c>
      <c r="Q51" s="652"/>
      <c r="R51" s="652"/>
    </row>
    <row r="52" ht="15.75" customHeight="1">
      <c r="A52" s="724"/>
      <c r="B52" s="727" t="s">
        <v>27</v>
      </c>
      <c r="C52" s="725"/>
      <c r="D52" s="725"/>
      <c r="E52" s="725"/>
      <c r="F52" s="725"/>
      <c r="G52" s="725"/>
      <c r="H52" s="725"/>
      <c r="I52" s="725"/>
      <c r="J52" s="725"/>
      <c r="K52" s="724"/>
      <c r="L52" s="725"/>
      <c r="M52" s="725"/>
      <c r="N52" s="725"/>
      <c r="O52" s="652"/>
      <c r="P52" s="652"/>
      <c r="Q52" s="652"/>
      <c r="R52" s="652"/>
    </row>
    <row r="53" ht="15.75" customHeight="1">
      <c r="A53" s="724"/>
      <c r="B53" s="724"/>
      <c r="C53" s="725"/>
      <c r="D53" s="725"/>
      <c r="E53" s="725"/>
      <c r="F53" s="725"/>
      <c r="G53" s="725"/>
      <c r="H53" s="725"/>
      <c r="I53" s="725"/>
      <c r="J53" s="725"/>
      <c r="K53" s="724"/>
      <c r="L53" s="725"/>
      <c r="M53" s="725"/>
      <c r="N53" s="725"/>
      <c r="O53" s="652"/>
      <c r="P53" s="652"/>
      <c r="Q53" s="652"/>
      <c r="R53" s="652"/>
    </row>
    <row r="54" ht="15.75" customHeight="1">
      <c r="A54" s="724"/>
      <c r="B54" s="724"/>
      <c r="C54" s="725"/>
      <c r="D54" s="725"/>
      <c r="E54" s="725"/>
      <c r="F54" s="725"/>
      <c r="G54" s="725"/>
      <c r="H54" s="725"/>
      <c r="I54" s="725"/>
      <c r="J54" s="725"/>
      <c r="K54" s="724"/>
      <c r="L54" s="725"/>
      <c r="M54" s="725"/>
      <c r="N54" s="725"/>
      <c r="O54" s="652"/>
      <c r="P54" s="652"/>
      <c r="Q54" s="652"/>
      <c r="R54" s="652"/>
    </row>
    <row r="55" ht="21.75" customHeight="1">
      <c r="A55" s="728"/>
      <c r="B55" s="729" t="s">
        <v>28</v>
      </c>
      <c r="C55" s="21"/>
      <c r="D55" s="21"/>
      <c r="E55" s="21"/>
      <c r="F55" s="21"/>
      <c r="G55" s="22"/>
      <c r="H55" s="730" t="s">
        <v>1551</v>
      </c>
      <c r="I55" s="731">
        <f t="shared" ref="I55:I56" si="23">E61</f>
        <v>0</v>
      </c>
      <c r="J55" s="728"/>
      <c r="K55" s="732" t="s">
        <v>1552</v>
      </c>
      <c r="L55" s="733" t="str">
        <f>L50</f>
        <v>#DIV/0!</v>
      </c>
      <c r="M55" s="728"/>
      <c r="N55" s="734" t="str">
        <f>L55/I55</f>
        <v>#DIV/0!</v>
      </c>
      <c r="O55" s="652"/>
      <c r="P55" s="652"/>
      <c r="Q55" s="652"/>
      <c r="R55" s="652"/>
    </row>
    <row r="56">
      <c r="A56" s="728"/>
      <c r="B56" s="735" t="s">
        <v>30</v>
      </c>
      <c r="C56" s="21"/>
      <c r="D56" s="22"/>
      <c r="E56" s="736" t="s">
        <v>31</v>
      </c>
      <c r="F56" s="21"/>
      <c r="G56" s="22"/>
      <c r="H56" s="730" t="s">
        <v>1553</v>
      </c>
      <c r="I56" s="731">
        <f t="shared" si="23"/>
        <v>30</v>
      </c>
      <c r="J56" s="728"/>
      <c r="K56" s="732" t="s">
        <v>1554</v>
      </c>
      <c r="L56" s="737" t="str">
        <f>I46</f>
        <v>#DIV/0!</v>
      </c>
      <c r="M56" s="728"/>
      <c r="N56" s="738"/>
      <c r="O56" s="652"/>
      <c r="P56" s="652"/>
      <c r="Q56" s="652"/>
      <c r="R56" s="652"/>
    </row>
    <row r="57">
      <c r="A57" s="728"/>
      <c r="B57" s="739" t="s">
        <v>1555</v>
      </c>
      <c r="C57" s="21"/>
      <c r="D57" s="22"/>
      <c r="E57" s="740"/>
      <c r="F57" s="741"/>
      <c r="G57" s="742"/>
      <c r="H57" s="730" t="s">
        <v>1556</v>
      </c>
      <c r="I57" s="731" t="str">
        <f>E72</f>
        <v/>
      </c>
      <c r="J57" s="728"/>
      <c r="K57" s="732" t="s">
        <v>1557</v>
      </c>
      <c r="L57" s="743" t="str">
        <f>L55-L56</f>
        <v>#DIV/0!</v>
      </c>
      <c r="M57" s="728"/>
      <c r="N57" s="734" t="str">
        <f>L57/I55</f>
        <v>#DIV/0!</v>
      </c>
      <c r="O57" s="652"/>
      <c r="P57" s="652"/>
      <c r="Q57" s="652"/>
      <c r="R57" s="652"/>
    </row>
    <row r="58">
      <c r="A58" s="728"/>
      <c r="B58" s="739" t="s">
        <v>1558</v>
      </c>
      <c r="C58" s="21"/>
      <c r="D58" s="22"/>
      <c r="E58" s="740"/>
      <c r="F58" s="741"/>
      <c r="G58" s="742"/>
      <c r="J58" s="728"/>
      <c r="K58" s="728"/>
      <c r="L58" s="728"/>
      <c r="M58" s="728"/>
      <c r="N58" s="728"/>
      <c r="O58" s="652"/>
      <c r="P58" s="652"/>
      <c r="Q58" s="652"/>
      <c r="R58" s="652"/>
    </row>
    <row r="59">
      <c r="A59" s="728"/>
      <c r="B59" s="739" t="s">
        <v>1559</v>
      </c>
      <c r="C59" s="21"/>
      <c r="D59" s="22"/>
      <c r="E59" s="744">
        <v>580.0</v>
      </c>
      <c r="F59" s="21"/>
      <c r="G59" s="22"/>
      <c r="J59" s="728"/>
      <c r="K59" s="728"/>
      <c r="L59" s="728"/>
      <c r="M59" s="728"/>
      <c r="N59" s="728"/>
      <c r="O59" s="652"/>
      <c r="P59" s="652"/>
      <c r="Q59" s="652"/>
      <c r="R59" s="652"/>
    </row>
    <row r="60">
      <c r="A60" s="728"/>
      <c r="B60" s="735" t="s">
        <v>29</v>
      </c>
      <c r="C60" s="21"/>
      <c r="D60" s="22"/>
      <c r="E60" s="745">
        <f>SUM(G3:G5)</f>
        <v>0</v>
      </c>
      <c r="F60" s="741"/>
      <c r="G60" s="742"/>
      <c r="J60" s="728"/>
      <c r="K60" s="728"/>
      <c r="L60" s="728"/>
      <c r="M60" s="728"/>
      <c r="N60" s="728"/>
      <c r="O60" s="652"/>
      <c r="P60" s="652"/>
      <c r="Q60" s="652"/>
      <c r="R60" s="652"/>
    </row>
    <row r="61">
      <c r="A61" s="728"/>
      <c r="B61" s="735" t="s">
        <v>34</v>
      </c>
      <c r="C61" s="21"/>
      <c r="D61" s="22"/>
      <c r="E61" s="746">
        <f>E60*E59/1000</f>
        <v>0</v>
      </c>
      <c r="F61" s="21"/>
      <c r="G61" s="22"/>
      <c r="H61" s="728"/>
      <c r="I61" s="728"/>
      <c r="J61" s="728"/>
      <c r="K61" s="728"/>
      <c r="L61" s="728"/>
      <c r="M61" s="728"/>
      <c r="N61" s="728"/>
      <c r="O61" s="652"/>
      <c r="P61" s="652"/>
      <c r="Q61" s="652"/>
      <c r="R61" s="652"/>
    </row>
    <row r="62">
      <c r="A62" s="728"/>
      <c r="B62" s="739" t="s">
        <v>1560</v>
      </c>
      <c r="C62" s="21"/>
      <c r="D62" s="22"/>
      <c r="E62" s="747">
        <v>30.0</v>
      </c>
      <c r="F62" s="21"/>
      <c r="G62" s="22"/>
      <c r="H62" s="728"/>
      <c r="I62" s="728"/>
      <c r="J62" s="728"/>
      <c r="K62" s="728"/>
      <c r="L62" s="728"/>
      <c r="M62" s="728"/>
      <c r="N62" s="728"/>
      <c r="O62" s="652"/>
      <c r="P62" s="652"/>
      <c r="Q62" s="652"/>
      <c r="R62" s="652"/>
    </row>
    <row r="63">
      <c r="A63" s="728"/>
      <c r="B63" s="735" t="s">
        <v>36</v>
      </c>
      <c r="C63" s="21"/>
      <c r="D63" s="22"/>
      <c r="E63" s="740"/>
      <c r="F63" s="741"/>
      <c r="G63" s="742"/>
      <c r="H63" s="728"/>
      <c r="I63" s="728"/>
      <c r="J63" s="728"/>
      <c r="K63" s="728"/>
      <c r="L63" s="728"/>
      <c r="M63" s="728"/>
      <c r="N63" s="728"/>
      <c r="O63" s="652"/>
      <c r="P63" s="652"/>
      <c r="Q63" s="652"/>
      <c r="R63" s="652"/>
    </row>
    <row r="64">
      <c r="A64" s="728"/>
      <c r="B64" s="735" t="s">
        <v>37</v>
      </c>
      <c r="C64" s="21"/>
      <c r="D64" s="22"/>
      <c r="E64" s="740">
        <v>30.0</v>
      </c>
      <c r="F64" s="741"/>
      <c r="G64" s="742"/>
      <c r="H64" s="728"/>
      <c r="I64" s="728"/>
      <c r="J64" s="728"/>
      <c r="K64" s="728"/>
      <c r="L64" s="728"/>
      <c r="M64" s="728"/>
      <c r="N64" s="728"/>
      <c r="O64" s="652"/>
      <c r="P64" s="652"/>
      <c r="Q64" s="652"/>
      <c r="R64" s="652"/>
    </row>
    <row r="65">
      <c r="A65" s="728"/>
      <c r="B65" s="739" t="s">
        <v>1561</v>
      </c>
      <c r="C65" s="21"/>
      <c r="D65" s="22"/>
      <c r="E65" s="748" t="str">
        <f t="shared" ref="E65:E66" si="24">E67/E61</f>
        <v>#DIV/0!</v>
      </c>
      <c r="F65" s="21"/>
      <c r="G65" s="22"/>
      <c r="H65" s="728"/>
      <c r="I65" s="728"/>
      <c r="J65" s="728"/>
      <c r="K65" s="728"/>
      <c r="L65" s="728"/>
      <c r="M65" s="728"/>
      <c r="N65" s="728"/>
      <c r="O65" s="652"/>
      <c r="P65" s="652"/>
      <c r="Q65" s="652"/>
      <c r="R65" s="652"/>
    </row>
    <row r="66">
      <c r="A66" s="728"/>
      <c r="B66" s="739" t="s">
        <v>1562</v>
      </c>
      <c r="C66" s="21"/>
      <c r="D66" s="22"/>
      <c r="E66" s="749">
        <f t="shared" si="24"/>
        <v>7640.033333</v>
      </c>
      <c r="F66" s="21"/>
      <c r="G66" s="22"/>
      <c r="H66" s="728"/>
      <c r="I66" s="728"/>
      <c r="J66" s="728"/>
      <c r="K66" s="728"/>
      <c r="L66" s="728"/>
      <c r="M66" s="728"/>
      <c r="N66" s="728"/>
      <c r="O66" s="652"/>
      <c r="P66" s="652"/>
      <c r="Q66" s="652"/>
      <c r="R66" s="652"/>
    </row>
    <row r="67">
      <c r="A67" s="728"/>
      <c r="B67" s="735" t="s">
        <v>39</v>
      </c>
      <c r="C67" s="21"/>
      <c r="D67" s="22"/>
      <c r="E67" s="750" t="str">
        <f>L43</f>
        <v>#DIV/0!</v>
      </c>
      <c r="F67" s="21"/>
      <c r="G67" s="22"/>
      <c r="H67" s="728"/>
      <c r="I67" s="728"/>
      <c r="J67" s="728"/>
      <c r="K67" s="728"/>
      <c r="L67" s="728"/>
      <c r="M67" s="728"/>
      <c r="N67" s="728"/>
      <c r="O67" s="652"/>
      <c r="P67" s="652"/>
      <c r="Q67" s="652"/>
      <c r="R67" s="652"/>
    </row>
    <row r="68">
      <c r="A68" s="728"/>
      <c r="B68" s="735" t="s">
        <v>40</v>
      </c>
      <c r="C68" s="21"/>
      <c r="D68" s="22"/>
      <c r="E68" s="746">
        <f>C104</f>
        <v>229201</v>
      </c>
      <c r="F68" s="21"/>
      <c r="G68" s="22"/>
      <c r="H68" s="728"/>
      <c r="I68" s="728"/>
      <c r="J68" s="728"/>
      <c r="K68" s="728"/>
      <c r="L68" s="728"/>
      <c r="M68" s="728"/>
      <c r="N68" s="728"/>
      <c r="O68" s="652"/>
      <c r="P68" s="652"/>
      <c r="Q68" s="652"/>
      <c r="R68" s="652"/>
    </row>
    <row r="69">
      <c r="A69" s="728"/>
      <c r="B69" s="735" t="s">
        <v>41</v>
      </c>
      <c r="C69" s="21"/>
      <c r="D69" s="22"/>
      <c r="E69" s="750">
        <f>E104</f>
        <v>54120.66116</v>
      </c>
      <c r="F69" s="21"/>
      <c r="G69" s="22"/>
      <c r="H69" s="728"/>
      <c r="I69" s="728"/>
      <c r="J69" s="728"/>
      <c r="K69" s="728"/>
      <c r="L69" s="728"/>
      <c r="M69" s="728"/>
      <c r="N69" s="728"/>
      <c r="O69" s="652"/>
      <c r="P69" s="652"/>
      <c r="Q69" s="652"/>
      <c r="R69" s="652"/>
    </row>
    <row r="70">
      <c r="A70" s="728"/>
      <c r="B70" s="735" t="s">
        <v>42</v>
      </c>
      <c r="C70" s="21"/>
      <c r="D70" s="22"/>
      <c r="E70" s="751" t="str">
        <f>E67/E69</f>
        <v>#DIV/0!</v>
      </c>
      <c r="F70" s="21"/>
      <c r="G70" s="22"/>
      <c r="H70" s="728"/>
      <c r="I70" s="728"/>
      <c r="J70" s="728"/>
      <c r="K70" s="728"/>
      <c r="L70" s="728"/>
      <c r="M70" s="728"/>
      <c r="N70" s="728"/>
      <c r="O70" s="652"/>
      <c r="P70" s="652"/>
      <c r="Q70" s="652"/>
      <c r="R70" s="652"/>
    </row>
    <row r="71">
      <c r="A71" s="728"/>
      <c r="B71" s="735" t="s">
        <v>44</v>
      </c>
      <c r="C71" s="21"/>
      <c r="D71" s="22"/>
      <c r="E71" s="748">
        <f>(K3+K4+K5)/3/E59</f>
        <v>0</v>
      </c>
      <c r="F71" s="21"/>
      <c r="G71" s="22"/>
      <c r="H71" s="728"/>
      <c r="I71" s="728"/>
      <c r="J71" s="728"/>
      <c r="K71" s="728"/>
      <c r="L71" s="728"/>
      <c r="M71" s="728"/>
      <c r="N71" s="728"/>
      <c r="O71" s="652"/>
      <c r="P71" s="652"/>
      <c r="Q71" s="652"/>
      <c r="R71" s="652"/>
    </row>
    <row r="72">
      <c r="A72" s="728"/>
      <c r="B72" s="739" t="s">
        <v>1563</v>
      </c>
      <c r="C72" s="21"/>
      <c r="D72" s="22"/>
      <c r="E72" s="740"/>
      <c r="F72" s="741"/>
      <c r="G72" s="742"/>
      <c r="H72" s="728"/>
      <c r="I72" s="728"/>
      <c r="J72" s="728"/>
      <c r="K72" s="728"/>
      <c r="L72" s="728"/>
      <c r="M72" s="728"/>
      <c r="N72" s="728"/>
      <c r="O72" s="652"/>
      <c r="P72" s="652"/>
      <c r="Q72" s="652"/>
      <c r="R72" s="652"/>
    </row>
    <row r="73">
      <c r="A73" s="728"/>
      <c r="B73" s="735" t="s">
        <v>45</v>
      </c>
      <c r="C73" s="21"/>
      <c r="D73" s="22"/>
      <c r="E73" s="752"/>
      <c r="F73" s="21"/>
      <c r="G73" s="22"/>
      <c r="H73" s="728"/>
      <c r="I73" s="728"/>
      <c r="J73" s="728"/>
      <c r="K73" s="728"/>
      <c r="L73" s="728"/>
      <c r="M73" s="728"/>
      <c r="N73" s="728"/>
      <c r="O73" s="652"/>
      <c r="P73" s="652"/>
      <c r="Q73" s="652"/>
      <c r="R73" s="652"/>
    </row>
    <row r="74">
      <c r="A74" s="728"/>
      <c r="B74" s="739" t="s">
        <v>1564</v>
      </c>
      <c r="C74" s="21"/>
      <c r="D74" s="22"/>
      <c r="E74" s="753"/>
      <c r="F74" s="21"/>
      <c r="G74" s="22"/>
      <c r="H74" s="728"/>
      <c r="I74" s="728"/>
      <c r="J74" s="728"/>
      <c r="K74" s="728"/>
      <c r="L74" s="728"/>
      <c r="M74" s="728"/>
      <c r="N74" s="728"/>
      <c r="O74" s="652"/>
      <c r="P74" s="652"/>
      <c r="Q74" s="652"/>
      <c r="R74" s="652"/>
    </row>
    <row r="75">
      <c r="A75" s="728"/>
      <c r="B75" s="739" t="s">
        <v>1565</v>
      </c>
      <c r="C75" s="21"/>
      <c r="D75" s="22"/>
      <c r="E75" s="754">
        <v>42.35</v>
      </c>
      <c r="F75" s="21"/>
      <c r="G75" s="22"/>
      <c r="H75" s="728"/>
      <c r="I75" s="728"/>
      <c r="J75" s="728"/>
      <c r="K75" s="728"/>
      <c r="L75" s="728"/>
      <c r="M75" s="728"/>
      <c r="N75" s="728"/>
      <c r="O75" s="652"/>
      <c r="P75" s="652"/>
      <c r="Q75" s="652"/>
      <c r="R75" s="652"/>
    </row>
    <row r="76">
      <c r="A76" s="728"/>
      <c r="B76" s="739" t="s">
        <v>1566</v>
      </c>
      <c r="C76" s="21"/>
      <c r="D76" s="22"/>
      <c r="E76" s="753"/>
      <c r="F76" s="21"/>
      <c r="G76" s="22"/>
      <c r="H76" s="728"/>
      <c r="I76" s="728"/>
      <c r="J76" s="728"/>
      <c r="K76" s="728"/>
      <c r="L76" s="728"/>
      <c r="M76" s="728"/>
      <c r="N76" s="728"/>
      <c r="O76" s="652"/>
      <c r="P76" s="652"/>
      <c r="Q76" s="652"/>
      <c r="R76" s="652"/>
    </row>
    <row r="77">
      <c r="A77" s="728"/>
      <c r="B77" s="739" t="s">
        <v>1567</v>
      </c>
      <c r="C77" s="21"/>
      <c r="D77" s="22"/>
      <c r="E77" s="753">
        <v>10.0</v>
      </c>
      <c r="F77" s="21"/>
      <c r="G77" s="22"/>
      <c r="H77" s="728"/>
      <c r="I77" s="728"/>
      <c r="J77" s="728"/>
      <c r="K77" s="728"/>
      <c r="L77" s="728"/>
      <c r="M77" s="728"/>
      <c r="N77" s="728"/>
      <c r="O77" s="652"/>
      <c r="P77" s="652"/>
      <c r="Q77" s="652"/>
      <c r="R77" s="652"/>
    </row>
    <row r="78">
      <c r="A78" s="728"/>
      <c r="B78" s="739" t="s">
        <v>1568</v>
      </c>
      <c r="C78" s="21"/>
      <c r="D78" s="22"/>
      <c r="E78" s="755">
        <v>3.0</v>
      </c>
      <c r="F78" s="21"/>
      <c r="G78" s="22"/>
      <c r="H78" s="728"/>
      <c r="I78" s="728"/>
      <c r="J78" s="728"/>
      <c r="K78" s="728"/>
      <c r="L78" s="728"/>
      <c r="M78" s="728"/>
      <c r="N78" s="728"/>
      <c r="O78" s="652"/>
      <c r="P78" s="652"/>
      <c r="Q78" s="652"/>
      <c r="R78" s="652"/>
    </row>
    <row r="79">
      <c r="A79" s="728"/>
      <c r="B79" s="739" t="s">
        <v>1569</v>
      </c>
      <c r="C79" s="21"/>
      <c r="D79" s="22"/>
      <c r="E79" s="736"/>
      <c r="F79" s="21"/>
      <c r="G79" s="22"/>
      <c r="H79" s="728"/>
      <c r="I79" s="728"/>
      <c r="J79" s="728"/>
      <c r="K79" s="728"/>
      <c r="L79" s="728"/>
      <c r="M79" s="728"/>
      <c r="N79" s="728"/>
      <c r="O79" s="652"/>
      <c r="P79" s="652"/>
      <c r="Q79" s="652"/>
      <c r="R79" s="652"/>
    </row>
    <row r="80">
      <c r="A80" s="728"/>
      <c r="B80" s="735" t="s">
        <v>43</v>
      </c>
      <c r="C80" s="21"/>
      <c r="D80" s="22"/>
      <c r="E80" s="752">
        <v>30.0</v>
      </c>
      <c r="F80" s="21"/>
      <c r="G80" s="22"/>
      <c r="H80" s="728"/>
      <c r="I80" s="728"/>
      <c r="J80" s="728"/>
      <c r="K80" s="728"/>
      <c r="L80" s="728"/>
      <c r="M80" s="728"/>
      <c r="N80" s="728"/>
      <c r="O80" s="652"/>
      <c r="P80" s="652"/>
      <c r="Q80" s="652"/>
      <c r="R80" s="652"/>
    </row>
    <row r="81">
      <c r="A81" s="728"/>
      <c r="B81" s="756" t="s">
        <v>46</v>
      </c>
      <c r="C81" s="21"/>
      <c r="D81" s="22"/>
      <c r="E81" s="757">
        <v>200.0</v>
      </c>
      <c r="F81" s="21"/>
      <c r="G81" s="22"/>
      <c r="H81" s="728"/>
      <c r="I81" s="728"/>
      <c r="J81" s="728"/>
      <c r="K81" s="728"/>
      <c r="L81" s="728"/>
      <c r="M81" s="728"/>
      <c r="N81" s="728"/>
      <c r="O81" s="652"/>
      <c r="P81" s="652"/>
      <c r="Q81" s="652"/>
      <c r="R81" s="652"/>
    </row>
    <row r="82">
      <c r="A82" s="728"/>
      <c r="B82" s="756" t="s">
        <v>47</v>
      </c>
      <c r="C82" s="21"/>
      <c r="D82" s="22"/>
      <c r="E82" s="758">
        <v>1.1</v>
      </c>
      <c r="F82" s="21"/>
      <c r="G82" s="22"/>
      <c r="H82" s="728"/>
      <c r="I82" s="728"/>
      <c r="J82" s="728"/>
      <c r="K82" s="728"/>
      <c r="L82" s="728"/>
      <c r="M82" s="728"/>
      <c r="N82" s="728"/>
      <c r="O82" s="652"/>
      <c r="P82" s="652"/>
      <c r="Q82" s="652"/>
      <c r="R82" s="652"/>
    </row>
    <row r="83">
      <c r="A83" s="728"/>
      <c r="B83" s="756" t="s">
        <v>48</v>
      </c>
      <c r="C83" s="21"/>
      <c r="D83" s="22"/>
      <c r="E83" s="759">
        <v>11700.0</v>
      </c>
      <c r="F83" s="21"/>
      <c r="G83" s="22"/>
      <c r="H83" s="728"/>
      <c r="I83" s="728"/>
      <c r="J83" s="728"/>
      <c r="K83" s="728"/>
      <c r="L83" s="728"/>
      <c r="M83" s="728"/>
      <c r="N83" s="728"/>
      <c r="O83" s="652"/>
      <c r="P83" s="652"/>
      <c r="Q83" s="652"/>
      <c r="R83" s="652"/>
    </row>
    <row r="84">
      <c r="A84" s="728"/>
      <c r="B84" s="756" t="s">
        <v>49</v>
      </c>
      <c r="C84" s="21"/>
      <c r="D84" s="22"/>
      <c r="E84" s="760">
        <f>F141</f>
        <v>6437339.286</v>
      </c>
      <c r="F84" s="21"/>
      <c r="G84" s="22"/>
      <c r="H84" s="728"/>
      <c r="I84" s="728"/>
      <c r="J84" s="728"/>
      <c r="K84" s="728"/>
      <c r="L84" s="728"/>
      <c r="M84" s="728"/>
      <c r="N84" s="728"/>
      <c r="O84" s="652"/>
      <c r="P84" s="652"/>
      <c r="Q84" s="652"/>
      <c r="R84" s="652"/>
    </row>
    <row r="85">
      <c r="A85" s="728"/>
      <c r="B85" s="761" t="s">
        <v>50</v>
      </c>
      <c r="C85" s="21"/>
      <c r="D85" s="22"/>
      <c r="E85" s="762" t="str">
        <f>(SUM(H113:H139)+E83+E67)*E75/E84</f>
        <v>#DIV/0!</v>
      </c>
      <c r="F85" s="21"/>
      <c r="G85" s="22"/>
      <c r="H85" s="728"/>
      <c r="I85" s="728"/>
      <c r="J85" s="728"/>
      <c r="K85" s="728"/>
      <c r="L85" s="728"/>
      <c r="M85" s="728"/>
      <c r="N85" s="728"/>
      <c r="O85" s="652"/>
      <c r="P85" s="652"/>
      <c r="Q85" s="652"/>
      <c r="R85" s="652"/>
    </row>
    <row r="86">
      <c r="A86" s="728"/>
      <c r="B86" s="761" t="s">
        <v>51</v>
      </c>
      <c r="C86" s="21"/>
      <c r="D86" s="22"/>
      <c r="E86" s="763" t="str">
        <f>B139</f>
        <v>#DIV/0!</v>
      </c>
      <c r="F86" s="21"/>
      <c r="G86" s="22"/>
      <c r="H86" s="728"/>
      <c r="I86" s="728"/>
      <c r="J86" s="728"/>
      <c r="K86" s="728"/>
      <c r="L86" s="728"/>
      <c r="M86" s="728"/>
      <c r="N86" s="728"/>
      <c r="O86" s="652"/>
      <c r="P86" s="652"/>
      <c r="Q86" s="652"/>
      <c r="R86" s="652"/>
    </row>
    <row r="87" ht="18.0" customHeight="1">
      <c r="A87" s="728"/>
      <c r="B87" s="728"/>
      <c r="C87" s="728"/>
      <c r="D87" s="728"/>
      <c r="E87" s="728"/>
      <c r="F87" s="728"/>
      <c r="G87" s="728"/>
      <c r="H87" s="728"/>
      <c r="I87" s="728"/>
      <c r="J87" s="728"/>
      <c r="K87" s="728"/>
      <c r="L87" s="728"/>
      <c r="M87" s="728"/>
      <c r="N87" s="728"/>
      <c r="O87" s="652"/>
      <c r="P87" s="652"/>
      <c r="Q87" s="652"/>
      <c r="R87" s="652"/>
    </row>
    <row r="88" ht="15.75" customHeight="1">
      <c r="A88" s="728"/>
      <c r="B88" s="728"/>
      <c r="C88" s="728"/>
      <c r="D88" s="728"/>
      <c r="E88" s="728"/>
      <c r="F88" s="728"/>
      <c r="G88" s="728"/>
      <c r="H88" s="728"/>
      <c r="I88" s="728"/>
      <c r="J88" s="728"/>
      <c r="K88" s="728"/>
      <c r="L88" s="728"/>
      <c r="M88" s="728"/>
      <c r="N88" s="728"/>
      <c r="O88" s="652"/>
      <c r="P88" s="652"/>
      <c r="Q88" s="652"/>
      <c r="R88" s="652"/>
    </row>
    <row r="89" ht="15.75" customHeight="1">
      <c r="A89" s="728"/>
      <c r="B89" s="764" t="s">
        <v>52</v>
      </c>
      <c r="C89" s="21"/>
      <c r="D89" s="21"/>
      <c r="E89" s="21"/>
      <c r="F89" s="21"/>
      <c r="G89" s="22"/>
      <c r="H89" s="765"/>
      <c r="I89" s="765"/>
      <c r="J89" s="765"/>
      <c r="K89" s="765"/>
      <c r="L89" s="728"/>
      <c r="M89" s="728"/>
      <c r="N89" s="728"/>
      <c r="O89" s="652"/>
      <c r="P89" s="652"/>
      <c r="Q89" s="652"/>
      <c r="R89" s="652"/>
    </row>
    <row r="90" ht="15.75" customHeight="1">
      <c r="A90" s="728"/>
      <c r="B90" s="766" t="s">
        <v>54</v>
      </c>
      <c r="C90" s="767" t="s">
        <v>55</v>
      </c>
      <c r="D90" s="767" t="s">
        <v>56</v>
      </c>
      <c r="E90" s="768" t="s">
        <v>57</v>
      </c>
      <c r="F90" s="769" t="s">
        <v>58</v>
      </c>
      <c r="G90" s="22"/>
      <c r="H90" s="728"/>
      <c r="I90" s="728"/>
      <c r="J90" s="728"/>
      <c r="K90" s="728"/>
      <c r="L90" s="728"/>
      <c r="M90" s="728"/>
      <c r="N90" s="728"/>
      <c r="O90" s="652"/>
      <c r="P90" s="652"/>
      <c r="Q90" s="652"/>
      <c r="R90" s="652"/>
    </row>
    <row r="91" ht="21.0" customHeight="1">
      <c r="A91" s="770">
        <v>1.0</v>
      </c>
      <c r="B91" s="771" t="s">
        <v>1570</v>
      </c>
      <c r="C91" s="772">
        <v>5949.0</v>
      </c>
      <c r="D91" s="773">
        <v>30000.0</v>
      </c>
      <c r="E91" s="774">
        <f t="shared" ref="E91:E102" si="25">(C91*$E$77)/$E$75</f>
        <v>1404.72255</v>
      </c>
      <c r="F91" s="775">
        <f t="shared" ref="F91:F102" si="26">C91/D91</f>
        <v>0.1983</v>
      </c>
      <c r="G91" s="22"/>
      <c r="H91" s="728"/>
      <c r="I91" s="728"/>
      <c r="J91" s="728"/>
      <c r="K91" s="728"/>
      <c r="L91" s="728"/>
      <c r="M91" s="728"/>
      <c r="N91" s="728"/>
      <c r="O91" s="652"/>
      <c r="P91" s="652"/>
      <c r="Q91" s="652"/>
      <c r="R91" s="652"/>
    </row>
    <row r="92" ht="21.0" customHeight="1">
      <c r="A92" s="770">
        <v>2.0</v>
      </c>
      <c r="B92" s="771" t="s">
        <v>1571</v>
      </c>
      <c r="C92" s="772">
        <v>10015.0</v>
      </c>
      <c r="D92" s="773">
        <v>30000.0</v>
      </c>
      <c r="E92" s="774">
        <f t="shared" si="25"/>
        <v>2364.817001</v>
      </c>
      <c r="F92" s="775">
        <f t="shared" si="26"/>
        <v>0.3338333333</v>
      </c>
      <c r="G92" s="22"/>
      <c r="H92" s="728"/>
      <c r="I92" s="728"/>
      <c r="J92" s="728"/>
      <c r="K92" s="728"/>
      <c r="L92" s="728"/>
      <c r="M92" s="728"/>
      <c r="N92" s="728"/>
      <c r="O92" s="652"/>
      <c r="P92" s="652"/>
      <c r="Q92" s="652"/>
      <c r="R92" s="652"/>
    </row>
    <row r="93" ht="21.0" customHeight="1">
      <c r="A93" s="770">
        <v>3.0</v>
      </c>
      <c r="B93" s="776" t="s">
        <v>59</v>
      </c>
      <c r="C93" s="772">
        <v>17972.0</v>
      </c>
      <c r="D93" s="773">
        <v>30000.0</v>
      </c>
      <c r="E93" s="774">
        <f t="shared" si="25"/>
        <v>4243.683589</v>
      </c>
      <c r="F93" s="775">
        <f t="shared" si="26"/>
        <v>0.5990666667</v>
      </c>
      <c r="G93" s="22"/>
      <c r="H93" s="728"/>
      <c r="I93" s="728"/>
      <c r="J93" s="728"/>
      <c r="K93" s="728"/>
      <c r="L93" s="728"/>
      <c r="M93" s="728"/>
      <c r="N93" s="728"/>
      <c r="O93" s="652"/>
      <c r="P93" s="652"/>
      <c r="Q93" s="652"/>
      <c r="R93" s="652"/>
    </row>
    <row r="94" ht="21.0" customHeight="1">
      <c r="A94" s="770">
        <v>4.0</v>
      </c>
      <c r="B94" s="776" t="s">
        <v>60</v>
      </c>
      <c r="C94" s="772">
        <v>24872.0</v>
      </c>
      <c r="D94" s="773">
        <v>30000.0</v>
      </c>
      <c r="E94" s="774">
        <f t="shared" si="25"/>
        <v>5872.9634</v>
      </c>
      <c r="F94" s="775">
        <f t="shared" si="26"/>
        <v>0.8290666667</v>
      </c>
      <c r="G94" s="22"/>
      <c r="H94" s="728"/>
      <c r="I94" s="728"/>
      <c r="J94" s="728"/>
      <c r="K94" s="728"/>
      <c r="L94" s="728"/>
      <c r="M94" s="728"/>
      <c r="N94" s="728"/>
      <c r="O94" s="652"/>
      <c r="P94" s="652"/>
      <c r="Q94" s="652"/>
      <c r="R94" s="652"/>
    </row>
    <row r="95" ht="21.0" customHeight="1">
      <c r="A95" s="770">
        <v>5.0</v>
      </c>
      <c r="B95" s="776" t="s">
        <v>61</v>
      </c>
      <c r="C95" s="772">
        <v>29439.0</v>
      </c>
      <c r="D95" s="773">
        <v>30000.0</v>
      </c>
      <c r="E95" s="774">
        <f t="shared" si="25"/>
        <v>6951.357733</v>
      </c>
      <c r="F95" s="775">
        <f t="shared" si="26"/>
        <v>0.9813</v>
      </c>
      <c r="G95" s="22"/>
      <c r="H95" s="728"/>
      <c r="I95" s="728"/>
      <c r="J95" s="728"/>
      <c r="K95" s="728"/>
      <c r="L95" s="728"/>
      <c r="M95" s="728"/>
      <c r="N95" s="728"/>
      <c r="O95" s="652"/>
      <c r="P95" s="652"/>
      <c r="Q95" s="652"/>
      <c r="R95" s="652"/>
    </row>
    <row r="96" ht="21.0" customHeight="1">
      <c r="A96" s="770">
        <v>6.0</v>
      </c>
      <c r="B96" s="776" t="s">
        <v>62</v>
      </c>
      <c r="C96" s="772">
        <v>29378.0</v>
      </c>
      <c r="D96" s="773">
        <v>30000.0</v>
      </c>
      <c r="E96" s="774">
        <f t="shared" si="25"/>
        <v>6936.953955</v>
      </c>
      <c r="F96" s="775">
        <f t="shared" si="26"/>
        <v>0.9792666667</v>
      </c>
      <c r="G96" s="22"/>
      <c r="H96" s="728"/>
      <c r="I96" s="728"/>
      <c r="J96" s="728"/>
      <c r="K96" s="728"/>
      <c r="L96" s="728"/>
      <c r="M96" s="728"/>
      <c r="N96" s="728"/>
      <c r="O96" s="652"/>
      <c r="P96" s="652"/>
      <c r="Q96" s="652"/>
      <c r="R96" s="652"/>
    </row>
    <row r="97" ht="15.75" customHeight="1">
      <c r="A97" s="770">
        <v>7.0</v>
      </c>
      <c r="B97" s="776" t="s">
        <v>53</v>
      </c>
      <c r="C97" s="772">
        <v>29910.0</v>
      </c>
      <c r="D97" s="773">
        <v>30000.0</v>
      </c>
      <c r="E97" s="774">
        <f t="shared" si="25"/>
        <v>7062.57379</v>
      </c>
      <c r="F97" s="775">
        <f t="shared" si="26"/>
        <v>0.997</v>
      </c>
      <c r="G97" s="22"/>
      <c r="H97" s="728"/>
      <c r="I97" s="728"/>
      <c r="J97" s="728"/>
      <c r="K97" s="728"/>
      <c r="L97" s="728"/>
      <c r="M97" s="728"/>
      <c r="N97" s="728"/>
      <c r="O97" s="652"/>
      <c r="P97" s="652"/>
      <c r="Q97" s="652"/>
      <c r="R97" s="652"/>
    </row>
    <row r="98" ht="21.0" customHeight="1">
      <c r="A98" s="770">
        <v>8.0</v>
      </c>
      <c r="B98" s="776" t="s">
        <v>63</v>
      </c>
      <c r="C98" s="772">
        <v>29673.0</v>
      </c>
      <c r="D98" s="773">
        <v>30000.0</v>
      </c>
      <c r="E98" s="774">
        <f t="shared" si="25"/>
        <v>7006.61157</v>
      </c>
      <c r="F98" s="775">
        <f t="shared" si="26"/>
        <v>0.9891</v>
      </c>
      <c r="G98" s="22"/>
      <c r="H98" s="728"/>
      <c r="I98" s="728"/>
      <c r="J98" s="728"/>
      <c r="K98" s="728"/>
      <c r="L98" s="728"/>
      <c r="M98" s="728"/>
      <c r="N98" s="728"/>
      <c r="O98" s="652"/>
      <c r="P98" s="652"/>
      <c r="Q98" s="652"/>
      <c r="R98" s="652"/>
    </row>
    <row r="99" ht="21.0" customHeight="1">
      <c r="A99" s="770">
        <v>9.0</v>
      </c>
      <c r="B99" s="776" t="s">
        <v>64</v>
      </c>
      <c r="C99" s="772">
        <v>23215.0</v>
      </c>
      <c r="D99" s="773">
        <v>30000.0</v>
      </c>
      <c r="E99" s="774">
        <f t="shared" si="25"/>
        <v>5481.700118</v>
      </c>
      <c r="F99" s="775">
        <f t="shared" si="26"/>
        <v>0.7738333333</v>
      </c>
      <c r="G99" s="22"/>
      <c r="H99" s="728"/>
      <c r="I99" s="728"/>
      <c r="J99" s="728"/>
      <c r="K99" s="728"/>
      <c r="L99" s="728"/>
      <c r="M99" s="728"/>
      <c r="N99" s="728"/>
      <c r="O99" s="652"/>
      <c r="P99" s="652"/>
      <c r="Q99" s="652"/>
      <c r="R99" s="652"/>
    </row>
    <row r="100" ht="21.0" customHeight="1">
      <c r="A100" s="770">
        <v>10.0</v>
      </c>
      <c r="B100" s="776" t="s">
        <v>65</v>
      </c>
      <c r="C100" s="772">
        <v>16386.0</v>
      </c>
      <c r="D100" s="773">
        <v>30000.0</v>
      </c>
      <c r="E100" s="774">
        <f t="shared" si="25"/>
        <v>3869.18536</v>
      </c>
      <c r="F100" s="775">
        <f t="shared" si="26"/>
        <v>0.5462</v>
      </c>
      <c r="G100" s="22"/>
      <c r="H100" s="728"/>
      <c r="I100" s="728"/>
      <c r="J100" s="728"/>
      <c r="K100" s="728"/>
      <c r="L100" s="728"/>
      <c r="M100" s="728"/>
      <c r="N100" s="728"/>
      <c r="O100" s="652"/>
      <c r="P100" s="652"/>
      <c r="Q100" s="652"/>
      <c r="R100" s="652"/>
    </row>
    <row r="101" ht="21.0" customHeight="1">
      <c r="A101" s="770">
        <v>11.0</v>
      </c>
      <c r="B101" s="776" t="s">
        <v>66</v>
      </c>
      <c r="C101" s="772">
        <v>6791.0</v>
      </c>
      <c r="D101" s="773">
        <v>30000.0</v>
      </c>
      <c r="E101" s="774">
        <f t="shared" si="25"/>
        <v>1603.541913</v>
      </c>
      <c r="F101" s="775">
        <f t="shared" si="26"/>
        <v>0.2263666667</v>
      </c>
      <c r="G101" s="22"/>
      <c r="H101" s="728"/>
      <c r="I101" s="728"/>
      <c r="J101" s="728"/>
      <c r="K101" s="728"/>
      <c r="L101" s="728"/>
      <c r="M101" s="728"/>
      <c r="N101" s="728"/>
      <c r="O101" s="652"/>
      <c r="P101" s="652"/>
      <c r="Q101" s="652"/>
      <c r="R101" s="652"/>
    </row>
    <row r="102" ht="21.0" customHeight="1">
      <c r="A102" s="770">
        <v>12.0</v>
      </c>
      <c r="B102" s="776" t="s">
        <v>67</v>
      </c>
      <c r="C102" s="772">
        <v>5601.0</v>
      </c>
      <c r="D102" s="773">
        <v>30000.0</v>
      </c>
      <c r="E102" s="774">
        <f t="shared" si="25"/>
        <v>1322.550177</v>
      </c>
      <c r="F102" s="775">
        <f t="shared" si="26"/>
        <v>0.1867</v>
      </c>
      <c r="G102" s="22"/>
      <c r="H102" s="728"/>
      <c r="I102" s="728"/>
      <c r="J102" s="728"/>
      <c r="K102" s="728"/>
      <c r="L102" s="728"/>
      <c r="M102" s="728"/>
      <c r="N102" s="728"/>
      <c r="O102" s="652"/>
      <c r="P102" s="652"/>
      <c r="Q102" s="652"/>
      <c r="R102" s="652"/>
    </row>
    <row r="103" ht="15.75" customHeight="1">
      <c r="A103" s="728"/>
      <c r="B103" s="777"/>
      <c r="C103" s="778"/>
      <c r="D103" s="778"/>
      <c r="E103" s="779"/>
      <c r="F103" s="780"/>
      <c r="G103" s="781"/>
      <c r="H103" s="728"/>
      <c r="I103" s="728"/>
      <c r="J103" s="728"/>
      <c r="K103" s="728"/>
      <c r="L103" s="728"/>
      <c r="M103" s="728"/>
      <c r="N103" s="728"/>
      <c r="O103" s="652"/>
      <c r="P103" s="652"/>
      <c r="Q103" s="652"/>
      <c r="R103" s="652"/>
    </row>
    <row r="104" ht="15.75" customHeight="1">
      <c r="A104" s="728"/>
      <c r="B104" s="782" t="s">
        <v>68</v>
      </c>
      <c r="C104" s="783">
        <f t="shared" ref="C104:E104" si="27">SUM(C91:C102)</f>
        <v>229201</v>
      </c>
      <c r="D104" s="783">
        <f t="shared" si="27"/>
        <v>360000</v>
      </c>
      <c r="E104" s="784">
        <f t="shared" si="27"/>
        <v>54120.66116</v>
      </c>
      <c r="F104" s="785">
        <f>C104/D104</f>
        <v>0.6366694444</v>
      </c>
      <c r="G104" s="781"/>
      <c r="H104" s="728"/>
      <c r="I104" s="728"/>
      <c r="J104" s="728"/>
      <c r="K104" s="728"/>
      <c r="L104" s="728"/>
      <c r="M104" s="728"/>
      <c r="N104" s="728"/>
      <c r="O104" s="652"/>
      <c r="P104" s="652"/>
      <c r="Q104" s="652"/>
      <c r="R104" s="652"/>
    </row>
    <row r="105" ht="15.75" customHeight="1">
      <c r="A105" s="728"/>
      <c r="B105" s="786"/>
      <c r="C105" s="787"/>
      <c r="D105" s="787"/>
      <c r="E105" s="787"/>
      <c r="F105" s="787"/>
      <c r="G105" s="788"/>
      <c r="H105" s="789"/>
      <c r="I105" s="790"/>
      <c r="J105" s="791"/>
      <c r="K105" s="791"/>
      <c r="L105" s="728"/>
      <c r="M105" s="728"/>
      <c r="N105" s="728"/>
      <c r="O105" s="652"/>
      <c r="P105" s="652"/>
      <c r="Q105" s="652"/>
      <c r="R105" s="652"/>
    </row>
    <row r="106" ht="15.75" customHeight="1">
      <c r="A106" s="728"/>
      <c r="B106" s="732"/>
      <c r="C106" s="728"/>
      <c r="D106" s="728"/>
      <c r="E106" s="728"/>
      <c r="F106" s="728"/>
      <c r="G106" s="728"/>
      <c r="H106" s="728"/>
      <c r="I106" s="728"/>
      <c r="J106" s="728"/>
      <c r="K106" s="728"/>
      <c r="L106" s="728"/>
      <c r="M106" s="728"/>
      <c r="N106" s="728"/>
      <c r="O106" s="652"/>
      <c r="P106" s="652"/>
      <c r="Q106" s="652"/>
      <c r="R106" s="652"/>
    </row>
    <row r="107" ht="21.75" customHeight="1">
      <c r="A107" s="792"/>
      <c r="B107" s="793" t="s">
        <v>1572</v>
      </c>
      <c r="C107" s="21"/>
      <c r="D107" s="21"/>
      <c r="E107" s="21"/>
      <c r="F107" s="21"/>
      <c r="G107" s="21"/>
      <c r="H107" s="21"/>
      <c r="I107" s="22"/>
      <c r="J107" s="728"/>
      <c r="K107" s="728"/>
      <c r="L107" s="728"/>
      <c r="M107" s="728"/>
      <c r="N107" s="728"/>
      <c r="O107" s="652"/>
      <c r="P107" s="652"/>
      <c r="Q107" s="652"/>
      <c r="R107" s="652"/>
    </row>
    <row r="108" ht="15.75" customHeight="1">
      <c r="A108" s="794" t="s">
        <v>1573</v>
      </c>
      <c r="B108" s="795" t="s">
        <v>1574</v>
      </c>
      <c r="C108" s="796" t="s">
        <v>1575</v>
      </c>
      <c r="D108" s="797"/>
      <c r="E108" s="798"/>
      <c r="F108" s="799" t="s">
        <v>1576</v>
      </c>
      <c r="G108" s="800" t="s">
        <v>48</v>
      </c>
      <c r="H108" s="800" t="s">
        <v>1577</v>
      </c>
      <c r="I108" s="799" t="s">
        <v>1578</v>
      </c>
      <c r="J108" s="728"/>
      <c r="K108" s="728"/>
      <c r="L108" s="728"/>
      <c r="M108" s="728"/>
      <c r="N108" s="728"/>
      <c r="O108" s="652"/>
      <c r="P108" s="652"/>
      <c r="Q108" s="652"/>
      <c r="R108" s="652"/>
    </row>
    <row r="109" ht="18.0" customHeight="1">
      <c r="A109" s="801">
        <v>0.0</v>
      </c>
      <c r="B109" s="802" t="str">
        <f>-L43</f>
        <v>#DIV/0!</v>
      </c>
      <c r="C109" s="801"/>
      <c r="D109" s="801"/>
      <c r="E109" s="803"/>
      <c r="F109" s="804"/>
      <c r="G109" s="805"/>
      <c r="H109" s="805"/>
      <c r="I109" s="805"/>
      <c r="J109" s="728"/>
      <c r="K109" s="728"/>
      <c r="L109" s="728"/>
      <c r="M109" s="728"/>
      <c r="N109" s="728"/>
      <c r="O109" s="652"/>
      <c r="P109" s="652"/>
      <c r="Q109" s="652"/>
      <c r="R109" s="652"/>
    </row>
    <row r="110" ht="15.75" customHeight="1">
      <c r="A110" s="806">
        <v>1.0</v>
      </c>
      <c r="B110" s="807" t="str">
        <f t="shared" ref="B110:B139" si="28">B109+I110</f>
        <v>#DIV/0!</v>
      </c>
      <c r="C110" s="808"/>
      <c r="D110" s="808"/>
      <c r="E110" s="809">
        <v>1.0</v>
      </c>
      <c r="F110" s="810">
        <f t="shared" ref="F110:F139" si="29">$C$104*E110</f>
        <v>229201</v>
      </c>
      <c r="G110" s="811"/>
      <c r="H110" s="812"/>
      <c r="I110" s="813">
        <f>F110*E77/E75</f>
        <v>54120.66116</v>
      </c>
      <c r="J110" s="728"/>
      <c r="K110" s="728"/>
      <c r="L110" s="728"/>
      <c r="M110" s="728"/>
      <c r="N110" s="728"/>
      <c r="O110" s="652"/>
      <c r="P110" s="652"/>
      <c r="Q110" s="652"/>
      <c r="R110" s="652"/>
    </row>
    <row r="111" ht="15.75" customHeight="1">
      <c r="A111" s="814">
        <v>2.0</v>
      </c>
      <c r="B111" s="815" t="str">
        <f t="shared" si="28"/>
        <v>#DIV/0!</v>
      </c>
      <c r="C111" s="816">
        <v>0.01</v>
      </c>
      <c r="D111" s="816">
        <f t="shared" ref="D111:D140" si="30">D110+C111</f>
        <v>0.01</v>
      </c>
      <c r="E111" s="816">
        <f t="shared" ref="E111:E140" si="31">$E$110-D111</f>
        <v>0.99</v>
      </c>
      <c r="F111" s="817">
        <f t="shared" si="29"/>
        <v>226908.99</v>
      </c>
      <c r="G111" s="818"/>
      <c r="H111" s="818"/>
      <c r="I111" s="819">
        <f t="shared" ref="I111:I139" si="32">(F111*($E$77+$E$82))/$E$75</f>
        <v>59473.19455</v>
      </c>
      <c r="J111" s="728"/>
      <c r="K111" s="728"/>
      <c r="L111" s="728"/>
      <c r="M111" s="728"/>
      <c r="N111" s="728"/>
      <c r="O111" s="652"/>
      <c r="P111" s="652"/>
      <c r="Q111" s="652"/>
      <c r="R111" s="652"/>
    </row>
    <row r="112" ht="15.75" customHeight="1">
      <c r="A112" s="820">
        <v>3.0</v>
      </c>
      <c r="B112" s="821" t="str">
        <f t="shared" si="28"/>
        <v>#DIV/0!</v>
      </c>
      <c r="C112" s="822">
        <v>0.004</v>
      </c>
      <c r="D112" s="822">
        <f t="shared" si="30"/>
        <v>0.014</v>
      </c>
      <c r="E112" s="822">
        <f t="shared" si="31"/>
        <v>0.986</v>
      </c>
      <c r="F112" s="823">
        <f t="shared" si="29"/>
        <v>225992.186</v>
      </c>
      <c r="G112" s="824"/>
      <c r="H112" s="824"/>
      <c r="I112" s="825">
        <f t="shared" si="32"/>
        <v>59232.89881</v>
      </c>
      <c r="J112" s="728"/>
      <c r="K112" s="728"/>
      <c r="L112" s="728"/>
      <c r="M112" s="728"/>
      <c r="N112" s="728"/>
      <c r="O112" s="652"/>
      <c r="P112" s="652"/>
      <c r="Q112" s="652"/>
      <c r="R112" s="652"/>
    </row>
    <row r="113" ht="15.75" customHeight="1">
      <c r="A113" s="826">
        <v>4.0</v>
      </c>
      <c r="B113" s="827" t="str">
        <f t="shared" si="28"/>
        <v>#DIV/0!</v>
      </c>
      <c r="C113" s="828">
        <v>0.004</v>
      </c>
      <c r="D113" s="828">
        <f t="shared" si="30"/>
        <v>0.018</v>
      </c>
      <c r="E113" s="828">
        <f t="shared" si="31"/>
        <v>0.982</v>
      </c>
      <c r="F113" s="829">
        <f t="shared" si="29"/>
        <v>225075.382</v>
      </c>
      <c r="G113" s="830"/>
      <c r="H113" s="831">
        <f t="shared" ref="H113:H139" si="33">$E$81</f>
        <v>200</v>
      </c>
      <c r="I113" s="831">
        <f t="shared" si="32"/>
        <v>58992.60307</v>
      </c>
      <c r="J113" s="728"/>
      <c r="K113" s="728"/>
      <c r="L113" s="728"/>
      <c r="M113" s="728"/>
      <c r="N113" s="728"/>
      <c r="O113" s="652"/>
      <c r="P113" s="652"/>
      <c r="Q113" s="652"/>
      <c r="R113" s="652"/>
    </row>
    <row r="114" ht="15.75" customHeight="1">
      <c r="A114" s="806">
        <v>5.0</v>
      </c>
      <c r="B114" s="832" t="str">
        <f t="shared" si="28"/>
        <v>#DIV/0!</v>
      </c>
      <c r="C114" s="833">
        <v>0.004</v>
      </c>
      <c r="D114" s="833">
        <f t="shared" si="30"/>
        <v>0.022</v>
      </c>
      <c r="E114" s="833">
        <f t="shared" si="31"/>
        <v>0.978</v>
      </c>
      <c r="F114" s="834">
        <f t="shared" si="29"/>
        <v>224158.578</v>
      </c>
      <c r="G114" s="835"/>
      <c r="H114" s="836">
        <f t="shared" si="33"/>
        <v>200</v>
      </c>
      <c r="I114" s="836">
        <f t="shared" si="32"/>
        <v>58752.30734</v>
      </c>
      <c r="J114" s="728"/>
      <c r="K114" s="728"/>
      <c r="L114" s="728"/>
      <c r="M114" s="728"/>
      <c r="N114" s="728"/>
      <c r="O114" s="652"/>
      <c r="P114" s="652"/>
      <c r="Q114" s="652"/>
      <c r="R114" s="652"/>
    </row>
    <row r="115" ht="15.75" customHeight="1">
      <c r="A115" s="814">
        <v>6.0</v>
      </c>
      <c r="B115" s="815" t="str">
        <f t="shared" si="28"/>
        <v>#DIV/0!</v>
      </c>
      <c r="C115" s="816">
        <v>0.004</v>
      </c>
      <c r="D115" s="816">
        <f t="shared" si="30"/>
        <v>0.026</v>
      </c>
      <c r="E115" s="816">
        <f t="shared" si="31"/>
        <v>0.974</v>
      </c>
      <c r="F115" s="817">
        <f t="shared" si="29"/>
        <v>223241.774</v>
      </c>
      <c r="G115" s="818"/>
      <c r="H115" s="819">
        <f t="shared" si="33"/>
        <v>200</v>
      </c>
      <c r="I115" s="819">
        <f t="shared" si="32"/>
        <v>58512.0116</v>
      </c>
      <c r="J115" s="728"/>
      <c r="K115" s="728"/>
      <c r="L115" s="728"/>
      <c r="M115" s="728"/>
      <c r="N115" s="728"/>
      <c r="O115" s="652"/>
      <c r="P115" s="652"/>
      <c r="Q115" s="652"/>
      <c r="R115" s="652"/>
    </row>
    <row r="116" ht="15.75" customHeight="1">
      <c r="A116" s="806">
        <v>7.0</v>
      </c>
      <c r="B116" s="832" t="str">
        <f t="shared" si="28"/>
        <v>#DIV/0!</v>
      </c>
      <c r="C116" s="833">
        <v>0.004</v>
      </c>
      <c r="D116" s="833">
        <f t="shared" si="30"/>
        <v>0.03</v>
      </c>
      <c r="E116" s="833">
        <f t="shared" si="31"/>
        <v>0.97</v>
      </c>
      <c r="F116" s="834">
        <f t="shared" si="29"/>
        <v>222324.97</v>
      </c>
      <c r="G116" s="835"/>
      <c r="H116" s="836">
        <f t="shared" si="33"/>
        <v>200</v>
      </c>
      <c r="I116" s="836">
        <f t="shared" si="32"/>
        <v>58271.71587</v>
      </c>
      <c r="J116" s="728"/>
      <c r="K116" s="728"/>
      <c r="L116" s="728"/>
      <c r="M116" s="728"/>
      <c r="N116" s="728"/>
      <c r="O116" s="652"/>
      <c r="P116" s="652"/>
      <c r="Q116" s="652"/>
      <c r="R116" s="652"/>
    </row>
    <row r="117" ht="15.75" customHeight="1">
      <c r="A117" s="814">
        <v>8.0</v>
      </c>
      <c r="B117" s="815" t="str">
        <f t="shared" si="28"/>
        <v>#DIV/0!</v>
      </c>
      <c r="C117" s="816">
        <v>0.004</v>
      </c>
      <c r="D117" s="816">
        <f t="shared" si="30"/>
        <v>0.034</v>
      </c>
      <c r="E117" s="816">
        <f t="shared" si="31"/>
        <v>0.966</v>
      </c>
      <c r="F117" s="817">
        <f t="shared" si="29"/>
        <v>221408.166</v>
      </c>
      <c r="G117" s="818"/>
      <c r="H117" s="819">
        <f t="shared" si="33"/>
        <v>200</v>
      </c>
      <c r="I117" s="819">
        <f t="shared" si="32"/>
        <v>58031.42013</v>
      </c>
      <c r="J117" s="728"/>
      <c r="K117" s="728"/>
      <c r="L117" s="728"/>
      <c r="M117" s="728"/>
      <c r="N117" s="728"/>
      <c r="O117" s="652"/>
      <c r="P117" s="652"/>
      <c r="Q117" s="652"/>
      <c r="R117" s="652"/>
    </row>
    <row r="118" ht="15.75" customHeight="1">
      <c r="A118" s="806">
        <v>9.0</v>
      </c>
      <c r="B118" s="832" t="str">
        <f t="shared" si="28"/>
        <v>#DIV/0!</v>
      </c>
      <c r="C118" s="833">
        <v>0.004</v>
      </c>
      <c r="D118" s="833">
        <f t="shared" si="30"/>
        <v>0.038</v>
      </c>
      <c r="E118" s="833">
        <f t="shared" si="31"/>
        <v>0.962</v>
      </c>
      <c r="F118" s="834">
        <f t="shared" si="29"/>
        <v>220491.362</v>
      </c>
      <c r="G118" s="835"/>
      <c r="H118" s="836">
        <f t="shared" si="33"/>
        <v>200</v>
      </c>
      <c r="I118" s="836">
        <f t="shared" si="32"/>
        <v>57791.1244</v>
      </c>
      <c r="J118" s="728"/>
      <c r="K118" s="728"/>
      <c r="L118" s="728"/>
      <c r="M118" s="728"/>
      <c r="N118" s="728"/>
      <c r="O118" s="652"/>
      <c r="P118" s="652"/>
      <c r="Q118" s="652"/>
      <c r="R118" s="652"/>
    </row>
    <row r="119" ht="15.75" customHeight="1">
      <c r="A119" s="814">
        <v>10.0</v>
      </c>
      <c r="B119" s="815" t="str">
        <f t="shared" si="28"/>
        <v>#DIV/0!</v>
      </c>
      <c r="C119" s="816">
        <v>0.004</v>
      </c>
      <c r="D119" s="816">
        <f t="shared" si="30"/>
        <v>0.042</v>
      </c>
      <c r="E119" s="816">
        <f t="shared" si="31"/>
        <v>0.958</v>
      </c>
      <c r="F119" s="817">
        <f t="shared" si="29"/>
        <v>219574.558</v>
      </c>
      <c r="G119" s="818"/>
      <c r="H119" s="819">
        <f t="shared" si="33"/>
        <v>200</v>
      </c>
      <c r="I119" s="819">
        <f t="shared" si="32"/>
        <v>57550.82866</v>
      </c>
      <c r="J119" s="728"/>
      <c r="K119" s="728"/>
      <c r="L119" s="728"/>
      <c r="M119" s="728"/>
      <c r="N119" s="728"/>
      <c r="O119" s="652"/>
      <c r="P119" s="652"/>
      <c r="Q119" s="652"/>
      <c r="R119" s="652"/>
    </row>
    <row r="120" ht="15.75" customHeight="1">
      <c r="A120" s="806">
        <v>11.0</v>
      </c>
      <c r="B120" s="832" t="str">
        <f t="shared" si="28"/>
        <v>#DIV/0!</v>
      </c>
      <c r="C120" s="833">
        <v>0.004</v>
      </c>
      <c r="D120" s="833">
        <f t="shared" si="30"/>
        <v>0.046</v>
      </c>
      <c r="E120" s="833">
        <f t="shared" si="31"/>
        <v>0.954</v>
      </c>
      <c r="F120" s="834">
        <f t="shared" si="29"/>
        <v>218657.754</v>
      </c>
      <c r="G120" s="835"/>
      <c r="H120" s="836">
        <f t="shared" si="33"/>
        <v>200</v>
      </c>
      <c r="I120" s="836">
        <f t="shared" si="32"/>
        <v>57310.53293</v>
      </c>
      <c r="J120" s="728"/>
      <c r="K120" s="728"/>
      <c r="L120" s="728"/>
      <c r="M120" s="728"/>
      <c r="N120" s="728"/>
      <c r="O120" s="652"/>
      <c r="P120" s="652"/>
      <c r="Q120" s="652"/>
      <c r="R120" s="652"/>
    </row>
    <row r="121" ht="15.75" customHeight="1">
      <c r="A121" s="814">
        <v>12.0</v>
      </c>
      <c r="B121" s="815" t="str">
        <f t="shared" si="28"/>
        <v>#DIV/0!</v>
      </c>
      <c r="C121" s="816">
        <v>0.004</v>
      </c>
      <c r="D121" s="816">
        <f t="shared" si="30"/>
        <v>0.05</v>
      </c>
      <c r="E121" s="816">
        <f t="shared" si="31"/>
        <v>0.95</v>
      </c>
      <c r="F121" s="817">
        <f t="shared" si="29"/>
        <v>217740.95</v>
      </c>
      <c r="G121" s="818"/>
      <c r="H121" s="819">
        <f t="shared" si="33"/>
        <v>200</v>
      </c>
      <c r="I121" s="819">
        <f t="shared" si="32"/>
        <v>57070.23719</v>
      </c>
      <c r="J121" s="728"/>
      <c r="K121" s="728"/>
      <c r="L121" s="728"/>
      <c r="M121" s="728"/>
      <c r="N121" s="728"/>
      <c r="O121" s="652"/>
      <c r="P121" s="652"/>
      <c r="Q121" s="652"/>
      <c r="R121" s="652"/>
    </row>
    <row r="122" ht="15.75" customHeight="1">
      <c r="A122" s="806">
        <v>13.0</v>
      </c>
      <c r="B122" s="832" t="str">
        <f t="shared" si="28"/>
        <v>#DIV/0!</v>
      </c>
      <c r="C122" s="833">
        <v>0.004</v>
      </c>
      <c r="D122" s="833">
        <f t="shared" si="30"/>
        <v>0.054</v>
      </c>
      <c r="E122" s="833">
        <f t="shared" si="31"/>
        <v>0.946</v>
      </c>
      <c r="F122" s="834">
        <f t="shared" si="29"/>
        <v>216824.146</v>
      </c>
      <c r="G122" s="835"/>
      <c r="H122" s="836">
        <f t="shared" si="33"/>
        <v>200</v>
      </c>
      <c r="I122" s="836">
        <f t="shared" si="32"/>
        <v>56829.94145</v>
      </c>
      <c r="J122" s="728"/>
      <c r="K122" s="728"/>
      <c r="L122" s="728"/>
      <c r="M122" s="728"/>
      <c r="N122" s="728"/>
      <c r="O122" s="652"/>
      <c r="P122" s="652"/>
      <c r="Q122" s="652"/>
      <c r="R122" s="652"/>
    </row>
    <row r="123" ht="15.75" customHeight="1">
      <c r="A123" s="814">
        <v>14.0</v>
      </c>
      <c r="B123" s="815" t="str">
        <f t="shared" si="28"/>
        <v>#DIV/0!</v>
      </c>
      <c r="C123" s="816">
        <v>0.004</v>
      </c>
      <c r="D123" s="816">
        <f t="shared" si="30"/>
        <v>0.058</v>
      </c>
      <c r="E123" s="816">
        <f t="shared" si="31"/>
        <v>0.942</v>
      </c>
      <c r="F123" s="817">
        <f t="shared" si="29"/>
        <v>215907.342</v>
      </c>
      <c r="G123" s="818"/>
      <c r="H123" s="819">
        <f t="shared" si="33"/>
        <v>200</v>
      </c>
      <c r="I123" s="819">
        <f t="shared" si="32"/>
        <v>56589.64572</v>
      </c>
      <c r="J123" s="728"/>
      <c r="K123" s="728"/>
      <c r="L123" s="728"/>
      <c r="M123" s="728"/>
      <c r="N123" s="728"/>
      <c r="O123" s="652"/>
      <c r="P123" s="652"/>
      <c r="Q123" s="652"/>
      <c r="R123" s="652"/>
    </row>
    <row r="124" ht="15.75" customHeight="1">
      <c r="A124" s="806">
        <v>15.0</v>
      </c>
      <c r="B124" s="832" t="str">
        <f t="shared" si="28"/>
        <v>#DIV/0!</v>
      </c>
      <c r="C124" s="833">
        <v>0.004</v>
      </c>
      <c r="D124" s="833">
        <f t="shared" si="30"/>
        <v>0.062</v>
      </c>
      <c r="E124" s="833">
        <f t="shared" si="31"/>
        <v>0.938</v>
      </c>
      <c r="F124" s="834">
        <f t="shared" si="29"/>
        <v>214990.538</v>
      </c>
      <c r="G124" s="836">
        <f>$E$83</f>
        <v>11700</v>
      </c>
      <c r="H124" s="836">
        <f t="shared" si="33"/>
        <v>200</v>
      </c>
      <c r="I124" s="836">
        <f t="shared" si="32"/>
        <v>56349.34998</v>
      </c>
      <c r="J124" s="728"/>
      <c r="K124" s="728"/>
      <c r="L124" s="728"/>
      <c r="M124" s="728"/>
      <c r="N124" s="728"/>
      <c r="O124" s="652"/>
      <c r="P124" s="652"/>
      <c r="Q124" s="652"/>
      <c r="R124" s="652"/>
    </row>
    <row r="125" ht="15.75" customHeight="1">
      <c r="A125" s="814">
        <v>16.0</v>
      </c>
      <c r="B125" s="815" t="str">
        <f t="shared" si="28"/>
        <v>#DIV/0!</v>
      </c>
      <c r="C125" s="816">
        <v>0.004</v>
      </c>
      <c r="D125" s="816">
        <f t="shared" si="30"/>
        <v>0.066</v>
      </c>
      <c r="E125" s="816">
        <f t="shared" si="31"/>
        <v>0.934</v>
      </c>
      <c r="F125" s="817">
        <f t="shared" si="29"/>
        <v>214073.734</v>
      </c>
      <c r="G125" s="818"/>
      <c r="H125" s="819">
        <f t="shared" si="33"/>
        <v>200</v>
      </c>
      <c r="I125" s="819">
        <f t="shared" si="32"/>
        <v>56109.05425</v>
      </c>
      <c r="J125" s="728"/>
      <c r="K125" s="728"/>
      <c r="L125" s="728"/>
      <c r="M125" s="728"/>
      <c r="N125" s="728"/>
      <c r="O125" s="652"/>
      <c r="P125" s="652"/>
      <c r="Q125" s="652"/>
      <c r="R125" s="652"/>
    </row>
    <row r="126" ht="15.75" customHeight="1">
      <c r="A126" s="806">
        <v>17.0</v>
      </c>
      <c r="B126" s="832" t="str">
        <f t="shared" si="28"/>
        <v>#DIV/0!</v>
      </c>
      <c r="C126" s="833">
        <v>0.004</v>
      </c>
      <c r="D126" s="833">
        <f t="shared" si="30"/>
        <v>0.07</v>
      </c>
      <c r="E126" s="833">
        <f t="shared" si="31"/>
        <v>0.93</v>
      </c>
      <c r="F126" s="834">
        <f t="shared" si="29"/>
        <v>213156.93</v>
      </c>
      <c r="G126" s="835"/>
      <c r="H126" s="836">
        <f t="shared" si="33"/>
        <v>200</v>
      </c>
      <c r="I126" s="836">
        <f t="shared" si="32"/>
        <v>55868.75851</v>
      </c>
      <c r="J126" s="728"/>
      <c r="K126" s="728"/>
      <c r="L126" s="728"/>
      <c r="M126" s="728"/>
      <c r="N126" s="728"/>
      <c r="O126" s="652"/>
      <c r="P126" s="652"/>
      <c r="Q126" s="652"/>
      <c r="R126" s="652"/>
    </row>
    <row r="127" ht="15.75" customHeight="1">
      <c r="A127" s="814">
        <v>18.0</v>
      </c>
      <c r="B127" s="815" t="str">
        <f t="shared" si="28"/>
        <v>#DIV/0!</v>
      </c>
      <c r="C127" s="816">
        <v>0.004</v>
      </c>
      <c r="D127" s="816">
        <f t="shared" si="30"/>
        <v>0.074</v>
      </c>
      <c r="E127" s="816">
        <f t="shared" si="31"/>
        <v>0.926</v>
      </c>
      <c r="F127" s="817">
        <f t="shared" si="29"/>
        <v>212240.126</v>
      </c>
      <c r="G127" s="818"/>
      <c r="H127" s="819">
        <f t="shared" si="33"/>
        <v>200</v>
      </c>
      <c r="I127" s="819">
        <f t="shared" si="32"/>
        <v>55628.46278</v>
      </c>
      <c r="J127" s="728"/>
      <c r="K127" s="728"/>
      <c r="L127" s="728"/>
      <c r="M127" s="728"/>
      <c r="N127" s="728"/>
      <c r="O127" s="652"/>
      <c r="P127" s="652"/>
      <c r="Q127" s="652"/>
      <c r="R127" s="652"/>
    </row>
    <row r="128" ht="15.75" customHeight="1">
      <c r="A128" s="806">
        <v>19.0</v>
      </c>
      <c r="B128" s="832" t="str">
        <f t="shared" si="28"/>
        <v>#DIV/0!</v>
      </c>
      <c r="C128" s="833">
        <v>0.004</v>
      </c>
      <c r="D128" s="833">
        <f t="shared" si="30"/>
        <v>0.078</v>
      </c>
      <c r="E128" s="833">
        <f t="shared" si="31"/>
        <v>0.922</v>
      </c>
      <c r="F128" s="834">
        <f t="shared" si="29"/>
        <v>211323.322</v>
      </c>
      <c r="G128" s="835"/>
      <c r="H128" s="836">
        <f t="shared" si="33"/>
        <v>200</v>
      </c>
      <c r="I128" s="836">
        <f t="shared" si="32"/>
        <v>55388.16704</v>
      </c>
      <c r="J128" s="728"/>
      <c r="K128" s="728"/>
      <c r="L128" s="728"/>
      <c r="M128" s="728"/>
      <c r="N128" s="728"/>
      <c r="O128" s="652"/>
      <c r="P128" s="652"/>
      <c r="Q128" s="652"/>
      <c r="R128" s="652"/>
    </row>
    <row r="129" ht="15.75" customHeight="1">
      <c r="A129" s="814">
        <v>20.0</v>
      </c>
      <c r="B129" s="815" t="str">
        <f t="shared" si="28"/>
        <v>#DIV/0!</v>
      </c>
      <c r="C129" s="816">
        <v>0.004</v>
      </c>
      <c r="D129" s="816">
        <f t="shared" si="30"/>
        <v>0.082</v>
      </c>
      <c r="E129" s="816">
        <f t="shared" si="31"/>
        <v>0.918</v>
      </c>
      <c r="F129" s="817">
        <f t="shared" si="29"/>
        <v>210406.518</v>
      </c>
      <c r="G129" s="818"/>
      <c r="H129" s="819">
        <f t="shared" si="33"/>
        <v>200</v>
      </c>
      <c r="I129" s="819">
        <f t="shared" si="32"/>
        <v>55147.87131</v>
      </c>
      <c r="J129" s="728"/>
      <c r="K129" s="728"/>
      <c r="L129" s="728"/>
      <c r="M129" s="728"/>
      <c r="N129" s="728"/>
      <c r="O129" s="652"/>
      <c r="P129" s="652"/>
      <c r="Q129" s="652"/>
      <c r="R129" s="652"/>
    </row>
    <row r="130" ht="15.75" customHeight="1">
      <c r="A130" s="806">
        <v>21.0</v>
      </c>
      <c r="B130" s="832" t="str">
        <f t="shared" si="28"/>
        <v>#DIV/0!</v>
      </c>
      <c r="C130" s="833">
        <v>0.004</v>
      </c>
      <c r="D130" s="833">
        <f t="shared" si="30"/>
        <v>0.086</v>
      </c>
      <c r="E130" s="833">
        <f t="shared" si="31"/>
        <v>0.914</v>
      </c>
      <c r="F130" s="834">
        <f t="shared" si="29"/>
        <v>209489.714</v>
      </c>
      <c r="G130" s="835"/>
      <c r="H130" s="836">
        <f t="shared" si="33"/>
        <v>200</v>
      </c>
      <c r="I130" s="836">
        <f t="shared" si="32"/>
        <v>54907.57557</v>
      </c>
      <c r="J130" s="728"/>
      <c r="K130" s="728"/>
      <c r="L130" s="728"/>
      <c r="M130" s="728"/>
      <c r="N130" s="728"/>
      <c r="O130" s="652"/>
      <c r="P130" s="652"/>
      <c r="Q130" s="652"/>
      <c r="R130" s="652"/>
    </row>
    <row r="131" ht="15.75" customHeight="1">
      <c r="A131" s="814">
        <v>22.0</v>
      </c>
      <c r="B131" s="815" t="str">
        <f t="shared" si="28"/>
        <v>#DIV/0!</v>
      </c>
      <c r="C131" s="816">
        <v>0.004</v>
      </c>
      <c r="D131" s="816">
        <f t="shared" si="30"/>
        <v>0.09</v>
      </c>
      <c r="E131" s="816">
        <f t="shared" si="31"/>
        <v>0.91</v>
      </c>
      <c r="F131" s="817">
        <f t="shared" si="29"/>
        <v>208572.91</v>
      </c>
      <c r="G131" s="818"/>
      <c r="H131" s="819">
        <f t="shared" si="33"/>
        <v>200</v>
      </c>
      <c r="I131" s="819">
        <f t="shared" si="32"/>
        <v>54667.27983</v>
      </c>
      <c r="J131" s="728"/>
      <c r="K131" s="728"/>
      <c r="L131" s="728"/>
      <c r="M131" s="728"/>
      <c r="N131" s="728"/>
      <c r="O131" s="652"/>
      <c r="P131" s="652"/>
      <c r="Q131" s="652"/>
      <c r="R131" s="652"/>
    </row>
    <row r="132" ht="15.75" customHeight="1">
      <c r="A132" s="806">
        <v>23.0</v>
      </c>
      <c r="B132" s="832" t="str">
        <f t="shared" si="28"/>
        <v>#DIV/0!</v>
      </c>
      <c r="C132" s="833">
        <v>0.004</v>
      </c>
      <c r="D132" s="833">
        <f t="shared" si="30"/>
        <v>0.094</v>
      </c>
      <c r="E132" s="833">
        <f t="shared" si="31"/>
        <v>0.906</v>
      </c>
      <c r="F132" s="834">
        <f t="shared" si="29"/>
        <v>207656.106</v>
      </c>
      <c r="G132" s="835"/>
      <c r="H132" s="836">
        <f t="shared" si="33"/>
        <v>200</v>
      </c>
      <c r="I132" s="836">
        <f t="shared" si="32"/>
        <v>54426.9841</v>
      </c>
      <c r="J132" s="728"/>
      <c r="K132" s="728"/>
      <c r="L132" s="728"/>
      <c r="M132" s="728"/>
      <c r="N132" s="728"/>
      <c r="O132" s="652"/>
      <c r="P132" s="652"/>
      <c r="Q132" s="652"/>
      <c r="R132" s="652"/>
    </row>
    <row r="133" ht="15.75" customHeight="1">
      <c r="A133" s="814">
        <v>24.0</v>
      </c>
      <c r="B133" s="815" t="str">
        <f t="shared" si="28"/>
        <v>#DIV/0!</v>
      </c>
      <c r="C133" s="816">
        <v>0.004</v>
      </c>
      <c r="D133" s="816">
        <f t="shared" si="30"/>
        <v>0.098</v>
      </c>
      <c r="E133" s="816">
        <f t="shared" si="31"/>
        <v>0.902</v>
      </c>
      <c r="F133" s="817">
        <f t="shared" si="29"/>
        <v>206739.302</v>
      </c>
      <c r="G133" s="818"/>
      <c r="H133" s="819">
        <f t="shared" si="33"/>
        <v>200</v>
      </c>
      <c r="I133" s="819">
        <f t="shared" si="32"/>
        <v>54186.68836</v>
      </c>
      <c r="J133" s="728"/>
      <c r="K133" s="728"/>
      <c r="L133" s="728"/>
      <c r="M133" s="728"/>
      <c r="N133" s="728"/>
      <c r="O133" s="652"/>
      <c r="P133" s="652"/>
      <c r="Q133" s="652"/>
      <c r="R133" s="652"/>
    </row>
    <row r="134" ht="15.75" customHeight="1">
      <c r="A134" s="806">
        <v>25.0</v>
      </c>
      <c r="B134" s="832" t="str">
        <f t="shared" si="28"/>
        <v>#DIV/0!</v>
      </c>
      <c r="C134" s="833">
        <v>0.004</v>
      </c>
      <c r="D134" s="833">
        <f t="shared" si="30"/>
        <v>0.102</v>
      </c>
      <c r="E134" s="833">
        <f t="shared" si="31"/>
        <v>0.898</v>
      </c>
      <c r="F134" s="834">
        <f t="shared" si="29"/>
        <v>205822.498</v>
      </c>
      <c r="G134" s="835"/>
      <c r="H134" s="836">
        <f t="shared" si="33"/>
        <v>200</v>
      </c>
      <c r="I134" s="836">
        <f t="shared" si="32"/>
        <v>53946.39263</v>
      </c>
      <c r="J134" s="728"/>
      <c r="K134" s="728"/>
      <c r="L134" s="728"/>
      <c r="M134" s="728"/>
      <c r="N134" s="728"/>
      <c r="O134" s="652"/>
      <c r="P134" s="652"/>
      <c r="Q134" s="652"/>
      <c r="R134" s="652"/>
    </row>
    <row r="135" ht="15.75" customHeight="1">
      <c r="A135" s="814">
        <v>26.0</v>
      </c>
      <c r="B135" s="815" t="str">
        <f t="shared" si="28"/>
        <v>#DIV/0!</v>
      </c>
      <c r="C135" s="816">
        <v>0.004</v>
      </c>
      <c r="D135" s="816">
        <f t="shared" si="30"/>
        <v>0.106</v>
      </c>
      <c r="E135" s="816">
        <f t="shared" si="31"/>
        <v>0.894</v>
      </c>
      <c r="F135" s="817">
        <f t="shared" si="29"/>
        <v>204905.694</v>
      </c>
      <c r="G135" s="818"/>
      <c r="H135" s="819">
        <f t="shared" si="33"/>
        <v>200</v>
      </c>
      <c r="I135" s="819">
        <f t="shared" si="32"/>
        <v>53706.09689</v>
      </c>
      <c r="J135" s="728"/>
      <c r="K135" s="728"/>
      <c r="L135" s="728"/>
      <c r="M135" s="728"/>
      <c r="N135" s="728"/>
      <c r="O135" s="652"/>
      <c r="P135" s="652"/>
      <c r="Q135" s="652"/>
      <c r="R135" s="652"/>
    </row>
    <row r="136" ht="15.75" customHeight="1">
      <c r="A136" s="806">
        <v>27.0</v>
      </c>
      <c r="B136" s="832" t="str">
        <f t="shared" si="28"/>
        <v>#DIV/0!</v>
      </c>
      <c r="C136" s="833">
        <v>0.004</v>
      </c>
      <c r="D136" s="833">
        <f t="shared" si="30"/>
        <v>0.11</v>
      </c>
      <c r="E136" s="833">
        <f t="shared" si="31"/>
        <v>0.89</v>
      </c>
      <c r="F136" s="834">
        <f t="shared" si="29"/>
        <v>203988.89</v>
      </c>
      <c r="G136" s="835"/>
      <c r="H136" s="836">
        <f t="shared" si="33"/>
        <v>200</v>
      </c>
      <c r="I136" s="836">
        <f t="shared" si="32"/>
        <v>53465.80116</v>
      </c>
      <c r="J136" s="728"/>
      <c r="K136" s="728"/>
      <c r="L136" s="728"/>
      <c r="M136" s="728"/>
      <c r="N136" s="728"/>
      <c r="O136" s="652"/>
      <c r="P136" s="652"/>
      <c r="Q136" s="652"/>
      <c r="R136" s="652"/>
    </row>
    <row r="137" ht="15.75" customHeight="1">
      <c r="A137" s="814">
        <v>28.0</v>
      </c>
      <c r="B137" s="815" t="str">
        <f t="shared" si="28"/>
        <v>#DIV/0!</v>
      </c>
      <c r="C137" s="816">
        <v>0.004</v>
      </c>
      <c r="D137" s="816">
        <f t="shared" si="30"/>
        <v>0.114</v>
      </c>
      <c r="E137" s="816">
        <f t="shared" si="31"/>
        <v>0.886</v>
      </c>
      <c r="F137" s="817">
        <f t="shared" si="29"/>
        <v>203072.086</v>
      </c>
      <c r="G137" s="818"/>
      <c r="H137" s="819">
        <f t="shared" si="33"/>
        <v>200</v>
      </c>
      <c r="I137" s="819">
        <f t="shared" si="32"/>
        <v>53225.50542</v>
      </c>
      <c r="J137" s="728"/>
      <c r="K137" s="728"/>
      <c r="L137" s="728"/>
      <c r="M137" s="728"/>
      <c r="N137" s="728"/>
      <c r="O137" s="652"/>
      <c r="P137" s="652"/>
      <c r="Q137" s="652"/>
      <c r="R137" s="652"/>
    </row>
    <row r="138" ht="15.75" customHeight="1">
      <c r="A138" s="806">
        <v>29.0</v>
      </c>
      <c r="B138" s="832" t="str">
        <f t="shared" si="28"/>
        <v>#DIV/0!</v>
      </c>
      <c r="C138" s="833">
        <v>0.004</v>
      </c>
      <c r="D138" s="833">
        <f t="shared" si="30"/>
        <v>0.118</v>
      </c>
      <c r="E138" s="833">
        <f t="shared" si="31"/>
        <v>0.882</v>
      </c>
      <c r="F138" s="834">
        <f t="shared" si="29"/>
        <v>202155.282</v>
      </c>
      <c r="G138" s="835"/>
      <c r="H138" s="836">
        <f t="shared" si="33"/>
        <v>200</v>
      </c>
      <c r="I138" s="836">
        <f t="shared" si="32"/>
        <v>52985.20969</v>
      </c>
      <c r="J138" s="728"/>
      <c r="K138" s="728"/>
      <c r="L138" s="728"/>
      <c r="M138" s="728"/>
      <c r="N138" s="728"/>
      <c r="O138" s="652"/>
      <c r="P138" s="652"/>
      <c r="Q138" s="652"/>
      <c r="R138" s="652"/>
    </row>
    <row r="139" ht="15.75" customHeight="1">
      <c r="A139" s="814">
        <v>30.0</v>
      </c>
      <c r="B139" s="815" t="str">
        <f t="shared" si="28"/>
        <v>#DIV/0!</v>
      </c>
      <c r="C139" s="816">
        <v>0.004</v>
      </c>
      <c r="D139" s="816">
        <f t="shared" si="30"/>
        <v>0.122</v>
      </c>
      <c r="E139" s="816">
        <f t="shared" si="31"/>
        <v>0.878</v>
      </c>
      <c r="F139" s="817">
        <f t="shared" si="29"/>
        <v>201238.478</v>
      </c>
      <c r="G139" s="818"/>
      <c r="H139" s="819">
        <f t="shared" si="33"/>
        <v>200</v>
      </c>
      <c r="I139" s="819">
        <f t="shared" si="32"/>
        <v>52744.91395</v>
      </c>
      <c r="J139" s="728"/>
      <c r="K139" s="728"/>
      <c r="L139" s="728"/>
      <c r="M139" s="728"/>
      <c r="N139" s="728"/>
      <c r="O139" s="652"/>
      <c r="P139" s="652"/>
      <c r="Q139" s="652"/>
      <c r="R139" s="652"/>
    </row>
    <row r="140" ht="15.75" customHeight="1">
      <c r="A140" s="806">
        <v>31.0</v>
      </c>
      <c r="B140" s="832"/>
      <c r="C140" s="833">
        <v>0.004</v>
      </c>
      <c r="D140" s="833">
        <f t="shared" si="30"/>
        <v>0.126</v>
      </c>
      <c r="E140" s="833">
        <f t="shared" si="31"/>
        <v>0.874</v>
      </c>
      <c r="F140" s="835"/>
      <c r="G140" s="835"/>
      <c r="H140" s="835"/>
      <c r="I140" s="835"/>
      <c r="J140" s="728"/>
      <c r="K140" s="728"/>
      <c r="L140" s="728"/>
      <c r="M140" s="728"/>
      <c r="N140" s="728"/>
      <c r="O140" s="652"/>
      <c r="P140" s="652"/>
      <c r="Q140" s="652"/>
      <c r="R140" s="652"/>
    </row>
    <row r="141" ht="15.75" customHeight="1">
      <c r="A141" s="837"/>
      <c r="B141" s="837"/>
      <c r="C141" s="837"/>
      <c r="D141" s="837"/>
      <c r="E141" s="837"/>
      <c r="F141" s="838">
        <f>SUM(F110:F140)</f>
        <v>6437339.286</v>
      </c>
      <c r="G141" s="837"/>
      <c r="H141" s="837"/>
      <c r="I141" s="837"/>
      <c r="J141" s="728"/>
      <c r="K141" s="728"/>
      <c r="L141" s="728"/>
      <c r="M141" s="728"/>
      <c r="N141" s="728"/>
      <c r="O141" s="652"/>
      <c r="P141" s="652"/>
      <c r="Q141" s="652"/>
      <c r="R141" s="652"/>
    </row>
    <row r="142" ht="15.75" customHeight="1">
      <c r="A142" s="728"/>
      <c r="B142" s="728"/>
      <c r="C142" s="728"/>
      <c r="D142" s="728"/>
      <c r="E142" s="728"/>
      <c r="F142" s="728"/>
      <c r="G142" s="728"/>
      <c r="H142" s="728"/>
      <c r="I142" s="728"/>
      <c r="J142" s="728"/>
      <c r="K142" s="728"/>
      <c r="L142" s="728"/>
      <c r="M142" s="728"/>
      <c r="N142" s="728"/>
      <c r="O142" s="652"/>
      <c r="P142" s="652"/>
      <c r="Q142" s="652"/>
      <c r="R142" s="652"/>
    </row>
    <row r="143" ht="15.75" customHeight="1">
      <c r="A143" s="725"/>
      <c r="B143" s="725"/>
      <c r="C143" s="725"/>
      <c r="D143" s="725"/>
      <c r="E143" s="725"/>
      <c r="F143" s="725"/>
      <c r="G143" s="725"/>
      <c r="H143" s="725"/>
      <c r="I143" s="725"/>
      <c r="J143" s="725"/>
      <c r="K143" s="725"/>
      <c r="L143" s="725"/>
      <c r="M143" s="725"/>
      <c r="N143" s="725"/>
      <c r="O143" s="652"/>
      <c r="P143" s="652"/>
      <c r="Q143" s="652"/>
      <c r="R143" s="652"/>
    </row>
    <row r="144" ht="15.75" customHeight="1">
      <c r="A144" s="725"/>
      <c r="B144" s="725"/>
      <c r="C144" s="725"/>
      <c r="D144" s="725"/>
      <c r="E144" s="725"/>
      <c r="F144" s="725"/>
      <c r="G144" s="725"/>
      <c r="H144" s="725"/>
      <c r="I144" s="725"/>
      <c r="J144" s="725"/>
      <c r="K144" s="725"/>
      <c r="L144" s="725"/>
      <c r="M144" s="725"/>
      <c r="N144" s="725"/>
      <c r="O144" s="652"/>
      <c r="P144" s="652"/>
      <c r="Q144" s="652"/>
      <c r="R144" s="652"/>
    </row>
    <row r="145" ht="15.75" customHeight="1">
      <c r="A145" s="725"/>
      <c r="B145" s="725"/>
      <c r="C145" s="725"/>
      <c r="D145" s="725"/>
      <c r="E145" s="725"/>
      <c r="F145" s="725"/>
      <c r="G145" s="725"/>
      <c r="H145" s="725"/>
      <c r="I145" s="725"/>
      <c r="J145" s="725"/>
      <c r="K145" s="725"/>
      <c r="L145" s="725"/>
      <c r="M145" s="725"/>
      <c r="N145" s="725"/>
      <c r="O145" s="652"/>
      <c r="P145" s="652"/>
      <c r="Q145" s="652"/>
      <c r="R145" s="652"/>
    </row>
    <row r="146" ht="15.75" customHeight="1">
      <c r="A146" s="725"/>
      <c r="B146" s="725"/>
      <c r="C146" s="725"/>
      <c r="D146" s="725"/>
      <c r="E146" s="725"/>
      <c r="F146" s="725"/>
      <c r="G146" s="725"/>
      <c r="H146" s="725"/>
      <c r="I146" s="725"/>
      <c r="J146" s="725"/>
      <c r="K146" s="725"/>
      <c r="L146" s="725"/>
      <c r="M146" s="725"/>
      <c r="N146" s="725"/>
      <c r="O146" s="652"/>
      <c r="P146" s="652"/>
      <c r="Q146" s="652"/>
      <c r="R146" s="652"/>
    </row>
    <row r="147" ht="15.75" customHeight="1">
      <c r="A147" s="725"/>
      <c r="B147" s="725"/>
      <c r="C147" s="725"/>
      <c r="D147" s="725"/>
      <c r="E147" s="725"/>
      <c r="F147" s="725"/>
      <c r="G147" s="725"/>
      <c r="H147" s="725"/>
      <c r="I147" s="725"/>
      <c r="J147" s="725"/>
      <c r="K147" s="725"/>
      <c r="L147" s="725"/>
      <c r="M147" s="725"/>
      <c r="N147" s="725"/>
      <c r="O147" s="652"/>
      <c r="P147" s="652"/>
      <c r="Q147" s="652"/>
      <c r="R147" s="652"/>
    </row>
    <row r="148" ht="15.75" customHeight="1">
      <c r="A148" s="725"/>
      <c r="B148" s="725"/>
      <c r="C148" s="725"/>
      <c r="D148" s="725"/>
      <c r="E148" s="725"/>
      <c r="F148" s="725"/>
      <c r="G148" s="725"/>
      <c r="H148" s="725"/>
      <c r="I148" s="725"/>
      <c r="J148" s="725"/>
      <c r="K148" s="725"/>
      <c r="L148" s="725"/>
      <c r="M148" s="725"/>
      <c r="N148" s="725"/>
      <c r="O148" s="652"/>
      <c r="P148" s="652"/>
      <c r="Q148" s="652"/>
      <c r="R148" s="652"/>
    </row>
    <row r="149" ht="15.75" customHeight="1">
      <c r="A149" s="725"/>
      <c r="B149" s="725"/>
      <c r="C149" s="725"/>
      <c r="D149" s="725"/>
      <c r="E149" s="725"/>
      <c r="F149" s="725"/>
      <c r="G149" s="725"/>
      <c r="H149" s="725"/>
      <c r="I149" s="725"/>
      <c r="J149" s="725"/>
      <c r="K149" s="725"/>
      <c r="L149" s="725"/>
      <c r="M149" s="725"/>
      <c r="N149" s="725"/>
      <c r="O149" s="652"/>
      <c r="P149" s="652"/>
      <c r="Q149" s="652"/>
      <c r="R149" s="652"/>
    </row>
    <row r="150" ht="15.75" customHeight="1">
      <c r="A150" s="725"/>
      <c r="B150" s="725"/>
      <c r="C150" s="725"/>
      <c r="D150" s="725"/>
      <c r="E150" s="725"/>
      <c r="F150" s="725"/>
      <c r="G150" s="725"/>
      <c r="H150" s="725"/>
      <c r="I150" s="725"/>
      <c r="J150" s="725"/>
      <c r="K150" s="725"/>
      <c r="L150" s="725"/>
      <c r="M150" s="725"/>
      <c r="N150" s="725"/>
      <c r="O150" s="652"/>
      <c r="P150" s="652"/>
      <c r="Q150" s="652"/>
      <c r="R150" s="652"/>
    </row>
  </sheetData>
  <mergeCells count="131">
    <mergeCell ref="B1:F1"/>
    <mergeCell ref="B2:F2"/>
    <mergeCell ref="B3:F3"/>
    <mergeCell ref="B4:F4"/>
    <mergeCell ref="B5:F5"/>
    <mergeCell ref="B6:F6"/>
    <mergeCell ref="B7:F7"/>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29:F29"/>
    <mergeCell ref="B30:F30"/>
    <mergeCell ref="B31:F31"/>
    <mergeCell ref="B32:F32"/>
    <mergeCell ref="B33:F33"/>
    <mergeCell ref="B34:F34"/>
    <mergeCell ref="B35:F35"/>
    <mergeCell ref="B36:F36"/>
    <mergeCell ref="B37:F37"/>
    <mergeCell ref="B38:F38"/>
    <mergeCell ref="B39:F39"/>
    <mergeCell ref="B40:F40"/>
    <mergeCell ref="B41:F41"/>
    <mergeCell ref="B42:F42"/>
    <mergeCell ref="B43:F43"/>
    <mergeCell ref="B44:F44"/>
    <mergeCell ref="B45:F45"/>
    <mergeCell ref="B46:F46"/>
    <mergeCell ref="B47:F47"/>
    <mergeCell ref="B48:F48"/>
    <mergeCell ref="B49:F49"/>
    <mergeCell ref="E80:G80"/>
    <mergeCell ref="E81:G81"/>
    <mergeCell ref="E73:G73"/>
    <mergeCell ref="E74:G74"/>
    <mergeCell ref="E75:G75"/>
    <mergeCell ref="E76:G76"/>
    <mergeCell ref="E77:G77"/>
    <mergeCell ref="E78:G78"/>
    <mergeCell ref="E79:G79"/>
    <mergeCell ref="B79:D79"/>
    <mergeCell ref="B80:D80"/>
    <mergeCell ref="B81:D81"/>
    <mergeCell ref="B82:D82"/>
    <mergeCell ref="E82:G82"/>
    <mergeCell ref="B83:D83"/>
    <mergeCell ref="E83:G83"/>
    <mergeCell ref="B84:D84"/>
    <mergeCell ref="E84:G84"/>
    <mergeCell ref="B85:D85"/>
    <mergeCell ref="E85:G85"/>
    <mergeCell ref="B86:D86"/>
    <mergeCell ref="E86:G86"/>
    <mergeCell ref="B89:G89"/>
    <mergeCell ref="F90:G90"/>
    <mergeCell ref="F91:G91"/>
    <mergeCell ref="F92:G92"/>
    <mergeCell ref="F93:G93"/>
    <mergeCell ref="F94:G94"/>
    <mergeCell ref="F95:G95"/>
    <mergeCell ref="F96:G96"/>
    <mergeCell ref="F97:G97"/>
    <mergeCell ref="F98:G98"/>
    <mergeCell ref="F99:G99"/>
    <mergeCell ref="F100:G100"/>
    <mergeCell ref="F101:G101"/>
    <mergeCell ref="F102:G102"/>
    <mergeCell ref="F103:G103"/>
    <mergeCell ref="B50:F50"/>
    <mergeCell ref="B55:G55"/>
    <mergeCell ref="B56:D56"/>
    <mergeCell ref="E56:G56"/>
    <mergeCell ref="B57:D57"/>
    <mergeCell ref="E57:G57"/>
    <mergeCell ref="E58:G58"/>
    <mergeCell ref="B58:D58"/>
    <mergeCell ref="B59:D59"/>
    <mergeCell ref="B60:D60"/>
    <mergeCell ref="B61:D61"/>
    <mergeCell ref="B62:D62"/>
    <mergeCell ref="B63:D63"/>
    <mergeCell ref="B64:D64"/>
    <mergeCell ref="E59:G59"/>
    <mergeCell ref="E60:G60"/>
    <mergeCell ref="E61:G61"/>
    <mergeCell ref="E62:G62"/>
    <mergeCell ref="E63:G63"/>
    <mergeCell ref="E64:G64"/>
    <mergeCell ref="E65:G65"/>
    <mergeCell ref="B65:D65"/>
    <mergeCell ref="B66:D66"/>
    <mergeCell ref="B67:D67"/>
    <mergeCell ref="B68:D68"/>
    <mergeCell ref="B69:D69"/>
    <mergeCell ref="B70:D70"/>
    <mergeCell ref="B71:D71"/>
    <mergeCell ref="E66:G66"/>
    <mergeCell ref="E67:G67"/>
    <mergeCell ref="E68:G68"/>
    <mergeCell ref="E69:G69"/>
    <mergeCell ref="E70:G70"/>
    <mergeCell ref="E71:G71"/>
    <mergeCell ref="E72:G72"/>
    <mergeCell ref="B72:D72"/>
    <mergeCell ref="B73:D73"/>
    <mergeCell ref="B74:D74"/>
    <mergeCell ref="B75:D75"/>
    <mergeCell ref="B76:D76"/>
    <mergeCell ref="B77:D77"/>
    <mergeCell ref="B78:D78"/>
    <mergeCell ref="F104:G104"/>
    <mergeCell ref="B107:I107"/>
    <mergeCell ref="C108:E108"/>
  </mergeCells>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fitToPage="1"/>
  </sheetPr>
  <sheetViews>
    <sheetView workbookViewId="0"/>
  </sheetViews>
  <sheetFormatPr customHeight="1" defaultColWidth="14.43" defaultRowHeight="15.0"/>
  <cols>
    <col customWidth="1" min="1" max="1" width="1.86"/>
    <col customWidth="1" min="2" max="16" width="3.43"/>
    <col customWidth="1" min="17" max="17" width="4.43"/>
    <col customWidth="1" min="18" max="18" width="3.43"/>
    <col customWidth="1" min="19" max="19" width="31.0"/>
    <col customWidth="1" min="20" max="20" width="8.14"/>
    <col customWidth="1" min="21" max="21" width="3.43"/>
    <col customWidth="1" min="22" max="22" width="4.43"/>
    <col customWidth="1" min="23" max="23" width="4.86"/>
    <col customWidth="1" min="24" max="25" width="2.57"/>
    <col customWidth="1" min="26" max="27" width="3.43"/>
    <col customWidth="1" min="28" max="28" width="3.57"/>
    <col customWidth="1" min="29" max="29" width="1.86"/>
  </cols>
  <sheetData>
    <row r="1" ht="6.0" customHeight="1">
      <c r="A1" s="839"/>
      <c r="B1" s="839"/>
      <c r="C1" s="839"/>
      <c r="D1" s="839"/>
      <c r="E1" s="839"/>
      <c r="F1" s="839"/>
      <c r="G1" s="839"/>
      <c r="H1" s="839"/>
      <c r="I1" s="839"/>
      <c r="J1" s="839"/>
      <c r="K1" s="839"/>
      <c r="L1" s="839"/>
      <c r="M1" s="839"/>
      <c r="N1" s="839"/>
      <c r="O1" s="839"/>
      <c r="P1" s="839"/>
      <c r="Q1" s="839"/>
      <c r="R1" s="839"/>
      <c r="S1" s="839"/>
      <c r="T1" s="840"/>
      <c r="U1" s="841"/>
      <c r="V1" s="841"/>
      <c r="W1" s="841"/>
      <c r="X1" s="839"/>
      <c r="Y1" s="839"/>
      <c r="Z1" s="839"/>
      <c r="AA1" s="839"/>
      <c r="AB1" s="839"/>
      <c r="AC1" s="839"/>
    </row>
    <row r="2" ht="16.5" customHeight="1">
      <c r="A2" s="839"/>
      <c r="B2" s="839"/>
      <c r="C2" s="839"/>
      <c r="D2" s="839"/>
      <c r="E2" s="839"/>
      <c r="F2" s="839"/>
      <c r="G2" s="839"/>
      <c r="H2" s="839"/>
      <c r="I2" s="839"/>
      <c r="J2" s="839"/>
      <c r="K2" s="842" t="s">
        <v>1579</v>
      </c>
      <c r="AB2" s="839"/>
      <c r="AC2" s="839"/>
    </row>
    <row r="3" ht="4.5" customHeight="1">
      <c r="A3" s="839"/>
      <c r="B3" s="839"/>
      <c r="C3" s="839"/>
      <c r="D3" s="839"/>
      <c r="E3" s="839"/>
      <c r="F3" s="839"/>
      <c r="G3" s="839"/>
      <c r="H3" s="839"/>
      <c r="I3" s="839"/>
      <c r="J3" s="839"/>
      <c r="K3" s="839"/>
      <c r="L3" s="839"/>
      <c r="M3" s="839"/>
      <c r="N3" s="839"/>
      <c r="O3" s="839"/>
      <c r="P3" s="839"/>
      <c r="Q3" s="839"/>
      <c r="R3" s="839"/>
      <c r="S3" s="839"/>
      <c r="T3" s="840"/>
      <c r="U3" s="841"/>
      <c r="V3" s="841"/>
      <c r="W3" s="841"/>
      <c r="X3" s="839"/>
      <c r="Y3" s="839"/>
      <c r="Z3" s="839"/>
      <c r="AA3" s="839"/>
      <c r="AB3" s="839"/>
      <c r="AC3" s="839"/>
    </row>
    <row r="4" ht="10.5" customHeight="1">
      <c r="A4" s="839"/>
      <c r="B4" s="839"/>
      <c r="C4" s="839"/>
      <c r="D4" s="839"/>
      <c r="E4" s="839"/>
      <c r="F4" s="839"/>
      <c r="G4" s="839"/>
      <c r="H4" s="839"/>
      <c r="I4" s="839"/>
      <c r="J4" s="839"/>
      <c r="K4" s="843" t="s">
        <v>1580</v>
      </c>
      <c r="AB4" s="839"/>
      <c r="AC4" s="839"/>
    </row>
    <row r="5" ht="10.5" customHeight="1">
      <c r="A5" s="839"/>
      <c r="B5" s="839"/>
      <c r="C5" s="839"/>
      <c r="D5" s="839"/>
      <c r="E5" s="839"/>
      <c r="F5" s="839"/>
      <c r="G5" s="839"/>
      <c r="H5" s="839"/>
      <c r="I5" s="839"/>
      <c r="J5" s="839"/>
      <c r="K5" s="843" t="s">
        <v>1581</v>
      </c>
      <c r="AB5" s="839"/>
      <c r="AC5" s="839"/>
    </row>
    <row r="6" ht="10.5" customHeight="1">
      <c r="A6" s="839"/>
      <c r="B6" s="839"/>
      <c r="C6" s="839"/>
      <c r="D6" s="839"/>
      <c r="E6" s="839"/>
      <c r="F6" s="839"/>
      <c r="G6" s="839"/>
      <c r="H6" s="839"/>
      <c r="I6" s="839"/>
      <c r="J6" s="839"/>
      <c r="K6" s="839"/>
      <c r="L6" s="839"/>
      <c r="M6" s="839"/>
      <c r="N6" s="839"/>
      <c r="O6" s="839"/>
      <c r="P6" s="839"/>
      <c r="Q6" s="839"/>
      <c r="R6" s="839"/>
      <c r="S6" s="839"/>
      <c r="T6" s="840"/>
      <c r="U6" s="841"/>
      <c r="V6" s="841"/>
      <c r="W6" s="841"/>
      <c r="X6" s="839"/>
      <c r="Y6" s="839"/>
      <c r="Z6" s="839"/>
      <c r="AA6" s="839"/>
      <c r="AB6" s="839"/>
      <c r="AC6" s="839"/>
    </row>
    <row r="7" ht="10.5" customHeight="1">
      <c r="A7" s="839"/>
      <c r="B7" s="839"/>
      <c r="C7" s="839"/>
      <c r="D7" s="839"/>
      <c r="E7" s="839"/>
      <c r="F7" s="839"/>
      <c r="G7" s="839"/>
      <c r="H7" s="839"/>
      <c r="I7" s="839"/>
      <c r="J7" s="839"/>
      <c r="K7" s="839"/>
      <c r="L7" s="839"/>
      <c r="M7" s="839"/>
      <c r="N7" s="839"/>
      <c r="O7" s="839"/>
      <c r="P7" s="839"/>
      <c r="Q7" s="839"/>
      <c r="R7" s="839"/>
      <c r="S7" s="839"/>
      <c r="T7" s="840"/>
      <c r="U7" s="841"/>
      <c r="V7" s="841"/>
      <c r="W7" s="841"/>
      <c r="X7" s="839"/>
      <c r="Y7" s="839"/>
      <c r="Z7" s="839"/>
      <c r="AA7" s="839"/>
      <c r="AB7" s="839"/>
      <c r="AC7" s="839"/>
    </row>
    <row r="8" ht="6.0" customHeight="1">
      <c r="A8" s="839"/>
      <c r="B8" s="839"/>
      <c r="C8" s="839"/>
      <c r="D8" s="839"/>
      <c r="E8" s="839"/>
      <c r="F8" s="839"/>
      <c r="G8" s="839"/>
      <c r="H8" s="839"/>
      <c r="I8" s="839"/>
      <c r="J8" s="839"/>
      <c r="K8" s="839"/>
      <c r="L8" s="839"/>
      <c r="M8" s="839"/>
      <c r="N8" s="839"/>
      <c r="O8" s="839"/>
      <c r="P8" s="839"/>
      <c r="Q8" s="839"/>
      <c r="R8" s="839"/>
      <c r="S8" s="839"/>
      <c r="T8" s="840"/>
      <c r="U8" s="841"/>
      <c r="V8" s="841"/>
      <c r="W8" s="841"/>
      <c r="X8" s="839"/>
      <c r="Y8" s="839"/>
      <c r="Z8" s="839"/>
      <c r="AA8" s="839"/>
      <c r="AB8" s="839"/>
      <c r="AC8" s="839"/>
    </row>
    <row r="9" ht="3.75" customHeight="1">
      <c r="A9" s="839"/>
      <c r="B9" s="839"/>
      <c r="C9" s="839"/>
      <c r="D9" s="839"/>
      <c r="E9" s="839"/>
      <c r="F9" s="839"/>
      <c r="G9" s="839"/>
      <c r="H9" s="839"/>
      <c r="I9" s="839"/>
      <c r="J9" s="839"/>
      <c r="K9" s="839"/>
      <c r="L9" s="839"/>
      <c r="M9" s="839"/>
      <c r="N9" s="839"/>
      <c r="O9" s="839"/>
      <c r="P9" s="839"/>
      <c r="Q9" s="839"/>
      <c r="R9" s="839"/>
      <c r="S9" s="839"/>
      <c r="T9" s="840"/>
      <c r="U9" s="841"/>
      <c r="V9" s="841"/>
      <c r="W9" s="841"/>
      <c r="X9" s="839"/>
      <c r="Y9" s="839"/>
      <c r="Z9" s="839"/>
      <c r="AA9" s="839"/>
      <c r="AB9" s="839"/>
      <c r="AC9" s="839"/>
    </row>
    <row r="10" ht="21.75" customHeight="1">
      <c r="A10" s="839"/>
      <c r="B10" s="844" t="s">
        <v>1582</v>
      </c>
      <c r="C10" s="845"/>
      <c r="D10" s="845"/>
      <c r="E10" s="845"/>
      <c r="F10" s="845"/>
      <c r="G10" s="845"/>
      <c r="H10" s="845"/>
      <c r="I10" s="845"/>
      <c r="J10" s="845"/>
      <c r="K10" s="845"/>
      <c r="L10" s="845"/>
      <c r="M10" s="845"/>
      <c r="N10" s="845"/>
      <c r="O10" s="845"/>
      <c r="P10" s="845"/>
      <c r="Q10" s="846">
        <f>TODAY()</f>
        <v>45883</v>
      </c>
      <c r="R10" s="845"/>
      <c r="S10" s="845"/>
      <c r="T10" s="844"/>
      <c r="U10" s="844"/>
      <c r="V10" s="844"/>
      <c r="W10" s="844"/>
      <c r="X10" s="844"/>
      <c r="Y10" s="844"/>
      <c r="Z10" s="844"/>
      <c r="AA10" s="844"/>
      <c r="AB10" s="844"/>
      <c r="AC10" s="847"/>
    </row>
    <row r="11" ht="10.5" customHeight="1">
      <c r="A11" s="839"/>
      <c r="B11" s="839"/>
      <c r="C11" s="839"/>
      <c r="D11" s="839"/>
      <c r="E11" s="839"/>
      <c r="F11" s="839"/>
      <c r="G11" s="839"/>
      <c r="H11" s="839"/>
      <c r="I11" s="839"/>
      <c r="J11" s="839"/>
      <c r="K11" s="839"/>
      <c r="L11" s="839"/>
      <c r="M11" s="839"/>
      <c r="N11" s="839"/>
      <c r="O11" s="839"/>
      <c r="P11" s="839"/>
      <c r="Q11" s="839"/>
      <c r="R11" s="839"/>
      <c r="S11" s="839"/>
      <c r="T11" s="840"/>
      <c r="U11" s="841"/>
      <c r="V11" s="841"/>
      <c r="W11" s="841"/>
      <c r="X11" s="839"/>
      <c r="Y11" s="839"/>
      <c r="Z11" s="839"/>
      <c r="AA11" s="839"/>
      <c r="AB11" s="839"/>
      <c r="AC11" s="839"/>
    </row>
    <row r="12" ht="12.75" customHeight="1">
      <c r="A12" s="839"/>
      <c r="B12" s="848" t="s">
        <v>1583</v>
      </c>
      <c r="F12" s="849" t="s">
        <v>1584</v>
      </c>
      <c r="AB12" s="839"/>
      <c r="AC12" s="839"/>
    </row>
    <row r="13" ht="12.75" customHeight="1">
      <c r="A13" s="839"/>
      <c r="B13" s="848"/>
      <c r="C13" s="848"/>
      <c r="D13" s="848"/>
      <c r="E13" s="848"/>
      <c r="AB13" s="839"/>
      <c r="AC13" s="839"/>
    </row>
    <row r="14" ht="12.75" customHeight="1">
      <c r="A14" s="839"/>
      <c r="B14" s="848"/>
      <c r="C14" s="848"/>
      <c r="D14" s="848"/>
      <c r="E14" s="848"/>
      <c r="AB14" s="839"/>
      <c r="AC14" s="839"/>
    </row>
    <row r="15" ht="6.0" customHeight="1">
      <c r="A15" s="839"/>
      <c r="B15" s="839"/>
      <c r="C15" s="839"/>
      <c r="D15" s="839"/>
      <c r="E15" s="839"/>
      <c r="F15" s="839"/>
      <c r="G15" s="839"/>
      <c r="H15" s="839"/>
      <c r="I15" s="839"/>
      <c r="J15" s="839"/>
      <c r="K15" s="839"/>
      <c r="L15" s="839"/>
      <c r="M15" s="839"/>
      <c r="N15" s="839"/>
      <c r="O15" s="839"/>
      <c r="P15" s="839"/>
      <c r="Q15" s="839"/>
      <c r="R15" s="839"/>
      <c r="S15" s="839"/>
      <c r="T15" s="840"/>
      <c r="U15" s="841"/>
      <c r="V15" s="841"/>
      <c r="W15" s="841"/>
      <c r="X15" s="839"/>
      <c r="Y15" s="839"/>
      <c r="Z15" s="839"/>
      <c r="AA15" s="839"/>
      <c r="AB15" s="839"/>
      <c r="AC15" s="839"/>
    </row>
    <row r="16">
      <c r="A16" s="839"/>
      <c r="B16" s="848" t="s">
        <v>1585</v>
      </c>
      <c r="F16" s="850"/>
      <c r="AB16" s="851"/>
      <c r="AC16" s="851"/>
    </row>
    <row r="17">
      <c r="A17" s="839"/>
      <c r="B17" s="848"/>
      <c r="C17" s="848"/>
      <c r="D17" s="848"/>
      <c r="E17" s="848"/>
      <c r="AB17" s="851"/>
      <c r="AC17" s="851"/>
    </row>
    <row r="18">
      <c r="A18" s="839"/>
      <c r="B18" s="848"/>
      <c r="C18" s="848"/>
      <c r="D18" s="848"/>
      <c r="E18" s="848"/>
      <c r="AB18" s="851"/>
      <c r="AC18" s="851"/>
    </row>
    <row r="19" ht="6.0" customHeight="1">
      <c r="A19" s="839"/>
      <c r="B19" s="839"/>
      <c r="C19" s="839"/>
      <c r="D19" s="839"/>
      <c r="E19" s="839"/>
      <c r="F19" s="839"/>
      <c r="G19" s="839"/>
      <c r="H19" s="839"/>
      <c r="I19" s="839"/>
      <c r="J19" s="839"/>
      <c r="K19" s="839"/>
      <c r="L19" s="839"/>
      <c r="M19" s="839"/>
      <c r="N19" s="839"/>
      <c r="O19" s="839"/>
      <c r="P19" s="839"/>
      <c r="Q19" s="839"/>
      <c r="R19" s="839"/>
      <c r="S19" s="839"/>
      <c r="T19" s="840"/>
      <c r="U19" s="841"/>
      <c r="V19" s="841"/>
      <c r="W19" s="841"/>
      <c r="X19" s="839"/>
      <c r="Y19" s="839"/>
      <c r="Z19" s="839"/>
      <c r="AA19" s="839"/>
      <c r="AB19" s="839"/>
      <c r="AC19" s="839"/>
    </row>
    <row r="20">
      <c r="A20" s="839"/>
      <c r="B20" s="852" t="s">
        <v>1586</v>
      </c>
      <c r="C20" s="853"/>
      <c r="D20" s="854" t="s">
        <v>1587</v>
      </c>
      <c r="E20" s="853"/>
      <c r="F20" s="853"/>
      <c r="G20" s="853"/>
      <c r="H20" s="853"/>
      <c r="I20" s="853"/>
      <c r="J20" s="853"/>
      <c r="K20" s="853"/>
      <c r="L20" s="853"/>
      <c r="M20" s="853"/>
      <c r="N20" s="853"/>
      <c r="O20" s="853"/>
      <c r="P20" s="853"/>
      <c r="Q20" s="853"/>
      <c r="R20" s="853"/>
      <c r="S20" s="853"/>
      <c r="T20" s="855" t="s">
        <v>1588</v>
      </c>
      <c r="U20" s="856" t="s">
        <v>1589</v>
      </c>
      <c r="V20" s="853"/>
      <c r="W20" s="857"/>
      <c r="X20" s="858" t="s">
        <v>6</v>
      </c>
      <c r="Y20" s="853"/>
      <c r="Z20" s="853"/>
      <c r="AA20" s="853"/>
      <c r="AB20" s="859"/>
      <c r="AC20" s="860"/>
    </row>
    <row r="21">
      <c r="A21" s="839"/>
      <c r="B21" s="861"/>
      <c r="C21" s="845"/>
      <c r="D21" s="862"/>
      <c r="E21" s="845"/>
      <c r="F21" s="845"/>
      <c r="G21" s="845"/>
      <c r="H21" s="845"/>
      <c r="I21" s="845"/>
      <c r="J21" s="845"/>
      <c r="K21" s="845"/>
      <c r="L21" s="845"/>
      <c r="M21" s="845"/>
      <c r="N21" s="845"/>
      <c r="O21" s="845"/>
      <c r="P21" s="845"/>
      <c r="Q21" s="845"/>
      <c r="R21" s="845"/>
      <c r="S21" s="845"/>
      <c r="T21" s="862"/>
      <c r="U21" s="862"/>
      <c r="V21" s="845"/>
      <c r="W21" s="863"/>
      <c r="X21" s="845"/>
      <c r="Y21" s="845"/>
      <c r="Z21" s="845"/>
      <c r="AA21" s="845"/>
      <c r="AB21" s="864"/>
      <c r="AC21" s="860"/>
    </row>
    <row r="22">
      <c r="A22" s="865"/>
      <c r="B22" s="866" t="s">
        <v>1590</v>
      </c>
      <c r="T22" s="867"/>
      <c r="U22" s="868"/>
      <c r="X22" s="869" t="str">
        <f>IF('Рентабельність'!L2*X65=0,"",'Рентабельність'!L2*X65)</f>
        <v/>
      </c>
      <c r="AB22" s="870"/>
      <c r="AC22" s="871"/>
    </row>
    <row r="23">
      <c r="A23" s="848"/>
      <c r="B23" s="872">
        <v>1.0</v>
      </c>
      <c r="C23" s="406"/>
      <c r="D23" s="873" t="str">
        <f>'Рентабельність'!B3</f>
        <v/>
      </c>
      <c r="E23" s="21"/>
      <c r="F23" s="21"/>
      <c r="G23" s="21"/>
      <c r="H23" s="21"/>
      <c r="I23" s="21"/>
      <c r="J23" s="21"/>
      <c r="K23" s="21"/>
      <c r="L23" s="21"/>
      <c r="M23" s="21"/>
      <c r="N23" s="21"/>
      <c r="O23" s="21"/>
      <c r="P23" s="21"/>
      <c r="Q23" s="21"/>
      <c r="R23" s="21"/>
      <c r="S23" s="22"/>
      <c r="T23" s="874" t="str">
        <f>'Рентабельність'!G3</f>
        <v/>
      </c>
      <c r="U23" s="875" t="str">
        <f>IF('Рентабельність'!K3*$X$65=0,"",'Рентабельність'!K3*$X$65)</f>
        <v/>
      </c>
      <c r="V23" s="21"/>
      <c r="W23" s="22"/>
      <c r="X23" s="875" t="str">
        <f>IF('Рентабельність'!L3*$X$65=0,"",'Рентабельність'!L3*$X$65)</f>
        <v/>
      </c>
      <c r="Y23" s="21"/>
      <c r="Z23" s="21"/>
      <c r="AA23" s="21"/>
      <c r="AB23" s="876"/>
      <c r="AC23" s="877"/>
    </row>
    <row r="24">
      <c r="A24" s="848"/>
      <c r="B24" s="872">
        <v>2.0</v>
      </c>
      <c r="C24" s="406"/>
      <c r="D24" s="873" t="str">
        <f>'Рентабельність'!B4</f>
        <v/>
      </c>
      <c r="E24" s="21"/>
      <c r="F24" s="21"/>
      <c r="G24" s="21"/>
      <c r="H24" s="21"/>
      <c r="I24" s="21"/>
      <c r="J24" s="21"/>
      <c r="K24" s="21"/>
      <c r="L24" s="21"/>
      <c r="M24" s="21"/>
      <c r="N24" s="21"/>
      <c r="O24" s="21"/>
      <c r="P24" s="21"/>
      <c r="Q24" s="21"/>
      <c r="R24" s="21"/>
      <c r="S24" s="22"/>
      <c r="T24" s="874" t="str">
        <f>'Рентабельність'!G4</f>
        <v/>
      </c>
      <c r="U24" s="875" t="str">
        <f>IF('Рентабельність'!K4*$X$65=0,"",'Рентабельність'!K4*$X$65)</f>
        <v/>
      </c>
      <c r="V24" s="21"/>
      <c r="W24" s="22"/>
      <c r="X24" s="875" t="str">
        <f>IF('Рентабельність'!L4*$X$65=0,"",'Рентабельність'!L4*$X$65)</f>
        <v/>
      </c>
      <c r="Y24" s="21"/>
      <c r="Z24" s="21"/>
      <c r="AA24" s="21"/>
      <c r="AB24" s="876"/>
      <c r="AC24" s="877"/>
    </row>
    <row r="25">
      <c r="A25" s="848"/>
      <c r="B25" s="872">
        <v>3.0</v>
      </c>
      <c r="C25" s="406"/>
      <c r="D25" s="873" t="str">
        <f>'Рентабельність'!B5</f>
        <v/>
      </c>
      <c r="E25" s="21"/>
      <c r="F25" s="21"/>
      <c r="G25" s="21"/>
      <c r="H25" s="21"/>
      <c r="I25" s="21"/>
      <c r="J25" s="21"/>
      <c r="K25" s="21"/>
      <c r="L25" s="21"/>
      <c r="M25" s="21"/>
      <c r="N25" s="21"/>
      <c r="O25" s="21"/>
      <c r="P25" s="21"/>
      <c r="Q25" s="21"/>
      <c r="R25" s="21"/>
      <c r="S25" s="22"/>
      <c r="T25" s="874" t="str">
        <f>'Рентабельність'!G5</f>
        <v/>
      </c>
      <c r="U25" s="875" t="str">
        <f>IF('Рентабельність'!K5*$X$65=0,"",'Рентабельність'!K5*$X$65)</f>
        <v/>
      </c>
      <c r="V25" s="21"/>
      <c r="W25" s="22"/>
      <c r="X25" s="875" t="str">
        <f>IF('Рентабельність'!L5*$X$65=0,"",'Рентабельність'!L5*$X$65)</f>
        <v/>
      </c>
      <c r="Y25" s="21"/>
      <c r="Z25" s="21"/>
      <c r="AA25" s="21"/>
      <c r="AB25" s="876"/>
      <c r="AC25" s="877"/>
    </row>
    <row r="26">
      <c r="A26" s="848"/>
      <c r="B26" s="872">
        <v>4.0</v>
      </c>
      <c r="C26" s="406"/>
      <c r="D26" s="873" t="str">
        <f>'Рентабельність'!B6</f>
        <v/>
      </c>
      <c r="E26" s="21"/>
      <c r="F26" s="21"/>
      <c r="G26" s="21"/>
      <c r="H26" s="21"/>
      <c r="I26" s="21"/>
      <c r="J26" s="21"/>
      <c r="K26" s="21"/>
      <c r="L26" s="21"/>
      <c r="M26" s="21"/>
      <c r="N26" s="21"/>
      <c r="O26" s="21"/>
      <c r="P26" s="21"/>
      <c r="Q26" s="21"/>
      <c r="R26" s="21"/>
      <c r="S26" s="22"/>
      <c r="T26" s="874" t="str">
        <f>'Рентабельність'!G6</f>
        <v/>
      </c>
      <c r="U26" s="875" t="str">
        <f>IF('Рентабельність'!K6*$X$65=0,"",'Рентабельність'!K6*$X$65)</f>
        <v/>
      </c>
      <c r="V26" s="21"/>
      <c r="W26" s="22"/>
      <c r="X26" s="875" t="str">
        <f>IF('Рентабельність'!L6*$X$65=0,"",'Рентабельність'!L6*$X$65)</f>
        <v/>
      </c>
      <c r="Y26" s="21"/>
      <c r="Z26" s="21"/>
      <c r="AA26" s="21"/>
      <c r="AB26" s="876"/>
      <c r="AC26" s="877"/>
    </row>
    <row r="27">
      <c r="A27" s="848"/>
      <c r="B27" s="872">
        <v>5.0</v>
      </c>
      <c r="C27" s="406"/>
      <c r="D27" s="873" t="str">
        <f>'Рентабельність'!B7</f>
        <v/>
      </c>
      <c r="E27" s="21"/>
      <c r="F27" s="21"/>
      <c r="G27" s="21"/>
      <c r="H27" s="21"/>
      <c r="I27" s="21"/>
      <c r="J27" s="21"/>
      <c r="K27" s="21"/>
      <c r="L27" s="21"/>
      <c r="M27" s="21"/>
      <c r="N27" s="21"/>
      <c r="O27" s="21"/>
      <c r="P27" s="21"/>
      <c r="Q27" s="21"/>
      <c r="R27" s="21"/>
      <c r="S27" s="22"/>
      <c r="T27" s="874" t="str">
        <f>'Рентабельність'!G7</f>
        <v/>
      </c>
      <c r="U27" s="875" t="str">
        <f>IF('Рентабельність'!K7*$X$65=0,"",'Рентабельність'!K7*$X$65)</f>
        <v/>
      </c>
      <c r="V27" s="21"/>
      <c r="W27" s="22"/>
      <c r="X27" s="875" t="str">
        <f>IF('Рентабельність'!L7*$X$65=0,"",'Рентабельність'!L7*$X$65)</f>
        <v/>
      </c>
      <c r="Y27" s="21"/>
      <c r="Z27" s="21"/>
      <c r="AA27" s="21"/>
      <c r="AB27" s="876"/>
      <c r="AC27" s="878"/>
    </row>
    <row r="28">
      <c r="A28" s="848"/>
      <c r="B28" s="872">
        <v>6.0</v>
      </c>
      <c r="C28" s="406"/>
      <c r="D28" s="873" t="str">
        <f>'Рентабельність'!B8</f>
        <v/>
      </c>
      <c r="E28" s="21"/>
      <c r="F28" s="21"/>
      <c r="G28" s="21"/>
      <c r="H28" s="21"/>
      <c r="I28" s="21"/>
      <c r="J28" s="21"/>
      <c r="K28" s="21"/>
      <c r="L28" s="21"/>
      <c r="M28" s="21"/>
      <c r="N28" s="21"/>
      <c r="O28" s="21"/>
      <c r="P28" s="21"/>
      <c r="Q28" s="21"/>
      <c r="R28" s="21"/>
      <c r="S28" s="22"/>
      <c r="T28" s="874" t="str">
        <f>'Рентабельність'!G8</f>
        <v/>
      </c>
      <c r="U28" s="875" t="str">
        <f>IF('Рентабельність'!K8*$X$65=0,"",'Рентабельність'!K8*$X$65)</f>
        <v/>
      </c>
      <c r="V28" s="21"/>
      <c r="W28" s="22"/>
      <c r="X28" s="875" t="str">
        <f>IF('Рентабельність'!L8*$X$65=0,"",'Рентабельність'!L8*$X$65)</f>
        <v/>
      </c>
      <c r="Y28" s="21"/>
      <c r="Z28" s="21"/>
      <c r="AA28" s="21"/>
      <c r="AB28" s="876"/>
      <c r="AC28" s="878"/>
    </row>
    <row r="29">
      <c r="A29" s="848"/>
      <c r="B29" s="872">
        <v>7.0</v>
      </c>
      <c r="C29" s="406"/>
      <c r="D29" s="873" t="str">
        <f>'Рентабельність'!B9</f>
        <v/>
      </c>
      <c r="E29" s="21"/>
      <c r="F29" s="21"/>
      <c r="G29" s="21"/>
      <c r="H29" s="21"/>
      <c r="I29" s="21"/>
      <c r="J29" s="21"/>
      <c r="K29" s="21"/>
      <c r="L29" s="21"/>
      <c r="M29" s="21"/>
      <c r="N29" s="21"/>
      <c r="O29" s="21"/>
      <c r="P29" s="21"/>
      <c r="Q29" s="21"/>
      <c r="R29" s="21"/>
      <c r="S29" s="22"/>
      <c r="T29" s="874" t="str">
        <f>'Рентабельність'!G9</f>
        <v/>
      </c>
      <c r="U29" s="875" t="str">
        <f>IF('Рентабельність'!K9*$X$65=0,"",'Рентабельність'!K9*$X$65)</f>
        <v/>
      </c>
      <c r="V29" s="21"/>
      <c r="W29" s="22"/>
      <c r="X29" s="875" t="str">
        <f>IF('Рентабельність'!L9*$X$65=0,"",'Рентабельність'!L9*$X$65)</f>
        <v/>
      </c>
      <c r="Y29" s="21"/>
      <c r="Z29" s="21"/>
      <c r="AA29" s="21"/>
      <c r="AB29" s="876"/>
      <c r="AC29" s="878"/>
    </row>
    <row r="30">
      <c r="A30" s="848"/>
      <c r="B30" s="872">
        <v>8.0</v>
      </c>
      <c r="C30" s="406"/>
      <c r="D30" s="873" t="str">
        <f>'Рентабельність'!B10</f>
        <v/>
      </c>
      <c r="E30" s="21"/>
      <c r="F30" s="21"/>
      <c r="G30" s="21"/>
      <c r="H30" s="21"/>
      <c r="I30" s="21"/>
      <c r="J30" s="21"/>
      <c r="K30" s="21"/>
      <c r="L30" s="21"/>
      <c r="M30" s="21"/>
      <c r="N30" s="21"/>
      <c r="O30" s="21"/>
      <c r="P30" s="21"/>
      <c r="Q30" s="21"/>
      <c r="R30" s="21"/>
      <c r="S30" s="22"/>
      <c r="T30" s="874" t="str">
        <f>'Рентабельність'!G10</f>
        <v/>
      </c>
      <c r="U30" s="875" t="str">
        <f>IF('Рентабельність'!K10*$X$65=0,"",'Рентабельність'!K10*$X$65)</f>
        <v/>
      </c>
      <c r="V30" s="21"/>
      <c r="W30" s="22"/>
      <c r="X30" s="875" t="str">
        <f>IF('Рентабельність'!L10*$X$65=0,"",'Рентабельність'!L10*$X$65)</f>
        <v/>
      </c>
      <c r="Y30" s="21"/>
      <c r="Z30" s="21"/>
      <c r="AA30" s="21"/>
      <c r="AB30" s="876"/>
      <c r="AC30" s="878"/>
    </row>
    <row r="31">
      <c r="A31" s="848"/>
      <c r="B31" s="872">
        <v>9.0</v>
      </c>
      <c r="C31" s="406"/>
      <c r="D31" s="873" t="str">
        <f>'Рентабельність'!B11</f>
        <v/>
      </c>
      <c r="E31" s="21"/>
      <c r="F31" s="21"/>
      <c r="G31" s="21"/>
      <c r="H31" s="21"/>
      <c r="I31" s="21"/>
      <c r="J31" s="21"/>
      <c r="K31" s="21"/>
      <c r="L31" s="21"/>
      <c r="M31" s="21"/>
      <c r="N31" s="21"/>
      <c r="O31" s="21"/>
      <c r="P31" s="21"/>
      <c r="Q31" s="21"/>
      <c r="R31" s="21"/>
      <c r="S31" s="22"/>
      <c r="T31" s="874" t="str">
        <f>'Рентабельність'!G11</f>
        <v/>
      </c>
      <c r="U31" s="875" t="str">
        <f>IF('Рентабельність'!K11*$X$65=0,"",'Рентабельність'!K11*$X$65)</f>
        <v/>
      </c>
      <c r="V31" s="21"/>
      <c r="W31" s="22"/>
      <c r="X31" s="875" t="str">
        <f>IF('Рентабельність'!L11*$X$65=0,"",'Рентабельність'!L11*$X$65)</f>
        <v/>
      </c>
      <c r="Y31" s="21"/>
      <c r="Z31" s="21"/>
      <c r="AA31" s="21"/>
      <c r="AB31" s="876"/>
      <c r="AC31" s="878"/>
    </row>
    <row r="32">
      <c r="A32" s="848"/>
      <c r="B32" s="872">
        <v>10.0</v>
      </c>
      <c r="C32" s="406"/>
      <c r="D32" s="873" t="str">
        <f>'Рентабельність'!B12</f>
        <v/>
      </c>
      <c r="E32" s="21"/>
      <c r="F32" s="21"/>
      <c r="G32" s="21"/>
      <c r="H32" s="21"/>
      <c r="I32" s="21"/>
      <c r="J32" s="21"/>
      <c r="K32" s="21"/>
      <c r="L32" s="21"/>
      <c r="M32" s="21"/>
      <c r="N32" s="21"/>
      <c r="O32" s="21"/>
      <c r="P32" s="21"/>
      <c r="Q32" s="21"/>
      <c r="R32" s="21"/>
      <c r="S32" s="22"/>
      <c r="T32" s="874" t="str">
        <f>'Рентабельність'!G12</f>
        <v/>
      </c>
      <c r="U32" s="875" t="str">
        <f>IF('Рентабельність'!K12*$X$65=0,"",'Рентабельність'!K12*$X$65)</f>
        <v/>
      </c>
      <c r="V32" s="21"/>
      <c r="W32" s="22"/>
      <c r="X32" s="875" t="str">
        <f>IF('Рентабельність'!L12*$X$65=0,"",'Рентабельність'!L12*$X$65)</f>
        <v/>
      </c>
      <c r="Y32" s="21"/>
      <c r="Z32" s="21"/>
      <c r="AA32" s="21"/>
      <c r="AB32" s="876"/>
      <c r="AC32" s="878"/>
    </row>
    <row r="33">
      <c r="A33" s="848"/>
      <c r="B33" s="872">
        <v>11.0</v>
      </c>
      <c r="C33" s="406"/>
      <c r="D33" s="873" t="str">
        <f>'Рентабельність'!B13</f>
        <v/>
      </c>
      <c r="E33" s="21"/>
      <c r="F33" s="21"/>
      <c r="G33" s="21"/>
      <c r="H33" s="21"/>
      <c r="I33" s="21"/>
      <c r="J33" s="21"/>
      <c r="K33" s="21"/>
      <c r="L33" s="21"/>
      <c r="M33" s="21"/>
      <c r="N33" s="21"/>
      <c r="O33" s="21"/>
      <c r="P33" s="21"/>
      <c r="Q33" s="21"/>
      <c r="R33" s="21"/>
      <c r="S33" s="22"/>
      <c r="T33" s="874" t="str">
        <f>'Рентабельність'!G13</f>
        <v/>
      </c>
      <c r="U33" s="875" t="str">
        <f>IF('Рентабельність'!K13*$X$65=0,"",'Рентабельність'!K13*$X$65)</f>
        <v/>
      </c>
      <c r="V33" s="21"/>
      <c r="W33" s="22"/>
      <c r="X33" s="875" t="str">
        <f>IF('Рентабельність'!L13*$X$65=0,"",'Рентабельність'!L13*$X$65)</f>
        <v/>
      </c>
      <c r="Y33" s="21"/>
      <c r="Z33" s="21"/>
      <c r="AA33" s="21"/>
      <c r="AB33" s="876"/>
      <c r="AC33" s="878"/>
    </row>
    <row r="34">
      <c r="A34" s="848"/>
      <c r="B34" s="872">
        <v>12.0</v>
      </c>
      <c r="C34" s="406"/>
      <c r="D34" s="873" t="str">
        <f>'Рентабельність'!B14</f>
        <v/>
      </c>
      <c r="E34" s="21"/>
      <c r="F34" s="21"/>
      <c r="G34" s="21"/>
      <c r="H34" s="21"/>
      <c r="I34" s="21"/>
      <c r="J34" s="21"/>
      <c r="K34" s="21"/>
      <c r="L34" s="21"/>
      <c r="M34" s="21"/>
      <c r="N34" s="21"/>
      <c r="O34" s="21"/>
      <c r="P34" s="21"/>
      <c r="Q34" s="21"/>
      <c r="R34" s="21"/>
      <c r="S34" s="22"/>
      <c r="T34" s="874" t="str">
        <f>'Рентабельність'!G14</f>
        <v/>
      </c>
      <c r="U34" s="875" t="str">
        <f>IF('Рентабельність'!K14*$X$65=0,"",'Рентабельність'!K14*$X$65)</f>
        <v/>
      </c>
      <c r="V34" s="21"/>
      <c r="W34" s="22"/>
      <c r="X34" s="875" t="str">
        <f>IF('Рентабельність'!L14*$X$65=0,"",'Рентабельність'!L14*$X$65)</f>
        <v/>
      </c>
      <c r="Y34" s="21"/>
      <c r="Z34" s="21"/>
      <c r="AA34" s="21"/>
      <c r="AB34" s="876"/>
      <c r="AC34" s="878"/>
    </row>
    <row r="35">
      <c r="A35" s="848"/>
      <c r="B35" s="872">
        <v>13.0</v>
      </c>
      <c r="C35" s="406"/>
      <c r="D35" s="873" t="str">
        <f>'Рентабельність'!B15</f>
        <v/>
      </c>
      <c r="E35" s="21"/>
      <c r="F35" s="21"/>
      <c r="G35" s="21"/>
      <c r="H35" s="21"/>
      <c r="I35" s="21"/>
      <c r="J35" s="21"/>
      <c r="K35" s="21"/>
      <c r="L35" s="21"/>
      <c r="M35" s="21"/>
      <c r="N35" s="21"/>
      <c r="O35" s="21"/>
      <c r="P35" s="21"/>
      <c r="Q35" s="21"/>
      <c r="R35" s="21"/>
      <c r="S35" s="22"/>
      <c r="T35" s="874" t="str">
        <f>'Рентабельність'!G15</f>
        <v/>
      </c>
      <c r="U35" s="875" t="str">
        <f>IF('Рентабельність'!K15*$X$65=0,"",'Рентабельність'!K15*$X$65)</f>
        <v/>
      </c>
      <c r="V35" s="21"/>
      <c r="W35" s="22"/>
      <c r="X35" s="875" t="str">
        <f>IF('Рентабельність'!L15*$X$65=0,"",'Рентабельність'!L15*$X$65)</f>
        <v/>
      </c>
      <c r="Y35" s="21"/>
      <c r="Z35" s="21"/>
      <c r="AA35" s="21"/>
      <c r="AB35" s="876"/>
      <c r="AC35" s="878"/>
    </row>
    <row r="36">
      <c r="A36" s="848"/>
      <c r="B36" s="872">
        <v>14.0</v>
      </c>
      <c r="C36" s="406"/>
      <c r="D36" s="873" t="str">
        <f>'Рентабельність'!B16</f>
        <v/>
      </c>
      <c r="E36" s="21"/>
      <c r="F36" s="21"/>
      <c r="G36" s="21"/>
      <c r="H36" s="21"/>
      <c r="I36" s="21"/>
      <c r="J36" s="21"/>
      <c r="K36" s="21"/>
      <c r="L36" s="21"/>
      <c r="M36" s="21"/>
      <c r="N36" s="21"/>
      <c r="O36" s="21"/>
      <c r="P36" s="21"/>
      <c r="Q36" s="21"/>
      <c r="R36" s="21"/>
      <c r="S36" s="22"/>
      <c r="T36" s="874" t="str">
        <f>'Рентабельність'!G16</f>
        <v/>
      </c>
      <c r="U36" s="875" t="str">
        <f>IF('Рентабельність'!K16*$X$65=0,"",'Рентабельність'!K16*$X$65)</f>
        <v/>
      </c>
      <c r="V36" s="21"/>
      <c r="W36" s="22"/>
      <c r="X36" s="875" t="str">
        <f>IF('Рентабельність'!L16*$X$65=0,"",'Рентабельність'!L16*$X$65)</f>
        <v/>
      </c>
      <c r="Y36" s="21"/>
      <c r="Z36" s="21"/>
      <c r="AA36" s="21"/>
      <c r="AB36" s="876"/>
      <c r="AC36" s="878"/>
    </row>
    <row r="37">
      <c r="A37" s="848"/>
      <c r="B37" s="872">
        <v>15.0</v>
      </c>
      <c r="C37" s="406"/>
      <c r="D37" s="873" t="str">
        <f>'Рентабельність'!B17</f>
        <v/>
      </c>
      <c r="E37" s="21"/>
      <c r="F37" s="21"/>
      <c r="G37" s="21"/>
      <c r="H37" s="21"/>
      <c r="I37" s="21"/>
      <c r="J37" s="21"/>
      <c r="K37" s="21"/>
      <c r="L37" s="21"/>
      <c r="M37" s="21"/>
      <c r="N37" s="21"/>
      <c r="O37" s="21"/>
      <c r="P37" s="21"/>
      <c r="Q37" s="21"/>
      <c r="R37" s="21"/>
      <c r="S37" s="22"/>
      <c r="T37" s="874" t="str">
        <f>'Рентабельність'!G17</f>
        <v/>
      </c>
      <c r="U37" s="875" t="str">
        <f>IF('Рентабельність'!K17*$X$65=0,"",'Рентабельність'!K17*$X$65)</f>
        <v/>
      </c>
      <c r="V37" s="21"/>
      <c r="W37" s="22"/>
      <c r="X37" s="875" t="str">
        <f>IF('Рентабельність'!L17*$X$65=0,"",'Рентабельність'!L17*$X$65)</f>
        <v/>
      </c>
      <c r="Y37" s="21"/>
      <c r="Z37" s="21"/>
      <c r="AA37" s="21"/>
      <c r="AB37" s="876"/>
      <c r="AC37" s="878"/>
    </row>
    <row r="38">
      <c r="A38" s="848"/>
      <c r="B38" s="872">
        <v>16.0</v>
      </c>
      <c r="C38" s="406"/>
      <c r="D38" s="873" t="str">
        <f>'Рентабельність'!B18</f>
        <v/>
      </c>
      <c r="E38" s="21"/>
      <c r="F38" s="21"/>
      <c r="G38" s="21"/>
      <c r="H38" s="21"/>
      <c r="I38" s="21"/>
      <c r="J38" s="21"/>
      <c r="K38" s="21"/>
      <c r="L38" s="21"/>
      <c r="M38" s="21"/>
      <c r="N38" s="21"/>
      <c r="O38" s="21"/>
      <c r="P38" s="21"/>
      <c r="Q38" s="21"/>
      <c r="R38" s="21"/>
      <c r="S38" s="22"/>
      <c r="T38" s="874" t="str">
        <f>'Рентабельність'!G18</f>
        <v/>
      </c>
      <c r="U38" s="875" t="str">
        <f>IF('Рентабельність'!K18*$X$65=0,"",'Рентабельність'!K18*$X$65)</f>
        <v/>
      </c>
      <c r="V38" s="21"/>
      <c r="W38" s="22"/>
      <c r="X38" s="875" t="str">
        <f>IF('Рентабельність'!L18*$X$65=0,"",'Рентабельність'!L18*$X$65)</f>
        <v/>
      </c>
      <c r="Y38" s="21"/>
      <c r="Z38" s="21"/>
      <c r="AA38" s="21"/>
      <c r="AB38" s="876"/>
      <c r="AC38" s="878"/>
    </row>
    <row r="39">
      <c r="A39" s="848"/>
      <c r="B39" s="872">
        <v>17.0</v>
      </c>
      <c r="C39" s="406"/>
      <c r="D39" s="873" t="str">
        <f>'Рентабельність'!B19</f>
        <v/>
      </c>
      <c r="E39" s="21"/>
      <c r="F39" s="21"/>
      <c r="G39" s="21"/>
      <c r="H39" s="21"/>
      <c r="I39" s="21"/>
      <c r="J39" s="21"/>
      <c r="K39" s="21"/>
      <c r="L39" s="21"/>
      <c r="M39" s="21"/>
      <c r="N39" s="21"/>
      <c r="O39" s="21"/>
      <c r="P39" s="21"/>
      <c r="Q39" s="21"/>
      <c r="R39" s="21"/>
      <c r="S39" s="22"/>
      <c r="T39" s="874" t="str">
        <f>'Рентабельність'!G19</f>
        <v/>
      </c>
      <c r="U39" s="875" t="str">
        <f>IF('Рентабельність'!K19*$X$65=0,"",'Рентабельність'!K19*$X$65)</f>
        <v/>
      </c>
      <c r="V39" s="21"/>
      <c r="W39" s="22"/>
      <c r="X39" s="875" t="str">
        <f>IF('Рентабельність'!L19*$X$65=0,"",'Рентабельність'!L19*$X$65)</f>
        <v/>
      </c>
      <c r="Y39" s="21"/>
      <c r="Z39" s="21"/>
      <c r="AA39" s="21"/>
      <c r="AB39" s="876"/>
      <c r="AC39" s="878"/>
    </row>
    <row r="40">
      <c r="A40" s="848"/>
      <c r="B40" s="872">
        <v>18.0</v>
      </c>
      <c r="C40" s="406"/>
      <c r="D40" s="873" t="str">
        <f>'Рентабельність'!B20</f>
        <v/>
      </c>
      <c r="E40" s="21"/>
      <c r="F40" s="21"/>
      <c r="G40" s="21"/>
      <c r="H40" s="21"/>
      <c r="I40" s="21"/>
      <c r="J40" s="21"/>
      <c r="K40" s="21"/>
      <c r="L40" s="21"/>
      <c r="M40" s="21"/>
      <c r="N40" s="21"/>
      <c r="O40" s="21"/>
      <c r="P40" s="21"/>
      <c r="Q40" s="21"/>
      <c r="R40" s="21"/>
      <c r="S40" s="22"/>
      <c r="T40" s="874" t="str">
        <f>'Рентабельність'!G20</f>
        <v/>
      </c>
      <c r="U40" s="875" t="str">
        <f>IF('Рентабельність'!K20*$X$65=0,"",'Рентабельність'!K20*$X$65)</f>
        <v/>
      </c>
      <c r="V40" s="21"/>
      <c r="W40" s="22"/>
      <c r="X40" s="875" t="str">
        <f>IF('Рентабельність'!L20*$X$65=0,"",'Рентабельність'!L20*$X$65)</f>
        <v/>
      </c>
      <c r="Y40" s="21"/>
      <c r="Z40" s="21"/>
      <c r="AA40" s="21"/>
      <c r="AB40" s="876"/>
      <c r="AC40" s="878"/>
    </row>
    <row r="41">
      <c r="A41" s="848"/>
      <c r="B41" s="872">
        <v>19.0</v>
      </c>
      <c r="C41" s="406"/>
      <c r="D41" s="873" t="str">
        <f>'Рентабельність'!B21</f>
        <v/>
      </c>
      <c r="E41" s="21"/>
      <c r="F41" s="21"/>
      <c r="G41" s="21"/>
      <c r="H41" s="21"/>
      <c r="I41" s="21"/>
      <c r="J41" s="21"/>
      <c r="K41" s="21"/>
      <c r="L41" s="21"/>
      <c r="M41" s="21"/>
      <c r="N41" s="21"/>
      <c r="O41" s="21"/>
      <c r="P41" s="21"/>
      <c r="Q41" s="21"/>
      <c r="R41" s="21"/>
      <c r="S41" s="22"/>
      <c r="T41" s="874" t="str">
        <f>'Рентабельність'!G21</f>
        <v/>
      </c>
      <c r="U41" s="875" t="str">
        <f>IF('Рентабельність'!K21*$X$65=0,"",'Рентабельність'!K21*$X$65)</f>
        <v/>
      </c>
      <c r="V41" s="21"/>
      <c r="W41" s="22"/>
      <c r="X41" s="875" t="str">
        <f>IF('Рентабельність'!L21*$X$65=0,"",'Рентабельність'!L21*$X$65)</f>
        <v/>
      </c>
      <c r="Y41" s="21"/>
      <c r="Z41" s="21"/>
      <c r="AA41" s="21"/>
      <c r="AB41" s="876"/>
      <c r="AC41" s="878"/>
    </row>
    <row r="42">
      <c r="A42" s="848"/>
      <c r="B42" s="872">
        <v>20.0</v>
      </c>
      <c r="C42" s="406"/>
      <c r="D42" s="873" t="str">
        <f>'Рентабельність'!B22</f>
        <v/>
      </c>
      <c r="E42" s="21"/>
      <c r="F42" s="21"/>
      <c r="G42" s="21"/>
      <c r="H42" s="21"/>
      <c r="I42" s="21"/>
      <c r="J42" s="21"/>
      <c r="K42" s="21"/>
      <c r="L42" s="21"/>
      <c r="M42" s="21"/>
      <c r="N42" s="21"/>
      <c r="O42" s="21"/>
      <c r="P42" s="21"/>
      <c r="Q42" s="21"/>
      <c r="R42" s="21"/>
      <c r="S42" s="22"/>
      <c r="T42" s="874" t="str">
        <f>'Рентабельність'!G22</f>
        <v/>
      </c>
      <c r="U42" s="875" t="str">
        <f>IF('Рентабельність'!K22*$X$65=0,"",'Рентабельність'!K22*$X$65)</f>
        <v/>
      </c>
      <c r="V42" s="21"/>
      <c r="W42" s="22"/>
      <c r="X42" s="875" t="str">
        <f>IF('Рентабельність'!L22*$X$65=0,"",'Рентабельність'!L22*$X$65)</f>
        <v/>
      </c>
      <c r="Y42" s="21"/>
      <c r="Z42" s="21"/>
      <c r="AA42" s="21"/>
      <c r="AB42" s="876"/>
      <c r="AC42" s="878"/>
    </row>
    <row r="43">
      <c r="A43" s="848"/>
      <c r="B43" s="879">
        <v>21.0</v>
      </c>
      <c r="C43" s="22"/>
      <c r="D43" s="873" t="str">
        <f>'Рентабельність'!B23</f>
        <v/>
      </c>
      <c r="E43" s="21"/>
      <c r="F43" s="21"/>
      <c r="G43" s="21"/>
      <c r="H43" s="21"/>
      <c r="I43" s="21"/>
      <c r="J43" s="21"/>
      <c r="K43" s="21"/>
      <c r="L43" s="21"/>
      <c r="M43" s="21"/>
      <c r="N43" s="21"/>
      <c r="O43" s="21"/>
      <c r="P43" s="21"/>
      <c r="Q43" s="21"/>
      <c r="R43" s="21"/>
      <c r="S43" s="22"/>
      <c r="T43" s="874" t="str">
        <f>'Рентабельність'!G23</f>
        <v/>
      </c>
      <c r="U43" s="875" t="str">
        <f>IF('Рентабельність'!K23*$X$65=0,"",'Рентабельність'!K23*$X$65)</f>
        <v/>
      </c>
      <c r="V43" s="21"/>
      <c r="W43" s="22"/>
      <c r="X43" s="875" t="str">
        <f>IF('Рентабельність'!L23*$X$65=0,"",'Рентабельність'!L23*$X$65)</f>
        <v/>
      </c>
      <c r="Y43" s="21"/>
      <c r="Z43" s="21"/>
      <c r="AA43" s="21"/>
      <c r="AB43" s="876"/>
      <c r="AC43" s="878"/>
    </row>
    <row r="44">
      <c r="A44" s="848"/>
      <c r="B44" s="879">
        <v>22.0</v>
      </c>
      <c r="C44" s="22"/>
      <c r="D44" s="873" t="str">
        <f>'Рентабельність'!B24</f>
        <v/>
      </c>
      <c r="E44" s="21"/>
      <c r="F44" s="21"/>
      <c r="G44" s="21"/>
      <c r="H44" s="21"/>
      <c r="I44" s="21"/>
      <c r="J44" s="21"/>
      <c r="K44" s="21"/>
      <c r="L44" s="21"/>
      <c r="M44" s="21"/>
      <c r="N44" s="21"/>
      <c r="O44" s="21"/>
      <c r="P44" s="21"/>
      <c r="Q44" s="21"/>
      <c r="R44" s="21"/>
      <c r="S44" s="22"/>
      <c r="T44" s="874" t="str">
        <f>'Рентабельність'!G24</f>
        <v/>
      </c>
      <c r="U44" s="875" t="str">
        <f>IF('Рентабельність'!K24*$X$65=0,"",'Рентабельність'!K24*$X$65)</f>
        <v/>
      </c>
      <c r="V44" s="21"/>
      <c r="W44" s="22"/>
      <c r="X44" s="875" t="str">
        <f>IF('Рентабельність'!L24*$X$65=0,"",'Рентабельність'!L24*$X$65)</f>
        <v/>
      </c>
      <c r="Y44" s="21"/>
      <c r="Z44" s="21"/>
      <c r="AA44" s="21"/>
      <c r="AB44" s="876"/>
      <c r="AC44" s="878"/>
    </row>
    <row r="45">
      <c r="A45" s="865"/>
      <c r="B45" s="880" t="s">
        <v>1591</v>
      </c>
      <c r="C45" s="881"/>
      <c r="D45" s="881"/>
      <c r="E45" s="881"/>
      <c r="F45" s="881"/>
      <c r="G45" s="881"/>
      <c r="H45" s="881"/>
      <c r="I45" s="881"/>
      <c r="J45" s="881"/>
      <c r="K45" s="881"/>
      <c r="L45" s="881"/>
      <c r="M45" s="881"/>
      <c r="N45" s="881"/>
      <c r="O45" s="881"/>
      <c r="P45" s="881"/>
      <c r="Q45" s="881"/>
      <c r="R45" s="881"/>
      <c r="S45" s="881"/>
      <c r="T45" s="867"/>
      <c r="U45" s="868"/>
      <c r="X45" s="869" t="str">
        <f>IF('Рентабельність'!L25*$X$65=0,"",'Рентабельність'!L25*$X$65)</f>
        <v>#DIV/0!</v>
      </c>
      <c r="AB45" s="870"/>
      <c r="AC45" s="882"/>
    </row>
    <row r="46">
      <c r="A46" s="848"/>
      <c r="B46" s="883" t="s">
        <v>86</v>
      </c>
      <c r="C46" s="22"/>
      <c r="D46" s="884" t="str">
        <f>'Рентабельність'!B26</f>
        <v>Кріплення</v>
      </c>
      <c r="E46" s="21"/>
      <c r="F46" s="21"/>
      <c r="G46" s="21"/>
      <c r="H46" s="21"/>
      <c r="I46" s="21"/>
      <c r="J46" s="21"/>
      <c r="K46" s="21"/>
      <c r="L46" s="21"/>
      <c r="M46" s="21"/>
      <c r="N46" s="21"/>
      <c r="O46" s="21"/>
      <c r="P46" s="21"/>
      <c r="Q46" s="21"/>
      <c r="R46" s="21"/>
      <c r="S46" s="22"/>
      <c r="T46" s="874">
        <f>'Рентабельність'!G26</f>
        <v>0</v>
      </c>
      <c r="U46" s="875" t="str">
        <f>IF('Рентабельність'!K26*$X$65=0,"",'Рентабельність'!K26*$X$65)</f>
        <v>#DIV/0!</v>
      </c>
      <c r="V46" s="21"/>
      <c r="W46" s="22"/>
      <c r="X46" s="875" t="str">
        <f>IF('Рентабельність'!L26*$X$65=0,"",'Рентабельність'!L26*$X$65)</f>
        <v>#DIV/0!</v>
      </c>
      <c r="Y46" s="21"/>
      <c r="Z46" s="21"/>
      <c r="AA46" s="21"/>
      <c r="AB46" s="876"/>
      <c r="AC46" s="878"/>
    </row>
    <row r="47">
      <c r="A47" s="848"/>
      <c r="B47" s="885" t="s">
        <v>92</v>
      </c>
      <c r="C47" s="881"/>
      <c r="D47" s="884" t="str">
        <f>'Рентабельність'!B27</f>
        <v>Захист DC (основне)</v>
      </c>
      <c r="E47" s="21"/>
      <c r="F47" s="21"/>
      <c r="G47" s="21"/>
      <c r="H47" s="21"/>
      <c r="I47" s="21"/>
      <c r="J47" s="21"/>
      <c r="K47" s="21"/>
      <c r="L47" s="21"/>
      <c r="M47" s="21"/>
      <c r="N47" s="21"/>
      <c r="O47" s="21"/>
      <c r="P47" s="21"/>
      <c r="Q47" s="21"/>
      <c r="R47" s="21"/>
      <c r="S47" s="22"/>
      <c r="T47" s="874" t="str">
        <f>'Рентабельність'!G27</f>
        <v/>
      </c>
      <c r="U47" s="875" t="str">
        <f>IF('Рентабельність'!K27*$X$65=0,"",'Рентабельність'!K27*$X$65)</f>
        <v/>
      </c>
      <c r="V47" s="21"/>
      <c r="W47" s="22"/>
      <c r="X47" s="875" t="str">
        <f>IF('Рентабельність'!L27*$X$65=0,"",'Рентабельність'!L27*$X$65)</f>
        <v/>
      </c>
      <c r="Y47" s="21"/>
      <c r="Z47" s="21"/>
      <c r="AA47" s="21"/>
      <c r="AB47" s="876"/>
      <c r="AC47" s="878"/>
    </row>
    <row r="48">
      <c r="A48" s="848"/>
      <c r="B48" s="885" t="s">
        <v>99</v>
      </c>
      <c r="C48" s="881"/>
      <c r="D48" s="884" t="str">
        <f>'Рентабельність'!B28</f>
        <v>Захист AC (основне)</v>
      </c>
      <c r="E48" s="21"/>
      <c r="F48" s="21"/>
      <c r="G48" s="21"/>
      <c r="H48" s="21"/>
      <c r="I48" s="21"/>
      <c r="J48" s="21"/>
      <c r="K48" s="21"/>
      <c r="L48" s="21"/>
      <c r="M48" s="21"/>
      <c r="N48" s="21"/>
      <c r="O48" s="21"/>
      <c r="P48" s="21"/>
      <c r="Q48" s="21"/>
      <c r="R48" s="21"/>
      <c r="S48" s="22"/>
      <c r="T48" s="874" t="str">
        <f>'Рентабельність'!G28</f>
        <v/>
      </c>
      <c r="U48" s="875" t="str">
        <f>IF('Рентабельність'!K28*$X$65=0,"",'Рентабельність'!K28*$X$65)</f>
        <v/>
      </c>
      <c r="V48" s="21"/>
      <c r="W48" s="22"/>
      <c r="X48" s="875" t="str">
        <f>IF('Рентабельність'!L28*$X$65=0,"",'Рентабельність'!L28*$X$65)</f>
        <v/>
      </c>
      <c r="Y48" s="21"/>
      <c r="Z48" s="21"/>
      <c r="AA48" s="21"/>
      <c r="AB48" s="876"/>
      <c r="AC48" s="878"/>
    </row>
    <row r="49">
      <c r="A49" s="848"/>
      <c r="B49" s="883" t="s">
        <v>104</v>
      </c>
      <c r="C49" s="22"/>
      <c r="D49" s="884" t="str">
        <f>'Рентабельність'!B29</f>
        <v>АВР (автоматичне ввімкнення резерву)</v>
      </c>
      <c r="E49" s="21"/>
      <c r="F49" s="21"/>
      <c r="G49" s="21"/>
      <c r="H49" s="21"/>
      <c r="I49" s="21"/>
      <c r="J49" s="21"/>
      <c r="K49" s="21"/>
      <c r="L49" s="21"/>
      <c r="M49" s="21"/>
      <c r="N49" s="21"/>
      <c r="O49" s="21"/>
      <c r="P49" s="21"/>
      <c r="Q49" s="21"/>
      <c r="R49" s="21"/>
      <c r="S49" s="22"/>
      <c r="T49" s="874" t="str">
        <f>'Рентабельність'!G29</f>
        <v/>
      </c>
      <c r="U49" s="875" t="str">
        <f>IF('Рентабельність'!K29*$X$65=0,"",'Рентабельність'!K29*$X$65)</f>
        <v/>
      </c>
      <c r="V49" s="21"/>
      <c r="W49" s="22"/>
      <c r="X49" s="875" t="str">
        <f>IF('Рентабельність'!L29*$X$65=0,"",'Рентабельність'!L29*$X$65)</f>
        <v/>
      </c>
      <c r="Y49" s="21"/>
      <c r="Z49" s="21"/>
      <c r="AA49" s="21"/>
      <c r="AB49" s="876"/>
      <c r="AC49" s="878"/>
    </row>
    <row r="50">
      <c r="A50" s="848"/>
      <c r="B50" s="885" t="s">
        <v>109</v>
      </c>
      <c r="C50" s="881"/>
      <c r="D50" s="884" t="str">
        <f>'Рентабельність'!B30</f>
        <v>Стійка для АКБ</v>
      </c>
      <c r="E50" s="21"/>
      <c r="F50" s="21"/>
      <c r="G50" s="21"/>
      <c r="H50" s="21"/>
      <c r="I50" s="21"/>
      <c r="J50" s="21"/>
      <c r="K50" s="21"/>
      <c r="L50" s="21"/>
      <c r="M50" s="21"/>
      <c r="N50" s="21"/>
      <c r="O50" s="21"/>
      <c r="P50" s="21"/>
      <c r="Q50" s="21"/>
      <c r="R50" s="21"/>
      <c r="S50" s="22"/>
      <c r="T50" s="874" t="str">
        <f>'Рентабельність'!G30</f>
        <v/>
      </c>
      <c r="U50" s="875" t="str">
        <f>IF('Рентабельність'!K30*$X$65=0,"",'Рентабельність'!K30*$X$65)</f>
        <v/>
      </c>
      <c r="V50" s="21"/>
      <c r="W50" s="22"/>
      <c r="X50" s="875" t="str">
        <f>IF('Рентабельність'!L30*$X$65=0,"",'Рентабельність'!L30*$X$65)</f>
        <v/>
      </c>
      <c r="Y50" s="21"/>
      <c r="Z50" s="21"/>
      <c r="AA50" s="21"/>
      <c r="AB50" s="876"/>
      <c r="AC50" s="878"/>
    </row>
    <row r="51">
      <c r="A51" s="848"/>
      <c r="B51" s="885" t="s">
        <v>113</v>
      </c>
      <c r="C51" s="881"/>
      <c r="D51" s="884" t="str">
        <f>'Рентабельність'!B31</f>
        <v>Захист АКБ</v>
      </c>
      <c r="E51" s="21"/>
      <c r="F51" s="21"/>
      <c r="G51" s="21"/>
      <c r="H51" s="21"/>
      <c r="I51" s="21"/>
      <c r="J51" s="21"/>
      <c r="K51" s="21"/>
      <c r="L51" s="21"/>
      <c r="M51" s="21"/>
      <c r="N51" s="21"/>
      <c r="O51" s="21"/>
      <c r="P51" s="21"/>
      <c r="Q51" s="21"/>
      <c r="R51" s="21"/>
      <c r="S51" s="22"/>
      <c r="T51" s="874" t="str">
        <f>'Рентабельність'!G31</f>
        <v/>
      </c>
      <c r="U51" s="875" t="str">
        <f>IF('Рентабельність'!K31*$X$65=0,"",'Рентабельність'!K31*$X$65)</f>
        <v/>
      </c>
      <c r="V51" s="21"/>
      <c r="W51" s="22"/>
      <c r="X51" s="875" t="str">
        <f>IF('Рентабельність'!L31*$X$65=0,"",'Рентабельність'!L31*$X$65)</f>
        <v/>
      </c>
      <c r="Y51" s="21"/>
      <c r="Z51" s="21"/>
      <c r="AA51" s="21"/>
      <c r="AB51" s="876"/>
      <c r="AC51" s="878"/>
    </row>
    <row r="52">
      <c r="A52" s="848"/>
      <c r="B52" s="883" t="s">
        <v>118</v>
      </c>
      <c r="C52" s="22"/>
      <c r="D52" s="884" t="str">
        <f>'Рентабельність'!B32</f>
        <v>Заземлення</v>
      </c>
      <c r="E52" s="21"/>
      <c r="F52" s="21"/>
      <c r="G52" s="21"/>
      <c r="H52" s="21"/>
      <c r="I52" s="21"/>
      <c r="J52" s="21"/>
      <c r="K52" s="21"/>
      <c r="L52" s="21"/>
      <c r="M52" s="21"/>
      <c r="N52" s="21"/>
      <c r="O52" s="21"/>
      <c r="P52" s="21"/>
      <c r="Q52" s="21"/>
      <c r="R52" s="21"/>
      <c r="S52" s="22"/>
      <c r="T52" s="874" t="str">
        <f>'Рентабельність'!G32</f>
        <v/>
      </c>
      <c r="U52" s="875" t="str">
        <f>IF('Рентабельність'!K32*$X$65=0,"",'Рентабельність'!K32*$X$65)</f>
        <v/>
      </c>
      <c r="V52" s="21"/>
      <c r="W52" s="22"/>
      <c r="X52" s="875" t="str">
        <f>IF('Рентабельність'!L32*$X$65=0,"",'Рентабельність'!L32*$X$65)</f>
        <v/>
      </c>
      <c r="Y52" s="21"/>
      <c r="Z52" s="21"/>
      <c r="AA52" s="21"/>
      <c r="AB52" s="876"/>
      <c r="AC52" s="878"/>
    </row>
    <row r="53">
      <c r="A53" s="848"/>
      <c r="B53" s="885" t="s">
        <v>123</v>
      </c>
      <c r="C53" s="881"/>
      <c r="D53" s="884" t="str">
        <f>'Рентабельність'!B33</f>
        <v>Кабельна продукція</v>
      </c>
      <c r="E53" s="21"/>
      <c r="F53" s="21"/>
      <c r="G53" s="21"/>
      <c r="H53" s="21"/>
      <c r="I53" s="21"/>
      <c r="J53" s="21"/>
      <c r="K53" s="21"/>
      <c r="L53" s="21"/>
      <c r="M53" s="21"/>
      <c r="N53" s="21"/>
      <c r="O53" s="21"/>
      <c r="P53" s="21"/>
      <c r="Q53" s="21"/>
      <c r="R53" s="21"/>
      <c r="S53" s="22"/>
      <c r="T53" s="874" t="str">
        <f>'Рентабельність'!G33</f>
        <v/>
      </c>
      <c r="U53" s="875" t="str">
        <f>IF('Рентабельність'!K33*$X$65=0,"",'Рентабельність'!K33*$X$65)</f>
        <v/>
      </c>
      <c r="V53" s="21"/>
      <c r="W53" s="22"/>
      <c r="X53" s="875" t="str">
        <f>IF('Рентабельність'!L33*$X$65=0,"",'Рентабельність'!L33*$X$65)</f>
        <v/>
      </c>
      <c r="Y53" s="21"/>
      <c r="Z53" s="21"/>
      <c r="AA53" s="21"/>
      <c r="AB53" s="876"/>
      <c r="AC53" s="878"/>
    </row>
    <row r="54">
      <c r="A54" s="848"/>
      <c r="B54" s="885" t="s">
        <v>127</v>
      </c>
      <c r="C54" s="881"/>
      <c r="D54" s="884" t="str">
        <f>'Рентабельність'!B34</f>
        <v>Монтажні вироби та інше</v>
      </c>
      <c r="E54" s="21"/>
      <c r="F54" s="21"/>
      <c r="G54" s="21"/>
      <c r="H54" s="21"/>
      <c r="I54" s="21"/>
      <c r="J54" s="21"/>
      <c r="K54" s="21"/>
      <c r="L54" s="21"/>
      <c r="M54" s="21"/>
      <c r="N54" s="21"/>
      <c r="O54" s="21"/>
      <c r="P54" s="21"/>
      <c r="Q54" s="21"/>
      <c r="R54" s="21"/>
      <c r="S54" s="22"/>
      <c r="T54" s="874" t="str">
        <f>'Рентабельність'!G34</f>
        <v/>
      </c>
      <c r="U54" s="875" t="str">
        <f>IF('Рентабельність'!K34*$X$65=0,"",'Рентабельність'!K34*$X$65)</f>
        <v/>
      </c>
      <c r="V54" s="21"/>
      <c r="W54" s="22"/>
      <c r="X54" s="875" t="str">
        <f>IF('Рентабельність'!L34*$X$65=0,"",'Рентабельність'!L34*$X$65)</f>
        <v/>
      </c>
      <c r="Y54" s="21"/>
      <c r="Z54" s="21"/>
      <c r="AA54" s="21"/>
      <c r="AB54" s="876"/>
      <c r="AC54" s="878"/>
    </row>
    <row r="55">
      <c r="A55" s="865"/>
      <c r="B55" s="866" t="s">
        <v>1592</v>
      </c>
      <c r="T55" s="867"/>
      <c r="U55" s="868"/>
      <c r="X55" s="886" t="str">
        <f>IF('Рентабельність'!L35*$X$65=0,"",'Рентабельність'!L35*$X$65)</f>
        <v/>
      </c>
      <c r="AB55" s="870"/>
      <c r="AC55" s="882"/>
    </row>
    <row r="56">
      <c r="A56" s="848"/>
      <c r="B56" s="883" t="s">
        <v>86</v>
      </c>
      <c r="C56" s="22"/>
      <c r="D56" s="873" t="str">
        <f>'КОШТОРИС'!B145</f>
        <v>Розробка технічного рішення з установки сонячної станції</v>
      </c>
      <c r="E56" s="21"/>
      <c r="F56" s="21"/>
      <c r="G56" s="21"/>
      <c r="H56" s="21"/>
      <c r="I56" s="21"/>
      <c r="J56" s="21"/>
      <c r="K56" s="21"/>
      <c r="L56" s="21"/>
      <c r="M56" s="21"/>
      <c r="N56" s="21"/>
      <c r="O56" s="21"/>
      <c r="P56" s="21"/>
      <c r="Q56" s="21"/>
      <c r="R56" s="21"/>
      <c r="S56" s="22"/>
      <c r="T56" s="874" t="str">
        <f>'Рентабельність'!G36</f>
        <v/>
      </c>
      <c r="U56" s="875" t="str">
        <f>IF('Рентабельність'!K36*$X$65=0,"",'Рентабельність'!K36*$X$65)</f>
        <v/>
      </c>
      <c r="V56" s="21"/>
      <c r="W56" s="22"/>
      <c r="X56" s="887" t="str">
        <f>IF('Рентабельність'!L36*$X$65=0,"",'Рентабельність'!L36*$X$65)</f>
        <v/>
      </c>
      <c r="Y56" s="21"/>
      <c r="Z56" s="21"/>
      <c r="AA56" s="21"/>
      <c r="AB56" s="876"/>
      <c r="AC56" s="878"/>
    </row>
    <row r="57">
      <c r="A57" s="848"/>
      <c r="B57" s="883" t="s">
        <v>92</v>
      </c>
      <c r="C57" s="22"/>
      <c r="D57" s="873" t="str">
        <f>'КОШТОРИС'!B146</f>
        <v>Доставка обладнання, оренда спецтехніки та підйомних механізмів</v>
      </c>
      <c r="E57" s="21"/>
      <c r="F57" s="21"/>
      <c r="G57" s="21"/>
      <c r="H57" s="21"/>
      <c r="I57" s="21"/>
      <c r="J57" s="21"/>
      <c r="K57" s="21"/>
      <c r="L57" s="21"/>
      <c r="M57" s="21"/>
      <c r="N57" s="21"/>
      <c r="O57" s="21"/>
      <c r="P57" s="21"/>
      <c r="Q57" s="21"/>
      <c r="R57" s="21"/>
      <c r="S57" s="22"/>
      <c r="T57" s="874" t="str">
        <f>'Рентабельність'!G37</f>
        <v/>
      </c>
      <c r="U57" s="875" t="str">
        <f>IF('Рентабельність'!K37*$X$65=0,"",'Рентабельність'!K37*$X$65)</f>
        <v/>
      </c>
      <c r="V57" s="21"/>
      <c r="W57" s="22"/>
      <c r="X57" s="887" t="str">
        <f>IF('Рентабельність'!L37*$X$65=0,"",'Рентабельність'!L37*$X$65)</f>
        <v/>
      </c>
      <c r="Y57" s="21"/>
      <c r="Z57" s="21"/>
      <c r="AA57" s="21"/>
      <c r="AB57" s="876"/>
      <c r="AC57" s="878"/>
    </row>
    <row r="58">
      <c r="A58" s="848"/>
      <c r="B58" s="883" t="s">
        <v>99</v>
      </c>
      <c r="C58" s="22"/>
      <c r="D58" s="873" t="str">
        <f>'КОШТОРИС'!B147</f>
        <v>Будівельно-монтажні роботи (монтаж сонячних модулів, опорних конструкцій)</v>
      </c>
      <c r="E58" s="21"/>
      <c r="F58" s="21"/>
      <c r="G58" s="21"/>
      <c r="H58" s="21"/>
      <c r="I58" s="21"/>
      <c r="J58" s="21"/>
      <c r="K58" s="21"/>
      <c r="L58" s="21"/>
      <c r="M58" s="21"/>
      <c r="N58" s="21"/>
      <c r="O58" s="21"/>
      <c r="P58" s="21"/>
      <c r="Q58" s="21"/>
      <c r="R58" s="21"/>
      <c r="S58" s="22"/>
      <c r="T58" s="874" t="str">
        <f>'Рентабельність'!G38</f>
        <v/>
      </c>
      <c r="U58" s="875" t="str">
        <f>IF('Рентабельність'!K38*$X$65=0,"",'Рентабельність'!K38*$X$65)</f>
        <v/>
      </c>
      <c r="V58" s="21"/>
      <c r="W58" s="22"/>
      <c r="X58" s="887" t="str">
        <f>IF('Рентабельність'!L38*$X$65=0,"",'Рентабельність'!L38*$X$65)</f>
        <v/>
      </c>
      <c r="Y58" s="21"/>
      <c r="Z58" s="21"/>
      <c r="AA58" s="21"/>
      <c r="AB58" s="876"/>
      <c r="AC58" s="878"/>
    </row>
    <row r="59">
      <c r="A59" s="848"/>
      <c r="B59" s="883" t="s">
        <v>104</v>
      </c>
      <c r="C59" s="22"/>
      <c r="D59" s="873" t="str">
        <f>'КОШТОРИС'!B148</f>
        <v>Електромонтажні роботи (прокладання кабелів AC/DC, монтаж щитів захисту, монтаж основного обладнання)</v>
      </c>
      <c r="E59" s="21"/>
      <c r="F59" s="21"/>
      <c r="G59" s="21"/>
      <c r="H59" s="21"/>
      <c r="I59" s="21"/>
      <c r="J59" s="21"/>
      <c r="K59" s="21"/>
      <c r="L59" s="21"/>
      <c r="M59" s="21"/>
      <c r="N59" s="21"/>
      <c r="O59" s="21"/>
      <c r="P59" s="21"/>
      <c r="Q59" s="21"/>
      <c r="R59" s="21"/>
      <c r="S59" s="22"/>
      <c r="T59" s="874" t="str">
        <f>'Рентабельність'!G39</f>
        <v/>
      </c>
      <c r="U59" s="875" t="str">
        <f>IF('Рентабельність'!K39*$X$65=0,"",'Рентабельність'!K39*$X$65)</f>
        <v/>
      </c>
      <c r="V59" s="21"/>
      <c r="W59" s="22"/>
      <c r="X59" s="887" t="str">
        <f>IF('Рентабельність'!L39*$X$65=0,"",'Рентабельність'!L39*$X$65)</f>
        <v/>
      </c>
      <c r="Y59" s="21"/>
      <c r="Z59" s="21"/>
      <c r="AA59" s="21"/>
      <c r="AB59" s="876"/>
      <c r="AC59" s="878"/>
    </row>
    <row r="60">
      <c r="A60" s="848"/>
      <c r="B60" s="883" t="s">
        <v>109</v>
      </c>
      <c r="C60" s="22"/>
      <c r="D60" s="873" t="str">
        <f>'КОШТОРИС'!B149</f>
        <v>Програмування обладнання, пусконалагоджувальні роботи</v>
      </c>
      <c r="E60" s="21"/>
      <c r="F60" s="21"/>
      <c r="G60" s="21"/>
      <c r="H60" s="21"/>
      <c r="I60" s="21"/>
      <c r="J60" s="21"/>
      <c r="K60" s="21"/>
      <c r="L60" s="21"/>
      <c r="M60" s="21"/>
      <c r="N60" s="21"/>
      <c r="O60" s="21"/>
      <c r="P60" s="21"/>
      <c r="Q60" s="21"/>
      <c r="R60" s="21"/>
      <c r="S60" s="22"/>
      <c r="T60" s="874" t="str">
        <f>'Рентабельність'!G40</f>
        <v/>
      </c>
      <c r="U60" s="875" t="str">
        <f>IF('Рентабельність'!K40*$X$65=0,"",'Рентабельність'!K40*$X$65)</f>
        <v/>
      </c>
      <c r="V60" s="21"/>
      <c r="W60" s="22"/>
      <c r="X60" s="887" t="str">
        <f>IF('Рентабельність'!L40*$X$65=0,"",'Рентабельність'!L40*$X$65)</f>
        <v/>
      </c>
      <c r="Y60" s="21"/>
      <c r="Z60" s="21"/>
      <c r="AA60" s="21"/>
      <c r="AB60" s="876"/>
      <c r="AC60" s="878"/>
    </row>
    <row r="61">
      <c r="A61" s="848"/>
      <c r="B61" s="883" t="s">
        <v>109</v>
      </c>
      <c r="C61" s="22"/>
      <c r="D61" s="873" t="str">
        <f>'КОШТОРИС'!B150</f>
        <v>Транспортні витрати монтажної бригади</v>
      </c>
      <c r="E61" s="21"/>
      <c r="F61" s="21"/>
      <c r="G61" s="21"/>
      <c r="H61" s="21"/>
      <c r="I61" s="21"/>
      <c r="J61" s="21"/>
      <c r="K61" s="21"/>
      <c r="L61" s="21"/>
      <c r="M61" s="21"/>
      <c r="N61" s="21"/>
      <c r="O61" s="21"/>
      <c r="P61" s="21"/>
      <c r="Q61" s="21"/>
      <c r="R61" s="21"/>
      <c r="S61" s="22"/>
      <c r="T61" s="874" t="str">
        <f>'Рентабельність'!G41</f>
        <v/>
      </c>
      <c r="U61" s="875" t="str">
        <f>IF('Рентабельність'!K41*$X$65=0,"",'Рентабельність'!K41*$X$65)</f>
        <v/>
      </c>
      <c r="V61" s="21"/>
      <c r="W61" s="22"/>
      <c r="X61" s="887" t="str">
        <f>IF('Рентабельність'!L41*$X$65=0,"",'Рентабельність'!L41*$X$65)</f>
        <v/>
      </c>
      <c r="Y61" s="21"/>
      <c r="Z61" s="21"/>
      <c r="AA61" s="21"/>
      <c r="AB61" s="876"/>
      <c r="AC61" s="878"/>
    </row>
    <row r="62">
      <c r="A62" s="848"/>
      <c r="B62" s="883" t="s">
        <v>109</v>
      </c>
      <c r="C62" s="22"/>
      <c r="D62" s="873" t="str">
        <f>'КОШТОРИС'!B151</f>
        <v>Знижка на послузі проектування станції у разі розміщення замовлення</v>
      </c>
      <c r="E62" s="21"/>
      <c r="F62" s="21"/>
      <c r="G62" s="21"/>
      <c r="H62" s="21"/>
      <c r="I62" s="21"/>
      <c r="J62" s="21"/>
      <c r="K62" s="21"/>
      <c r="L62" s="21"/>
      <c r="M62" s="21"/>
      <c r="N62" s="21"/>
      <c r="O62" s="21"/>
      <c r="P62" s="21"/>
      <c r="Q62" s="21"/>
      <c r="R62" s="21"/>
      <c r="S62" s="22"/>
      <c r="T62" s="874" t="str">
        <f>'Рентабельність'!G42</f>
        <v/>
      </c>
      <c r="U62" s="875" t="str">
        <f>IF('Рентабельність'!K42*$X$65=0,"",'Рентабельність'!K42*$X$65)</f>
        <v/>
      </c>
      <c r="V62" s="21"/>
      <c r="W62" s="22"/>
      <c r="X62" s="887" t="str">
        <f>IF('Рентабельність'!L42*$X$65=0,"",'Рентабельність'!L42*$X$65)</f>
        <v/>
      </c>
      <c r="Y62" s="21"/>
      <c r="Z62" s="21"/>
      <c r="AA62" s="21"/>
      <c r="AB62" s="876"/>
      <c r="AC62" s="878"/>
    </row>
    <row r="63">
      <c r="A63" s="865"/>
      <c r="B63" s="888" t="s">
        <v>1593</v>
      </c>
      <c r="C63" s="845"/>
      <c r="D63" s="845"/>
      <c r="E63" s="845"/>
      <c r="F63" s="845"/>
      <c r="G63" s="845"/>
      <c r="H63" s="845"/>
      <c r="I63" s="845"/>
      <c r="J63" s="845"/>
      <c r="K63" s="845"/>
      <c r="L63" s="845"/>
      <c r="M63" s="845"/>
      <c r="N63" s="845"/>
      <c r="O63" s="845"/>
      <c r="P63" s="845"/>
      <c r="Q63" s="845"/>
      <c r="R63" s="845"/>
      <c r="S63" s="845"/>
      <c r="T63" s="845"/>
      <c r="U63" s="845"/>
      <c r="V63" s="845"/>
      <c r="W63" s="845"/>
      <c r="X63" s="889" t="str">
        <f>IF('Рентабельність'!L43*$X$65=0,"",'Рентабельність'!L43*$X$65)</f>
        <v>#DIV/0!</v>
      </c>
      <c r="Y63" s="845"/>
      <c r="Z63" s="845"/>
      <c r="AA63" s="845"/>
      <c r="AB63" s="864"/>
      <c r="AC63" s="890"/>
    </row>
    <row r="64">
      <c r="A64" s="865"/>
      <c r="B64" s="891"/>
      <c r="C64" s="891"/>
      <c r="D64" s="891"/>
      <c r="E64" s="891"/>
      <c r="F64" s="891"/>
      <c r="G64" s="891"/>
      <c r="H64" s="891"/>
      <c r="I64" s="891"/>
      <c r="J64" s="891"/>
      <c r="K64" s="891"/>
      <c r="L64" s="891"/>
      <c r="M64" s="891"/>
      <c r="N64" s="891"/>
      <c r="O64" s="891"/>
      <c r="P64" s="891"/>
      <c r="Q64" s="891"/>
      <c r="R64" s="891"/>
      <c r="S64" s="891"/>
      <c r="T64" s="892"/>
      <c r="U64" s="893"/>
      <c r="V64" s="893"/>
      <c r="W64" s="893"/>
      <c r="X64" s="894"/>
      <c r="Y64" s="894"/>
      <c r="Z64" s="894"/>
      <c r="AA64" s="894"/>
      <c r="AB64" s="894"/>
      <c r="AC64" s="890"/>
    </row>
    <row r="65">
      <c r="A65" s="865"/>
      <c r="B65" s="891" t="s">
        <v>1594</v>
      </c>
      <c r="R65" s="891"/>
      <c r="S65" s="891"/>
      <c r="T65" s="892"/>
      <c r="U65" s="893" t="s">
        <v>1595</v>
      </c>
      <c r="X65" s="894">
        <v>41.8</v>
      </c>
      <c r="AC65" s="890"/>
    </row>
    <row r="66" ht="6.75" customHeight="1">
      <c r="A66" s="839"/>
      <c r="B66" s="839"/>
      <c r="C66" s="839"/>
      <c r="D66" s="839"/>
      <c r="E66" s="839"/>
      <c r="F66" s="839"/>
      <c r="G66" s="839"/>
      <c r="H66" s="839"/>
      <c r="I66" s="839"/>
      <c r="J66" s="839"/>
      <c r="K66" s="839"/>
      <c r="L66" s="839"/>
      <c r="M66" s="839"/>
      <c r="N66" s="839"/>
      <c r="O66" s="839"/>
      <c r="P66" s="839"/>
      <c r="Q66" s="839"/>
      <c r="R66" s="839"/>
      <c r="S66" s="839"/>
      <c r="T66" s="840"/>
      <c r="U66" s="841"/>
      <c r="V66" s="841"/>
      <c r="W66" s="841"/>
      <c r="X66" s="839"/>
      <c r="Y66" s="839"/>
      <c r="Z66" s="839"/>
      <c r="AA66" s="839"/>
      <c r="AB66" s="839"/>
      <c r="AC66" s="839"/>
    </row>
  </sheetData>
  <autoFilter ref="$A$1"/>
  <mergeCells count="180">
    <mergeCell ref="U28:W28"/>
    <mergeCell ref="X28:AB28"/>
    <mergeCell ref="D26:S26"/>
    <mergeCell ref="U26:W26"/>
    <mergeCell ref="X26:AB26"/>
    <mergeCell ref="D27:S27"/>
    <mergeCell ref="U27:W27"/>
    <mergeCell ref="X27:AB27"/>
    <mergeCell ref="D28:S28"/>
    <mergeCell ref="U31:W31"/>
    <mergeCell ref="X31:AB31"/>
    <mergeCell ref="D29:S29"/>
    <mergeCell ref="U29:W29"/>
    <mergeCell ref="X29:AB29"/>
    <mergeCell ref="D30:S30"/>
    <mergeCell ref="U30:W30"/>
    <mergeCell ref="X30:AB30"/>
    <mergeCell ref="D31:S31"/>
    <mergeCell ref="B20:C21"/>
    <mergeCell ref="B23:C23"/>
    <mergeCell ref="B24:C24"/>
    <mergeCell ref="B25:C25"/>
    <mergeCell ref="B26:C26"/>
    <mergeCell ref="B27:C27"/>
    <mergeCell ref="B28:C28"/>
    <mergeCell ref="B33:C33"/>
    <mergeCell ref="B34:C34"/>
    <mergeCell ref="B35:C35"/>
    <mergeCell ref="B36:C36"/>
    <mergeCell ref="B37:C37"/>
    <mergeCell ref="B38:C38"/>
    <mergeCell ref="B39:C39"/>
    <mergeCell ref="B40:C40"/>
    <mergeCell ref="B41:C41"/>
    <mergeCell ref="B42:C42"/>
    <mergeCell ref="B43:C43"/>
    <mergeCell ref="B44:C44"/>
    <mergeCell ref="B46:C46"/>
    <mergeCell ref="B47:C47"/>
    <mergeCell ref="B56:C56"/>
    <mergeCell ref="B57:C57"/>
    <mergeCell ref="B58:C58"/>
    <mergeCell ref="B59:C59"/>
    <mergeCell ref="B60:C60"/>
    <mergeCell ref="B61:C61"/>
    <mergeCell ref="B62:C62"/>
    <mergeCell ref="B48:C48"/>
    <mergeCell ref="B49:C49"/>
    <mergeCell ref="B50:C50"/>
    <mergeCell ref="B51:C51"/>
    <mergeCell ref="B52:C52"/>
    <mergeCell ref="B53:C53"/>
    <mergeCell ref="B54:C54"/>
    <mergeCell ref="U36:W36"/>
    <mergeCell ref="U37:W37"/>
    <mergeCell ref="U32:W32"/>
    <mergeCell ref="U33:W33"/>
    <mergeCell ref="U34:W34"/>
    <mergeCell ref="X34:AB34"/>
    <mergeCell ref="U35:W35"/>
    <mergeCell ref="X35:AB35"/>
    <mergeCell ref="X36:AB36"/>
    <mergeCell ref="X37:AB37"/>
    <mergeCell ref="K2:AA2"/>
    <mergeCell ref="K4:AA4"/>
    <mergeCell ref="K5:AA5"/>
    <mergeCell ref="B10:P10"/>
    <mergeCell ref="Q10:S10"/>
    <mergeCell ref="B12:E12"/>
    <mergeCell ref="F12:AA14"/>
    <mergeCell ref="U20:W21"/>
    <mergeCell ref="U22:W22"/>
    <mergeCell ref="B16:E16"/>
    <mergeCell ref="F16:AA18"/>
    <mergeCell ref="D20:S21"/>
    <mergeCell ref="T20:T21"/>
    <mergeCell ref="X20:AB21"/>
    <mergeCell ref="B22:S22"/>
    <mergeCell ref="X22:AB22"/>
    <mergeCell ref="U25:W25"/>
    <mergeCell ref="X25:AB25"/>
    <mergeCell ref="D23:S23"/>
    <mergeCell ref="U23:W23"/>
    <mergeCell ref="X23:AB23"/>
    <mergeCell ref="D24:S24"/>
    <mergeCell ref="U24:W24"/>
    <mergeCell ref="X24:AB24"/>
    <mergeCell ref="D25:S25"/>
    <mergeCell ref="B29:C29"/>
    <mergeCell ref="B30:C30"/>
    <mergeCell ref="B31:C31"/>
    <mergeCell ref="B32:C32"/>
    <mergeCell ref="D32:S32"/>
    <mergeCell ref="X32:AB32"/>
    <mergeCell ref="X33:AB33"/>
    <mergeCell ref="U40:W40"/>
    <mergeCell ref="U41:W41"/>
    <mergeCell ref="U54:W54"/>
    <mergeCell ref="U55:W55"/>
    <mergeCell ref="U58:W58"/>
    <mergeCell ref="U59:W59"/>
    <mergeCell ref="U60:W60"/>
    <mergeCell ref="U61:W61"/>
    <mergeCell ref="U62:W62"/>
    <mergeCell ref="U47:W47"/>
    <mergeCell ref="U48:W48"/>
    <mergeCell ref="U49:W49"/>
    <mergeCell ref="U50:W50"/>
    <mergeCell ref="U51:W51"/>
    <mergeCell ref="U52:W52"/>
    <mergeCell ref="U53:W53"/>
    <mergeCell ref="D44:S44"/>
    <mergeCell ref="B45:S45"/>
    <mergeCell ref="D46:S46"/>
    <mergeCell ref="D47:S47"/>
    <mergeCell ref="D48:S48"/>
    <mergeCell ref="D49:S49"/>
    <mergeCell ref="D50:S50"/>
    <mergeCell ref="D58:S58"/>
    <mergeCell ref="D59:S59"/>
    <mergeCell ref="D60:S60"/>
    <mergeCell ref="D61:S61"/>
    <mergeCell ref="D62:S62"/>
    <mergeCell ref="D51:S51"/>
    <mergeCell ref="D52:S52"/>
    <mergeCell ref="D53:S53"/>
    <mergeCell ref="D54:S54"/>
    <mergeCell ref="B55:S55"/>
    <mergeCell ref="D56:S56"/>
    <mergeCell ref="D57:S57"/>
    <mergeCell ref="D33:S33"/>
    <mergeCell ref="D34:S34"/>
    <mergeCell ref="D35:S35"/>
    <mergeCell ref="D36:S36"/>
    <mergeCell ref="D37:S37"/>
    <mergeCell ref="U38:W38"/>
    <mergeCell ref="X38:AB38"/>
    <mergeCell ref="D38:S38"/>
    <mergeCell ref="D39:S39"/>
    <mergeCell ref="U39:W39"/>
    <mergeCell ref="X39:AB39"/>
    <mergeCell ref="D40:S40"/>
    <mergeCell ref="X40:AB40"/>
    <mergeCell ref="X41:AB41"/>
    <mergeCell ref="D41:S41"/>
    <mergeCell ref="D42:S42"/>
    <mergeCell ref="U42:W42"/>
    <mergeCell ref="X42:AB42"/>
    <mergeCell ref="D43:S43"/>
    <mergeCell ref="X43:AB43"/>
    <mergeCell ref="X44:AB44"/>
    <mergeCell ref="U43:W43"/>
    <mergeCell ref="U44:W44"/>
    <mergeCell ref="U45:W45"/>
    <mergeCell ref="X45:AB45"/>
    <mergeCell ref="U46:W46"/>
    <mergeCell ref="X46:AB46"/>
    <mergeCell ref="X47:AB47"/>
    <mergeCell ref="X48:AB48"/>
    <mergeCell ref="X49:AB49"/>
    <mergeCell ref="X50:AB50"/>
    <mergeCell ref="X51:AB51"/>
    <mergeCell ref="X52:AB52"/>
    <mergeCell ref="X53:AB53"/>
    <mergeCell ref="X54:AB54"/>
    <mergeCell ref="U56:W56"/>
    <mergeCell ref="U57:W57"/>
    <mergeCell ref="B63:W63"/>
    <mergeCell ref="B65:Q65"/>
    <mergeCell ref="U65:W65"/>
    <mergeCell ref="X62:AB62"/>
    <mergeCell ref="X63:AB63"/>
    <mergeCell ref="X65:AB65"/>
    <mergeCell ref="X55:AB55"/>
    <mergeCell ref="X56:AB56"/>
    <mergeCell ref="X57:AB57"/>
    <mergeCell ref="X58:AB58"/>
    <mergeCell ref="X59:AB59"/>
    <mergeCell ref="X60:AB60"/>
    <mergeCell ref="X61:AB61"/>
  </mergeCells>
  <printOptions/>
  <pageMargins bottom="0.75" footer="0.0" header="0.0" left="0.7" right="0.7" top="0.75"/>
  <pageSetup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pageSetUpPr/>
  </sheetPr>
  <sheetViews>
    <sheetView workbookViewId="0"/>
  </sheetViews>
  <sheetFormatPr customHeight="1" defaultColWidth="14.43" defaultRowHeight="15.0"/>
  <cols>
    <col customWidth="1" min="1" max="1" width="5.86"/>
    <col customWidth="1" min="2" max="2" width="71.57"/>
    <col customWidth="1" min="3" max="5" width="12.29"/>
    <col customWidth="1" min="6" max="6" width="14.86"/>
    <col customWidth="1" min="7" max="7" width="17.86"/>
    <col customWidth="1" min="8" max="8" width="10.86"/>
    <col customWidth="1" min="9" max="9" width="14.0"/>
    <col customWidth="1" min="10" max="10" width="13.29"/>
    <col customWidth="1" min="11" max="12" width="18.0"/>
  </cols>
  <sheetData>
    <row r="1" ht="11.25" customHeight="1">
      <c r="A1" s="895"/>
      <c r="B1" s="895"/>
      <c r="C1" s="895"/>
      <c r="D1" s="896" t="s">
        <v>1596</v>
      </c>
      <c r="G1" s="897"/>
      <c r="H1" s="898"/>
      <c r="I1" s="898"/>
      <c r="J1" s="898"/>
      <c r="K1" s="898"/>
      <c r="L1" s="898"/>
    </row>
    <row r="2" ht="12.75" customHeight="1">
      <c r="A2" s="895"/>
      <c r="B2" s="899" t="s">
        <v>27</v>
      </c>
      <c r="C2" s="895"/>
      <c r="D2" s="896" t="s">
        <v>1597</v>
      </c>
      <c r="G2" s="897"/>
      <c r="H2" s="898"/>
      <c r="I2" s="898"/>
      <c r="J2" s="898"/>
      <c r="K2" s="898"/>
      <c r="L2" s="898"/>
    </row>
    <row r="3" ht="11.25" customHeight="1">
      <c r="A3" s="895"/>
      <c r="B3" s="895"/>
      <c r="C3" s="895"/>
      <c r="D3" s="896" t="s">
        <v>1598</v>
      </c>
      <c r="G3" s="897"/>
      <c r="H3" s="898"/>
      <c r="I3" s="898"/>
      <c r="J3" s="898"/>
      <c r="K3" s="898"/>
      <c r="L3" s="898"/>
    </row>
    <row r="4">
      <c r="A4" s="900" t="s">
        <v>1599</v>
      </c>
      <c r="B4" s="21"/>
      <c r="C4" s="21"/>
      <c r="D4" s="21"/>
      <c r="E4" s="21"/>
      <c r="F4" s="22"/>
      <c r="G4" s="901"/>
      <c r="H4" s="365"/>
      <c r="I4" s="365"/>
      <c r="J4" s="365"/>
      <c r="K4" s="365"/>
      <c r="L4" s="365"/>
    </row>
    <row r="5" ht="19.5" customHeight="1">
      <c r="A5" s="902" t="s">
        <v>1600</v>
      </c>
      <c r="B5" s="902" t="s">
        <v>1601</v>
      </c>
      <c r="C5" s="902" t="s">
        <v>1602</v>
      </c>
      <c r="D5" s="902" t="s">
        <v>1603</v>
      </c>
      <c r="E5" s="903" t="s">
        <v>1604</v>
      </c>
      <c r="F5" s="22"/>
      <c r="G5" s="365"/>
      <c r="H5" s="365"/>
      <c r="I5" s="365"/>
      <c r="J5" s="365"/>
      <c r="K5" s="365"/>
      <c r="L5" s="365"/>
    </row>
    <row r="6" ht="18.75" customHeight="1">
      <c r="A6" s="395"/>
      <c r="B6" s="395"/>
      <c r="C6" s="395"/>
      <c r="D6" s="395"/>
      <c r="E6" s="904" t="s">
        <v>1605</v>
      </c>
      <c r="F6" s="905" t="s">
        <v>1606</v>
      </c>
      <c r="G6" s="365"/>
      <c r="H6" s="365"/>
      <c r="I6" s="365"/>
      <c r="J6" s="365"/>
      <c r="K6" s="365"/>
      <c r="L6" s="365"/>
    </row>
    <row r="7">
      <c r="A7" s="906">
        <v>1.0</v>
      </c>
      <c r="B7" s="907" t="s">
        <v>1607</v>
      </c>
      <c r="C7" s="908" t="s">
        <v>1608</v>
      </c>
      <c r="D7" s="909">
        <v>0.0</v>
      </c>
      <c r="E7" s="910">
        <v>-15.0</v>
      </c>
      <c r="F7" s="911">
        <f t="shared" ref="F7:F10" si="1">D7*E7</f>
        <v>0</v>
      </c>
      <c r="G7" s="912"/>
      <c r="H7" s="912"/>
      <c r="I7" s="912"/>
      <c r="J7" s="912"/>
      <c r="K7" s="912"/>
      <c r="L7" s="912"/>
    </row>
    <row r="8">
      <c r="A8" s="906">
        <v>2.0</v>
      </c>
      <c r="B8" s="907" t="s">
        <v>1609</v>
      </c>
      <c r="C8" s="908" t="s">
        <v>1610</v>
      </c>
      <c r="D8" s="909">
        <v>0.0</v>
      </c>
      <c r="E8" s="913">
        <v>12.0</v>
      </c>
      <c r="F8" s="911">
        <f t="shared" si="1"/>
        <v>0</v>
      </c>
      <c r="G8" s="359"/>
      <c r="H8" s="359"/>
      <c r="I8" s="359"/>
      <c r="J8" s="359"/>
      <c r="K8" s="359"/>
      <c r="L8" s="359"/>
    </row>
    <row r="9">
      <c r="A9" s="914">
        <v>45294.0</v>
      </c>
      <c r="B9" s="915" t="s">
        <v>1611</v>
      </c>
      <c r="C9" s="908" t="s">
        <v>1612</v>
      </c>
      <c r="D9" s="909">
        <v>0.0</v>
      </c>
      <c r="E9" s="916">
        <v>1.85</v>
      </c>
      <c r="F9" s="911">
        <f t="shared" si="1"/>
        <v>0</v>
      </c>
      <c r="G9" s="917"/>
      <c r="H9" s="917"/>
      <c r="I9" s="917"/>
      <c r="J9" s="917"/>
      <c r="K9" s="917"/>
      <c r="L9" s="917"/>
    </row>
    <row r="10">
      <c r="A10" s="914">
        <v>45325.0</v>
      </c>
      <c r="B10" s="915" t="s">
        <v>1613</v>
      </c>
      <c r="C10" s="908" t="s">
        <v>1612</v>
      </c>
      <c r="D10" s="909">
        <v>0.0</v>
      </c>
      <c r="E10" s="916">
        <v>1.85</v>
      </c>
      <c r="F10" s="911">
        <f t="shared" si="1"/>
        <v>0</v>
      </c>
      <c r="G10" s="917"/>
      <c r="H10" s="917"/>
      <c r="I10" s="917"/>
      <c r="J10" s="917"/>
      <c r="K10" s="917"/>
      <c r="L10" s="917"/>
    </row>
    <row r="11" ht="15.75" customHeight="1">
      <c r="A11" s="906">
        <v>4.0</v>
      </c>
      <c r="B11" s="918" t="s">
        <v>1614</v>
      </c>
      <c r="C11" s="919"/>
      <c r="D11" s="741"/>
      <c r="E11" s="742"/>
      <c r="F11" s="920"/>
      <c r="G11" s="359"/>
      <c r="H11" s="359"/>
      <c r="I11" s="359"/>
      <c r="J11" s="359"/>
      <c r="K11" s="359"/>
      <c r="L11" s="359"/>
    </row>
    <row r="12" ht="15.75" customHeight="1">
      <c r="A12" s="914">
        <v>45295.0</v>
      </c>
      <c r="B12" s="907" t="s">
        <v>1615</v>
      </c>
      <c r="C12" s="908" t="s">
        <v>1616</v>
      </c>
      <c r="D12" s="921">
        <v>0.0</v>
      </c>
      <c r="E12" s="922">
        <v>35.0</v>
      </c>
      <c r="F12" s="911">
        <f t="shared" ref="F12:F20" si="2">D12*E12</f>
        <v>0</v>
      </c>
      <c r="G12" s="359"/>
      <c r="H12" s="358"/>
      <c r="I12" s="359"/>
      <c r="J12" s="359"/>
      <c r="K12" s="359"/>
      <c r="L12" s="359"/>
    </row>
    <row r="13" ht="15.75" customHeight="1">
      <c r="A13" s="923">
        <v>45326.0</v>
      </c>
      <c r="B13" s="915" t="s">
        <v>1617</v>
      </c>
      <c r="C13" s="908" t="s">
        <v>1616</v>
      </c>
      <c r="D13" s="924">
        <v>0.0</v>
      </c>
      <c r="E13" s="925">
        <v>5.0</v>
      </c>
      <c r="F13" s="911">
        <f t="shared" si="2"/>
        <v>0</v>
      </c>
      <c r="G13" s="359"/>
      <c r="H13" s="359"/>
      <c r="I13" s="359"/>
      <c r="J13" s="359"/>
      <c r="K13" s="359"/>
      <c r="L13" s="359"/>
    </row>
    <row r="14" ht="15.75" customHeight="1">
      <c r="A14" s="914">
        <v>45355.0</v>
      </c>
      <c r="B14" s="915" t="s">
        <v>1618</v>
      </c>
      <c r="C14" s="908" t="s">
        <v>1616</v>
      </c>
      <c r="D14" s="921">
        <v>0.0</v>
      </c>
      <c r="E14" s="922">
        <v>5.0</v>
      </c>
      <c r="F14" s="911">
        <f t="shared" si="2"/>
        <v>0</v>
      </c>
      <c r="G14" s="359"/>
      <c r="H14" s="359"/>
      <c r="I14" s="359"/>
      <c r="J14" s="359"/>
      <c r="K14" s="359"/>
      <c r="L14" s="359"/>
    </row>
    <row r="15" ht="15.75" customHeight="1">
      <c r="A15" s="914">
        <v>45751.0</v>
      </c>
      <c r="B15" s="915" t="s">
        <v>1619</v>
      </c>
      <c r="C15" s="908" t="s">
        <v>1616</v>
      </c>
      <c r="D15" s="921">
        <v>0.0</v>
      </c>
      <c r="E15" s="922">
        <v>20.0</v>
      </c>
      <c r="F15" s="911">
        <f t="shared" si="2"/>
        <v>0</v>
      </c>
      <c r="G15" s="359"/>
      <c r="H15" s="359"/>
      <c r="I15" s="359"/>
      <c r="J15" s="359"/>
      <c r="K15" s="359"/>
      <c r="L15" s="359"/>
    </row>
    <row r="16" ht="15.75" customHeight="1">
      <c r="A16" s="914">
        <v>45781.0</v>
      </c>
      <c r="B16" s="907" t="s">
        <v>1620</v>
      </c>
      <c r="C16" s="908" t="s">
        <v>1616</v>
      </c>
      <c r="D16" s="924">
        <v>0.0</v>
      </c>
      <c r="E16" s="925">
        <v>30.0</v>
      </c>
      <c r="F16" s="911">
        <f t="shared" si="2"/>
        <v>0</v>
      </c>
      <c r="G16" s="359"/>
      <c r="H16" s="359"/>
      <c r="I16" s="359"/>
      <c r="J16" s="359"/>
      <c r="K16" s="359"/>
      <c r="L16" s="359"/>
    </row>
    <row r="17" ht="15.75" customHeight="1">
      <c r="A17" s="914">
        <v>45812.0</v>
      </c>
      <c r="B17" s="907" t="s">
        <v>1621</v>
      </c>
      <c r="C17" s="908" t="s">
        <v>1616</v>
      </c>
      <c r="D17" s="924">
        <v>0.0</v>
      </c>
      <c r="E17" s="925">
        <v>10.0</v>
      </c>
      <c r="F17" s="911">
        <f t="shared" si="2"/>
        <v>0</v>
      </c>
      <c r="G17" s="359"/>
      <c r="H17" s="359"/>
      <c r="I17" s="359"/>
      <c r="J17" s="359"/>
      <c r="K17" s="359"/>
      <c r="L17" s="359"/>
    </row>
    <row r="18" ht="15.75" customHeight="1">
      <c r="A18" s="914">
        <v>45842.0</v>
      </c>
      <c r="B18" s="907" t="s">
        <v>1622</v>
      </c>
      <c r="C18" s="908" t="s">
        <v>1616</v>
      </c>
      <c r="D18" s="921">
        <v>0.0</v>
      </c>
      <c r="E18" s="922">
        <v>1.0</v>
      </c>
      <c r="F18" s="911">
        <f t="shared" si="2"/>
        <v>0</v>
      </c>
      <c r="G18" s="359"/>
      <c r="H18" s="359"/>
      <c r="I18" s="359"/>
      <c r="J18" s="359"/>
      <c r="K18" s="359"/>
      <c r="L18" s="359"/>
    </row>
    <row r="19" ht="15.75" customHeight="1">
      <c r="A19" s="914">
        <v>45873.0</v>
      </c>
      <c r="B19" s="915" t="s">
        <v>1623</v>
      </c>
      <c r="C19" s="908" t="s">
        <v>1624</v>
      </c>
      <c r="D19" s="926">
        <v>0.0</v>
      </c>
      <c r="E19" s="922">
        <v>15.0</v>
      </c>
      <c r="F19" s="911">
        <f t="shared" si="2"/>
        <v>0</v>
      </c>
      <c r="G19" s="359"/>
      <c r="H19" s="359"/>
      <c r="I19" s="359"/>
      <c r="J19" s="359"/>
      <c r="K19" s="359"/>
      <c r="L19" s="359"/>
    </row>
    <row r="20" ht="15.75" customHeight="1">
      <c r="A20" s="906">
        <v>5.0</v>
      </c>
      <c r="B20" s="907" t="s">
        <v>1625</v>
      </c>
      <c r="C20" s="908" t="s">
        <v>1624</v>
      </c>
      <c r="D20" s="926">
        <v>0.0</v>
      </c>
      <c r="E20" s="910">
        <v>50.0</v>
      </c>
      <c r="F20" s="911">
        <f t="shared" si="2"/>
        <v>0</v>
      </c>
      <c r="G20" s="359"/>
      <c r="H20" s="359"/>
      <c r="I20" s="359"/>
      <c r="J20" s="359"/>
      <c r="K20" s="359"/>
      <c r="L20" s="359"/>
    </row>
    <row r="21" ht="15.75" customHeight="1">
      <c r="A21" s="927" t="s">
        <v>1626</v>
      </c>
      <c r="B21" s="742"/>
      <c r="C21" s="928"/>
      <c r="D21" s="741"/>
      <c r="E21" s="742"/>
      <c r="F21" s="929">
        <f>SUM(F12:F20)</f>
        <v>0</v>
      </c>
      <c r="G21" s="359"/>
      <c r="H21" s="359"/>
      <c r="I21" s="359"/>
      <c r="J21" s="359"/>
      <c r="K21" s="359"/>
      <c r="L21" s="359"/>
    </row>
    <row r="22" ht="15.75" customHeight="1">
      <c r="A22" s="906">
        <v>6.0</v>
      </c>
      <c r="B22" s="930" t="s">
        <v>1627</v>
      </c>
      <c r="C22" s="931"/>
      <c r="D22" s="21"/>
      <c r="E22" s="22"/>
      <c r="F22" s="932"/>
      <c r="G22" s="359"/>
      <c r="H22" s="359"/>
      <c r="I22" s="359"/>
      <c r="J22" s="359"/>
      <c r="K22" s="359"/>
      <c r="L22" s="359"/>
    </row>
    <row r="23" ht="15.75" customHeight="1">
      <c r="A23" s="914">
        <v>45297.0</v>
      </c>
      <c r="B23" s="907" t="s">
        <v>1628</v>
      </c>
      <c r="C23" s="933" t="s">
        <v>1624</v>
      </c>
      <c r="D23" s="934">
        <v>0.0</v>
      </c>
      <c r="E23" s="935">
        <v>10.0</v>
      </c>
      <c r="F23" s="936">
        <f t="shared" ref="F23:F33" si="3">D23*E23</f>
        <v>0</v>
      </c>
      <c r="G23" s="359"/>
      <c r="H23" s="359"/>
      <c r="I23" s="359"/>
      <c r="J23" s="359"/>
      <c r="K23" s="359"/>
      <c r="L23" s="359"/>
    </row>
    <row r="24" ht="15.75" customHeight="1">
      <c r="A24" s="914">
        <v>45328.0</v>
      </c>
      <c r="B24" s="915" t="s">
        <v>1629</v>
      </c>
      <c r="C24" s="937" t="s">
        <v>1630</v>
      </c>
      <c r="D24" s="934">
        <v>0.0</v>
      </c>
      <c r="E24" s="910">
        <v>70.0</v>
      </c>
      <c r="F24" s="911">
        <f t="shared" si="3"/>
        <v>0</v>
      </c>
      <c r="G24" s="938"/>
      <c r="H24" s="938"/>
      <c r="I24" s="938"/>
      <c r="J24" s="938"/>
      <c r="K24" s="938"/>
      <c r="L24" s="938"/>
    </row>
    <row r="25" ht="15.75" customHeight="1">
      <c r="A25" s="939">
        <v>45357.0</v>
      </c>
      <c r="B25" s="940" t="s">
        <v>1631</v>
      </c>
      <c r="C25" s="908" t="s">
        <v>1624</v>
      </c>
      <c r="D25" s="934">
        <v>0.0</v>
      </c>
      <c r="E25" s="925">
        <v>50.0</v>
      </c>
      <c r="F25" s="911">
        <f t="shared" si="3"/>
        <v>0</v>
      </c>
      <c r="G25" s="359"/>
      <c r="H25" s="359"/>
      <c r="I25" s="359"/>
      <c r="J25" s="359"/>
      <c r="K25" s="359"/>
      <c r="L25" s="359"/>
    </row>
    <row r="26" ht="15.75" customHeight="1">
      <c r="A26" s="939">
        <v>45753.0</v>
      </c>
      <c r="B26" s="940" t="s">
        <v>1632</v>
      </c>
      <c r="C26" s="908" t="s">
        <v>1624</v>
      </c>
      <c r="D26" s="934">
        <v>0.0</v>
      </c>
      <c r="E26" s="922">
        <v>70.0</v>
      </c>
      <c r="F26" s="911">
        <f t="shared" si="3"/>
        <v>0</v>
      </c>
      <c r="G26" s="359"/>
      <c r="H26" s="359"/>
      <c r="I26" s="359"/>
      <c r="J26" s="359"/>
      <c r="K26" s="359"/>
      <c r="L26" s="359"/>
    </row>
    <row r="27" ht="15.75" customHeight="1">
      <c r="A27" s="914">
        <v>45783.0</v>
      </c>
      <c r="B27" s="941" t="s">
        <v>1633</v>
      </c>
      <c r="C27" s="937" t="s">
        <v>1634</v>
      </c>
      <c r="D27" s="934">
        <v>0.0</v>
      </c>
      <c r="E27" s="922">
        <v>50.0</v>
      </c>
      <c r="F27" s="911">
        <f t="shared" si="3"/>
        <v>0</v>
      </c>
      <c r="G27" s="359"/>
      <c r="H27" s="359"/>
      <c r="I27" s="359"/>
      <c r="J27" s="359"/>
      <c r="K27" s="359"/>
      <c r="L27" s="359"/>
    </row>
    <row r="28" ht="15.75" customHeight="1">
      <c r="A28" s="914">
        <v>45814.0</v>
      </c>
      <c r="B28" s="907" t="s">
        <v>1635</v>
      </c>
      <c r="C28" s="908" t="s">
        <v>1624</v>
      </c>
      <c r="D28" s="934">
        <v>0.0</v>
      </c>
      <c r="E28" s="910">
        <v>30.0</v>
      </c>
      <c r="F28" s="911">
        <f t="shared" si="3"/>
        <v>0</v>
      </c>
      <c r="G28" s="359"/>
      <c r="H28" s="359"/>
      <c r="I28" s="359"/>
      <c r="J28" s="359"/>
      <c r="K28" s="359"/>
      <c r="L28" s="359"/>
    </row>
    <row r="29" ht="15.75" customHeight="1">
      <c r="A29" s="914">
        <v>45844.0</v>
      </c>
      <c r="B29" s="942" t="s">
        <v>1636</v>
      </c>
      <c r="C29" s="937" t="s">
        <v>1624</v>
      </c>
      <c r="D29" s="934">
        <v>0.0</v>
      </c>
      <c r="E29" s="913">
        <v>10.0</v>
      </c>
      <c r="F29" s="911">
        <f t="shared" si="3"/>
        <v>0</v>
      </c>
      <c r="G29" s="359"/>
      <c r="H29" s="359"/>
      <c r="I29" s="359"/>
      <c r="J29" s="359"/>
      <c r="K29" s="359"/>
      <c r="L29" s="359"/>
    </row>
    <row r="30" ht="15.75" customHeight="1">
      <c r="A30" s="914">
        <v>45875.0</v>
      </c>
      <c r="B30" s="943" t="s">
        <v>1637</v>
      </c>
      <c r="C30" s="908" t="s">
        <v>1624</v>
      </c>
      <c r="D30" s="934">
        <v>0.0</v>
      </c>
      <c r="E30" s="910">
        <v>50.0</v>
      </c>
      <c r="F30" s="911">
        <f t="shared" si="3"/>
        <v>0</v>
      </c>
      <c r="G30" s="359"/>
      <c r="H30" s="359"/>
      <c r="I30" s="359"/>
      <c r="J30" s="359"/>
      <c r="K30" s="359"/>
      <c r="L30" s="359"/>
    </row>
    <row r="31" ht="15.75" customHeight="1">
      <c r="A31" s="914">
        <v>45906.0</v>
      </c>
      <c r="B31" s="915" t="s">
        <v>1638</v>
      </c>
      <c r="C31" s="908" t="s">
        <v>1624</v>
      </c>
      <c r="D31" s="934">
        <v>0.0</v>
      </c>
      <c r="E31" s="913">
        <v>25.0</v>
      </c>
      <c r="F31" s="911">
        <f t="shared" si="3"/>
        <v>0</v>
      </c>
      <c r="G31" s="359"/>
      <c r="H31" s="359"/>
      <c r="I31" s="359"/>
      <c r="J31" s="359"/>
      <c r="K31" s="359"/>
      <c r="L31" s="359"/>
    </row>
    <row r="32" ht="15.75" customHeight="1">
      <c r="A32" s="914">
        <v>45936.0</v>
      </c>
      <c r="B32" s="907" t="s">
        <v>1639</v>
      </c>
      <c r="C32" s="908" t="s">
        <v>1624</v>
      </c>
      <c r="D32" s="934">
        <v>0.0</v>
      </c>
      <c r="E32" s="910">
        <v>50.0</v>
      </c>
      <c r="F32" s="911">
        <f t="shared" si="3"/>
        <v>0</v>
      </c>
      <c r="G32" s="359"/>
      <c r="H32" s="359"/>
      <c r="I32" s="359"/>
      <c r="J32" s="359"/>
      <c r="K32" s="359"/>
      <c r="L32" s="359"/>
    </row>
    <row r="33" ht="15.75" customHeight="1">
      <c r="A33" s="914">
        <v>45967.0</v>
      </c>
      <c r="B33" s="915" t="s">
        <v>1640</v>
      </c>
      <c r="C33" s="908" t="s">
        <v>1624</v>
      </c>
      <c r="D33" s="934">
        <v>0.0</v>
      </c>
      <c r="E33" s="913">
        <v>10.0</v>
      </c>
      <c r="F33" s="911">
        <f t="shared" si="3"/>
        <v>0</v>
      </c>
      <c r="G33" s="359"/>
      <c r="H33" s="358"/>
      <c r="I33" s="359"/>
      <c r="J33" s="359"/>
      <c r="K33" s="359"/>
      <c r="L33" s="359"/>
    </row>
    <row r="34" ht="15.75" customHeight="1">
      <c r="A34" s="914">
        <v>45997.0</v>
      </c>
      <c r="B34" s="942" t="s">
        <v>1641</v>
      </c>
      <c r="C34" s="908" t="s">
        <v>1642</v>
      </c>
      <c r="D34" s="909">
        <v>0.0</v>
      </c>
      <c r="E34" s="944">
        <v>1.25</v>
      </c>
      <c r="F34" s="911">
        <f>IF(D34 &lt;= 25 , 0, D34 * E34)</f>
        <v>0</v>
      </c>
      <c r="G34" s="912"/>
      <c r="H34" s="912"/>
      <c r="I34" s="365"/>
      <c r="J34" s="912"/>
      <c r="K34" s="912"/>
      <c r="L34" s="912"/>
    </row>
    <row r="35" ht="15.75" customHeight="1">
      <c r="A35" s="906" t="s">
        <v>1643</v>
      </c>
      <c r="B35" s="942" t="s">
        <v>1644</v>
      </c>
      <c r="C35" s="908" t="s">
        <v>1642</v>
      </c>
      <c r="D35" s="926">
        <v>0.0</v>
      </c>
      <c r="E35" s="944">
        <v>1.25</v>
      </c>
      <c r="F35" s="911">
        <f t="shared" ref="F35:F36" si="4">IF(D35 &lt;= 50 , 0, D35 * E35)</f>
        <v>0</v>
      </c>
      <c r="G35" s="912"/>
      <c r="H35" s="912"/>
      <c r="I35" s="365"/>
      <c r="J35" s="912"/>
      <c r="K35" s="912"/>
      <c r="L35" s="912"/>
    </row>
    <row r="36" ht="15.75" customHeight="1">
      <c r="A36" s="906" t="s">
        <v>1645</v>
      </c>
      <c r="B36" s="942" t="s">
        <v>1646</v>
      </c>
      <c r="C36" s="908" t="s">
        <v>1642</v>
      </c>
      <c r="D36" s="926">
        <v>0.0</v>
      </c>
      <c r="E36" s="944">
        <v>1.65</v>
      </c>
      <c r="F36" s="911">
        <f t="shared" si="4"/>
        <v>0</v>
      </c>
      <c r="G36" s="912"/>
      <c r="H36" s="912"/>
      <c r="I36" s="945"/>
      <c r="J36" s="945"/>
      <c r="K36" s="912"/>
      <c r="L36" s="912"/>
    </row>
    <row r="37" ht="15.75" customHeight="1">
      <c r="A37" s="927" t="s">
        <v>1647</v>
      </c>
      <c r="B37" s="742"/>
      <c r="C37" s="931"/>
      <c r="D37" s="21"/>
      <c r="E37" s="22"/>
      <c r="F37" s="929">
        <f>SUM(F23:F36)</f>
        <v>0</v>
      </c>
      <c r="G37" s="912"/>
      <c r="H37" s="912"/>
      <c r="I37" s="912"/>
      <c r="J37" s="912"/>
      <c r="K37" s="912"/>
      <c r="L37" s="912"/>
    </row>
    <row r="38" ht="15.75" customHeight="1">
      <c r="A38" s="946">
        <v>7.0</v>
      </c>
      <c r="B38" s="947" t="s">
        <v>1648</v>
      </c>
      <c r="C38" s="948" t="s">
        <v>1649</v>
      </c>
      <c r="D38" s="948" t="s">
        <v>1650</v>
      </c>
      <c r="E38" s="949"/>
      <c r="F38" s="929"/>
      <c r="G38" s="912"/>
      <c r="H38" s="912"/>
      <c r="I38" s="912"/>
      <c r="J38" s="912"/>
      <c r="K38" s="912"/>
      <c r="L38" s="912"/>
    </row>
    <row r="39" ht="15.75" customHeight="1">
      <c r="A39" s="923">
        <v>45298.0</v>
      </c>
      <c r="B39" s="915" t="s">
        <v>1651</v>
      </c>
      <c r="C39" s="950" t="b">
        <v>1</v>
      </c>
      <c r="D39" s="950" t="b">
        <v>1</v>
      </c>
      <c r="E39" s="950"/>
      <c r="F39" s="920"/>
      <c r="G39" s="359"/>
      <c r="H39" s="359"/>
      <c r="I39" s="359"/>
      <c r="J39" s="359"/>
      <c r="K39" s="359"/>
      <c r="L39" s="359"/>
    </row>
    <row r="40" ht="15.75" customHeight="1">
      <c r="A40" s="923">
        <v>45329.0</v>
      </c>
      <c r="B40" s="915" t="s">
        <v>1652</v>
      </c>
      <c r="C40" s="950" t="b">
        <v>1</v>
      </c>
      <c r="D40" s="950" t="b">
        <v>1</v>
      </c>
      <c r="E40" s="950"/>
      <c r="F40" s="920"/>
      <c r="G40" s="359"/>
      <c r="H40" s="359"/>
      <c r="I40" s="359"/>
      <c r="J40" s="359"/>
      <c r="K40" s="359"/>
      <c r="L40" s="359"/>
    </row>
    <row r="41" ht="15.75" customHeight="1">
      <c r="A41" s="923">
        <v>45358.0</v>
      </c>
      <c r="B41" s="951" t="s">
        <v>1653</v>
      </c>
      <c r="C41" s="950" t="b">
        <v>1</v>
      </c>
      <c r="D41" s="950" t="b">
        <v>1</v>
      </c>
      <c r="E41" s="950"/>
      <c r="F41" s="920"/>
      <c r="G41" s="359"/>
      <c r="H41" s="358"/>
      <c r="I41" s="358"/>
      <c r="J41" s="359"/>
      <c r="K41" s="359"/>
      <c r="L41" s="359"/>
    </row>
    <row r="42" ht="15.75" customHeight="1">
      <c r="A42" s="914">
        <v>45389.0</v>
      </c>
      <c r="B42" s="949" t="s">
        <v>1654</v>
      </c>
      <c r="C42" s="950" t="b">
        <v>1</v>
      </c>
      <c r="D42" s="950" t="b">
        <v>1</v>
      </c>
      <c r="E42" s="950"/>
      <c r="F42" s="920"/>
      <c r="G42" s="359"/>
      <c r="H42" s="359"/>
      <c r="I42" s="358"/>
      <c r="J42" s="359"/>
      <c r="K42" s="359"/>
      <c r="L42" s="359"/>
    </row>
    <row r="43" ht="15.75" customHeight="1">
      <c r="A43" s="914">
        <v>45419.0</v>
      </c>
      <c r="B43" s="949" t="s">
        <v>1655</v>
      </c>
      <c r="C43" s="950" t="b">
        <v>1</v>
      </c>
      <c r="D43" s="950" t="b">
        <v>1</v>
      </c>
      <c r="E43" s="950"/>
      <c r="F43" s="920"/>
      <c r="G43" s="359"/>
      <c r="H43" s="358"/>
      <c r="I43" s="358"/>
      <c r="J43" s="359"/>
      <c r="K43" s="359"/>
      <c r="L43" s="359"/>
    </row>
    <row r="44" ht="15.75" customHeight="1">
      <c r="A44" s="914">
        <v>45450.0</v>
      </c>
      <c r="B44" s="949" t="s">
        <v>1656</v>
      </c>
      <c r="C44" s="950" t="b">
        <v>1</v>
      </c>
      <c r="D44" s="950" t="b">
        <v>1</v>
      </c>
      <c r="E44" s="950"/>
      <c r="F44" s="920"/>
      <c r="G44" s="359"/>
      <c r="H44" s="359"/>
      <c r="I44" s="358"/>
      <c r="J44" s="358"/>
      <c r="K44" s="359"/>
      <c r="L44" s="359"/>
    </row>
    <row r="45" ht="15.75" customHeight="1">
      <c r="A45" s="914">
        <v>45480.0</v>
      </c>
      <c r="B45" s="949" t="s">
        <v>1657</v>
      </c>
      <c r="C45" s="950" t="b">
        <v>1</v>
      </c>
      <c r="D45" s="950" t="b">
        <v>1</v>
      </c>
      <c r="E45" s="950"/>
      <c r="F45" s="920"/>
      <c r="G45" s="901"/>
      <c r="H45" s="359"/>
      <c r="I45" s="358"/>
      <c r="J45" s="358"/>
      <c r="K45" s="359"/>
      <c r="L45" s="359"/>
    </row>
    <row r="46" ht="15.75" customHeight="1">
      <c r="A46" s="914">
        <v>45511.0</v>
      </c>
      <c r="B46" s="951" t="s">
        <v>1658</v>
      </c>
      <c r="C46" s="950"/>
      <c r="D46" s="950" t="b">
        <v>1</v>
      </c>
      <c r="E46" s="950"/>
      <c r="F46" s="920"/>
      <c r="G46" s="901"/>
      <c r="H46" s="359"/>
      <c r="I46" s="359"/>
      <c r="J46" s="358"/>
      <c r="K46" s="359"/>
      <c r="L46" s="359"/>
    </row>
    <row r="47" ht="15.75" customHeight="1">
      <c r="A47" s="914">
        <v>45542.0</v>
      </c>
      <c r="B47" s="951" t="s">
        <v>1659</v>
      </c>
      <c r="C47" s="950"/>
      <c r="D47" s="950" t="b">
        <v>1</v>
      </c>
      <c r="E47" s="950"/>
      <c r="F47" s="920"/>
      <c r="G47" s="901"/>
      <c r="H47" s="359"/>
      <c r="I47" s="359"/>
      <c r="J47" s="359"/>
      <c r="K47" s="359"/>
      <c r="L47" s="359"/>
    </row>
    <row r="48" ht="15.75" customHeight="1">
      <c r="A48" s="914">
        <v>45299.0</v>
      </c>
      <c r="B48" s="951" t="s">
        <v>1660</v>
      </c>
      <c r="C48" s="908" t="s">
        <v>1661</v>
      </c>
      <c r="D48" s="952">
        <v>0.2</v>
      </c>
      <c r="E48" s="951" t="b">
        <f>AND(C39=TRUE,C40=TRUE,C41=TRUE,C42=TRUE,C43=TRUE,C44=TRUE,C45=TRUE)</f>
        <v>1</v>
      </c>
      <c r="F48" s="953">
        <f>IF($E$48=TRUE,$F$21*$D$48,0)</f>
        <v>0</v>
      </c>
      <c r="G48" s="901"/>
      <c r="H48" s="358"/>
      <c r="I48" s="359"/>
      <c r="J48" s="358"/>
      <c r="K48" s="359"/>
      <c r="L48" s="359"/>
    </row>
    <row r="49" ht="15.75" customHeight="1">
      <c r="A49" s="914">
        <v>45330.0</v>
      </c>
      <c r="B49" s="951" t="s">
        <v>1662</v>
      </c>
      <c r="C49" s="908" t="s">
        <v>1661</v>
      </c>
      <c r="D49" s="952">
        <v>0.2</v>
      </c>
      <c r="E49" s="951" t="b">
        <f>AND(D39=TRUE,D40=TRUE,D41=TRUE,D42=TRUE,D43=TRUE,D44=TRUE,D45=TRUE,D46=TRUE,D47=TRUE)</f>
        <v>1</v>
      </c>
      <c r="F49" s="953">
        <f>IF($E$49=TRUE,$F$37*$D$49,0)</f>
        <v>0</v>
      </c>
      <c r="G49" s="901"/>
      <c r="H49" s="359"/>
      <c r="I49" s="359"/>
      <c r="J49" s="359"/>
      <c r="K49" s="359"/>
      <c r="L49" s="359"/>
    </row>
    <row r="50" ht="15.75" customHeight="1">
      <c r="A50" s="914">
        <v>45300.0</v>
      </c>
      <c r="B50" s="951" t="s">
        <v>1663</v>
      </c>
      <c r="C50" s="908" t="s">
        <v>1661</v>
      </c>
      <c r="D50" s="952">
        <v>0.0</v>
      </c>
      <c r="E50" s="951" t="b">
        <v>0</v>
      </c>
      <c r="F50" s="953">
        <f>IF($E$50=TRUE,$F$21*$D$50,0)</f>
        <v>0</v>
      </c>
      <c r="G50" s="901"/>
      <c r="H50" s="359"/>
      <c r="I50" s="359"/>
      <c r="J50" s="359"/>
      <c r="K50" s="359"/>
      <c r="L50" s="359"/>
    </row>
    <row r="51" ht="15.75" customHeight="1">
      <c r="A51" s="914">
        <v>45331.0</v>
      </c>
      <c r="B51" s="951" t="s">
        <v>1664</v>
      </c>
      <c r="C51" s="908" t="s">
        <v>1661</v>
      </c>
      <c r="D51" s="952">
        <v>0.0</v>
      </c>
      <c r="E51" s="951" t="b">
        <v>0</v>
      </c>
      <c r="F51" s="953">
        <f>IF($E$51=TRUE,$F$37*$D$51,0)</f>
        <v>0</v>
      </c>
      <c r="G51" s="901"/>
      <c r="H51" s="359"/>
      <c r="I51" s="358"/>
      <c r="J51" s="359"/>
      <c r="K51" s="359"/>
      <c r="L51" s="359"/>
    </row>
    <row r="52" ht="15.75" customHeight="1">
      <c r="A52" s="954" t="s">
        <v>1665</v>
      </c>
      <c r="B52" s="742"/>
      <c r="C52" s="955"/>
      <c r="D52" s="956"/>
      <c r="E52" s="957"/>
      <c r="F52" s="958">
        <f>SUM($F$21+$F$48+$F$50)+$F$9</f>
        <v>0</v>
      </c>
      <c r="G52" s="959">
        <f t="shared" ref="G52:G54" si="5">F52*$J$54</f>
        <v>0</v>
      </c>
      <c r="H52" s="917"/>
      <c r="I52" s="960"/>
      <c r="J52" s="917"/>
      <c r="K52" s="359"/>
      <c r="L52" s="359"/>
    </row>
    <row r="53" ht="15.75" customHeight="1">
      <c r="A53" s="961" t="s">
        <v>1666</v>
      </c>
      <c r="B53" s="742"/>
      <c r="C53" s="962"/>
      <c r="D53" s="963"/>
      <c r="E53" s="964"/>
      <c r="F53" s="965">
        <f>SUM($F$37+$F$49+$F$51)+$F$10</f>
        <v>0</v>
      </c>
      <c r="G53" s="966">
        <f t="shared" si="5"/>
        <v>0</v>
      </c>
      <c r="H53" s="917"/>
      <c r="I53" s="960"/>
      <c r="J53" s="967"/>
      <c r="K53" s="359"/>
      <c r="L53" s="359"/>
    </row>
    <row r="54" ht="15.0" customHeight="1">
      <c r="A54" s="968" t="s">
        <v>1667</v>
      </c>
      <c r="B54" s="742"/>
      <c r="C54" s="969"/>
      <c r="D54" s="969"/>
      <c r="E54" s="969"/>
      <c r="F54" s="970">
        <f>SUM($F$52:$F$53)+SUM($F$7:$F$8)</f>
        <v>0</v>
      </c>
      <c r="G54" s="971">
        <f t="shared" si="5"/>
        <v>0</v>
      </c>
      <c r="H54" s="917"/>
      <c r="I54" s="972" t="s">
        <v>1668</v>
      </c>
      <c r="J54" s="973">
        <f>'КОШТОРИС'!R3</f>
        <v>41.7</v>
      </c>
      <c r="K54" s="359"/>
      <c r="L54" s="359"/>
    </row>
    <row r="55" ht="15.75" customHeight="1">
      <c r="A55" s="901"/>
      <c r="B55" s="901"/>
      <c r="C55" s="897"/>
      <c r="D55" s="897"/>
      <c r="E55" s="901"/>
      <c r="F55" s="901"/>
      <c r="G55" s="901"/>
      <c r="H55" s="359"/>
      <c r="I55" s="359"/>
      <c r="J55" s="359"/>
      <c r="K55" s="359"/>
      <c r="L55" s="359"/>
    </row>
    <row r="56" ht="15.75" customHeight="1">
      <c r="A56" s="901"/>
      <c r="B56" s="901"/>
      <c r="C56" s="897"/>
      <c r="D56" s="897"/>
      <c r="E56" s="901"/>
      <c r="F56" s="901"/>
      <c r="G56" s="901"/>
      <c r="H56" s="365"/>
      <c r="I56" s="365"/>
      <c r="J56" s="365"/>
      <c r="K56" s="365"/>
      <c r="L56" s="365"/>
    </row>
    <row r="57" ht="15.75" customHeight="1">
      <c r="A57" s="901"/>
      <c r="B57" s="974"/>
      <c r="C57" s="897"/>
      <c r="D57" s="897"/>
      <c r="E57" s="901"/>
      <c r="F57" s="901"/>
      <c r="G57" s="901"/>
      <c r="H57" s="365"/>
      <c r="I57" s="365"/>
      <c r="J57" s="365"/>
      <c r="K57" s="365"/>
      <c r="L57" s="365"/>
    </row>
    <row r="58" ht="15.75" customHeight="1">
      <c r="A58" s="901"/>
      <c r="B58" s="901"/>
      <c r="C58" s="897"/>
      <c r="D58" s="897"/>
      <c r="E58" s="901"/>
      <c r="F58" s="901"/>
      <c r="G58" s="901"/>
      <c r="H58" s="365"/>
      <c r="I58" s="365"/>
      <c r="J58" s="365"/>
      <c r="K58" s="365"/>
      <c r="L58" s="365"/>
    </row>
    <row r="59" ht="15.75" customHeight="1">
      <c r="A59" s="901"/>
      <c r="B59" s="901"/>
      <c r="C59" s="897"/>
      <c r="D59" s="897"/>
      <c r="E59" s="901"/>
      <c r="F59" s="901"/>
      <c r="G59" s="901"/>
      <c r="H59" s="365"/>
      <c r="I59" s="365"/>
      <c r="J59" s="365"/>
      <c r="K59" s="365"/>
      <c r="L59" s="365"/>
    </row>
    <row r="60" ht="15.75" customHeight="1">
      <c r="A60" s="901"/>
      <c r="B60" s="901"/>
      <c r="C60" s="897"/>
      <c r="D60" s="897"/>
      <c r="E60" s="901"/>
      <c r="F60" s="901"/>
      <c r="G60" s="901"/>
      <c r="H60" s="365"/>
      <c r="I60" s="365"/>
      <c r="J60" s="365"/>
      <c r="K60" s="365"/>
      <c r="L60" s="365"/>
    </row>
    <row r="61" ht="15.75" customHeight="1">
      <c r="A61" s="901"/>
      <c r="B61" s="901"/>
      <c r="C61" s="897"/>
      <c r="D61" s="897"/>
      <c r="E61" s="901"/>
      <c r="F61" s="901"/>
      <c r="G61" s="901"/>
      <c r="H61" s="365"/>
      <c r="I61" s="365"/>
      <c r="J61" s="365"/>
      <c r="K61" s="365"/>
      <c r="L61" s="365"/>
    </row>
    <row r="62" ht="15.75" customHeight="1">
      <c r="A62" s="901"/>
      <c r="B62" s="901"/>
      <c r="C62" s="897"/>
      <c r="D62" s="897"/>
      <c r="E62" s="901"/>
      <c r="F62" s="901"/>
      <c r="G62" s="901"/>
      <c r="H62" s="365"/>
      <c r="I62" s="365"/>
      <c r="J62" s="365"/>
      <c r="K62" s="365"/>
      <c r="L62" s="365"/>
    </row>
    <row r="63" ht="15.75" customHeight="1">
      <c r="A63" s="901"/>
      <c r="B63" s="901"/>
      <c r="C63" s="897"/>
      <c r="D63" s="897"/>
      <c r="E63" s="901"/>
      <c r="F63" s="901"/>
      <c r="G63" s="901"/>
      <c r="H63" s="365"/>
      <c r="I63" s="365"/>
      <c r="J63" s="365"/>
      <c r="K63" s="365"/>
      <c r="L63" s="365"/>
    </row>
    <row r="64" ht="15.75" customHeight="1">
      <c r="A64" s="901"/>
      <c r="B64" s="901"/>
      <c r="C64" s="897"/>
      <c r="D64" s="897"/>
      <c r="E64" s="901"/>
      <c r="F64" s="901"/>
      <c r="G64" s="901"/>
      <c r="H64" s="365"/>
      <c r="I64" s="365"/>
      <c r="J64" s="365"/>
      <c r="K64" s="365"/>
      <c r="L64" s="365"/>
    </row>
    <row r="65" ht="15.75" customHeight="1">
      <c r="A65" s="901"/>
      <c r="B65" s="901"/>
      <c r="C65" s="897"/>
      <c r="D65" s="897"/>
      <c r="E65" s="901"/>
      <c r="F65" s="901"/>
      <c r="G65" s="901"/>
      <c r="H65" s="365"/>
      <c r="I65" s="365"/>
      <c r="J65" s="365"/>
      <c r="K65" s="365"/>
      <c r="L65" s="365"/>
    </row>
    <row r="66" ht="15.75" customHeight="1">
      <c r="A66" s="901"/>
      <c r="B66" s="901"/>
      <c r="C66" s="897"/>
      <c r="D66" s="897"/>
      <c r="E66" s="901"/>
      <c r="F66" s="901"/>
      <c r="G66" s="901"/>
      <c r="H66" s="365"/>
      <c r="I66" s="365"/>
      <c r="J66" s="365"/>
      <c r="K66" s="365"/>
      <c r="L66" s="365"/>
    </row>
  </sheetData>
  <mergeCells count="18">
    <mergeCell ref="D1:F1"/>
    <mergeCell ref="D2:F2"/>
    <mergeCell ref="D3:F3"/>
    <mergeCell ref="A4:F4"/>
    <mergeCell ref="A5:A6"/>
    <mergeCell ref="B5:B6"/>
    <mergeCell ref="C5:C6"/>
    <mergeCell ref="A37:B37"/>
    <mergeCell ref="A52:B52"/>
    <mergeCell ref="A53:B53"/>
    <mergeCell ref="A54:B54"/>
    <mergeCell ref="D5:D6"/>
    <mergeCell ref="E5:F5"/>
    <mergeCell ref="C11:E11"/>
    <mergeCell ref="A21:B21"/>
    <mergeCell ref="C21:E21"/>
    <mergeCell ref="C22:E22"/>
    <mergeCell ref="C37:E37"/>
  </mergeCells>
  <conditionalFormatting sqref="B11:B20 B22:B23 B29:B33">
    <cfRule type="containsText" dxfId="13" priority="1" operator="containsText" text="Ошибка в формулах!">
      <formula>NOT(ISERROR(SEARCH(("Ошибка в формулах!"),(B11))))</formula>
    </cfRule>
  </conditionalFormatting>
  <printOptions/>
  <pageMargins bottom="0.3937007874015748" footer="0.0" header="0.0" left="0.5905511811023623" right="0.3937007874015748" top="0.3937007874015748"/>
  <pageSetup paperSize="9" orientation="portrait"/>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pageSetUpPr/>
  </sheetPr>
  <sheetViews>
    <sheetView workbookViewId="0"/>
  </sheetViews>
  <sheetFormatPr customHeight="1" defaultColWidth="14.43" defaultRowHeight="15.0"/>
  <cols>
    <col customWidth="1" min="1" max="1" width="5.86"/>
    <col customWidth="1" min="2" max="2" width="71.57"/>
    <col customWidth="1" min="3" max="5" width="12.29"/>
    <col customWidth="1" min="6" max="6" width="14.86"/>
    <col customWidth="1" min="7" max="7" width="17.86"/>
    <col customWidth="1" min="8" max="8" width="10.86"/>
    <col customWidth="1" min="9" max="9" width="14.0"/>
    <col customWidth="1" min="10" max="10" width="13.29"/>
    <col customWidth="1" min="11" max="12" width="18.0"/>
  </cols>
  <sheetData>
    <row r="1" ht="11.25" customHeight="1">
      <c r="A1" s="975"/>
      <c r="B1" s="975"/>
      <c r="C1" s="975"/>
      <c r="D1" s="976" t="s">
        <v>1596</v>
      </c>
      <c r="G1" s="897"/>
      <c r="H1" s="975"/>
      <c r="I1" s="975"/>
      <c r="J1" s="975"/>
      <c r="K1" s="975"/>
      <c r="L1" s="975"/>
    </row>
    <row r="2" ht="11.25" customHeight="1">
      <c r="A2" s="975"/>
      <c r="B2" s="899" t="s">
        <v>27</v>
      </c>
      <c r="C2" s="975"/>
      <c r="D2" s="976" t="s">
        <v>1597</v>
      </c>
      <c r="G2" s="897"/>
      <c r="H2" s="975"/>
      <c r="I2" s="975"/>
      <c r="J2" s="975"/>
      <c r="K2" s="975"/>
      <c r="L2" s="975"/>
    </row>
    <row r="3" ht="11.25" customHeight="1">
      <c r="A3" s="975"/>
      <c r="B3" s="975"/>
      <c r="C3" s="975"/>
      <c r="D3" s="976" t="s">
        <v>1598</v>
      </c>
      <c r="G3" s="897"/>
      <c r="H3" s="975"/>
      <c r="I3" s="975"/>
      <c r="J3" s="975"/>
      <c r="K3" s="975"/>
      <c r="L3" s="975"/>
    </row>
    <row r="4">
      <c r="A4" s="903" t="s">
        <v>1599</v>
      </c>
      <c r="B4" s="21"/>
      <c r="C4" s="21"/>
      <c r="D4" s="21"/>
      <c r="E4" s="21"/>
      <c r="F4" s="22"/>
      <c r="G4" s="901"/>
      <c r="H4" s="359"/>
      <c r="I4" s="359"/>
      <c r="J4" s="359"/>
      <c r="K4" s="359"/>
      <c r="L4" s="359"/>
    </row>
    <row r="5" ht="19.5" customHeight="1">
      <c r="A5" s="902" t="s">
        <v>1600</v>
      </c>
      <c r="B5" s="902" t="s">
        <v>1601</v>
      </c>
      <c r="C5" s="902" t="s">
        <v>1602</v>
      </c>
      <c r="D5" s="902" t="s">
        <v>1603</v>
      </c>
      <c r="E5" s="903" t="s">
        <v>1604</v>
      </c>
      <c r="F5" s="22"/>
      <c r="G5" s="359"/>
      <c r="H5" s="359"/>
      <c r="I5" s="359"/>
      <c r="J5" s="359"/>
      <c r="K5" s="359"/>
      <c r="L5" s="359"/>
    </row>
    <row r="6" ht="18.75" customHeight="1">
      <c r="A6" s="395"/>
      <c r="B6" s="395"/>
      <c r="C6" s="395"/>
      <c r="D6" s="395"/>
      <c r="E6" s="904" t="s">
        <v>1605</v>
      </c>
      <c r="F6" s="905" t="s">
        <v>1606</v>
      </c>
      <c r="G6" s="359"/>
      <c r="H6" s="359"/>
      <c r="I6" s="359"/>
      <c r="J6" s="359"/>
      <c r="K6" s="359"/>
      <c r="L6" s="359"/>
    </row>
    <row r="7">
      <c r="A7" s="977">
        <v>1.0</v>
      </c>
      <c r="B7" s="907" t="s">
        <v>1607</v>
      </c>
      <c r="C7" s="908" t="s">
        <v>1608</v>
      </c>
      <c r="D7" s="926">
        <v>0.0</v>
      </c>
      <c r="E7" s="910">
        <v>-15.0</v>
      </c>
      <c r="F7" s="911">
        <f t="shared" ref="F7:F11" si="1">D7*E7</f>
        <v>0</v>
      </c>
      <c r="G7" s="912"/>
      <c r="H7" s="912"/>
      <c r="I7" s="912"/>
      <c r="J7" s="912"/>
      <c r="K7" s="912"/>
      <c r="L7" s="912"/>
    </row>
    <row r="8">
      <c r="A8" s="977">
        <v>2.0</v>
      </c>
      <c r="B8" s="907" t="s">
        <v>1609</v>
      </c>
      <c r="C8" s="908" t="s">
        <v>1610</v>
      </c>
      <c r="D8" s="926">
        <v>0.0</v>
      </c>
      <c r="E8" s="910">
        <v>10.0</v>
      </c>
      <c r="F8" s="911">
        <f t="shared" si="1"/>
        <v>0</v>
      </c>
      <c r="G8" s="978"/>
      <c r="H8" s="978"/>
      <c r="I8" s="978"/>
      <c r="J8" s="978"/>
      <c r="K8" s="978"/>
      <c r="L8" s="978"/>
    </row>
    <row r="9">
      <c r="A9" s="977">
        <v>3.0</v>
      </c>
      <c r="B9" s="907" t="s">
        <v>1669</v>
      </c>
      <c r="C9" s="908" t="s">
        <v>1610</v>
      </c>
      <c r="D9" s="926">
        <v>0.0</v>
      </c>
      <c r="E9" s="910">
        <v>12.0</v>
      </c>
      <c r="F9" s="911">
        <f t="shared" si="1"/>
        <v>0</v>
      </c>
      <c r="G9" s="978"/>
      <c r="H9" s="978"/>
      <c r="I9" s="978"/>
      <c r="J9" s="978"/>
      <c r="K9" s="978"/>
      <c r="L9" s="978"/>
    </row>
    <row r="10">
      <c r="A10" s="979">
        <v>45295.0</v>
      </c>
      <c r="B10" s="907" t="s">
        <v>1611</v>
      </c>
      <c r="C10" s="908" t="s">
        <v>1612</v>
      </c>
      <c r="D10" s="926">
        <v>0.0</v>
      </c>
      <c r="E10" s="944">
        <v>1.85</v>
      </c>
      <c r="F10" s="911">
        <f t="shared" si="1"/>
        <v>0</v>
      </c>
      <c r="G10" s="912"/>
      <c r="H10" s="912"/>
      <c r="I10" s="912"/>
      <c r="J10" s="912"/>
      <c r="K10" s="912"/>
      <c r="L10" s="912"/>
    </row>
    <row r="11">
      <c r="A11" s="979">
        <v>45326.0</v>
      </c>
      <c r="B11" s="907" t="s">
        <v>1613</v>
      </c>
      <c r="C11" s="908" t="s">
        <v>1612</v>
      </c>
      <c r="D11" s="926">
        <v>0.0</v>
      </c>
      <c r="E11" s="944">
        <v>1.85</v>
      </c>
      <c r="F11" s="911">
        <f t="shared" si="1"/>
        <v>0</v>
      </c>
      <c r="G11" s="912"/>
      <c r="H11" s="912"/>
      <c r="I11" s="912"/>
      <c r="J11" s="912"/>
      <c r="K11" s="912"/>
      <c r="L11" s="912"/>
    </row>
    <row r="12" ht="15.75" customHeight="1">
      <c r="A12" s="977">
        <v>5.0</v>
      </c>
      <c r="B12" s="930" t="s">
        <v>1614</v>
      </c>
      <c r="C12" s="919"/>
      <c r="D12" s="741"/>
      <c r="E12" s="742"/>
      <c r="F12" s="920"/>
      <c r="G12" s="978"/>
      <c r="H12" s="978"/>
      <c r="I12" s="978"/>
      <c r="J12" s="978"/>
      <c r="K12" s="978"/>
      <c r="L12" s="978"/>
    </row>
    <row r="13" ht="15.75" customHeight="1">
      <c r="A13" s="979">
        <v>45296.0</v>
      </c>
      <c r="B13" s="907" t="s">
        <v>1615</v>
      </c>
      <c r="C13" s="908" t="s">
        <v>1624</v>
      </c>
      <c r="D13" s="909">
        <v>0.0</v>
      </c>
      <c r="E13" s="925">
        <v>13.0</v>
      </c>
      <c r="F13" s="911">
        <f t="shared" ref="F13:F19" si="2">D13*E13</f>
        <v>0</v>
      </c>
      <c r="G13" s="978"/>
      <c r="H13" s="978"/>
      <c r="I13" s="978"/>
      <c r="J13" s="978"/>
      <c r="K13" s="978"/>
      <c r="L13" s="978"/>
    </row>
    <row r="14" ht="15.75" customHeight="1">
      <c r="A14" s="979">
        <v>45327.0</v>
      </c>
      <c r="B14" s="907" t="s">
        <v>1670</v>
      </c>
      <c r="C14" s="908" t="s">
        <v>1624</v>
      </c>
      <c r="D14" s="909">
        <v>0.0</v>
      </c>
      <c r="E14" s="980">
        <v>1.5</v>
      </c>
      <c r="F14" s="911">
        <f t="shared" si="2"/>
        <v>0</v>
      </c>
      <c r="G14" s="912"/>
      <c r="H14" s="912"/>
      <c r="I14" s="912"/>
      <c r="J14" s="912"/>
      <c r="K14" s="912"/>
      <c r="L14" s="912"/>
    </row>
    <row r="15" ht="15.75" customHeight="1">
      <c r="A15" s="914">
        <v>45721.0</v>
      </c>
      <c r="B15" s="981" t="s">
        <v>1620</v>
      </c>
      <c r="C15" s="982" t="s">
        <v>1624</v>
      </c>
      <c r="D15" s="983">
        <v>0.0</v>
      </c>
      <c r="E15" s="984">
        <v>17.0</v>
      </c>
      <c r="F15" s="985">
        <f t="shared" si="2"/>
        <v>0</v>
      </c>
      <c r="G15" s="978"/>
      <c r="H15" s="978"/>
      <c r="I15" s="978"/>
      <c r="J15" s="978"/>
      <c r="K15" s="978"/>
      <c r="L15" s="978"/>
    </row>
    <row r="16" ht="15.75" customHeight="1">
      <c r="A16" s="914">
        <v>45752.0</v>
      </c>
      <c r="B16" s="907" t="s">
        <v>1621</v>
      </c>
      <c r="C16" s="908" t="s">
        <v>1624</v>
      </c>
      <c r="D16" s="926">
        <v>0.0</v>
      </c>
      <c r="E16" s="925">
        <v>5.0</v>
      </c>
      <c r="F16" s="911">
        <f t="shared" si="2"/>
        <v>0</v>
      </c>
      <c r="G16" s="978"/>
      <c r="H16" s="978"/>
      <c r="I16" s="978"/>
      <c r="J16" s="978"/>
      <c r="K16" s="978"/>
      <c r="L16" s="978"/>
    </row>
    <row r="17" ht="15.75" customHeight="1">
      <c r="A17" s="914">
        <v>45782.0</v>
      </c>
      <c r="B17" s="907" t="s">
        <v>1622</v>
      </c>
      <c r="C17" s="908" t="s">
        <v>1624</v>
      </c>
      <c r="D17" s="926">
        <v>0.0</v>
      </c>
      <c r="E17" s="980">
        <v>0.5</v>
      </c>
      <c r="F17" s="911">
        <f t="shared" si="2"/>
        <v>0</v>
      </c>
      <c r="G17" s="978"/>
      <c r="H17" s="978"/>
      <c r="I17" s="978"/>
      <c r="J17" s="978"/>
      <c r="K17" s="978"/>
      <c r="L17" s="978"/>
    </row>
    <row r="18" ht="15.75" customHeight="1">
      <c r="A18" s="914">
        <v>45813.0</v>
      </c>
      <c r="B18" s="907" t="s">
        <v>1623</v>
      </c>
      <c r="C18" s="908" t="s">
        <v>1624</v>
      </c>
      <c r="D18" s="926">
        <v>0.0</v>
      </c>
      <c r="E18" s="925">
        <v>30.0</v>
      </c>
      <c r="F18" s="911">
        <f t="shared" si="2"/>
        <v>0</v>
      </c>
      <c r="G18" s="978"/>
      <c r="H18" s="978"/>
      <c r="I18" s="978"/>
      <c r="J18" s="978"/>
      <c r="K18" s="978"/>
      <c r="L18" s="978"/>
    </row>
    <row r="19" ht="15.75" customHeight="1">
      <c r="A19" s="977">
        <v>6.0</v>
      </c>
      <c r="B19" s="907" t="s">
        <v>1625</v>
      </c>
      <c r="C19" s="908" t="s">
        <v>1624</v>
      </c>
      <c r="D19" s="926">
        <v>0.0</v>
      </c>
      <c r="E19" s="910">
        <v>50.0</v>
      </c>
      <c r="F19" s="911">
        <f t="shared" si="2"/>
        <v>0</v>
      </c>
      <c r="G19" s="978"/>
      <c r="H19" s="978"/>
      <c r="I19" s="978"/>
      <c r="J19" s="978"/>
      <c r="K19" s="978"/>
      <c r="L19" s="978"/>
    </row>
    <row r="20" ht="15.75" customHeight="1">
      <c r="A20" s="986" t="s">
        <v>1626</v>
      </c>
      <c r="B20" s="742"/>
      <c r="C20" s="928"/>
      <c r="D20" s="741"/>
      <c r="E20" s="742"/>
      <c r="F20" s="929">
        <f>SUM(F13:F19)</f>
        <v>0</v>
      </c>
      <c r="G20" s="978"/>
      <c r="H20" s="978"/>
      <c r="I20" s="978"/>
      <c r="J20" s="978"/>
      <c r="K20" s="978"/>
      <c r="L20" s="978"/>
    </row>
    <row r="21" ht="15.75" customHeight="1">
      <c r="A21" s="977">
        <v>7.0</v>
      </c>
      <c r="B21" s="930" t="s">
        <v>1627</v>
      </c>
      <c r="C21" s="931"/>
      <c r="D21" s="21"/>
      <c r="E21" s="22"/>
      <c r="F21" s="932"/>
      <c r="G21" s="978"/>
      <c r="H21" s="978"/>
      <c r="I21" s="978"/>
      <c r="J21" s="978"/>
      <c r="K21" s="978"/>
      <c r="L21" s="978"/>
    </row>
    <row r="22" ht="15.75" customHeight="1">
      <c r="A22" s="979">
        <v>45298.0</v>
      </c>
      <c r="B22" s="907" t="s">
        <v>1671</v>
      </c>
      <c r="C22" s="933" t="s">
        <v>1616</v>
      </c>
      <c r="D22" s="934">
        <v>0.0</v>
      </c>
      <c r="E22" s="935">
        <v>1.0</v>
      </c>
      <c r="F22" s="936">
        <f t="shared" ref="F22:F34" si="3">D22*E22</f>
        <v>0</v>
      </c>
      <c r="G22" s="978"/>
      <c r="H22" s="978"/>
      <c r="I22" s="978"/>
      <c r="J22" s="978"/>
      <c r="K22" s="978"/>
      <c r="L22" s="978"/>
    </row>
    <row r="23" ht="15.75" customHeight="1">
      <c r="A23" s="979">
        <v>45329.0</v>
      </c>
      <c r="B23" s="907" t="s">
        <v>1672</v>
      </c>
      <c r="C23" s="908" t="s">
        <v>1624</v>
      </c>
      <c r="D23" s="934">
        <v>0.0</v>
      </c>
      <c r="E23" s="913">
        <v>100.0</v>
      </c>
      <c r="F23" s="911">
        <f t="shared" si="3"/>
        <v>0</v>
      </c>
      <c r="G23" s="938"/>
      <c r="H23" s="938"/>
      <c r="I23" s="938"/>
      <c r="J23" s="938"/>
      <c r="K23" s="938"/>
      <c r="L23" s="938"/>
    </row>
    <row r="24" ht="15.75" customHeight="1">
      <c r="A24" s="979">
        <v>45358.0</v>
      </c>
      <c r="B24" s="907" t="s">
        <v>1673</v>
      </c>
      <c r="C24" s="908" t="s">
        <v>1624</v>
      </c>
      <c r="D24" s="934">
        <v>0.0</v>
      </c>
      <c r="E24" s="910">
        <v>50.0</v>
      </c>
      <c r="F24" s="911">
        <f t="shared" si="3"/>
        <v>0</v>
      </c>
      <c r="G24" s="938"/>
      <c r="H24" s="938"/>
      <c r="I24" s="938"/>
      <c r="J24" s="938"/>
      <c r="K24" s="938"/>
      <c r="L24" s="938"/>
    </row>
    <row r="25" ht="15.75" customHeight="1">
      <c r="A25" s="979">
        <v>45389.0</v>
      </c>
      <c r="B25" s="941" t="s">
        <v>1674</v>
      </c>
      <c r="C25" s="908" t="s">
        <v>1624</v>
      </c>
      <c r="D25" s="934">
        <v>0.0</v>
      </c>
      <c r="E25" s="922">
        <v>85.0</v>
      </c>
      <c r="F25" s="911">
        <f t="shared" si="3"/>
        <v>0</v>
      </c>
      <c r="G25" s="978"/>
      <c r="H25" s="978"/>
      <c r="I25" s="978"/>
      <c r="J25" s="978"/>
      <c r="K25" s="978"/>
      <c r="L25" s="978"/>
    </row>
    <row r="26" ht="15.75" customHeight="1">
      <c r="A26" s="979">
        <v>45419.0</v>
      </c>
      <c r="B26" s="940" t="s">
        <v>1632</v>
      </c>
      <c r="C26" s="908" t="s">
        <v>1616</v>
      </c>
      <c r="D26" s="987">
        <v>0.0</v>
      </c>
      <c r="E26" s="922">
        <v>100.0</v>
      </c>
      <c r="F26" s="911">
        <f t="shared" si="3"/>
        <v>0</v>
      </c>
      <c r="G26" s="978"/>
      <c r="H26" s="978"/>
      <c r="I26" s="978"/>
      <c r="J26" s="978"/>
      <c r="K26" s="978"/>
      <c r="L26" s="978"/>
    </row>
    <row r="27" ht="15.75" customHeight="1">
      <c r="A27" s="979">
        <v>45450.0</v>
      </c>
      <c r="B27" s="907" t="s">
        <v>1675</v>
      </c>
      <c r="C27" s="908" t="s">
        <v>1624</v>
      </c>
      <c r="D27" s="934">
        <v>0.0</v>
      </c>
      <c r="E27" s="913">
        <v>150.0</v>
      </c>
      <c r="F27" s="911">
        <f t="shared" si="3"/>
        <v>0</v>
      </c>
      <c r="G27" s="978"/>
      <c r="H27" s="978"/>
      <c r="I27" s="978"/>
      <c r="J27" s="978"/>
      <c r="K27" s="978"/>
      <c r="L27" s="978"/>
    </row>
    <row r="28" ht="15.75" customHeight="1">
      <c r="A28" s="979">
        <v>45480.0</v>
      </c>
      <c r="B28" s="907" t="s">
        <v>1635</v>
      </c>
      <c r="C28" s="908" t="s">
        <v>1624</v>
      </c>
      <c r="D28" s="934">
        <v>0.0</v>
      </c>
      <c r="E28" s="910">
        <v>30.0</v>
      </c>
      <c r="F28" s="911">
        <f t="shared" si="3"/>
        <v>0</v>
      </c>
      <c r="G28" s="978"/>
      <c r="H28" s="978"/>
      <c r="I28" s="978"/>
      <c r="J28" s="978"/>
      <c r="K28" s="978"/>
      <c r="L28" s="978"/>
    </row>
    <row r="29" ht="15.75" customHeight="1">
      <c r="A29" s="979">
        <v>45511.0</v>
      </c>
      <c r="B29" s="943" t="s">
        <v>1676</v>
      </c>
      <c r="C29" s="908" t="s">
        <v>1624</v>
      </c>
      <c r="D29" s="934">
        <v>0.0</v>
      </c>
      <c r="E29" s="988">
        <v>1.5</v>
      </c>
      <c r="F29" s="911">
        <f t="shared" si="3"/>
        <v>0</v>
      </c>
      <c r="G29" s="978"/>
      <c r="H29" s="978"/>
      <c r="I29" s="978"/>
      <c r="J29" s="978"/>
      <c r="K29" s="978"/>
      <c r="L29" s="978"/>
    </row>
    <row r="30" ht="15.75" customHeight="1">
      <c r="A30" s="979">
        <v>45542.0</v>
      </c>
      <c r="B30" s="943" t="s">
        <v>1637</v>
      </c>
      <c r="C30" s="908" t="s">
        <v>1624</v>
      </c>
      <c r="D30" s="934">
        <v>0.0</v>
      </c>
      <c r="E30" s="913">
        <v>80.0</v>
      </c>
      <c r="F30" s="911">
        <f t="shared" si="3"/>
        <v>0</v>
      </c>
      <c r="G30" s="978"/>
      <c r="H30" s="978"/>
      <c r="I30" s="978"/>
      <c r="J30" s="978"/>
      <c r="K30" s="978"/>
      <c r="L30" s="978"/>
    </row>
    <row r="31" ht="15.75" customHeight="1">
      <c r="A31" s="979">
        <v>45572.0</v>
      </c>
      <c r="B31" s="907" t="s">
        <v>1638</v>
      </c>
      <c r="C31" s="908" t="s">
        <v>1624</v>
      </c>
      <c r="D31" s="934">
        <v>0.0</v>
      </c>
      <c r="E31" s="913">
        <v>50.0</v>
      </c>
      <c r="F31" s="911">
        <f t="shared" si="3"/>
        <v>0</v>
      </c>
      <c r="G31" s="978"/>
      <c r="H31" s="978"/>
      <c r="I31" s="978"/>
      <c r="J31" s="978"/>
      <c r="K31" s="978"/>
      <c r="L31" s="978"/>
    </row>
    <row r="32" ht="15.75" customHeight="1">
      <c r="A32" s="979">
        <v>45603.0</v>
      </c>
      <c r="B32" s="907" t="s">
        <v>1639</v>
      </c>
      <c r="C32" s="908" t="s">
        <v>1624</v>
      </c>
      <c r="D32" s="934">
        <v>0.0</v>
      </c>
      <c r="E32" s="913">
        <v>100.0</v>
      </c>
      <c r="F32" s="911">
        <f t="shared" si="3"/>
        <v>0</v>
      </c>
      <c r="G32" s="978"/>
      <c r="H32" s="978"/>
      <c r="I32" s="978"/>
      <c r="J32" s="978"/>
      <c r="K32" s="978"/>
      <c r="L32" s="978"/>
    </row>
    <row r="33" ht="15.75" customHeight="1">
      <c r="A33" s="979">
        <v>45633.0</v>
      </c>
      <c r="B33" s="907" t="s">
        <v>1640</v>
      </c>
      <c r="C33" s="908" t="s">
        <v>1624</v>
      </c>
      <c r="D33" s="934">
        <v>0.0</v>
      </c>
      <c r="E33" s="913">
        <v>20.0</v>
      </c>
      <c r="F33" s="911">
        <f t="shared" si="3"/>
        <v>0</v>
      </c>
      <c r="G33" s="978"/>
      <c r="H33" s="978"/>
      <c r="I33" s="978"/>
      <c r="J33" s="978"/>
      <c r="K33" s="978"/>
      <c r="L33" s="978"/>
    </row>
    <row r="34" ht="15.75" customHeight="1">
      <c r="A34" s="977" t="s">
        <v>1677</v>
      </c>
      <c r="B34" s="943" t="s">
        <v>1678</v>
      </c>
      <c r="C34" s="908" t="s">
        <v>1642</v>
      </c>
      <c r="D34" s="909">
        <v>0.0</v>
      </c>
      <c r="E34" s="944">
        <v>1.5</v>
      </c>
      <c r="F34" s="911">
        <f t="shared" si="3"/>
        <v>0</v>
      </c>
      <c r="G34" s="912"/>
      <c r="H34" s="912"/>
      <c r="I34" s="912"/>
      <c r="J34" s="912"/>
      <c r="K34" s="912"/>
      <c r="L34" s="912"/>
    </row>
    <row r="35" ht="15.75" customHeight="1">
      <c r="A35" s="977" t="s">
        <v>1679</v>
      </c>
      <c r="B35" s="989" t="s">
        <v>1680</v>
      </c>
      <c r="C35" s="908" t="s">
        <v>1642</v>
      </c>
      <c r="D35" s="909">
        <v>0.0</v>
      </c>
      <c r="E35" s="944">
        <v>1.5</v>
      </c>
      <c r="F35" s="911">
        <f>IF(D35 &lt;= 50 , 0, D35 * E35)</f>
        <v>0</v>
      </c>
      <c r="G35" s="912"/>
      <c r="H35" s="912"/>
      <c r="I35" s="912"/>
      <c r="J35" s="912"/>
      <c r="K35" s="912"/>
      <c r="L35" s="912"/>
    </row>
    <row r="36" ht="15.75" customHeight="1">
      <c r="A36" s="986" t="s">
        <v>1647</v>
      </c>
      <c r="B36" s="742"/>
      <c r="C36" s="931"/>
      <c r="D36" s="21"/>
      <c r="E36" s="22"/>
      <c r="F36" s="929">
        <f>SUM(F22:F35)</f>
        <v>0</v>
      </c>
      <c r="G36" s="912"/>
      <c r="H36" s="912"/>
      <c r="I36" s="912"/>
      <c r="J36" s="912"/>
      <c r="K36" s="912"/>
      <c r="L36" s="912"/>
    </row>
    <row r="37" ht="15.75" customHeight="1">
      <c r="A37" s="990">
        <v>8.0</v>
      </c>
      <c r="B37" s="991" t="s">
        <v>1648</v>
      </c>
      <c r="C37" s="992" t="s">
        <v>1649</v>
      </c>
      <c r="D37" s="992" t="s">
        <v>1650</v>
      </c>
      <c r="E37" s="949"/>
      <c r="F37" s="929"/>
      <c r="G37" s="912"/>
      <c r="H37" s="912"/>
      <c r="I37" s="912"/>
      <c r="J37" s="912"/>
      <c r="K37" s="912"/>
      <c r="L37" s="912"/>
    </row>
    <row r="38" ht="15.75" customHeight="1">
      <c r="A38" s="993">
        <v>45299.0</v>
      </c>
      <c r="B38" s="907" t="s">
        <v>1651</v>
      </c>
      <c r="C38" s="994" t="b">
        <v>1</v>
      </c>
      <c r="D38" s="950" t="b">
        <v>1</v>
      </c>
      <c r="E38" s="994"/>
      <c r="F38" s="920"/>
      <c r="G38" s="978"/>
      <c r="H38" s="978"/>
      <c r="I38" s="978"/>
      <c r="J38" s="978"/>
      <c r="K38" s="978"/>
      <c r="L38" s="978"/>
    </row>
    <row r="39" ht="15.75" customHeight="1">
      <c r="A39" s="993">
        <v>45330.0</v>
      </c>
      <c r="B39" s="907" t="s">
        <v>1652</v>
      </c>
      <c r="C39" s="994" t="b">
        <v>1</v>
      </c>
      <c r="D39" s="994" t="b">
        <v>1</v>
      </c>
      <c r="E39" s="994"/>
      <c r="F39" s="920"/>
      <c r="G39" s="978"/>
      <c r="H39" s="978"/>
      <c r="I39" s="978"/>
      <c r="J39" s="978"/>
      <c r="K39" s="978"/>
      <c r="L39" s="978"/>
    </row>
    <row r="40" ht="15.75" customHeight="1">
      <c r="A40" s="993">
        <v>45359.0</v>
      </c>
      <c r="B40" s="949" t="s">
        <v>1653</v>
      </c>
      <c r="C40" s="994" t="b">
        <v>1</v>
      </c>
      <c r="D40" s="994" t="b">
        <v>1</v>
      </c>
      <c r="E40" s="994"/>
      <c r="F40" s="920"/>
      <c r="G40" s="978"/>
      <c r="H40" s="978"/>
      <c r="I40" s="978"/>
      <c r="J40" s="978"/>
      <c r="K40" s="978"/>
      <c r="L40" s="978"/>
    </row>
    <row r="41" ht="15.75" customHeight="1">
      <c r="A41" s="993">
        <v>45390.0</v>
      </c>
      <c r="B41" s="949" t="s">
        <v>1654</v>
      </c>
      <c r="C41" s="994" t="b">
        <v>1</v>
      </c>
      <c r="D41" s="950" t="b">
        <v>1</v>
      </c>
      <c r="E41" s="994"/>
      <c r="F41" s="920"/>
      <c r="G41" s="978"/>
      <c r="H41" s="978"/>
      <c r="I41" s="978"/>
      <c r="J41" s="978"/>
      <c r="K41" s="978"/>
      <c r="L41" s="978"/>
    </row>
    <row r="42" ht="15.75" customHeight="1">
      <c r="A42" s="993">
        <v>45420.0</v>
      </c>
      <c r="B42" s="949" t="s">
        <v>1655</v>
      </c>
      <c r="C42" s="994" t="b">
        <v>1</v>
      </c>
      <c r="D42" s="994" t="b">
        <v>1</v>
      </c>
      <c r="E42" s="994"/>
      <c r="F42" s="920"/>
      <c r="G42" s="978"/>
      <c r="H42" s="978"/>
      <c r="I42" s="978"/>
      <c r="J42" s="978"/>
      <c r="K42" s="978"/>
      <c r="L42" s="978"/>
    </row>
    <row r="43" ht="15.75" customHeight="1">
      <c r="A43" s="993">
        <v>45451.0</v>
      </c>
      <c r="B43" s="949" t="s">
        <v>1656</v>
      </c>
      <c r="C43" s="994" t="b">
        <v>1</v>
      </c>
      <c r="D43" s="994" t="b">
        <v>1</v>
      </c>
      <c r="E43" s="994"/>
      <c r="F43" s="920"/>
      <c r="G43" s="978"/>
      <c r="H43" s="978"/>
      <c r="I43" s="978"/>
      <c r="J43" s="978"/>
      <c r="K43" s="978"/>
      <c r="L43" s="978"/>
    </row>
    <row r="44" ht="15.75" customHeight="1">
      <c r="A44" s="993">
        <v>45481.0</v>
      </c>
      <c r="B44" s="949" t="s">
        <v>1657</v>
      </c>
      <c r="C44" s="994" t="b">
        <v>1</v>
      </c>
      <c r="D44" s="994" t="b">
        <v>1</v>
      </c>
      <c r="E44" s="994"/>
      <c r="F44" s="920"/>
      <c r="G44" s="901"/>
      <c r="H44" s="978"/>
      <c r="I44" s="978"/>
      <c r="J44" s="978"/>
      <c r="K44" s="978"/>
      <c r="L44" s="978"/>
    </row>
    <row r="45" ht="15.75" customHeight="1">
      <c r="A45" s="993">
        <v>45512.0</v>
      </c>
      <c r="B45" s="949" t="s">
        <v>1658</v>
      </c>
      <c r="C45" s="994"/>
      <c r="D45" s="994" t="b">
        <v>1</v>
      </c>
      <c r="E45" s="994"/>
      <c r="F45" s="920"/>
      <c r="G45" s="901"/>
      <c r="H45" s="978"/>
      <c r="I45" s="978"/>
      <c r="J45" s="978"/>
      <c r="K45" s="978"/>
      <c r="L45" s="978"/>
    </row>
    <row r="46" ht="15.75" customHeight="1">
      <c r="A46" s="993">
        <v>45543.0</v>
      </c>
      <c r="B46" s="949" t="s">
        <v>1659</v>
      </c>
      <c r="C46" s="994"/>
      <c r="D46" s="994" t="b">
        <v>1</v>
      </c>
      <c r="E46" s="994"/>
      <c r="F46" s="920"/>
      <c r="G46" s="901"/>
      <c r="H46" s="978"/>
      <c r="I46" s="978"/>
      <c r="J46" s="978"/>
      <c r="K46" s="978"/>
      <c r="L46" s="978"/>
    </row>
    <row r="47" ht="15.75" customHeight="1">
      <c r="A47" s="979">
        <v>45300.0</v>
      </c>
      <c r="B47" s="949" t="s">
        <v>1681</v>
      </c>
      <c r="C47" s="908" t="s">
        <v>1661</v>
      </c>
      <c r="D47" s="995">
        <v>0.2</v>
      </c>
      <c r="E47" s="949" t="b">
        <f>AND(C38=TRUE,C39=TRUE,C40=TRUE,C41=TRUE,C42=TRUE,C43=TRUE,C44=TRUE)</f>
        <v>1</v>
      </c>
      <c r="F47" s="953">
        <f>IF($E$47=TRUE,$F$20*$D$47,0)</f>
        <v>0</v>
      </c>
      <c r="G47" s="901"/>
      <c r="H47" s="978"/>
      <c r="I47" s="978"/>
      <c r="J47" s="978"/>
      <c r="K47" s="978"/>
      <c r="L47" s="978"/>
    </row>
    <row r="48" ht="15.75" customHeight="1">
      <c r="A48" s="979">
        <v>45331.0</v>
      </c>
      <c r="B48" s="949" t="s">
        <v>1682</v>
      </c>
      <c r="C48" s="908" t="s">
        <v>1661</v>
      </c>
      <c r="D48" s="995">
        <v>0.2</v>
      </c>
      <c r="E48" s="949" t="b">
        <f>AND(D38=TRUE,D39=TRUE,D40=TRUE,D41=TRUE,D42=TRUE,D43=TRUE,D44=TRUE,D45=TRUE,D46=TRUE)</f>
        <v>1</v>
      </c>
      <c r="F48" s="953">
        <f>IF($E$48=TRUE,$F$36*$D$48,0)</f>
        <v>0</v>
      </c>
      <c r="G48" s="901"/>
      <c r="H48" s="978"/>
      <c r="I48" s="978"/>
      <c r="J48" s="978"/>
      <c r="K48" s="978"/>
      <c r="L48" s="978"/>
    </row>
    <row r="49" ht="15.75" customHeight="1">
      <c r="A49" s="979">
        <v>45301.0</v>
      </c>
      <c r="B49" s="949" t="s">
        <v>1683</v>
      </c>
      <c r="C49" s="908" t="s">
        <v>1661</v>
      </c>
      <c r="D49" s="995">
        <v>0.0</v>
      </c>
      <c r="E49" s="949" t="b">
        <v>0</v>
      </c>
      <c r="F49" s="953">
        <f>IF($E$49=TRUE,$F$20*$D$49,0)</f>
        <v>0</v>
      </c>
      <c r="G49" s="901"/>
      <c r="H49" s="978"/>
      <c r="I49" s="978"/>
      <c r="J49" s="978"/>
      <c r="K49" s="978"/>
      <c r="L49" s="978"/>
    </row>
    <row r="50" ht="15.75" customHeight="1">
      <c r="A50" s="979">
        <v>45332.0</v>
      </c>
      <c r="B50" s="949" t="s">
        <v>1684</v>
      </c>
      <c r="C50" s="908" t="s">
        <v>1661</v>
      </c>
      <c r="D50" s="995">
        <v>0.0</v>
      </c>
      <c r="E50" s="949" t="b">
        <v>0</v>
      </c>
      <c r="F50" s="953">
        <f>IF($E$50=TRUE,$F$36*$D$50,0)</f>
        <v>0</v>
      </c>
      <c r="G50" s="901"/>
      <c r="H50" s="978"/>
      <c r="I50" s="978"/>
      <c r="J50" s="978"/>
      <c r="K50" s="978"/>
      <c r="L50" s="978"/>
    </row>
    <row r="51" ht="15.75" customHeight="1">
      <c r="A51" s="996" t="s">
        <v>1665</v>
      </c>
      <c r="B51" s="742"/>
      <c r="C51" s="955"/>
      <c r="D51" s="956"/>
      <c r="E51" s="955"/>
      <c r="F51" s="997">
        <f>SUM($F$20+$F$47+$F$49)+$F$10</f>
        <v>0</v>
      </c>
      <c r="G51" s="998">
        <f t="shared" ref="G51:G53" si="4">F51*$J$53</f>
        <v>0</v>
      </c>
      <c r="H51" s="978"/>
      <c r="I51" s="999"/>
      <c r="J51" s="978"/>
      <c r="K51" s="978"/>
      <c r="L51" s="978"/>
    </row>
    <row r="52" ht="15.75" customHeight="1">
      <c r="A52" s="1000" t="s">
        <v>1666</v>
      </c>
      <c r="B52" s="742"/>
      <c r="C52" s="1001"/>
      <c r="D52" s="1002"/>
      <c r="E52" s="1001"/>
      <c r="F52" s="1003">
        <f>SUM($F$36+$F$48+$F$50)+$F$11</f>
        <v>0</v>
      </c>
      <c r="G52" s="1004">
        <f t="shared" si="4"/>
        <v>0</v>
      </c>
      <c r="H52" s="978"/>
      <c r="I52" s="999"/>
      <c r="J52" s="1005"/>
      <c r="K52" s="978"/>
      <c r="L52" s="978"/>
    </row>
    <row r="53" ht="15.0" customHeight="1">
      <c r="A53" s="1006" t="s">
        <v>1667</v>
      </c>
      <c r="B53" s="742"/>
      <c r="C53" s="969"/>
      <c r="D53" s="969"/>
      <c r="E53" s="969"/>
      <c r="F53" s="970">
        <f>SUM($F$51:$F$52)+SUM($F$7:$F$9)</f>
        <v>0</v>
      </c>
      <c r="G53" s="1007">
        <f t="shared" si="4"/>
        <v>0</v>
      </c>
      <c r="H53" s="978"/>
      <c r="I53" s="972" t="s">
        <v>1668</v>
      </c>
      <c r="J53" s="1008">
        <f>'КОШТОРИС'!R3</f>
        <v>41.7</v>
      </c>
      <c r="K53" s="978"/>
      <c r="L53" s="978"/>
    </row>
    <row r="54" ht="15.75" customHeight="1">
      <c r="A54" s="901"/>
      <c r="B54" s="901"/>
      <c r="C54" s="901"/>
      <c r="D54" s="901"/>
      <c r="E54" s="901"/>
      <c r="F54" s="901"/>
      <c r="G54" s="901"/>
      <c r="H54" s="978"/>
      <c r="I54" s="978"/>
      <c r="J54" s="978"/>
      <c r="K54" s="978"/>
      <c r="L54" s="978"/>
    </row>
    <row r="55" ht="15.75" customHeight="1">
      <c r="A55" s="901"/>
      <c r="B55" s="901"/>
      <c r="C55" s="901"/>
      <c r="D55" s="901"/>
      <c r="E55" s="901"/>
      <c r="F55" s="901"/>
      <c r="G55" s="901"/>
      <c r="H55" s="359"/>
      <c r="I55" s="359"/>
      <c r="J55" s="359"/>
      <c r="K55" s="359"/>
      <c r="L55" s="359"/>
    </row>
    <row r="56" ht="15.75" customHeight="1">
      <c r="A56" s="901"/>
      <c r="B56" s="901"/>
      <c r="C56" s="901"/>
      <c r="D56" s="901"/>
      <c r="E56" s="901"/>
      <c r="F56" s="901"/>
      <c r="G56" s="901"/>
      <c r="H56" s="359"/>
      <c r="I56" s="359"/>
      <c r="J56" s="359"/>
      <c r="K56" s="359"/>
      <c r="L56" s="359"/>
    </row>
    <row r="57" ht="15.75" customHeight="1">
      <c r="A57" s="901"/>
      <c r="B57" s="901"/>
      <c r="C57" s="901"/>
      <c r="D57" s="901"/>
      <c r="E57" s="901"/>
      <c r="F57" s="901"/>
      <c r="G57" s="901"/>
      <c r="H57" s="359"/>
      <c r="I57" s="359"/>
      <c r="J57" s="359"/>
      <c r="K57" s="359"/>
      <c r="L57" s="359"/>
    </row>
    <row r="58" ht="15.75" customHeight="1">
      <c r="A58" s="901"/>
      <c r="B58" s="901"/>
      <c r="C58" s="901"/>
      <c r="D58" s="901"/>
      <c r="E58" s="901"/>
      <c r="F58" s="901"/>
      <c r="G58" s="901"/>
      <c r="H58" s="359"/>
      <c r="I58" s="359"/>
      <c r="J58" s="359"/>
      <c r="K58" s="359"/>
      <c r="L58" s="359"/>
    </row>
    <row r="59" ht="15.75" customHeight="1">
      <c r="A59" s="901"/>
      <c r="B59" s="901"/>
      <c r="C59" s="901"/>
      <c r="D59" s="901"/>
      <c r="E59" s="901"/>
      <c r="F59" s="901"/>
      <c r="G59" s="901"/>
      <c r="H59" s="359"/>
      <c r="I59" s="359"/>
      <c r="J59" s="359"/>
      <c r="K59" s="359"/>
      <c r="L59" s="359"/>
    </row>
    <row r="60" ht="15.75" customHeight="1">
      <c r="A60" s="901"/>
      <c r="B60" s="901"/>
      <c r="C60" s="901"/>
      <c r="D60" s="901"/>
      <c r="E60" s="901"/>
      <c r="F60" s="901"/>
      <c r="G60" s="901"/>
      <c r="H60" s="359"/>
      <c r="I60" s="359"/>
      <c r="J60" s="359"/>
      <c r="K60" s="359"/>
      <c r="L60" s="359"/>
    </row>
    <row r="61" ht="15.75" customHeight="1">
      <c r="A61" s="901"/>
      <c r="B61" s="901"/>
      <c r="C61" s="901"/>
      <c r="D61" s="901"/>
      <c r="E61" s="901"/>
      <c r="F61" s="901"/>
      <c r="G61" s="901"/>
      <c r="H61" s="359"/>
      <c r="I61" s="359"/>
      <c r="J61" s="359"/>
      <c r="K61" s="359"/>
      <c r="L61" s="359"/>
    </row>
    <row r="62" ht="15.75" customHeight="1">
      <c r="A62" s="901"/>
      <c r="B62" s="901"/>
      <c r="C62" s="901"/>
      <c r="D62" s="901"/>
      <c r="E62" s="901"/>
      <c r="F62" s="901"/>
      <c r="G62" s="901"/>
      <c r="H62" s="359"/>
      <c r="I62" s="359"/>
      <c r="J62" s="359"/>
      <c r="K62" s="359"/>
      <c r="L62" s="359"/>
    </row>
    <row r="63" ht="15.75" customHeight="1">
      <c r="A63" s="901"/>
      <c r="B63" s="901"/>
      <c r="C63" s="901"/>
      <c r="D63" s="901"/>
      <c r="E63" s="901"/>
      <c r="F63" s="901"/>
      <c r="G63" s="901"/>
      <c r="H63" s="359"/>
      <c r="I63" s="359"/>
      <c r="J63" s="359"/>
      <c r="K63" s="359"/>
      <c r="L63" s="359"/>
    </row>
    <row r="64" ht="15.75" customHeight="1">
      <c r="A64" s="901"/>
      <c r="B64" s="901"/>
      <c r="C64" s="901"/>
      <c r="D64" s="901"/>
      <c r="E64" s="901"/>
      <c r="F64" s="901"/>
      <c r="G64" s="901"/>
      <c r="H64" s="359"/>
      <c r="I64" s="359"/>
      <c r="J64" s="359"/>
      <c r="K64" s="359"/>
      <c r="L64" s="359"/>
    </row>
    <row r="65" ht="15.75" customHeight="1">
      <c r="A65" s="901"/>
      <c r="B65" s="901"/>
      <c r="C65" s="901"/>
      <c r="D65" s="901"/>
      <c r="E65" s="901"/>
      <c r="F65" s="901"/>
      <c r="G65" s="901"/>
      <c r="H65" s="359"/>
      <c r="I65" s="359"/>
      <c r="J65" s="359"/>
      <c r="K65" s="359"/>
      <c r="L65" s="359"/>
    </row>
    <row r="66" ht="15.75" customHeight="1">
      <c r="A66" s="901"/>
      <c r="B66" s="901"/>
      <c r="C66" s="901"/>
      <c r="D66" s="901"/>
      <c r="E66" s="901"/>
      <c r="F66" s="901"/>
      <c r="G66" s="901"/>
      <c r="H66" s="359"/>
      <c r="I66" s="359"/>
      <c r="J66" s="359"/>
      <c r="K66" s="359"/>
      <c r="L66" s="359"/>
    </row>
    <row r="67" ht="15.75" customHeight="1">
      <c r="A67" s="901"/>
      <c r="B67" s="901"/>
      <c r="C67" s="901"/>
      <c r="D67" s="901"/>
      <c r="E67" s="901"/>
      <c r="F67" s="901"/>
      <c r="G67" s="901"/>
      <c r="H67" s="359"/>
      <c r="I67" s="359"/>
      <c r="J67" s="359"/>
      <c r="K67" s="359"/>
      <c r="L67" s="359"/>
    </row>
    <row r="68" ht="15.75" customHeight="1">
      <c r="A68" s="901"/>
      <c r="B68" s="901"/>
      <c r="C68" s="901"/>
      <c r="D68" s="901"/>
      <c r="E68" s="901"/>
      <c r="F68" s="901"/>
      <c r="G68" s="901"/>
      <c r="H68" s="359"/>
      <c r="I68" s="359"/>
      <c r="J68" s="359"/>
      <c r="K68" s="359"/>
      <c r="L68" s="359"/>
    </row>
    <row r="69" ht="15.75" customHeight="1">
      <c r="A69" s="901"/>
      <c r="B69" s="901"/>
      <c r="C69" s="901"/>
      <c r="D69" s="901"/>
      <c r="E69" s="901"/>
      <c r="F69" s="901"/>
      <c r="G69" s="901"/>
      <c r="H69" s="359"/>
      <c r="I69" s="359"/>
      <c r="J69" s="359"/>
      <c r="K69" s="359"/>
      <c r="L69" s="359"/>
    </row>
    <row r="70" ht="15.75" customHeight="1">
      <c r="A70" s="901"/>
      <c r="B70" s="901"/>
      <c r="C70" s="901"/>
      <c r="D70" s="901"/>
      <c r="E70" s="901"/>
      <c r="F70" s="901"/>
      <c r="G70" s="901"/>
      <c r="H70" s="359"/>
      <c r="I70" s="359"/>
      <c r="J70" s="359"/>
      <c r="K70" s="359"/>
      <c r="L70" s="359"/>
    </row>
    <row r="71" ht="15.75" customHeight="1">
      <c r="A71" s="901"/>
      <c r="B71" s="901"/>
      <c r="C71" s="901"/>
      <c r="D71" s="901"/>
      <c r="E71" s="901"/>
      <c r="F71" s="901"/>
      <c r="G71" s="901"/>
      <c r="H71" s="359"/>
      <c r="I71" s="359"/>
      <c r="J71" s="359"/>
      <c r="K71" s="359"/>
      <c r="L71" s="359"/>
    </row>
  </sheetData>
  <mergeCells count="18">
    <mergeCell ref="D1:F1"/>
    <mergeCell ref="D2:F2"/>
    <mergeCell ref="D3:F3"/>
    <mergeCell ref="A4:F4"/>
    <mergeCell ref="A5:A6"/>
    <mergeCell ref="B5:B6"/>
    <mergeCell ref="C5:C6"/>
    <mergeCell ref="A36:B36"/>
    <mergeCell ref="A51:B51"/>
    <mergeCell ref="A52:B52"/>
    <mergeCell ref="A53:B53"/>
    <mergeCell ref="D5:D6"/>
    <mergeCell ref="E5:F5"/>
    <mergeCell ref="C12:E12"/>
    <mergeCell ref="A20:B20"/>
    <mergeCell ref="C20:E20"/>
    <mergeCell ref="C21:E21"/>
    <mergeCell ref="C36:E36"/>
  </mergeCells>
  <conditionalFormatting sqref="B12:B19 B21:B22 B29:B33">
    <cfRule type="containsText" dxfId="13" priority="1" operator="containsText" text="Ошибка в формулах!">
      <formula>NOT(ISERROR(SEARCH(("Ошибка в формулах!"),(B12))))</formula>
    </cfRule>
  </conditionalFormatting>
  <printOptions/>
  <pageMargins bottom="0.3937007874015748" footer="0.0" header="0.0" left="0.5905511811023623" right="0.3937007874015748" top="0.3937007874015748"/>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workbookViewId="0">
      <pane xSplit="4.0" ySplit="5.0" topLeftCell="E6" activePane="bottomRight" state="frozen"/>
      <selection activeCell="E1" sqref="E1" pane="topRight"/>
      <selection activeCell="A6" sqref="A6" pane="bottomLeft"/>
      <selection activeCell="E6" sqref="E6" pane="bottomRight"/>
    </sheetView>
  </sheetViews>
  <sheetFormatPr customHeight="1" defaultColWidth="14.43" defaultRowHeight="15.0"/>
  <cols>
    <col customWidth="1" min="1" max="1" width="4.43"/>
    <col customWidth="1" min="2" max="2" width="15.43"/>
    <col customWidth="1" min="3" max="4" width="11.57"/>
    <col customWidth="1" min="5" max="5" width="4.43"/>
    <col customWidth="1" min="6" max="6" width="17.29"/>
    <col customWidth="1" min="7" max="7" width="11.86"/>
    <col customWidth="1" min="8" max="11" width="14.43"/>
    <col customWidth="1" min="12" max="12" width="7.29"/>
    <col customWidth="1" min="13" max="13" width="13.57"/>
    <col customWidth="1" min="14" max="14" width="12.43"/>
    <col customWidth="1" min="15" max="18" width="14.43"/>
    <col customWidth="1" min="19" max="21" width="8.71"/>
    <col customWidth="1" min="22" max="22" width="11.57"/>
    <col customWidth="1" min="23" max="25" width="14.43"/>
  </cols>
  <sheetData>
    <row r="1" ht="15.0" customHeight="1">
      <c r="A1" s="1009"/>
      <c r="B1" s="1010" t="s">
        <v>1685</v>
      </c>
      <c r="C1" s="21"/>
      <c r="D1" s="22"/>
      <c r="E1" s="1009"/>
      <c r="F1" s="1011" t="s">
        <v>1686</v>
      </c>
      <c r="G1" s="1012" t="str">
        <f>B7</f>
        <v>DHN 2278x1134x30 590W (DHN-72X16/DG)</v>
      </c>
      <c r="H1" s="1013"/>
      <c r="I1" s="1013"/>
      <c r="J1" s="1014"/>
      <c r="K1" s="1009"/>
      <c r="L1" s="1009"/>
      <c r="M1" s="1015" t="s">
        <v>1687</v>
      </c>
      <c r="N1" s="1016" t="str">
        <f>A17</f>
        <v>SUN-80K-SG02HP3-EU-EM6  (3ф гибрид 80 квт)</v>
      </c>
      <c r="O1" s="1013"/>
      <c r="P1" s="1013"/>
      <c r="Q1" s="1014"/>
      <c r="R1" s="1009"/>
      <c r="S1" s="1009"/>
      <c r="T1" s="1009"/>
      <c r="U1" s="1009"/>
      <c r="V1" s="1009"/>
      <c r="W1" s="428"/>
      <c r="X1" s="428"/>
      <c r="Y1" s="428"/>
      <c r="Z1" s="365"/>
    </row>
    <row r="2" ht="15.0" customHeight="1">
      <c r="A2" s="1009"/>
      <c r="B2" s="1017" t="s">
        <v>1688</v>
      </c>
      <c r="C2" s="1018">
        <f t="shared" ref="C2:C3" si="1">C20/C9</f>
        <v>3.841229193</v>
      </c>
      <c r="D2" s="1019">
        <f t="shared" ref="D2:D3" si="2">CEILING(C2,1)</f>
        <v>4</v>
      </c>
      <c r="E2" s="1009"/>
      <c r="F2" s="1009"/>
      <c r="G2" s="1009"/>
      <c r="H2" s="1020" t="s">
        <v>1689</v>
      </c>
      <c r="I2" s="1021" t="s">
        <v>1690</v>
      </c>
      <c r="J2" s="1022"/>
      <c r="K2" s="1009"/>
      <c r="L2" s="1009"/>
      <c r="M2" s="1009"/>
      <c r="N2" s="1023" t="str">
        <f>A20</f>
        <v>Umin MPPT, V</v>
      </c>
      <c r="O2" s="1024">
        <f>C20</f>
        <v>150</v>
      </c>
      <c r="P2" s="1023" t="str">
        <f>A21</f>
        <v>Unom, V</v>
      </c>
      <c r="Q2" s="1023" t="str">
        <f>A23</f>
        <v>U DC max, V</v>
      </c>
      <c r="R2" s="1009"/>
      <c r="S2" s="1009"/>
      <c r="T2" s="1009"/>
      <c r="U2" s="1009"/>
      <c r="V2" s="365"/>
      <c r="W2" s="365"/>
      <c r="X2" s="365"/>
      <c r="Y2" s="365"/>
      <c r="Z2" s="365"/>
    </row>
    <row r="3" ht="15.0" customHeight="1">
      <c r="A3" s="1009"/>
      <c r="B3" s="1017" t="s">
        <v>1691</v>
      </c>
      <c r="C3" s="1018">
        <f t="shared" si="1"/>
        <v>14.77272727</v>
      </c>
      <c r="D3" s="1025">
        <f t="shared" si="2"/>
        <v>15</v>
      </c>
      <c r="E3" s="1009"/>
      <c r="F3" s="1009"/>
      <c r="G3" s="1009"/>
      <c r="H3" s="1026"/>
      <c r="I3" s="1027">
        <f>SUM(I6:I40)</f>
        <v>0</v>
      </c>
      <c r="J3" s="463"/>
      <c r="K3" s="1009"/>
      <c r="L3" s="365"/>
      <c r="M3" s="1009"/>
      <c r="N3" s="1028" t="str">
        <f>A19</f>
        <v>U DC start, V</v>
      </c>
      <c r="O3" s="1029">
        <f>C19</f>
        <v>180</v>
      </c>
      <c r="P3" s="1030">
        <f>C21</f>
        <v>650</v>
      </c>
      <c r="Q3" s="1031">
        <f>C23</f>
        <v>1000</v>
      </c>
      <c r="R3" s="1032" t="s">
        <v>1692</v>
      </c>
      <c r="S3" s="1009"/>
      <c r="T3" s="1009"/>
      <c r="U3" s="1009"/>
      <c r="V3" s="1009"/>
      <c r="W3" s="365"/>
      <c r="X3" s="365"/>
      <c r="Y3" s="365"/>
      <c r="Z3" s="365"/>
    </row>
    <row r="4" ht="15.0" customHeight="1">
      <c r="A4" s="1009"/>
      <c r="B4" s="1017" t="s">
        <v>1693</v>
      </c>
      <c r="C4" s="1018">
        <f>C23/C11</f>
        <v>17.16001716</v>
      </c>
      <c r="D4" s="1033">
        <f>TRUNC(C4)</f>
        <v>17</v>
      </c>
      <c r="E4" s="1009"/>
      <c r="F4" s="1034" t="s">
        <v>1694</v>
      </c>
      <c r="G4" s="1035" t="s">
        <v>93</v>
      </c>
      <c r="H4" s="1036" t="s">
        <v>1695</v>
      </c>
      <c r="I4" s="1037" t="s">
        <v>1696</v>
      </c>
      <c r="J4" s="1037" t="s">
        <v>1697</v>
      </c>
      <c r="K4" s="1038" t="s">
        <v>1698</v>
      </c>
      <c r="L4" s="1039" t="s">
        <v>1699</v>
      </c>
      <c r="M4" s="1035" t="s">
        <v>1700</v>
      </c>
      <c r="N4" s="1040" t="s">
        <v>1701</v>
      </c>
      <c r="O4" s="1035" t="s">
        <v>1702</v>
      </c>
      <c r="P4" s="1035" t="s">
        <v>1703</v>
      </c>
      <c r="Q4" s="1035" t="s">
        <v>1704</v>
      </c>
      <c r="R4" s="1041" t="s">
        <v>1705</v>
      </c>
      <c r="S4" s="1022" t="s">
        <v>1706</v>
      </c>
      <c r="T4" s="1022" t="s">
        <v>1707</v>
      </c>
      <c r="U4" s="1022" t="s">
        <v>1708</v>
      </c>
      <c r="V4" s="1009"/>
      <c r="W4" s="365"/>
      <c r="X4" s="365"/>
      <c r="Y4" s="365"/>
      <c r="Z4" s="365"/>
    </row>
    <row r="5" ht="15.0" customHeight="1">
      <c r="A5" s="1009"/>
      <c r="B5" s="1042"/>
      <c r="C5" s="1043"/>
      <c r="D5" s="1022"/>
      <c r="E5" s="1009"/>
      <c r="F5" s="1044" t="s">
        <v>1709</v>
      </c>
      <c r="G5" s="1022" t="s">
        <v>1710</v>
      </c>
      <c r="H5" s="1022" t="s">
        <v>1710</v>
      </c>
      <c r="I5" s="1045" t="s">
        <v>1711</v>
      </c>
      <c r="J5" s="1045" t="s">
        <v>1711</v>
      </c>
      <c r="K5" s="1046" t="s">
        <v>1712</v>
      </c>
      <c r="L5" s="1022" t="s">
        <v>1713</v>
      </c>
      <c r="M5" s="1022" t="s">
        <v>1712</v>
      </c>
      <c r="N5" s="1047" t="s">
        <v>1711</v>
      </c>
      <c r="O5" s="392" t="s">
        <v>1714</v>
      </c>
      <c r="P5" s="392" t="s">
        <v>1714</v>
      </c>
      <c r="Q5" s="392" t="s">
        <v>1714</v>
      </c>
      <c r="R5" s="392" t="s">
        <v>1715</v>
      </c>
      <c r="S5" s="392" t="s">
        <v>1715</v>
      </c>
      <c r="T5" s="392" t="s">
        <v>1715</v>
      </c>
      <c r="U5" s="392" t="s">
        <v>1715</v>
      </c>
      <c r="V5" s="1009"/>
      <c r="W5" s="365"/>
      <c r="X5" s="365"/>
      <c r="Y5" s="365"/>
      <c r="Z5" s="365"/>
    </row>
    <row r="6" ht="15.0" customHeight="1">
      <c r="A6" s="1009"/>
      <c r="B6" s="1048" t="s">
        <v>1716</v>
      </c>
      <c r="E6" s="1009"/>
      <c r="F6" s="1049"/>
      <c r="G6" s="1050"/>
      <c r="H6" s="1051"/>
      <c r="I6" s="1050"/>
      <c r="J6" s="1050"/>
      <c r="K6" s="1052">
        <f t="shared" ref="K6:K40" si="3">(($C$12*J6*I6)/1000)*L6</f>
        <v>0</v>
      </c>
      <c r="L6" s="1053"/>
      <c r="M6" s="1054">
        <f>(SUM(K6:K40))</f>
        <v>0</v>
      </c>
      <c r="N6" s="1055">
        <f>I6*J6*L6+I7*J7*L7+I8*J8*L8+I9*J9*L9+I10*J10*L10+I11*J11*L11+I12*J12*L12+I13*J13*L13+I14*J14*L14+I15*J15*L15+I16*J16*L16+I17*J17*L17+I18*J18*L18+I19*J19*L19+I20*J20*L20+I21*J21*L21+I22*J22*L22+I23*J23*L23+I24*J24*L24+I25*J25*L25+I26*J26*L26+I27*J27*L27+I28*J28*L28+I29*J29*L29+I30*J30*L30+I31*J31*L31+I32*J32*L32+I33*J33*L33+I34*J34*L34+I35*J35*L35+I36*J36*L36+I37*J37*L37+I38*J38*L38+I39*J39*L39+I40*J40*L40</f>
        <v>0</v>
      </c>
      <c r="O6" s="1056">
        <f t="shared" ref="O6:O40" si="4">$C$9*J6*L6</f>
        <v>0</v>
      </c>
      <c r="P6" s="1056">
        <f t="shared" ref="P6:P40" si="5">$C$10*J6*L6</f>
        <v>0</v>
      </c>
      <c r="Q6" s="1056">
        <f t="shared" ref="Q6:Q40" si="6">$C$11*J6*L6</f>
        <v>0</v>
      </c>
      <c r="R6" s="1057">
        <f t="shared" ref="R6:R40" si="7">$C$13*I6*L6</f>
        <v>0</v>
      </c>
      <c r="S6" s="1058">
        <f t="shared" ref="S6:S40" si="8">$C$25</f>
        <v>36</v>
      </c>
      <c r="T6" s="1058">
        <f t="shared" ref="T6:T40" si="9">$C$27</f>
        <v>36</v>
      </c>
      <c r="U6" s="1058">
        <f t="shared" ref="U6:U40" si="10">$C$29</f>
        <v>36</v>
      </c>
      <c r="V6" s="1009"/>
      <c r="W6" s="1059" t="s">
        <v>1717</v>
      </c>
      <c r="X6" s="21"/>
      <c r="Y6" s="22"/>
      <c r="Z6" s="365"/>
    </row>
    <row r="7" ht="15.0" customHeight="1">
      <c r="A7" s="1009"/>
      <c r="B7" s="1060" t="s">
        <v>1718</v>
      </c>
      <c r="E7" s="1009"/>
      <c r="F7" s="1049"/>
      <c r="G7" s="1061"/>
      <c r="H7" s="1062">
        <v>45658.0</v>
      </c>
      <c r="I7" s="1061"/>
      <c r="J7" s="1061"/>
      <c r="K7" s="1052">
        <f t="shared" si="3"/>
        <v>0</v>
      </c>
      <c r="L7" s="1053"/>
      <c r="M7" s="1063"/>
      <c r="N7" s="1063"/>
      <c r="O7" s="1056">
        <f t="shared" si="4"/>
        <v>0</v>
      </c>
      <c r="P7" s="1056">
        <f t="shared" si="5"/>
        <v>0</v>
      </c>
      <c r="Q7" s="1056">
        <f t="shared" si="6"/>
        <v>0</v>
      </c>
      <c r="R7" s="1057">
        <f t="shared" si="7"/>
        <v>0</v>
      </c>
      <c r="S7" s="1058">
        <f t="shared" si="8"/>
        <v>36</v>
      </c>
      <c r="T7" s="1058">
        <f t="shared" si="9"/>
        <v>36</v>
      </c>
      <c r="U7" s="1058">
        <f t="shared" si="10"/>
        <v>36</v>
      </c>
      <c r="V7" s="1009"/>
      <c r="W7" s="1064" t="s">
        <v>1719</v>
      </c>
      <c r="X7" s="21"/>
      <c r="Y7" s="22"/>
      <c r="Z7" s="365"/>
    </row>
    <row r="8" ht="15.0" customHeight="1">
      <c r="A8" s="1009"/>
      <c r="B8" s="1065" t="s">
        <v>1720</v>
      </c>
      <c r="C8" s="1066">
        <f t="array" ref="C8">INDEX('ФЕМ'!Q1:Q856,MATCH(B7,'ФЕМ'!B1:B856,0),0)</f>
        <v>14.555182</v>
      </c>
      <c r="D8" s="1067"/>
      <c r="E8" s="1009"/>
      <c r="F8" s="1049"/>
      <c r="G8" s="1061"/>
      <c r="H8" s="1062">
        <v>45689.0</v>
      </c>
      <c r="I8" s="1061"/>
      <c r="J8" s="1061"/>
      <c r="K8" s="1052">
        <f t="shared" si="3"/>
        <v>0</v>
      </c>
      <c r="L8" s="1053"/>
      <c r="M8" s="1063"/>
      <c r="N8" s="1063"/>
      <c r="O8" s="1056">
        <f t="shared" si="4"/>
        <v>0</v>
      </c>
      <c r="P8" s="1056">
        <f t="shared" si="5"/>
        <v>0</v>
      </c>
      <c r="Q8" s="1056">
        <f t="shared" si="6"/>
        <v>0</v>
      </c>
      <c r="R8" s="1057">
        <f t="shared" si="7"/>
        <v>0</v>
      </c>
      <c r="S8" s="1058">
        <f t="shared" si="8"/>
        <v>36</v>
      </c>
      <c r="T8" s="1058">
        <f t="shared" si="9"/>
        <v>36</v>
      </c>
      <c r="U8" s="1058">
        <f t="shared" si="10"/>
        <v>36</v>
      </c>
      <c r="V8" s="1009"/>
      <c r="W8" s="1068" t="s">
        <v>1721</v>
      </c>
      <c r="X8" s="1069">
        <f t="array" ref="X8">INDEX('АКБ'!F1:F50,MATCH($W$7,'АКБ'!B1:B50,0),0)</f>
        <v>3.55</v>
      </c>
      <c r="Y8" s="1070" t="s">
        <v>1722</v>
      </c>
      <c r="Z8" s="365"/>
    </row>
    <row r="9" ht="15.0" customHeight="1">
      <c r="A9" s="1009"/>
      <c r="B9" s="1071" t="s">
        <v>1723</v>
      </c>
      <c r="C9" s="1072">
        <f t="array" ref="C9">INDEX('ФЕМ'!N1:N856,MATCH(B7,'ФЕМ'!B1:B856,0),0)</f>
        <v>39.05</v>
      </c>
      <c r="D9" s="1073"/>
      <c r="E9" s="1009"/>
      <c r="F9" s="1049"/>
      <c r="G9" s="1061"/>
      <c r="H9" s="1062"/>
      <c r="I9" s="1074"/>
      <c r="J9" s="1061"/>
      <c r="K9" s="1052">
        <f t="shared" si="3"/>
        <v>0</v>
      </c>
      <c r="L9" s="1053"/>
      <c r="M9" s="1063"/>
      <c r="N9" s="1063"/>
      <c r="O9" s="1056">
        <f t="shared" si="4"/>
        <v>0</v>
      </c>
      <c r="P9" s="1056">
        <f t="shared" si="5"/>
        <v>0</v>
      </c>
      <c r="Q9" s="1056">
        <f t="shared" si="6"/>
        <v>0</v>
      </c>
      <c r="R9" s="1057">
        <f t="shared" si="7"/>
        <v>0</v>
      </c>
      <c r="S9" s="1058">
        <f t="shared" si="8"/>
        <v>36</v>
      </c>
      <c r="T9" s="1058">
        <f t="shared" si="9"/>
        <v>36</v>
      </c>
      <c r="U9" s="1058">
        <f t="shared" si="10"/>
        <v>36</v>
      </c>
      <c r="V9" s="1009"/>
      <c r="W9" s="1068" t="s">
        <v>1724</v>
      </c>
      <c r="X9" s="1069">
        <f t="array" ref="X9">INDEX('АКБ'!G1:G50,MATCH($W$7,'АКБ'!B1:B50,0),0)</f>
        <v>3.2</v>
      </c>
      <c r="Y9" s="1070" t="s">
        <v>1722</v>
      </c>
      <c r="Z9" s="365"/>
    </row>
    <row r="10" ht="15.0" customHeight="1">
      <c r="A10" s="1009"/>
      <c r="B10" s="1071" t="s">
        <v>1725</v>
      </c>
      <c r="C10" s="1072">
        <f t="array" ref="C10">INDEX('ФЕМ'!P1:P856,MATCH(B7,'ФЕМ'!B1:B856,0),0)</f>
        <v>44</v>
      </c>
      <c r="D10" s="1073"/>
      <c r="E10" s="1009"/>
      <c r="F10" s="1049"/>
      <c r="G10" s="1061"/>
      <c r="H10" s="1062">
        <v>45659.0</v>
      </c>
      <c r="I10" s="1061"/>
      <c r="J10" s="1061"/>
      <c r="K10" s="1052">
        <f t="shared" si="3"/>
        <v>0</v>
      </c>
      <c r="L10" s="1053"/>
      <c r="M10" s="1063"/>
      <c r="N10" s="1063"/>
      <c r="O10" s="1056">
        <f t="shared" si="4"/>
        <v>0</v>
      </c>
      <c r="P10" s="1056">
        <f t="shared" si="5"/>
        <v>0</v>
      </c>
      <c r="Q10" s="1056">
        <f t="shared" si="6"/>
        <v>0</v>
      </c>
      <c r="R10" s="1057">
        <f t="shared" si="7"/>
        <v>0</v>
      </c>
      <c r="S10" s="1058">
        <f t="shared" si="8"/>
        <v>36</v>
      </c>
      <c r="T10" s="1058">
        <f t="shared" si="9"/>
        <v>36</v>
      </c>
      <c r="U10" s="1058">
        <f t="shared" si="10"/>
        <v>36</v>
      </c>
      <c r="V10" s="1009"/>
      <c r="W10" s="1068" t="s">
        <v>1726</v>
      </c>
      <c r="X10" s="1069">
        <f t="array" ref="X10">INDEX('АКБ'!H1:H50,MATCH($W$7,'АКБ'!B1:B50,0),0)</f>
        <v>70.2</v>
      </c>
      <c r="Y10" s="1070" t="s">
        <v>1727</v>
      </c>
      <c r="Z10" s="365"/>
    </row>
    <row r="11" ht="15.0" customHeight="1">
      <c r="A11" s="1009"/>
      <c r="B11" s="1071" t="s">
        <v>1728</v>
      </c>
      <c r="C11" s="1072">
        <f t="array" ref="C11">INDEX('ФЕМ'!O1:O856,MATCH(B7,'ФЕМ'!B1:B856,0),0)</f>
        <v>58.275</v>
      </c>
      <c r="D11" s="1073"/>
      <c r="E11" s="1009"/>
      <c r="F11" s="1049"/>
      <c r="G11" s="1061"/>
      <c r="H11" s="1062">
        <v>45690.0</v>
      </c>
      <c r="I11" s="1061"/>
      <c r="J11" s="1061"/>
      <c r="K11" s="1052">
        <f t="shared" si="3"/>
        <v>0</v>
      </c>
      <c r="L11" s="1053"/>
      <c r="M11" s="1063"/>
      <c r="N11" s="1063"/>
      <c r="O11" s="1056">
        <f t="shared" si="4"/>
        <v>0</v>
      </c>
      <c r="P11" s="1056">
        <f t="shared" si="5"/>
        <v>0</v>
      </c>
      <c r="Q11" s="1056">
        <f t="shared" si="6"/>
        <v>0</v>
      </c>
      <c r="R11" s="1057">
        <f t="shared" si="7"/>
        <v>0</v>
      </c>
      <c r="S11" s="1058">
        <f t="shared" si="8"/>
        <v>36</v>
      </c>
      <c r="T11" s="1058">
        <f t="shared" si="9"/>
        <v>36</v>
      </c>
      <c r="U11" s="1058">
        <f t="shared" si="10"/>
        <v>36</v>
      </c>
      <c r="V11" s="1009"/>
      <c r="W11" s="1075" t="s">
        <v>1729</v>
      </c>
      <c r="X11" s="1069">
        <f t="array" ref="X11">INDEX('АКБ'!I1:I50,MATCH($W$7,'АКБ'!B1:B50,0),0)</f>
        <v>96</v>
      </c>
      <c r="Y11" s="1070" t="s">
        <v>1727</v>
      </c>
      <c r="Z11" s="365"/>
    </row>
    <row r="12" ht="15.0" customHeight="1">
      <c r="A12" s="1009"/>
      <c r="B12" s="1071" t="s">
        <v>1730</v>
      </c>
      <c r="C12" s="1076">
        <f t="array" ref="C12">INDEX('ФЕМ'!F1:F856,MATCH(B7,'ФЕМ'!B1:B856,0),0)</f>
        <v>590</v>
      </c>
      <c r="D12" s="1073"/>
      <c r="E12" s="1077"/>
      <c r="F12" s="1049"/>
      <c r="G12" s="1061"/>
      <c r="H12" s="1062"/>
      <c r="I12" s="1074"/>
      <c r="J12" s="1061"/>
      <c r="K12" s="1052">
        <f t="shared" si="3"/>
        <v>0</v>
      </c>
      <c r="L12" s="1053"/>
      <c r="M12" s="1063"/>
      <c r="N12" s="1063"/>
      <c r="O12" s="1056">
        <f t="shared" si="4"/>
        <v>0</v>
      </c>
      <c r="P12" s="1056">
        <f t="shared" si="5"/>
        <v>0</v>
      </c>
      <c r="Q12" s="1056">
        <f t="shared" si="6"/>
        <v>0</v>
      </c>
      <c r="R12" s="1057">
        <f t="shared" si="7"/>
        <v>0</v>
      </c>
      <c r="S12" s="1058">
        <f t="shared" si="8"/>
        <v>36</v>
      </c>
      <c r="T12" s="1058">
        <f t="shared" si="9"/>
        <v>36</v>
      </c>
      <c r="U12" s="1058">
        <f t="shared" si="10"/>
        <v>36</v>
      </c>
      <c r="V12" s="1077"/>
      <c r="W12" s="1068" t="s">
        <v>1731</v>
      </c>
      <c r="X12" s="1069">
        <f t="array" ref="X12">INDEX('АКБ'!J1:J50,MATCH($W$7,'АКБ'!B1:B50,0),0)</f>
        <v>109.2</v>
      </c>
      <c r="Y12" s="1070" t="s">
        <v>1727</v>
      </c>
      <c r="Z12" s="365"/>
    </row>
    <row r="13" ht="15.0" customHeight="1">
      <c r="A13" s="1009"/>
      <c r="B13" s="1078" t="s">
        <v>1732</v>
      </c>
      <c r="C13" s="1079">
        <f t="array" ref="C13">INDEX('ФЕМ'!H1:H861,MATCH(B7,'ФЕМ'!B1:B861,0),0)</f>
        <v>13.41</v>
      </c>
      <c r="D13" s="1080"/>
      <c r="E13" s="1009"/>
      <c r="F13" s="1049"/>
      <c r="G13" s="1061"/>
      <c r="H13" s="1062">
        <v>45660.0</v>
      </c>
      <c r="I13" s="1061"/>
      <c r="J13" s="1061"/>
      <c r="K13" s="1052">
        <f t="shared" si="3"/>
        <v>0</v>
      </c>
      <c r="L13" s="1053"/>
      <c r="M13" s="1063"/>
      <c r="N13" s="1063"/>
      <c r="O13" s="1056">
        <f t="shared" si="4"/>
        <v>0</v>
      </c>
      <c r="P13" s="1056">
        <f t="shared" si="5"/>
        <v>0</v>
      </c>
      <c r="Q13" s="1056">
        <f t="shared" si="6"/>
        <v>0</v>
      </c>
      <c r="R13" s="1057">
        <f t="shared" si="7"/>
        <v>0</v>
      </c>
      <c r="S13" s="1058">
        <f t="shared" si="8"/>
        <v>36</v>
      </c>
      <c r="T13" s="1058">
        <f t="shared" si="9"/>
        <v>36</v>
      </c>
      <c r="U13" s="1058">
        <f t="shared" si="10"/>
        <v>36</v>
      </c>
      <c r="V13" s="1009"/>
      <c r="W13" s="1068" t="s">
        <v>1733</v>
      </c>
      <c r="X13" s="1069">
        <f t="array" ref="X13">INDEX('АКБ'!K1:K50,MATCH($W$7,'АКБ'!B1:B50,0),0)</f>
        <v>18.5</v>
      </c>
      <c r="Y13" s="1070" t="s">
        <v>1734</v>
      </c>
      <c r="Z13" s="365"/>
    </row>
    <row r="14" ht="15.0" customHeight="1">
      <c r="A14" s="1009"/>
      <c r="B14" s="895"/>
      <c r="C14" s="895"/>
      <c r="D14" s="895"/>
      <c r="E14" s="1009"/>
      <c r="F14" s="1049"/>
      <c r="G14" s="1061"/>
      <c r="H14" s="1062">
        <v>45691.0</v>
      </c>
      <c r="I14" s="1061"/>
      <c r="J14" s="1061"/>
      <c r="K14" s="1052">
        <f t="shared" si="3"/>
        <v>0</v>
      </c>
      <c r="L14" s="1053"/>
      <c r="M14" s="1063"/>
      <c r="N14" s="1063"/>
      <c r="O14" s="1056">
        <f t="shared" si="4"/>
        <v>0</v>
      </c>
      <c r="P14" s="1056">
        <f t="shared" si="5"/>
        <v>0</v>
      </c>
      <c r="Q14" s="1056">
        <f t="shared" si="6"/>
        <v>0</v>
      </c>
      <c r="R14" s="1057">
        <f t="shared" si="7"/>
        <v>0</v>
      </c>
      <c r="S14" s="1058">
        <f t="shared" si="8"/>
        <v>36</v>
      </c>
      <c r="T14" s="1058">
        <f t="shared" si="9"/>
        <v>36</v>
      </c>
      <c r="U14" s="1058">
        <f t="shared" si="10"/>
        <v>36</v>
      </c>
      <c r="V14" s="1009"/>
      <c r="W14" s="1068" t="s">
        <v>1735</v>
      </c>
      <c r="X14" s="1069">
        <f t="array" ref="X14">INDEX('АКБ'!L1:L50,MATCH($W$7,'АКБ'!B1:B50,0),0)</f>
        <v>40</v>
      </c>
      <c r="Y14" s="1070" t="s">
        <v>1734</v>
      </c>
      <c r="Z14" s="365"/>
    </row>
    <row r="15" ht="15.0" customHeight="1">
      <c r="A15" s="1009"/>
      <c r="B15" s="895"/>
      <c r="C15" s="895"/>
      <c r="D15" s="895"/>
      <c r="E15" s="1009"/>
      <c r="F15" s="1049"/>
      <c r="G15" s="1061"/>
      <c r="H15" s="1062"/>
      <c r="I15" s="1061"/>
      <c r="J15" s="1061"/>
      <c r="K15" s="1052">
        <f t="shared" si="3"/>
        <v>0</v>
      </c>
      <c r="L15" s="1053"/>
      <c r="M15" s="1063"/>
      <c r="N15" s="1063"/>
      <c r="O15" s="1056">
        <f t="shared" si="4"/>
        <v>0</v>
      </c>
      <c r="P15" s="1056">
        <f t="shared" si="5"/>
        <v>0</v>
      </c>
      <c r="Q15" s="1056">
        <f t="shared" si="6"/>
        <v>0</v>
      </c>
      <c r="R15" s="1057">
        <f t="shared" si="7"/>
        <v>0</v>
      </c>
      <c r="S15" s="1058">
        <f t="shared" si="8"/>
        <v>36</v>
      </c>
      <c r="T15" s="1058">
        <f t="shared" si="9"/>
        <v>36</v>
      </c>
      <c r="U15" s="1058">
        <f t="shared" si="10"/>
        <v>36</v>
      </c>
      <c r="V15" s="1009"/>
      <c r="W15" s="1068" t="s">
        <v>1736</v>
      </c>
      <c r="X15" s="1069">
        <f t="array" ref="X15">INDEX('АКБ'!M1:M50,MATCH($W$7,'АКБ'!B1:B50,0),0)</f>
        <v>18.5</v>
      </c>
      <c r="Y15" s="1070" t="s">
        <v>1734</v>
      </c>
      <c r="Z15" s="365"/>
    </row>
    <row r="16" ht="15.0" customHeight="1">
      <c r="A16" s="1048" t="s">
        <v>1737</v>
      </c>
      <c r="E16" s="1009"/>
      <c r="F16" s="1049"/>
      <c r="G16" s="1061"/>
      <c r="H16" s="1062">
        <v>45661.0</v>
      </c>
      <c r="I16" s="1061"/>
      <c r="J16" s="1061"/>
      <c r="K16" s="1052">
        <f t="shared" si="3"/>
        <v>0</v>
      </c>
      <c r="L16" s="1053"/>
      <c r="M16" s="1063"/>
      <c r="N16" s="1063"/>
      <c r="O16" s="1056">
        <f t="shared" si="4"/>
        <v>0</v>
      </c>
      <c r="P16" s="1056">
        <f t="shared" si="5"/>
        <v>0</v>
      </c>
      <c r="Q16" s="1056">
        <f t="shared" si="6"/>
        <v>0</v>
      </c>
      <c r="R16" s="1057">
        <f t="shared" si="7"/>
        <v>0</v>
      </c>
      <c r="S16" s="1058">
        <f t="shared" si="8"/>
        <v>36</v>
      </c>
      <c r="T16" s="1058">
        <f t="shared" si="9"/>
        <v>36</v>
      </c>
      <c r="U16" s="1058">
        <f t="shared" si="10"/>
        <v>36</v>
      </c>
      <c r="V16" s="1009"/>
      <c r="W16" s="1081" t="s">
        <v>1738</v>
      </c>
      <c r="X16" s="1069">
        <f t="array" ref="X16">INDEX('АКБ'!N1:N50,MATCH($W$7,'АКБ'!B1:B50,0),0)</f>
        <v>40</v>
      </c>
      <c r="Y16" s="1070" t="s">
        <v>1734</v>
      </c>
      <c r="Z16" s="365"/>
    </row>
    <row r="17" ht="15.0" customHeight="1">
      <c r="A17" s="1082" t="s">
        <v>1739</v>
      </c>
      <c r="E17" s="1009"/>
      <c r="F17" s="1049"/>
      <c r="G17" s="1061"/>
      <c r="H17" s="1062">
        <v>45692.0</v>
      </c>
      <c r="I17" s="1061"/>
      <c r="J17" s="1061"/>
      <c r="K17" s="1052">
        <f t="shared" si="3"/>
        <v>0</v>
      </c>
      <c r="L17" s="1053"/>
      <c r="M17" s="1063"/>
      <c r="N17" s="1063"/>
      <c r="O17" s="1056">
        <f t="shared" si="4"/>
        <v>0</v>
      </c>
      <c r="P17" s="1056">
        <f t="shared" si="5"/>
        <v>0</v>
      </c>
      <c r="Q17" s="1056">
        <f t="shared" si="6"/>
        <v>0</v>
      </c>
      <c r="R17" s="1057">
        <f t="shared" si="7"/>
        <v>0</v>
      </c>
      <c r="S17" s="1058">
        <f t="shared" si="8"/>
        <v>36</v>
      </c>
      <c r="T17" s="1058">
        <f t="shared" si="9"/>
        <v>36</v>
      </c>
      <c r="U17" s="1058">
        <f t="shared" si="10"/>
        <v>36</v>
      </c>
      <c r="V17" s="1009"/>
      <c r="W17" s="1068" t="s">
        <v>1740</v>
      </c>
      <c r="X17" s="1083">
        <f t="array" ref="X17">INDEX('АКБ'!O1:O50,MATCH($W$7,'АКБ'!B1:B50,0),0)</f>
        <v>4</v>
      </c>
      <c r="Y17" s="1070" t="s">
        <v>1741</v>
      </c>
      <c r="Z17" s="365"/>
    </row>
    <row r="18" ht="15.0" customHeight="1">
      <c r="A18" s="1084" t="s">
        <v>1742</v>
      </c>
      <c r="B18" s="1085"/>
      <c r="C18" s="1086">
        <f t="array" ref="C18">INDEX('Інвертор'!G3:G1004,MATCH(A17,'Інвертор'!B3:B1004,0),0)</f>
        <v>80</v>
      </c>
      <c r="D18" s="1067"/>
      <c r="E18" s="1009"/>
      <c r="F18" s="1049"/>
      <c r="G18" s="1061"/>
      <c r="H18" s="1062"/>
      <c r="I18" s="1074"/>
      <c r="J18" s="1061"/>
      <c r="K18" s="1052">
        <f t="shared" si="3"/>
        <v>0</v>
      </c>
      <c r="L18" s="1053"/>
      <c r="M18" s="1063"/>
      <c r="N18" s="1063"/>
      <c r="O18" s="1056">
        <f t="shared" si="4"/>
        <v>0</v>
      </c>
      <c r="P18" s="1056">
        <f t="shared" si="5"/>
        <v>0</v>
      </c>
      <c r="Q18" s="1056">
        <f t="shared" si="6"/>
        <v>0</v>
      </c>
      <c r="R18" s="1057">
        <f t="shared" si="7"/>
        <v>0</v>
      </c>
      <c r="S18" s="1058">
        <f t="shared" si="8"/>
        <v>36</v>
      </c>
      <c r="T18" s="1058">
        <f t="shared" si="9"/>
        <v>36</v>
      </c>
      <c r="U18" s="1058">
        <f t="shared" si="10"/>
        <v>36</v>
      </c>
      <c r="V18" s="1009"/>
      <c r="W18" s="1068" t="s">
        <v>1743</v>
      </c>
      <c r="X18" s="1087">
        <f>X11*X15/1000</f>
        <v>1.776</v>
      </c>
      <c r="Y18" s="1070" t="s">
        <v>1744</v>
      </c>
      <c r="Z18" s="365"/>
    </row>
    <row r="19" ht="15.0" customHeight="1">
      <c r="A19" s="1088" t="s">
        <v>1745</v>
      </c>
      <c r="B19" s="22"/>
      <c r="C19" s="1089">
        <f t="array" ref="C19">INDEX('Інвертор'!K3:K1004,MATCH(A17,'Інвертор'!B3:B1004,0),0)</f>
        <v>180</v>
      </c>
      <c r="D19" s="1073"/>
      <c r="E19" s="1077"/>
      <c r="F19" s="1049"/>
      <c r="G19" s="1061"/>
      <c r="H19" s="1062"/>
      <c r="I19" s="1061"/>
      <c r="J19" s="1061"/>
      <c r="K19" s="1052">
        <f t="shared" si="3"/>
        <v>0</v>
      </c>
      <c r="L19" s="1053"/>
      <c r="M19" s="1063"/>
      <c r="N19" s="1063"/>
      <c r="O19" s="1056">
        <f t="shared" si="4"/>
        <v>0</v>
      </c>
      <c r="P19" s="1056">
        <f t="shared" si="5"/>
        <v>0</v>
      </c>
      <c r="Q19" s="1056">
        <f t="shared" si="6"/>
        <v>0</v>
      </c>
      <c r="R19" s="1057">
        <f t="shared" si="7"/>
        <v>0</v>
      </c>
      <c r="S19" s="1058">
        <f t="shared" si="8"/>
        <v>36</v>
      </c>
      <c r="T19" s="1058">
        <f t="shared" si="9"/>
        <v>36</v>
      </c>
      <c r="U19" s="1058">
        <f t="shared" si="10"/>
        <v>36</v>
      </c>
      <c r="V19" s="1077"/>
      <c r="W19" s="1068" t="s">
        <v>1746</v>
      </c>
      <c r="X19" s="1083">
        <f t="array" ref="X19">INDEX('АКБ'!P1:P50,MATCH($W$7,'АКБ'!B1:B50,0),0)</f>
        <v>10</v>
      </c>
      <c r="Y19" s="1070" t="s">
        <v>1661</v>
      </c>
      <c r="Z19" s="365"/>
    </row>
    <row r="20" ht="15.0" customHeight="1">
      <c r="A20" s="1088" t="s">
        <v>1747</v>
      </c>
      <c r="B20" s="22"/>
      <c r="C20" s="1089">
        <f t="array" ref="C20">INDEX('Інвертор'!L3:L1004,MATCH(A17,'Інвертор'!B3:B1004,0),0)</f>
        <v>150</v>
      </c>
      <c r="D20" s="1073"/>
      <c r="E20" s="1009"/>
      <c r="F20" s="1049"/>
      <c r="G20" s="1061"/>
      <c r="H20" s="1062"/>
      <c r="I20" s="1061"/>
      <c r="J20" s="1061"/>
      <c r="K20" s="1052">
        <f t="shared" si="3"/>
        <v>0</v>
      </c>
      <c r="L20" s="1053"/>
      <c r="M20" s="1063"/>
      <c r="N20" s="1063"/>
      <c r="O20" s="1056">
        <f t="shared" si="4"/>
        <v>0</v>
      </c>
      <c r="P20" s="1056">
        <f t="shared" si="5"/>
        <v>0</v>
      </c>
      <c r="Q20" s="1056">
        <f t="shared" si="6"/>
        <v>0</v>
      </c>
      <c r="R20" s="1057">
        <f t="shared" si="7"/>
        <v>0</v>
      </c>
      <c r="S20" s="1058">
        <f t="shared" si="8"/>
        <v>36</v>
      </c>
      <c r="T20" s="1058">
        <f t="shared" si="9"/>
        <v>36</v>
      </c>
      <c r="U20" s="1058">
        <f t="shared" si="10"/>
        <v>36</v>
      </c>
      <c r="V20" s="1009"/>
      <c r="W20" s="1090" t="s">
        <v>1748</v>
      </c>
      <c r="X20" s="1091">
        <f t="array" ref="X20">INDEX('АКБ'!Q1:Q50,MATCH($W$7,'АКБ'!B1:B50,0),0)</f>
        <v>37</v>
      </c>
      <c r="Y20" s="1092" t="s">
        <v>1749</v>
      </c>
      <c r="Z20" s="365"/>
    </row>
    <row r="21" ht="15.0" customHeight="1">
      <c r="A21" s="1088" t="s">
        <v>1725</v>
      </c>
      <c r="B21" s="22"/>
      <c r="C21" s="1089">
        <f t="array" ref="C21">INDEX('Інвертор'!J3:J1004,MATCH(A17,'Інвертор'!B3:B1004,0),0)</f>
        <v>650</v>
      </c>
      <c r="D21" s="1073"/>
      <c r="E21" s="1009"/>
      <c r="F21" s="1049"/>
      <c r="G21" s="1061"/>
      <c r="H21" s="1062"/>
      <c r="I21" s="1074"/>
      <c r="J21" s="1061"/>
      <c r="K21" s="1052">
        <f t="shared" si="3"/>
        <v>0</v>
      </c>
      <c r="L21" s="1053"/>
      <c r="M21" s="1063"/>
      <c r="N21" s="1063"/>
      <c r="O21" s="1056">
        <f t="shared" si="4"/>
        <v>0</v>
      </c>
      <c r="P21" s="1056">
        <f t="shared" si="5"/>
        <v>0</v>
      </c>
      <c r="Q21" s="1056">
        <f t="shared" si="6"/>
        <v>0</v>
      </c>
      <c r="R21" s="1057">
        <f t="shared" si="7"/>
        <v>0</v>
      </c>
      <c r="S21" s="1058">
        <f t="shared" si="8"/>
        <v>36</v>
      </c>
      <c r="T21" s="1058">
        <f t="shared" si="9"/>
        <v>36</v>
      </c>
      <c r="U21" s="1058">
        <f t="shared" si="10"/>
        <v>36</v>
      </c>
      <c r="V21" s="1009"/>
      <c r="W21" s="1009"/>
      <c r="X21" s="1009"/>
      <c r="Y21" s="1009"/>
      <c r="Z21" s="365"/>
    </row>
    <row r="22" ht="15.0" customHeight="1">
      <c r="A22" s="1088" t="s">
        <v>1750</v>
      </c>
      <c r="B22" s="22"/>
      <c r="C22" s="1089">
        <f t="array" ref="C22">INDEX('Інвертор'!M3:M1004,MATCH(A17,'Інвертор'!B3:B1004,0),0)</f>
        <v>850</v>
      </c>
      <c r="D22" s="1093"/>
      <c r="E22" s="1009"/>
      <c r="F22" s="1049"/>
      <c r="G22" s="1061"/>
      <c r="H22" s="1062"/>
      <c r="I22" s="1061"/>
      <c r="J22" s="1061"/>
      <c r="K22" s="1052">
        <f t="shared" si="3"/>
        <v>0</v>
      </c>
      <c r="L22" s="1053"/>
      <c r="M22" s="1063"/>
      <c r="N22" s="1063"/>
      <c r="O22" s="1056">
        <f t="shared" si="4"/>
        <v>0</v>
      </c>
      <c r="P22" s="1056">
        <f t="shared" si="5"/>
        <v>0</v>
      </c>
      <c r="Q22" s="1056">
        <f t="shared" si="6"/>
        <v>0</v>
      </c>
      <c r="R22" s="1057">
        <f t="shared" si="7"/>
        <v>0</v>
      </c>
      <c r="S22" s="1058">
        <f t="shared" si="8"/>
        <v>36</v>
      </c>
      <c r="T22" s="1058">
        <f t="shared" si="9"/>
        <v>36</v>
      </c>
      <c r="U22" s="1058">
        <f t="shared" si="10"/>
        <v>36</v>
      </c>
      <c r="V22" s="1009"/>
      <c r="W22" s="365"/>
      <c r="X22" s="365"/>
      <c r="Y22" s="365"/>
      <c r="Z22" s="365"/>
    </row>
    <row r="23" ht="15.0" customHeight="1">
      <c r="A23" s="1088" t="s">
        <v>1751</v>
      </c>
      <c r="B23" s="22"/>
      <c r="C23" s="1089">
        <f t="array" ref="C23">INDEX('Інвертор'!I3:I1004,MATCH(A17,'Інвертор'!B3:B1004,0),0)</f>
        <v>1000</v>
      </c>
      <c r="D23" s="1073"/>
      <c r="E23" s="1009"/>
      <c r="F23" s="1049"/>
      <c r="G23" s="1061"/>
      <c r="H23" s="1062"/>
      <c r="I23" s="1061"/>
      <c r="J23" s="1061"/>
      <c r="K23" s="1052">
        <f t="shared" si="3"/>
        <v>0</v>
      </c>
      <c r="L23" s="1053"/>
      <c r="M23" s="1063"/>
      <c r="N23" s="1063"/>
      <c r="O23" s="1056">
        <f t="shared" si="4"/>
        <v>0</v>
      </c>
      <c r="P23" s="1056">
        <f t="shared" si="5"/>
        <v>0</v>
      </c>
      <c r="Q23" s="1056">
        <f t="shared" si="6"/>
        <v>0</v>
      </c>
      <c r="R23" s="1057">
        <f t="shared" si="7"/>
        <v>0</v>
      </c>
      <c r="S23" s="1058">
        <f t="shared" si="8"/>
        <v>36</v>
      </c>
      <c r="T23" s="1058">
        <f t="shared" si="9"/>
        <v>36</v>
      </c>
      <c r="U23" s="1058">
        <f t="shared" si="10"/>
        <v>36</v>
      </c>
      <c r="V23" s="1009"/>
      <c r="W23" s="365"/>
      <c r="X23" s="365"/>
      <c r="Y23" s="365"/>
      <c r="Z23" s="365"/>
    </row>
    <row r="24" ht="15.0" customHeight="1">
      <c r="A24" s="1088" t="s">
        <v>1752</v>
      </c>
      <c r="B24" s="22"/>
      <c r="C24" s="1089">
        <f t="array" ref="C24">INDEX('Інвертор'!T3:T1004,MATCH(A17,'Інвертор'!B3:B1004,0),0)</f>
        <v>6</v>
      </c>
      <c r="D24" s="1094">
        <f t="array" ref="D24">INDEX('Інвертор'!U3:U1004,MATCH(A17,'Інвертор'!B3:B1004,0),0)</f>
        <v>12</v>
      </c>
      <c r="E24" s="1009"/>
      <c r="F24" s="1095"/>
      <c r="G24" s="1061"/>
      <c r="H24" s="1062"/>
      <c r="I24" s="1061"/>
      <c r="J24" s="1061"/>
      <c r="K24" s="1052">
        <f t="shared" si="3"/>
        <v>0</v>
      </c>
      <c r="L24" s="1053"/>
      <c r="M24" s="1063"/>
      <c r="N24" s="1063"/>
      <c r="O24" s="1056">
        <f t="shared" si="4"/>
        <v>0</v>
      </c>
      <c r="P24" s="1056">
        <f t="shared" si="5"/>
        <v>0</v>
      </c>
      <c r="Q24" s="1056">
        <f t="shared" si="6"/>
        <v>0</v>
      </c>
      <c r="R24" s="1057">
        <f t="shared" si="7"/>
        <v>0</v>
      </c>
      <c r="S24" s="1058">
        <f t="shared" si="8"/>
        <v>36</v>
      </c>
      <c r="T24" s="1058">
        <f t="shared" si="9"/>
        <v>36</v>
      </c>
      <c r="U24" s="1058">
        <f t="shared" si="10"/>
        <v>36</v>
      </c>
      <c r="V24" s="1009"/>
      <c r="W24" s="1096" t="s">
        <v>1753</v>
      </c>
      <c r="Z24" s="365"/>
    </row>
    <row r="25" ht="15.0" customHeight="1">
      <c r="A25" s="1088" t="s">
        <v>1754</v>
      </c>
      <c r="B25" s="22"/>
      <c r="C25" s="1089">
        <f t="array" ref="C25">INDEX('Інвертор'!N3:N1004,MATCH(A17,'Інвертор'!B3:B1004,0),0)</f>
        <v>36</v>
      </c>
      <c r="D25" s="1097"/>
      <c r="E25" s="1009"/>
      <c r="F25" s="1049"/>
      <c r="G25" s="1061"/>
      <c r="H25" s="1062"/>
      <c r="I25" s="1061"/>
      <c r="J25" s="1061"/>
      <c r="K25" s="1052">
        <f t="shared" si="3"/>
        <v>0</v>
      </c>
      <c r="L25" s="1053"/>
      <c r="M25" s="1063"/>
      <c r="N25" s="1063"/>
      <c r="O25" s="1056">
        <f t="shared" si="4"/>
        <v>0</v>
      </c>
      <c r="P25" s="1056">
        <f t="shared" si="5"/>
        <v>0</v>
      </c>
      <c r="Q25" s="1056">
        <f t="shared" si="6"/>
        <v>0</v>
      </c>
      <c r="R25" s="1057">
        <f t="shared" si="7"/>
        <v>0</v>
      </c>
      <c r="S25" s="1058">
        <f t="shared" si="8"/>
        <v>36</v>
      </c>
      <c r="T25" s="1058">
        <f t="shared" si="9"/>
        <v>36</v>
      </c>
      <c r="U25" s="1058">
        <f t="shared" si="10"/>
        <v>36</v>
      </c>
      <c r="V25" s="1009"/>
      <c r="W25" s="1070" t="s">
        <v>1755</v>
      </c>
      <c r="X25" s="1098">
        <v>2.0</v>
      </c>
      <c r="Y25" s="1099" t="s">
        <v>1741</v>
      </c>
      <c r="Z25" s="365"/>
    </row>
    <row r="26" ht="15.0" customHeight="1">
      <c r="A26" s="1088" t="s">
        <v>1756</v>
      </c>
      <c r="B26" s="22"/>
      <c r="C26" s="1089">
        <f t="array" ref="C26">INDEX('Інвертор'!O3:O1004,MATCH(A17,'Інвертор'!B3:B1004,0),0)</f>
        <v>54</v>
      </c>
      <c r="D26" s="1073"/>
      <c r="E26" s="1009"/>
      <c r="F26" s="1049"/>
      <c r="G26" s="1061"/>
      <c r="H26" s="1062"/>
      <c r="I26" s="1061"/>
      <c r="J26" s="1061"/>
      <c r="K26" s="1052">
        <f t="shared" si="3"/>
        <v>0</v>
      </c>
      <c r="L26" s="1053"/>
      <c r="M26" s="1063"/>
      <c r="N26" s="1063"/>
      <c r="O26" s="1056">
        <f t="shared" si="4"/>
        <v>0</v>
      </c>
      <c r="P26" s="1056">
        <f t="shared" si="5"/>
        <v>0</v>
      </c>
      <c r="Q26" s="1056">
        <f t="shared" si="6"/>
        <v>0</v>
      </c>
      <c r="R26" s="1057">
        <f t="shared" si="7"/>
        <v>0</v>
      </c>
      <c r="S26" s="1058">
        <f t="shared" si="8"/>
        <v>36</v>
      </c>
      <c r="T26" s="1058">
        <f t="shared" si="9"/>
        <v>36</v>
      </c>
      <c r="U26" s="1058">
        <f t="shared" si="10"/>
        <v>36</v>
      </c>
      <c r="V26" s="1009"/>
      <c r="W26" s="1070" t="s">
        <v>1757</v>
      </c>
      <c r="X26" s="1069">
        <f>X25*X11</f>
        <v>192</v>
      </c>
      <c r="Y26" s="1070" t="s">
        <v>1727</v>
      </c>
      <c r="Z26" s="365"/>
    </row>
    <row r="27" ht="15.0" customHeight="1">
      <c r="A27" s="1088" t="s">
        <v>1758</v>
      </c>
      <c r="B27" s="22"/>
      <c r="C27" s="1089">
        <f t="array" ref="C27">INDEX('Інвертор'!P3:P1004,MATCH(A17,'Інвертор'!B3:B1004,0),0)</f>
        <v>36</v>
      </c>
      <c r="D27" s="1097"/>
      <c r="E27" s="1009"/>
      <c r="F27" s="1049"/>
      <c r="G27" s="1061"/>
      <c r="H27" s="1061"/>
      <c r="I27" s="1074"/>
      <c r="J27" s="1061"/>
      <c r="K27" s="1052">
        <f t="shared" si="3"/>
        <v>0</v>
      </c>
      <c r="L27" s="1053"/>
      <c r="M27" s="1063"/>
      <c r="N27" s="1063"/>
      <c r="O27" s="1056">
        <f t="shared" si="4"/>
        <v>0</v>
      </c>
      <c r="P27" s="1056">
        <f t="shared" si="5"/>
        <v>0</v>
      </c>
      <c r="Q27" s="1056">
        <f t="shared" si="6"/>
        <v>0</v>
      </c>
      <c r="R27" s="1057">
        <f t="shared" si="7"/>
        <v>0</v>
      </c>
      <c r="S27" s="1058">
        <f t="shared" si="8"/>
        <v>36</v>
      </c>
      <c r="T27" s="1058">
        <f t="shared" si="9"/>
        <v>36</v>
      </c>
      <c r="U27" s="1058">
        <f t="shared" si="10"/>
        <v>36</v>
      </c>
      <c r="V27" s="1009"/>
      <c r="W27" s="1070" t="s">
        <v>1759</v>
      </c>
      <c r="X27" s="1098">
        <v>1.0</v>
      </c>
      <c r="Y27" s="1070" t="s">
        <v>1741</v>
      </c>
      <c r="Z27" s="365"/>
    </row>
    <row r="28" ht="15.0" customHeight="1">
      <c r="A28" s="1088" t="s">
        <v>1760</v>
      </c>
      <c r="B28" s="22"/>
      <c r="C28" s="1089">
        <f t="array" ref="C28">INDEX('Інвертор'!Q3:Q1004,MATCH(A17,'Інвертор'!B3:B1004,0),0)</f>
        <v>54</v>
      </c>
      <c r="D28" s="1073"/>
      <c r="E28" s="1009"/>
      <c r="F28" s="1049"/>
      <c r="G28" s="1061"/>
      <c r="H28" s="1061"/>
      <c r="I28" s="1061"/>
      <c r="J28" s="1061"/>
      <c r="K28" s="1052">
        <f t="shared" si="3"/>
        <v>0</v>
      </c>
      <c r="L28" s="1053"/>
      <c r="M28" s="1063"/>
      <c r="N28" s="1063"/>
      <c r="O28" s="1056">
        <f t="shared" si="4"/>
        <v>0</v>
      </c>
      <c r="P28" s="1056">
        <f t="shared" si="5"/>
        <v>0</v>
      </c>
      <c r="Q28" s="1056">
        <f t="shared" si="6"/>
        <v>0</v>
      </c>
      <c r="R28" s="1057">
        <f t="shared" si="7"/>
        <v>0</v>
      </c>
      <c r="S28" s="1058">
        <f t="shared" si="8"/>
        <v>36</v>
      </c>
      <c r="T28" s="1058">
        <f t="shared" si="9"/>
        <v>36</v>
      </c>
      <c r="U28" s="1058">
        <f t="shared" si="10"/>
        <v>36</v>
      </c>
      <c r="V28" s="1009"/>
      <c r="W28" s="1070" t="s">
        <v>1748</v>
      </c>
      <c r="X28" s="1069">
        <f>X26*X27*X20/1000</f>
        <v>7.104</v>
      </c>
      <c r="Y28" s="1070" t="s">
        <v>1722</v>
      </c>
      <c r="Z28" s="365"/>
    </row>
    <row r="29" ht="15.0" customHeight="1">
      <c r="A29" s="1088" t="s">
        <v>1761</v>
      </c>
      <c r="B29" s="22"/>
      <c r="C29" s="1089">
        <f t="array" ref="C29">INDEX('Інвертор'!R3:R1004,MATCH(A17,'Інвертор'!B3:B1004,0),0)</f>
        <v>36</v>
      </c>
      <c r="D29" s="1097"/>
      <c r="E29" s="1009"/>
      <c r="F29" s="1095"/>
      <c r="G29" s="1061"/>
      <c r="H29" s="1061"/>
      <c r="I29" s="1061"/>
      <c r="J29" s="1061"/>
      <c r="K29" s="1052">
        <f t="shared" si="3"/>
        <v>0</v>
      </c>
      <c r="L29" s="1053"/>
      <c r="M29" s="1063"/>
      <c r="N29" s="1063"/>
      <c r="O29" s="1056">
        <f t="shared" si="4"/>
        <v>0</v>
      </c>
      <c r="P29" s="1056">
        <f t="shared" si="5"/>
        <v>0</v>
      </c>
      <c r="Q29" s="1056">
        <f t="shared" si="6"/>
        <v>0</v>
      </c>
      <c r="R29" s="1057">
        <f t="shared" si="7"/>
        <v>0</v>
      </c>
      <c r="S29" s="1058">
        <f t="shared" si="8"/>
        <v>36</v>
      </c>
      <c r="T29" s="1058">
        <f t="shared" si="9"/>
        <v>36</v>
      </c>
      <c r="U29" s="1058">
        <f t="shared" si="10"/>
        <v>36</v>
      </c>
      <c r="V29" s="1009"/>
      <c r="W29" s="1070" t="s">
        <v>1748</v>
      </c>
      <c r="X29" s="1091">
        <f>X28*1000/(X25*X11)</f>
        <v>37</v>
      </c>
      <c r="Y29" s="1070" t="s">
        <v>1749</v>
      </c>
      <c r="Z29" s="365"/>
    </row>
    <row r="30" ht="15.0" customHeight="1">
      <c r="A30" s="1088" t="s">
        <v>1762</v>
      </c>
      <c r="B30" s="22"/>
      <c r="C30" s="1089">
        <f t="array" ref="C30">INDEX('Інвертор'!S3:S1004,MATCH(A17,'Інвертор'!B3:B1004,0),0)</f>
        <v>54</v>
      </c>
      <c r="D30" s="1073"/>
      <c r="E30" s="1009"/>
      <c r="F30" s="1095"/>
      <c r="G30" s="1061"/>
      <c r="H30" s="1061"/>
      <c r="I30" s="1061"/>
      <c r="J30" s="1061"/>
      <c r="K30" s="1052">
        <f t="shared" si="3"/>
        <v>0</v>
      </c>
      <c r="L30" s="1053"/>
      <c r="M30" s="1063"/>
      <c r="N30" s="1063"/>
      <c r="O30" s="1056">
        <f t="shared" si="4"/>
        <v>0</v>
      </c>
      <c r="P30" s="1056">
        <f t="shared" si="5"/>
        <v>0</v>
      </c>
      <c r="Q30" s="1056">
        <f t="shared" si="6"/>
        <v>0</v>
      </c>
      <c r="R30" s="1057">
        <f t="shared" si="7"/>
        <v>0</v>
      </c>
      <c r="S30" s="1058">
        <f t="shared" si="8"/>
        <v>36</v>
      </c>
      <c r="T30" s="1058">
        <f t="shared" si="9"/>
        <v>36</v>
      </c>
      <c r="U30" s="1058">
        <f t="shared" si="10"/>
        <v>36</v>
      </c>
      <c r="V30" s="1009"/>
      <c r="W30" s="365"/>
      <c r="X30" s="365"/>
      <c r="Y30" s="365"/>
      <c r="Z30" s="365"/>
    </row>
    <row r="31" ht="15.0" customHeight="1">
      <c r="A31" s="1100" t="s">
        <v>1763</v>
      </c>
      <c r="B31" s="22"/>
      <c r="C31" s="1089">
        <f t="array" ref="C31">INDEX('Інвертор'!V3:V1004,MATCH(A17,'Інвертор'!B3:B1004,0),0)</f>
        <v>160</v>
      </c>
      <c r="D31" s="1093"/>
      <c r="E31" s="1009"/>
      <c r="F31" s="1095"/>
      <c r="G31" s="1101"/>
      <c r="H31" s="1061"/>
      <c r="I31" s="1050"/>
      <c r="J31" s="1050"/>
      <c r="K31" s="1052">
        <f t="shared" si="3"/>
        <v>0</v>
      </c>
      <c r="L31" s="1053"/>
      <c r="M31" s="1063"/>
      <c r="N31" s="1063"/>
      <c r="O31" s="1056">
        <f t="shared" si="4"/>
        <v>0</v>
      </c>
      <c r="P31" s="1056">
        <f t="shared" si="5"/>
        <v>0</v>
      </c>
      <c r="Q31" s="1056">
        <f t="shared" si="6"/>
        <v>0</v>
      </c>
      <c r="R31" s="1057">
        <f t="shared" si="7"/>
        <v>0</v>
      </c>
      <c r="S31" s="1058">
        <f t="shared" si="8"/>
        <v>36</v>
      </c>
      <c r="T31" s="1058">
        <f t="shared" si="9"/>
        <v>36</v>
      </c>
      <c r="U31" s="1058">
        <f t="shared" si="10"/>
        <v>36</v>
      </c>
      <c r="V31" s="1009"/>
      <c r="W31" s="365"/>
      <c r="X31" s="365"/>
      <c r="Y31" s="365"/>
      <c r="Z31" s="365"/>
    </row>
    <row r="32" ht="15.0" customHeight="1">
      <c r="A32" s="1100" t="s">
        <v>1764</v>
      </c>
      <c r="B32" s="22"/>
      <c r="C32" s="1102">
        <f t="array" ref="C32">INDEX('Інвертор'!W3:W1004,MATCH(A17,'Інвертор'!B3:B1004,0),0)</f>
        <v>1000</v>
      </c>
      <c r="D32" s="1093"/>
      <c r="E32" s="1009"/>
      <c r="F32" s="1095"/>
      <c r="G32" s="1061"/>
      <c r="H32" s="1101"/>
      <c r="I32" s="1061"/>
      <c r="J32" s="1061"/>
      <c r="K32" s="1052">
        <f t="shared" si="3"/>
        <v>0</v>
      </c>
      <c r="L32" s="1053"/>
      <c r="M32" s="1063"/>
      <c r="N32" s="1063"/>
      <c r="O32" s="1056">
        <f t="shared" si="4"/>
        <v>0</v>
      </c>
      <c r="P32" s="1056">
        <f t="shared" si="5"/>
        <v>0</v>
      </c>
      <c r="Q32" s="1056">
        <f t="shared" si="6"/>
        <v>0</v>
      </c>
      <c r="R32" s="1057">
        <f t="shared" si="7"/>
        <v>0</v>
      </c>
      <c r="S32" s="1058">
        <f t="shared" si="8"/>
        <v>36</v>
      </c>
      <c r="T32" s="1058">
        <f t="shared" si="9"/>
        <v>36</v>
      </c>
      <c r="U32" s="1058">
        <f t="shared" si="10"/>
        <v>36</v>
      </c>
      <c r="V32" s="1009"/>
      <c r="W32" s="643" t="s">
        <v>1765</v>
      </c>
      <c r="Z32" s="365"/>
    </row>
    <row r="33" ht="15.0" customHeight="1">
      <c r="A33" s="1100" t="s">
        <v>1766</v>
      </c>
      <c r="B33" s="22"/>
      <c r="C33" s="1102" t="str">
        <f t="array" ref="C33">INDEX('Інвертор'!X3:X1004,MATCH(A17,'Інвертор'!B3:B1004,0),0)</f>
        <v>80+80</v>
      </c>
      <c r="D33" s="1093"/>
      <c r="E33" s="1009"/>
      <c r="F33" s="1095"/>
      <c r="G33" s="1101"/>
      <c r="H33" s="1101"/>
      <c r="I33" s="1074"/>
      <c r="J33" s="1074"/>
      <c r="K33" s="1052">
        <f t="shared" si="3"/>
        <v>0</v>
      </c>
      <c r="L33" s="1053"/>
      <c r="M33" s="1063"/>
      <c r="N33" s="1063"/>
      <c r="O33" s="1056">
        <f t="shared" si="4"/>
        <v>0</v>
      </c>
      <c r="P33" s="1056">
        <f t="shared" si="5"/>
        <v>0</v>
      </c>
      <c r="Q33" s="1056">
        <f t="shared" si="6"/>
        <v>0</v>
      </c>
      <c r="R33" s="1057">
        <f t="shared" si="7"/>
        <v>0</v>
      </c>
      <c r="S33" s="1058">
        <f t="shared" si="8"/>
        <v>36</v>
      </c>
      <c r="T33" s="1058">
        <f t="shared" si="9"/>
        <v>36</v>
      </c>
      <c r="U33" s="1058">
        <f t="shared" si="10"/>
        <v>36</v>
      </c>
      <c r="V33" s="1009"/>
      <c r="W33" s="1103" t="s">
        <v>1767</v>
      </c>
      <c r="X33" s="1104">
        <v>41.0</v>
      </c>
      <c r="Y33" s="1105" t="s">
        <v>1768</v>
      </c>
      <c r="Z33" s="365"/>
    </row>
    <row r="34" ht="15.0" customHeight="1">
      <c r="A34" s="1106" t="s">
        <v>1769</v>
      </c>
      <c r="B34" s="1107"/>
      <c r="C34" s="1108" t="str">
        <f t="array" ref="C34">INDEX('Інвертор'!Y3:Y1004,MATCH(A17,'Інвертор'!B3:B1004,0),0)</f>
        <v>80+80</v>
      </c>
      <c r="D34" s="1109"/>
      <c r="E34" s="1009"/>
      <c r="F34" s="1095"/>
      <c r="G34" s="1101"/>
      <c r="H34" s="1101"/>
      <c r="I34" s="1074"/>
      <c r="J34" s="1074"/>
      <c r="K34" s="1052">
        <f t="shared" si="3"/>
        <v>0</v>
      </c>
      <c r="L34" s="1053"/>
      <c r="M34" s="1063"/>
      <c r="N34" s="1063"/>
      <c r="O34" s="1056">
        <f t="shared" si="4"/>
        <v>0</v>
      </c>
      <c r="P34" s="1056">
        <f t="shared" si="5"/>
        <v>0</v>
      </c>
      <c r="Q34" s="1056">
        <f t="shared" si="6"/>
        <v>0</v>
      </c>
      <c r="R34" s="1057">
        <f t="shared" si="7"/>
        <v>0</v>
      </c>
      <c r="S34" s="1058">
        <f t="shared" si="8"/>
        <v>36</v>
      </c>
      <c r="T34" s="1058">
        <f t="shared" si="9"/>
        <v>36</v>
      </c>
      <c r="U34" s="1058">
        <f t="shared" si="10"/>
        <v>36</v>
      </c>
      <c r="V34" s="1009"/>
      <c r="W34" s="1110" t="s">
        <v>1770</v>
      </c>
      <c r="X34" s="1111">
        <v>195.0</v>
      </c>
      <c r="Y34" s="1112" t="s">
        <v>1771</v>
      </c>
      <c r="Z34" s="365"/>
    </row>
    <row r="35" ht="15.0" customHeight="1">
      <c r="A35" s="895"/>
      <c r="B35" s="895"/>
      <c r="C35" s="895"/>
      <c r="D35" s="895"/>
      <c r="E35" s="1009"/>
      <c r="F35" s="1049"/>
      <c r="G35" s="1101"/>
      <c r="H35" s="1101"/>
      <c r="I35" s="1074"/>
      <c r="J35" s="1074"/>
      <c r="K35" s="1052">
        <f t="shared" si="3"/>
        <v>0</v>
      </c>
      <c r="L35" s="1053"/>
      <c r="M35" s="1063"/>
      <c r="N35" s="1063"/>
      <c r="O35" s="1056">
        <f t="shared" si="4"/>
        <v>0</v>
      </c>
      <c r="P35" s="1056">
        <f t="shared" si="5"/>
        <v>0</v>
      </c>
      <c r="Q35" s="1056">
        <f t="shared" si="6"/>
        <v>0</v>
      </c>
      <c r="R35" s="1057">
        <f t="shared" si="7"/>
        <v>0</v>
      </c>
      <c r="S35" s="1058">
        <f t="shared" si="8"/>
        <v>36</v>
      </c>
      <c r="T35" s="1058">
        <f t="shared" si="9"/>
        <v>36</v>
      </c>
      <c r="U35" s="1058">
        <f t="shared" si="10"/>
        <v>36</v>
      </c>
      <c r="V35" s="1009"/>
      <c r="W35" s="1110" t="s">
        <v>1772</v>
      </c>
      <c r="X35" s="1111">
        <v>50.0</v>
      </c>
      <c r="Y35" s="1112" t="s">
        <v>1773</v>
      </c>
      <c r="Z35" s="365"/>
    </row>
    <row r="36" ht="15.0" customHeight="1">
      <c r="A36" s="1113" t="s">
        <v>1774</v>
      </c>
      <c r="B36" s="1114">
        <v>30.0</v>
      </c>
      <c r="C36" s="1115" t="s">
        <v>1775</v>
      </c>
      <c r="D36" s="895"/>
      <c r="E36" s="1009"/>
      <c r="F36" s="1095"/>
      <c r="G36" s="1101"/>
      <c r="H36" s="1101"/>
      <c r="I36" s="1074"/>
      <c r="J36" s="1074"/>
      <c r="K36" s="1052">
        <f t="shared" si="3"/>
        <v>0</v>
      </c>
      <c r="L36" s="1053"/>
      <c r="M36" s="1063"/>
      <c r="N36" s="1063"/>
      <c r="O36" s="1056">
        <f t="shared" si="4"/>
        <v>0</v>
      </c>
      <c r="P36" s="1056">
        <f t="shared" si="5"/>
        <v>0</v>
      </c>
      <c r="Q36" s="1056">
        <f t="shared" si="6"/>
        <v>0</v>
      </c>
      <c r="R36" s="1057">
        <f t="shared" si="7"/>
        <v>0</v>
      </c>
      <c r="S36" s="1058">
        <f t="shared" si="8"/>
        <v>36</v>
      </c>
      <c r="T36" s="1058">
        <f t="shared" si="9"/>
        <v>36</v>
      </c>
      <c r="U36" s="1058">
        <f t="shared" si="10"/>
        <v>36</v>
      </c>
      <c r="V36" s="1009"/>
      <c r="W36" s="1110" t="s">
        <v>1776</v>
      </c>
      <c r="X36" s="1116">
        <v>3.7</v>
      </c>
      <c r="Y36" s="1112" t="s">
        <v>1714</v>
      </c>
      <c r="Z36" s="365"/>
    </row>
    <row r="37" ht="15.0" customHeight="1">
      <c r="A37" s="1042" t="s">
        <v>1777</v>
      </c>
      <c r="B37" s="1117">
        <f>B36*C12</f>
        <v>17700</v>
      </c>
      <c r="C37" s="1115" t="s">
        <v>1778</v>
      </c>
      <c r="D37" s="895"/>
      <c r="E37" s="1118"/>
      <c r="F37" s="1119"/>
      <c r="G37" s="1120"/>
      <c r="H37" s="1101"/>
      <c r="I37" s="1074"/>
      <c r="J37" s="1074"/>
      <c r="K37" s="1052">
        <f t="shared" si="3"/>
        <v>0</v>
      </c>
      <c r="L37" s="1053"/>
      <c r="M37" s="1063"/>
      <c r="N37" s="1063"/>
      <c r="O37" s="1056">
        <f t="shared" si="4"/>
        <v>0</v>
      </c>
      <c r="P37" s="1056">
        <f t="shared" si="5"/>
        <v>0</v>
      </c>
      <c r="Q37" s="1056">
        <f t="shared" si="6"/>
        <v>0</v>
      </c>
      <c r="R37" s="1057">
        <f t="shared" si="7"/>
        <v>0</v>
      </c>
      <c r="S37" s="1058">
        <f t="shared" si="8"/>
        <v>36</v>
      </c>
      <c r="T37" s="1058">
        <f t="shared" si="9"/>
        <v>36</v>
      </c>
      <c r="U37" s="1058">
        <f t="shared" si="10"/>
        <v>36</v>
      </c>
      <c r="V37" s="1118"/>
      <c r="W37" s="1121" t="s">
        <v>1779</v>
      </c>
      <c r="X37" s="1122">
        <f>X35*X36</f>
        <v>185</v>
      </c>
      <c r="Y37" s="1123" t="s">
        <v>1780</v>
      </c>
      <c r="Z37" s="365"/>
    </row>
    <row r="38" ht="15.0" customHeight="1">
      <c r="A38" s="1124" t="s">
        <v>1781</v>
      </c>
      <c r="B38" s="1017" t="s">
        <v>1782</v>
      </c>
      <c r="C38" s="1125">
        <f>B36*C9</f>
        <v>1171.5</v>
      </c>
      <c r="D38" s="1126"/>
      <c r="E38" s="1009"/>
      <c r="F38" s="1095"/>
      <c r="G38" s="1101"/>
      <c r="H38" s="1101"/>
      <c r="I38" s="1074"/>
      <c r="J38" s="1074"/>
      <c r="K38" s="1052">
        <f t="shared" si="3"/>
        <v>0</v>
      </c>
      <c r="L38" s="1053"/>
      <c r="M38" s="1063"/>
      <c r="N38" s="1063"/>
      <c r="O38" s="1056">
        <f t="shared" si="4"/>
        <v>0</v>
      </c>
      <c r="P38" s="1056">
        <f t="shared" si="5"/>
        <v>0</v>
      </c>
      <c r="Q38" s="1056">
        <f t="shared" si="6"/>
        <v>0</v>
      </c>
      <c r="R38" s="1057">
        <f t="shared" si="7"/>
        <v>0</v>
      </c>
      <c r="S38" s="1058">
        <f t="shared" si="8"/>
        <v>36</v>
      </c>
      <c r="T38" s="1058">
        <f t="shared" si="9"/>
        <v>36</v>
      </c>
      <c r="U38" s="1058">
        <f t="shared" si="10"/>
        <v>36</v>
      </c>
      <c r="V38" s="1009"/>
      <c r="W38" s="1127"/>
      <c r="X38" s="1128"/>
      <c r="Y38" s="1129"/>
      <c r="Z38" s="365"/>
    </row>
    <row r="39" ht="15.0" customHeight="1">
      <c r="A39" s="1130" t="s">
        <v>1783</v>
      </c>
      <c r="B39" s="1017" t="s">
        <v>1784</v>
      </c>
      <c r="C39" s="1125">
        <f>B36*C10</f>
        <v>1320</v>
      </c>
      <c r="D39" s="1131"/>
      <c r="E39" s="1009"/>
      <c r="F39" s="1095"/>
      <c r="G39" s="1101"/>
      <c r="H39" s="1101"/>
      <c r="I39" s="1061"/>
      <c r="J39" s="1061"/>
      <c r="K39" s="1052">
        <f t="shared" si="3"/>
        <v>0</v>
      </c>
      <c r="L39" s="1053"/>
      <c r="M39" s="1063"/>
      <c r="N39" s="1063"/>
      <c r="O39" s="1056">
        <f t="shared" si="4"/>
        <v>0</v>
      </c>
      <c r="P39" s="1056">
        <f t="shared" si="5"/>
        <v>0</v>
      </c>
      <c r="Q39" s="1056">
        <f t="shared" si="6"/>
        <v>0</v>
      </c>
      <c r="R39" s="1057">
        <f t="shared" si="7"/>
        <v>0</v>
      </c>
      <c r="S39" s="1058">
        <f t="shared" si="8"/>
        <v>36</v>
      </c>
      <c r="T39" s="1058">
        <f t="shared" si="9"/>
        <v>36</v>
      </c>
      <c r="U39" s="1058">
        <f t="shared" si="10"/>
        <v>36</v>
      </c>
      <c r="V39" s="1009"/>
      <c r="W39" s="1132" t="s">
        <v>1785</v>
      </c>
      <c r="X39" s="1133">
        <f>CEILING((((1000/(X36*X35))*X34)/X33),1)</f>
        <v>26</v>
      </c>
      <c r="Y39" s="1134" t="s">
        <v>1786</v>
      </c>
      <c r="Z39" s="365"/>
    </row>
    <row r="40" ht="15.0" customHeight="1">
      <c r="A40" s="1135" t="s">
        <v>1787</v>
      </c>
      <c r="B40" s="1017" t="s">
        <v>1788</v>
      </c>
      <c r="C40" s="1125">
        <f>B36*C11</f>
        <v>1748.25</v>
      </c>
      <c r="D40" s="1136"/>
      <c r="E40" s="1009"/>
      <c r="F40" s="1095"/>
      <c r="G40" s="1101"/>
      <c r="H40" s="1101"/>
      <c r="I40" s="1061"/>
      <c r="J40" s="1061"/>
      <c r="K40" s="1052">
        <f t="shared" si="3"/>
        <v>0</v>
      </c>
      <c r="L40" s="1053"/>
      <c r="M40" s="395"/>
      <c r="N40" s="395"/>
      <c r="O40" s="1056">
        <f t="shared" si="4"/>
        <v>0</v>
      </c>
      <c r="P40" s="1056">
        <f t="shared" si="5"/>
        <v>0</v>
      </c>
      <c r="Q40" s="1056">
        <f t="shared" si="6"/>
        <v>0</v>
      </c>
      <c r="R40" s="1057">
        <f t="shared" si="7"/>
        <v>0</v>
      </c>
      <c r="S40" s="1058">
        <f t="shared" si="8"/>
        <v>36</v>
      </c>
      <c r="T40" s="1058">
        <f t="shared" si="9"/>
        <v>36</v>
      </c>
      <c r="U40" s="1058">
        <f t="shared" si="10"/>
        <v>36</v>
      </c>
      <c r="V40" s="1009"/>
      <c r="W40" s="1137"/>
      <c r="X40" s="1138">
        <f>CEILING(((1000/(X36*X35))*X34),1)</f>
        <v>1055</v>
      </c>
      <c r="Y40" s="1139" t="s">
        <v>1789</v>
      </c>
      <c r="Z40" s="365"/>
    </row>
    <row r="41" ht="15.0" customHeight="1">
      <c r="A41" s="1009"/>
      <c r="B41" s="895"/>
      <c r="C41" s="895"/>
      <c r="D41" s="895"/>
      <c r="E41" s="1009"/>
      <c r="F41" s="1009"/>
      <c r="G41" s="1009"/>
      <c r="H41" s="1140"/>
      <c r="I41" s="1009"/>
      <c r="J41" s="1009"/>
      <c r="K41" s="1009"/>
      <c r="L41" s="1009"/>
      <c r="M41" s="1009"/>
      <c r="N41" s="1009"/>
      <c r="O41" s="1009"/>
      <c r="P41" s="1009"/>
      <c r="Q41" s="1009"/>
      <c r="R41" s="1009"/>
      <c r="S41" s="1009"/>
      <c r="T41" s="1009"/>
      <c r="U41" s="1009"/>
      <c r="V41" s="1009"/>
      <c r="W41" s="1009"/>
      <c r="X41" s="1009"/>
      <c r="Y41" s="1009"/>
      <c r="Z41" s="365"/>
    </row>
    <row r="42" ht="15.0" customHeight="1">
      <c r="A42" s="1009"/>
      <c r="B42" s="365"/>
      <c r="C42" s="365"/>
      <c r="D42" s="365"/>
      <c r="E42" s="1009"/>
      <c r="F42" s="1009"/>
      <c r="G42" s="1009"/>
      <c r="H42" s="1140"/>
      <c r="I42" s="1009"/>
      <c r="J42" s="1009"/>
      <c r="K42" s="1009"/>
      <c r="L42" s="1009"/>
      <c r="M42" s="1009"/>
      <c r="N42" s="1009"/>
      <c r="O42" s="1009"/>
      <c r="P42" s="1009"/>
      <c r="Q42" s="1009"/>
      <c r="R42" s="1009"/>
      <c r="S42" s="1009"/>
      <c r="T42" s="1009"/>
      <c r="U42" s="1009"/>
      <c r="V42" s="1009"/>
      <c r="W42" s="1009"/>
      <c r="X42" s="1009"/>
      <c r="Y42" s="1009"/>
      <c r="Z42" s="365"/>
    </row>
    <row r="43" ht="15.0" customHeight="1">
      <c r="A43" s="1009"/>
      <c r="B43" s="1141" t="s">
        <v>27</v>
      </c>
      <c r="C43" s="370"/>
      <c r="D43" s="365"/>
      <c r="E43" s="1077"/>
      <c r="F43" s="1077"/>
      <c r="G43" s="1042"/>
      <c r="H43" s="1022"/>
      <c r="I43" s="1022"/>
      <c r="J43" s="1046"/>
      <c r="K43" s="1022"/>
      <c r="L43" s="1042"/>
      <c r="M43" s="1042" t="str">
        <f>B20</f>
        <v/>
      </c>
      <c r="N43" s="1077"/>
      <c r="O43" s="1077"/>
      <c r="P43" s="1077"/>
      <c r="Q43" s="1077"/>
      <c r="R43" s="1077"/>
      <c r="S43" s="1077"/>
      <c r="T43" s="1077"/>
      <c r="U43" s="1077"/>
      <c r="V43" s="1077"/>
      <c r="W43" s="1077"/>
      <c r="X43" s="1077"/>
      <c r="Y43" s="1077"/>
      <c r="Z43" s="365"/>
    </row>
    <row r="44" ht="15.0" customHeight="1">
      <c r="A44" s="1009"/>
      <c r="B44" s="365"/>
      <c r="C44" s="365"/>
      <c r="D44" s="365"/>
      <c r="E44" s="1009"/>
      <c r="F44" s="1009"/>
      <c r="G44" s="1142"/>
      <c r="H44" s="1143"/>
      <c r="I44" s="1143"/>
      <c r="J44" s="1144"/>
      <c r="K44" s="463"/>
      <c r="L44" s="463"/>
      <c r="M44" s="463"/>
      <c r="N44" s="1009"/>
      <c r="O44" s="1009"/>
      <c r="P44" s="1009"/>
      <c r="Q44" s="1009"/>
      <c r="R44" s="1009"/>
      <c r="S44" s="1009"/>
      <c r="T44" s="1009"/>
      <c r="U44" s="1009"/>
      <c r="V44" s="1009"/>
      <c r="W44" s="1009"/>
      <c r="X44" s="1009"/>
      <c r="Y44" s="1009"/>
      <c r="Z44" s="365"/>
    </row>
    <row r="45" ht="15.0" customHeight="1">
      <c r="A45" s="365"/>
      <c r="B45" s="365"/>
      <c r="C45" s="365"/>
      <c r="D45" s="365"/>
      <c r="E45" s="1009"/>
      <c r="F45" s="1009"/>
      <c r="G45" s="1145"/>
      <c r="H45" s="1146"/>
      <c r="I45" s="1146"/>
      <c r="J45" s="1147"/>
      <c r="K45" s="463"/>
      <c r="L45" s="392"/>
      <c r="M45" s="392"/>
      <c r="N45" s="365"/>
      <c r="O45" s="365"/>
      <c r="P45" s="365"/>
      <c r="Q45" s="365"/>
      <c r="R45" s="365"/>
      <c r="S45" s="1009"/>
      <c r="T45" s="1009"/>
      <c r="U45" s="1009"/>
      <c r="V45" s="1009"/>
      <c r="W45" s="1009"/>
      <c r="X45" s="1009"/>
      <c r="Y45" s="1009"/>
      <c r="Z45" s="365"/>
    </row>
    <row r="46" ht="15.0" customHeight="1">
      <c r="A46" s="365"/>
      <c r="B46" s="365"/>
      <c r="C46" s="365"/>
      <c r="D46" s="365"/>
      <c r="E46" s="365"/>
      <c r="F46" s="365"/>
      <c r="G46" s="1148"/>
      <c r="H46" s="1149"/>
      <c r="I46" s="1149"/>
      <c r="J46" s="1150"/>
      <c r="K46" s="463"/>
      <c r="L46" s="392"/>
      <c r="M46" s="392"/>
      <c r="N46" s="365"/>
      <c r="O46" s="365"/>
      <c r="P46" s="365"/>
      <c r="Q46" s="365"/>
      <c r="R46" s="365"/>
      <c r="S46" s="1009"/>
      <c r="T46" s="1009"/>
      <c r="U46" s="1009"/>
      <c r="V46" s="1009"/>
      <c r="W46" s="1009"/>
      <c r="X46" s="1009"/>
      <c r="Y46" s="1009"/>
      <c r="Z46" s="365"/>
    </row>
    <row r="47" ht="15.0" customHeight="1">
      <c r="A47" s="365"/>
      <c r="B47" s="365"/>
      <c r="C47" s="365"/>
      <c r="D47" s="365"/>
      <c r="E47" s="365"/>
      <c r="F47" s="365"/>
      <c r="G47" s="365"/>
      <c r="H47" s="1140"/>
      <c r="I47" s="365"/>
      <c r="J47" s="365"/>
      <c r="K47" s="365"/>
      <c r="L47" s="365"/>
      <c r="M47" s="365"/>
      <c r="N47" s="365"/>
      <c r="O47" s="365"/>
      <c r="P47" s="365"/>
      <c r="Q47" s="365"/>
      <c r="R47" s="365"/>
      <c r="S47" s="1077"/>
      <c r="T47" s="1077"/>
      <c r="U47" s="1077"/>
      <c r="V47" s="1077"/>
      <c r="W47" s="1077"/>
      <c r="X47" s="1077"/>
      <c r="Y47" s="1077"/>
      <c r="Z47" s="365"/>
    </row>
    <row r="48" ht="15.0" customHeight="1">
      <c r="A48" s="365"/>
      <c r="B48" s="365"/>
      <c r="C48" s="365"/>
      <c r="D48" s="365"/>
      <c r="E48" s="1009"/>
      <c r="F48" s="1009"/>
      <c r="G48" s="1009"/>
      <c r="H48" s="1140"/>
      <c r="I48" s="365"/>
      <c r="J48" s="365"/>
      <c r="K48" s="365"/>
      <c r="L48" s="365"/>
      <c r="M48" s="365"/>
      <c r="N48" s="365"/>
      <c r="O48" s="365"/>
      <c r="P48" s="365"/>
      <c r="Q48" s="365"/>
      <c r="R48" s="365"/>
      <c r="S48" s="1009"/>
      <c r="T48" s="1009"/>
      <c r="U48" s="1009"/>
      <c r="V48" s="1009"/>
      <c r="W48" s="1009"/>
      <c r="X48" s="1009"/>
      <c r="Y48" s="1009"/>
      <c r="Z48" s="365"/>
    </row>
    <row r="49" ht="15.0" customHeight="1">
      <c r="A49" s="365"/>
      <c r="B49" s="365"/>
      <c r="C49" s="365"/>
      <c r="D49" s="365"/>
      <c r="E49" s="365"/>
      <c r="F49" s="1124"/>
      <c r="G49" s="1124"/>
      <c r="H49" s="1140" t="s">
        <v>1483</v>
      </c>
      <c r="I49" s="1009"/>
      <c r="J49" s="1140"/>
      <c r="K49" s="1009"/>
      <c r="L49" s="1009"/>
      <c r="M49" s="1009"/>
      <c r="N49" s="1009"/>
      <c r="O49" s="1009"/>
      <c r="P49" s="1009"/>
      <c r="Q49" s="1009"/>
      <c r="R49" s="1009"/>
      <c r="S49" s="1009"/>
      <c r="T49" s="1009"/>
      <c r="U49" s="1009"/>
      <c r="V49" s="1009"/>
      <c r="W49" s="1009"/>
      <c r="X49" s="1009"/>
      <c r="Y49" s="1009"/>
      <c r="Z49" s="365"/>
    </row>
    <row r="50" ht="15.0" customHeight="1">
      <c r="A50" s="365"/>
      <c r="B50" s="365"/>
      <c r="C50" s="365"/>
      <c r="D50" s="365"/>
      <c r="E50" s="365"/>
      <c r="F50" s="1130"/>
      <c r="G50" s="1130"/>
      <c r="H50" s="1140"/>
      <c r="I50" s="365"/>
      <c r="J50" s="365"/>
      <c r="K50" s="365"/>
      <c r="L50" s="365"/>
      <c r="M50" s="365"/>
      <c r="N50" s="1009"/>
      <c r="O50" s="1009"/>
      <c r="P50" s="1009"/>
      <c r="Q50" s="1009"/>
      <c r="R50" s="1009"/>
      <c r="S50" s="1009"/>
      <c r="T50" s="1009"/>
      <c r="U50" s="1009"/>
      <c r="V50" s="1009"/>
      <c r="W50" s="1009"/>
      <c r="X50" s="1009"/>
      <c r="Y50" s="1009"/>
      <c r="Z50" s="365"/>
    </row>
    <row r="51" ht="15.0" customHeight="1">
      <c r="A51" s="365"/>
      <c r="B51" s="365"/>
      <c r="C51" s="365"/>
      <c r="D51" s="365"/>
      <c r="E51" s="365"/>
      <c r="F51" s="1135"/>
      <c r="G51" s="1135"/>
      <c r="H51" s="1140"/>
      <c r="I51" s="365"/>
      <c r="J51" s="365"/>
      <c r="K51" s="365"/>
      <c r="L51" s="365"/>
      <c r="M51" s="365"/>
      <c r="N51" s="365"/>
      <c r="O51" s="365"/>
      <c r="P51" s="1009"/>
      <c r="Q51" s="1009"/>
      <c r="R51" s="1009"/>
      <c r="S51" s="1151"/>
      <c r="T51" s="1151"/>
      <c r="U51" s="1151"/>
      <c r="V51" s="1151"/>
      <c r="W51" s="1151"/>
      <c r="X51" s="1151"/>
      <c r="Y51" s="1151"/>
      <c r="Z51" s="365"/>
    </row>
    <row r="52" ht="15.0" customHeight="1">
      <c r="A52" s="1009"/>
      <c r="B52" s="365"/>
      <c r="C52" s="365"/>
      <c r="D52" s="365"/>
      <c r="E52" s="1009"/>
      <c r="F52" s="1009"/>
      <c r="G52" s="1009"/>
      <c r="H52" s="1140"/>
      <c r="I52" s="365"/>
      <c r="J52" s="365"/>
      <c r="K52" s="365"/>
      <c r="L52" s="365"/>
      <c r="M52" s="365"/>
      <c r="N52" s="365"/>
      <c r="O52" s="365"/>
      <c r="P52" s="1009"/>
      <c r="Q52" s="1009"/>
      <c r="R52" s="1009"/>
      <c r="S52" s="1009"/>
      <c r="T52" s="1009"/>
      <c r="U52" s="1009"/>
      <c r="V52" s="1009"/>
      <c r="W52" s="1009"/>
      <c r="X52" s="1009"/>
      <c r="Y52" s="1009"/>
      <c r="Z52" s="365"/>
    </row>
    <row r="53" ht="15.0" customHeight="1">
      <c r="A53" s="1009"/>
      <c r="B53" s="365"/>
      <c r="C53" s="365"/>
      <c r="D53" s="365"/>
      <c r="E53" s="1009"/>
      <c r="F53" s="1009"/>
      <c r="G53" s="1009"/>
      <c r="H53" s="1140"/>
      <c r="I53" s="365"/>
      <c r="J53" s="365"/>
      <c r="K53" s="365"/>
      <c r="L53" s="365"/>
      <c r="M53" s="365"/>
      <c r="N53" s="365"/>
      <c r="O53" s="365"/>
      <c r="P53" s="365"/>
      <c r="Q53" s="1009"/>
      <c r="R53" s="1009"/>
      <c r="S53" s="1009"/>
      <c r="T53" s="1009"/>
      <c r="U53" s="1009"/>
      <c r="V53" s="1009"/>
      <c r="W53" s="1009"/>
      <c r="X53" s="1009"/>
      <c r="Y53" s="1009"/>
      <c r="Z53" s="365"/>
    </row>
    <row r="54" ht="15.0" customHeight="1">
      <c r="A54" s="1009"/>
      <c r="B54" s="365"/>
      <c r="C54" s="365"/>
      <c r="D54" s="365"/>
      <c r="E54" s="1009"/>
      <c r="F54" s="1009"/>
      <c r="G54" s="1009"/>
      <c r="H54" s="1140"/>
      <c r="I54" s="1009"/>
      <c r="J54" s="1009"/>
      <c r="K54" s="1009"/>
      <c r="L54" s="1009"/>
      <c r="M54" s="1009"/>
      <c r="N54" s="1009"/>
      <c r="O54" s="1009"/>
      <c r="P54" s="1009"/>
      <c r="Q54" s="1009"/>
      <c r="R54" s="1009"/>
      <c r="S54" s="1009"/>
      <c r="T54" s="1009"/>
      <c r="U54" s="1009"/>
      <c r="V54" s="1009"/>
      <c r="W54" s="1009"/>
      <c r="X54" s="1009"/>
      <c r="Y54" s="1009"/>
      <c r="Z54" s="365"/>
    </row>
    <row r="55" ht="15.0" customHeight="1">
      <c r="A55" s="1009"/>
      <c r="B55" s="365"/>
      <c r="C55" s="365"/>
      <c r="D55" s="365"/>
      <c r="E55" s="1009"/>
      <c r="F55" s="1009"/>
      <c r="G55" s="1009"/>
      <c r="H55" s="1140"/>
      <c r="I55" s="1009"/>
      <c r="J55" s="1009"/>
      <c r="K55" s="1009"/>
      <c r="L55" s="1009"/>
      <c r="M55" s="1009"/>
      <c r="N55" s="1009"/>
      <c r="O55" s="1009"/>
      <c r="P55" s="1009"/>
      <c r="Q55" s="1009"/>
      <c r="R55" s="1009"/>
      <c r="S55" s="1009"/>
      <c r="T55" s="1009"/>
      <c r="U55" s="1009"/>
      <c r="V55" s="1009"/>
      <c r="W55" s="1009"/>
      <c r="X55" s="1009"/>
      <c r="Y55" s="1009"/>
      <c r="Z55" s="365"/>
    </row>
    <row r="56" ht="15.0" customHeight="1">
      <c r="A56" s="1009"/>
      <c r="B56" s="365"/>
      <c r="C56" s="365"/>
      <c r="D56" s="365"/>
      <c r="E56" s="1009"/>
      <c r="F56" s="1009"/>
      <c r="G56" s="1009"/>
      <c r="H56" s="1140"/>
      <c r="I56" s="1009"/>
      <c r="J56" s="1009"/>
      <c r="K56" s="1009"/>
      <c r="L56" s="1009"/>
      <c r="M56" s="1009"/>
      <c r="N56" s="1009"/>
      <c r="O56" s="1009"/>
      <c r="P56" s="1009"/>
      <c r="Q56" s="1009"/>
      <c r="R56" s="1009"/>
      <c r="S56" s="1009"/>
      <c r="T56" s="1009"/>
      <c r="U56" s="1009"/>
      <c r="V56" s="1009"/>
      <c r="W56" s="1009"/>
      <c r="X56" s="1009"/>
      <c r="Y56" s="1009"/>
      <c r="Z56" s="365"/>
    </row>
    <row r="57" ht="15.0" customHeight="1">
      <c r="A57" s="1009"/>
      <c r="B57" s="365"/>
      <c r="C57" s="365"/>
      <c r="D57" s="365"/>
      <c r="E57" s="1009"/>
      <c r="F57" s="1009"/>
      <c r="G57" s="1009"/>
      <c r="H57" s="1140"/>
      <c r="I57" s="1009"/>
      <c r="J57" s="1009"/>
      <c r="K57" s="1009"/>
      <c r="L57" s="1009"/>
      <c r="M57" s="1009"/>
      <c r="N57" s="1009"/>
      <c r="O57" s="1009"/>
      <c r="P57" s="1009"/>
      <c r="Q57" s="1009"/>
      <c r="R57" s="1009"/>
      <c r="S57" s="1009"/>
      <c r="T57" s="1009"/>
      <c r="U57" s="1009"/>
      <c r="V57" s="1009"/>
      <c r="W57" s="1009"/>
      <c r="X57" s="1009"/>
      <c r="Y57" s="1009"/>
      <c r="Z57" s="365"/>
    </row>
    <row r="58" ht="15.0" customHeight="1">
      <c r="A58" s="1009"/>
      <c r="B58" s="365"/>
      <c r="C58" s="365"/>
      <c r="D58" s="365"/>
      <c r="E58" s="1009"/>
      <c r="F58" s="1009"/>
      <c r="G58" s="1009"/>
      <c r="H58" s="1140"/>
      <c r="I58" s="1009"/>
      <c r="J58" s="1009"/>
      <c r="K58" s="1009"/>
      <c r="L58" s="1009"/>
      <c r="M58" s="1009"/>
      <c r="N58" s="1009"/>
      <c r="O58" s="1009"/>
      <c r="P58" s="1009"/>
      <c r="Q58" s="1009"/>
      <c r="R58" s="1009"/>
      <c r="S58" s="1009"/>
      <c r="T58" s="1009"/>
      <c r="U58" s="1009"/>
      <c r="V58" s="1009"/>
      <c r="W58" s="1009"/>
      <c r="X58" s="1009"/>
      <c r="Y58" s="1009"/>
      <c r="Z58" s="365"/>
    </row>
    <row r="59" ht="15.0" customHeight="1">
      <c r="A59" s="1009"/>
      <c r="B59" s="1009"/>
      <c r="C59" s="1009"/>
      <c r="D59" s="1009"/>
      <c r="E59" s="1009"/>
      <c r="F59" s="1009"/>
      <c r="G59" s="1009"/>
      <c r="H59" s="1140"/>
      <c r="I59" s="1009"/>
      <c r="J59" s="1009"/>
      <c r="K59" s="1009"/>
      <c r="L59" s="1009"/>
      <c r="M59" s="1009"/>
      <c r="N59" s="1009"/>
      <c r="O59" s="1009"/>
      <c r="P59" s="1009"/>
      <c r="Q59" s="1009"/>
      <c r="R59" s="1009"/>
      <c r="S59" s="1009"/>
      <c r="T59" s="1009"/>
      <c r="U59" s="1009"/>
      <c r="V59" s="1009"/>
      <c r="W59" s="1009"/>
      <c r="X59" s="1009"/>
      <c r="Y59" s="1009"/>
      <c r="Z59" s="365"/>
    </row>
    <row r="60" ht="15.0" customHeight="1">
      <c r="A60" s="1009"/>
      <c r="B60" s="1009"/>
      <c r="C60" s="1009"/>
      <c r="D60" s="1009"/>
      <c r="E60" s="1009"/>
      <c r="F60" s="1009"/>
      <c r="G60" s="1009"/>
      <c r="H60" s="1140"/>
      <c r="I60" s="1009"/>
      <c r="J60" s="1009"/>
      <c r="K60" s="1009"/>
      <c r="L60" s="1009"/>
      <c r="M60" s="1009"/>
      <c r="N60" s="1009"/>
      <c r="O60" s="1009"/>
      <c r="P60" s="1009"/>
      <c r="Q60" s="1009"/>
      <c r="R60" s="1009"/>
      <c r="S60" s="1009"/>
      <c r="T60" s="1009"/>
      <c r="U60" s="1009"/>
      <c r="V60" s="1009"/>
      <c r="W60" s="1009"/>
      <c r="X60" s="1009"/>
      <c r="Y60" s="1009"/>
      <c r="Z60" s="365"/>
    </row>
    <row r="61" ht="15.0" customHeight="1">
      <c r="A61" s="1077"/>
      <c r="B61" s="1077"/>
      <c r="C61" s="1077"/>
      <c r="D61" s="1077"/>
      <c r="E61" s="1077"/>
      <c r="F61" s="1077"/>
      <c r="G61" s="1077"/>
      <c r="H61" s="1077"/>
      <c r="I61" s="1077"/>
      <c r="J61" s="1077"/>
      <c r="K61" s="1077"/>
      <c r="L61" s="1077"/>
      <c r="M61" s="1077"/>
      <c r="N61" s="1077"/>
      <c r="O61" s="1077"/>
      <c r="P61" s="1077"/>
      <c r="Q61" s="1077"/>
      <c r="R61" s="1077"/>
      <c r="S61" s="1077"/>
      <c r="T61" s="1077"/>
      <c r="U61" s="1077"/>
      <c r="V61" s="1077"/>
      <c r="W61" s="1077"/>
      <c r="X61" s="1077"/>
      <c r="Y61" s="1077"/>
      <c r="Z61" s="365"/>
    </row>
    <row r="62" ht="15.0" customHeight="1">
      <c r="A62" s="1009"/>
      <c r="B62" s="1009"/>
      <c r="C62" s="1009"/>
      <c r="D62" s="1009"/>
      <c r="E62" s="1009"/>
      <c r="F62" s="1009"/>
      <c r="G62" s="1009"/>
      <c r="H62" s="1140"/>
      <c r="I62" s="1009"/>
      <c r="J62" s="1009"/>
      <c r="K62" s="1009"/>
      <c r="L62" s="1009"/>
      <c r="M62" s="1009"/>
      <c r="N62" s="1009"/>
      <c r="O62" s="1009"/>
      <c r="P62" s="1009"/>
      <c r="Q62" s="1009"/>
      <c r="R62" s="1009"/>
      <c r="S62" s="1009"/>
      <c r="T62" s="1009"/>
      <c r="U62" s="1009"/>
      <c r="V62" s="1009"/>
      <c r="W62" s="1009"/>
      <c r="X62" s="1009"/>
      <c r="Y62" s="1009"/>
      <c r="Z62" s="365"/>
    </row>
    <row r="63" ht="15.0" customHeight="1">
      <c r="A63" s="1009"/>
      <c r="B63" s="1009"/>
      <c r="C63" s="1009"/>
      <c r="D63" s="1009"/>
      <c r="E63" s="1009"/>
      <c r="F63" s="1009"/>
      <c r="G63" s="1009"/>
      <c r="H63" s="1140"/>
      <c r="I63" s="1009"/>
      <c r="J63" s="1009"/>
      <c r="K63" s="1009"/>
      <c r="L63" s="1009"/>
      <c r="M63" s="1009"/>
      <c r="N63" s="1009"/>
      <c r="O63" s="1009"/>
      <c r="P63" s="1009"/>
      <c r="Q63" s="1009"/>
      <c r="R63" s="1009"/>
      <c r="S63" s="1009"/>
      <c r="T63" s="1009"/>
      <c r="U63" s="1009"/>
      <c r="V63" s="1009"/>
      <c r="W63" s="1009"/>
      <c r="X63" s="1009"/>
      <c r="Y63" s="1009"/>
      <c r="Z63" s="365"/>
    </row>
    <row r="64" ht="15.0" customHeight="1">
      <c r="A64" s="1009"/>
      <c r="B64" s="1009"/>
      <c r="C64" s="1009"/>
      <c r="D64" s="1009"/>
      <c r="E64" s="1009"/>
      <c r="F64" s="1009"/>
      <c r="G64" s="1009"/>
      <c r="H64" s="1140"/>
      <c r="I64" s="1009"/>
      <c r="J64" s="1009"/>
      <c r="K64" s="1009"/>
      <c r="L64" s="1009"/>
      <c r="M64" s="1009"/>
      <c r="N64" s="1009"/>
      <c r="O64" s="1009"/>
      <c r="P64" s="1009"/>
      <c r="Q64" s="1009"/>
      <c r="R64" s="1009"/>
      <c r="S64" s="1009"/>
      <c r="T64" s="1009"/>
      <c r="U64" s="1009"/>
      <c r="V64" s="1009"/>
      <c r="W64" s="1009"/>
      <c r="X64" s="1009"/>
      <c r="Y64" s="1009"/>
      <c r="Z64" s="365"/>
    </row>
    <row r="65" ht="15.0" customHeight="1">
      <c r="A65" s="365"/>
      <c r="B65" s="365"/>
      <c r="C65" s="365"/>
      <c r="D65" s="365"/>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5.0" customHeight="1">
      <c r="A66" s="365"/>
      <c r="B66" s="365"/>
      <c r="C66" s="365"/>
      <c r="D66" s="365"/>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5.0" customHeight="1">
      <c r="A67" s="365"/>
      <c r="B67" s="365"/>
      <c r="C67" s="365"/>
      <c r="D67" s="365"/>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5.0" customHeight="1">
      <c r="A68" s="365"/>
      <c r="B68" s="365"/>
      <c r="C68" s="365"/>
      <c r="D68" s="365"/>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5.0" customHeight="1">
      <c r="A69" s="365"/>
      <c r="B69" s="365"/>
      <c r="C69" s="365"/>
      <c r="D69" s="365"/>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5.0" customHeight="1">
      <c r="A70" s="365"/>
      <c r="B70" s="365"/>
      <c r="C70" s="365"/>
      <c r="D70" s="365"/>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5.0" customHeight="1">
      <c r="A71" s="365"/>
      <c r="B71" s="365"/>
      <c r="C71" s="365"/>
      <c r="D71" s="365"/>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5.0" customHeight="1">
      <c r="A72" s="365"/>
      <c r="B72" s="365"/>
      <c r="C72" s="365"/>
      <c r="D72" s="365"/>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5.0" customHeight="1">
      <c r="A73" s="365"/>
      <c r="B73" s="365"/>
      <c r="C73" s="365"/>
      <c r="D73" s="365"/>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5.0" customHeight="1">
      <c r="A74" s="365"/>
      <c r="B74" s="365"/>
      <c r="C74" s="365"/>
      <c r="D74" s="365"/>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5.0" customHeight="1">
      <c r="A75" s="365"/>
      <c r="B75" s="365"/>
      <c r="C75" s="365"/>
      <c r="D75" s="365"/>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5.0" customHeight="1">
      <c r="A76" s="365"/>
      <c r="B76" s="365"/>
      <c r="C76" s="365"/>
      <c r="D76" s="365"/>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5.0" customHeight="1">
      <c r="A77" s="365"/>
      <c r="B77" s="365"/>
      <c r="C77" s="365"/>
      <c r="D77" s="365"/>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5.0" customHeight="1">
      <c r="A78" s="1077"/>
      <c r="B78" s="1077"/>
      <c r="C78" s="1077"/>
      <c r="D78" s="1077"/>
      <c r="E78" s="1077"/>
      <c r="F78" s="1077"/>
      <c r="G78" s="1077"/>
      <c r="H78" s="1077"/>
      <c r="I78" s="1077"/>
      <c r="J78" s="1077"/>
      <c r="K78" s="1077"/>
      <c r="L78" s="1077"/>
      <c r="M78" s="1077"/>
      <c r="N78" s="1077"/>
      <c r="O78" s="1077"/>
      <c r="P78" s="1077"/>
      <c r="Q78" s="1077"/>
      <c r="R78" s="1077"/>
      <c r="S78" s="1077"/>
      <c r="T78" s="1077"/>
      <c r="U78" s="1077"/>
      <c r="V78" s="1077"/>
      <c r="W78" s="1077"/>
      <c r="X78" s="1077"/>
      <c r="Y78" s="1077"/>
      <c r="Z78" s="365"/>
    </row>
    <row r="79" ht="15.0" customHeight="1">
      <c r="A79" s="1009"/>
      <c r="B79" s="1009"/>
      <c r="C79" s="1009"/>
      <c r="D79" s="1009"/>
      <c r="E79" s="1009"/>
      <c r="F79" s="1009"/>
      <c r="G79" s="1009"/>
      <c r="H79" s="1140"/>
      <c r="I79" s="1009"/>
      <c r="J79" s="1009"/>
      <c r="K79" s="1009"/>
      <c r="L79" s="1009"/>
      <c r="M79" s="1009"/>
      <c r="N79" s="1009"/>
      <c r="O79" s="1009"/>
      <c r="P79" s="1009"/>
      <c r="Q79" s="1009"/>
      <c r="R79" s="1009"/>
      <c r="S79" s="1009"/>
      <c r="T79" s="1009"/>
      <c r="U79" s="1009"/>
      <c r="V79" s="1009"/>
      <c r="W79" s="1009"/>
      <c r="X79" s="1009"/>
      <c r="Y79" s="1009"/>
      <c r="Z79" s="365"/>
    </row>
    <row r="80" ht="15.0" customHeight="1">
      <c r="A80" s="1009"/>
      <c r="B80" s="1009"/>
      <c r="C80" s="1009"/>
      <c r="D80" s="1009"/>
      <c r="E80" s="1009"/>
      <c r="F80" s="1009"/>
      <c r="G80" s="1009"/>
      <c r="H80" s="1140"/>
      <c r="I80" s="1009"/>
      <c r="J80" s="1009"/>
      <c r="K80" s="1009"/>
      <c r="L80" s="1009"/>
      <c r="M80" s="1009"/>
      <c r="N80" s="1009"/>
      <c r="O80" s="1009"/>
      <c r="P80" s="1009"/>
      <c r="Q80" s="1009"/>
      <c r="R80" s="1009"/>
      <c r="S80" s="1009"/>
      <c r="T80" s="1009"/>
      <c r="U80" s="1009"/>
      <c r="V80" s="1009"/>
      <c r="W80" s="1009"/>
      <c r="X80" s="1009"/>
      <c r="Y80" s="1009"/>
      <c r="Z80" s="365"/>
    </row>
    <row r="81" ht="15.0" customHeight="1">
      <c r="A81" s="1009"/>
      <c r="B81" s="1009"/>
      <c r="C81" s="1009"/>
      <c r="D81" s="1009"/>
      <c r="E81" s="1009"/>
      <c r="F81" s="1009"/>
      <c r="G81" s="1009"/>
      <c r="H81" s="1140"/>
      <c r="I81" s="1009"/>
      <c r="J81" s="1009"/>
      <c r="K81" s="1009"/>
      <c r="L81" s="1009"/>
      <c r="M81" s="1009"/>
      <c r="N81" s="1009"/>
      <c r="O81" s="1009"/>
      <c r="P81" s="1009"/>
      <c r="Q81" s="1009"/>
      <c r="R81" s="1009"/>
      <c r="S81" s="1009"/>
      <c r="T81" s="1009"/>
      <c r="U81" s="1009"/>
      <c r="V81" s="1009"/>
      <c r="W81" s="1009"/>
      <c r="X81" s="1009"/>
      <c r="Y81" s="1009"/>
      <c r="Z81" s="365"/>
    </row>
    <row r="82" ht="15.0" customHeight="1">
      <c r="A82" s="1077"/>
      <c r="B82" s="1077"/>
      <c r="C82" s="1077"/>
      <c r="D82" s="1077"/>
      <c r="E82" s="1077"/>
      <c r="F82" s="1077"/>
      <c r="G82" s="1077"/>
      <c r="H82" s="1077"/>
      <c r="I82" s="1077"/>
      <c r="J82" s="1077"/>
      <c r="K82" s="1077"/>
      <c r="L82" s="1077"/>
      <c r="M82" s="1077"/>
      <c r="N82" s="1077"/>
      <c r="O82" s="1077"/>
      <c r="P82" s="1077"/>
      <c r="Q82" s="1077"/>
      <c r="R82" s="1077"/>
      <c r="S82" s="1077"/>
      <c r="T82" s="1077"/>
      <c r="U82" s="1077"/>
      <c r="V82" s="1077"/>
      <c r="W82" s="1077"/>
      <c r="X82" s="1077"/>
      <c r="Y82" s="1077"/>
      <c r="Z82" s="365"/>
    </row>
    <row r="83" ht="15.0" customHeight="1">
      <c r="A83" s="1009"/>
      <c r="B83" s="1009"/>
      <c r="C83" s="1009"/>
      <c r="D83" s="1009"/>
      <c r="E83" s="1009"/>
      <c r="F83" s="1009"/>
      <c r="G83" s="1009"/>
      <c r="H83" s="1140"/>
      <c r="I83" s="1009"/>
      <c r="J83" s="1009"/>
      <c r="K83" s="1009"/>
      <c r="L83" s="1009"/>
      <c r="M83" s="1009"/>
      <c r="N83" s="1009"/>
      <c r="O83" s="1009"/>
      <c r="P83" s="1009"/>
      <c r="Q83" s="1009"/>
      <c r="R83" s="1009"/>
      <c r="S83" s="1009"/>
      <c r="T83" s="1009"/>
      <c r="U83" s="1009"/>
      <c r="V83" s="1009"/>
      <c r="W83" s="1009"/>
      <c r="X83" s="1009"/>
      <c r="Y83" s="1009"/>
      <c r="Z83" s="365"/>
    </row>
    <row r="84" ht="15.0" customHeight="1">
      <c r="A84" s="1009"/>
      <c r="B84" s="1009"/>
      <c r="C84" s="1009"/>
      <c r="D84" s="1009"/>
      <c r="E84" s="1009"/>
      <c r="F84" s="1009"/>
      <c r="G84" s="1009"/>
      <c r="H84" s="1140"/>
      <c r="I84" s="1009"/>
      <c r="J84" s="1009"/>
      <c r="K84" s="1009"/>
      <c r="L84" s="1009"/>
      <c r="M84" s="1009"/>
      <c r="N84" s="1009"/>
      <c r="O84" s="1009"/>
      <c r="P84" s="1009"/>
      <c r="Q84" s="1009"/>
      <c r="R84" s="1009"/>
      <c r="S84" s="1009"/>
      <c r="T84" s="1009"/>
      <c r="U84" s="1009"/>
      <c r="V84" s="1009"/>
      <c r="W84" s="1009"/>
      <c r="X84" s="1009"/>
      <c r="Y84" s="1009"/>
      <c r="Z84" s="365"/>
    </row>
    <row r="85" ht="15.0" customHeight="1">
      <c r="A85" s="1009"/>
      <c r="B85" s="1009"/>
      <c r="C85" s="1009"/>
      <c r="D85" s="1009"/>
      <c r="E85" s="1009"/>
      <c r="F85" s="1009"/>
      <c r="G85" s="1009"/>
      <c r="H85" s="1140"/>
      <c r="I85" s="1009"/>
      <c r="J85" s="1009"/>
      <c r="K85" s="1009"/>
      <c r="L85" s="1009"/>
      <c r="M85" s="1009"/>
      <c r="N85" s="1009"/>
      <c r="O85" s="1009"/>
      <c r="P85" s="1009"/>
      <c r="Q85" s="1009"/>
      <c r="R85" s="1009"/>
      <c r="S85" s="1009"/>
      <c r="T85" s="1009"/>
      <c r="U85" s="1009"/>
      <c r="V85" s="1009"/>
      <c r="W85" s="1009"/>
      <c r="X85" s="1009"/>
      <c r="Y85" s="1009"/>
      <c r="Z85" s="365"/>
    </row>
    <row r="86" ht="15.0" customHeight="1">
      <c r="A86" s="1009"/>
      <c r="B86" s="1009"/>
      <c r="C86" s="1009"/>
      <c r="D86" s="1009"/>
      <c r="E86" s="1009"/>
      <c r="F86" s="1009"/>
      <c r="G86" s="1009"/>
      <c r="H86" s="1140"/>
      <c r="I86" s="1009"/>
      <c r="J86" s="1009"/>
      <c r="K86" s="1009"/>
      <c r="L86" s="1009"/>
      <c r="M86" s="1009"/>
      <c r="N86" s="1009"/>
      <c r="O86" s="1009"/>
      <c r="P86" s="1009"/>
      <c r="Q86" s="1009"/>
      <c r="R86" s="1009"/>
      <c r="S86" s="1009"/>
      <c r="T86" s="1009"/>
      <c r="U86" s="1009"/>
      <c r="V86" s="1009"/>
      <c r="W86" s="1009"/>
      <c r="X86" s="1009"/>
      <c r="Y86" s="1009"/>
      <c r="Z86" s="365"/>
    </row>
    <row r="87" ht="15.0" customHeight="1">
      <c r="A87" s="1009"/>
      <c r="B87" s="1009"/>
      <c r="C87" s="1009"/>
      <c r="D87" s="1009"/>
      <c r="E87" s="1009"/>
      <c r="F87" s="1009"/>
      <c r="G87" s="1009"/>
      <c r="H87" s="1140"/>
      <c r="I87" s="1009"/>
      <c r="J87" s="1009"/>
      <c r="K87" s="1009"/>
      <c r="L87" s="1009"/>
      <c r="M87" s="1009"/>
      <c r="N87" s="1009"/>
      <c r="O87" s="1009"/>
      <c r="P87" s="1009"/>
      <c r="Q87" s="1009"/>
      <c r="R87" s="1009"/>
      <c r="S87" s="1009"/>
      <c r="T87" s="1009"/>
      <c r="U87" s="1009"/>
      <c r="V87" s="1009"/>
      <c r="W87" s="1009"/>
      <c r="X87" s="1009"/>
      <c r="Y87" s="1009"/>
      <c r="Z87" s="365"/>
    </row>
    <row r="88" ht="15.0" customHeight="1">
      <c r="A88" s="1009"/>
      <c r="B88" s="1009"/>
      <c r="C88" s="1009"/>
      <c r="D88" s="1009"/>
      <c r="E88" s="1009"/>
      <c r="F88" s="1009"/>
      <c r="G88" s="1009"/>
      <c r="H88" s="1140"/>
      <c r="I88" s="1009"/>
      <c r="J88" s="1009"/>
      <c r="K88" s="1009"/>
      <c r="L88" s="1009"/>
      <c r="M88" s="1009"/>
      <c r="N88" s="1009"/>
      <c r="O88" s="1009"/>
      <c r="P88" s="1009"/>
      <c r="Q88" s="1009"/>
      <c r="R88" s="1009"/>
      <c r="S88" s="1009"/>
      <c r="T88" s="1009"/>
      <c r="U88" s="1009"/>
      <c r="V88" s="1009"/>
      <c r="W88" s="1009"/>
      <c r="X88" s="1009"/>
      <c r="Y88" s="1009"/>
      <c r="Z88" s="365"/>
    </row>
    <row r="89" ht="15.0" customHeight="1">
      <c r="A89" s="1009"/>
      <c r="B89" s="1009"/>
      <c r="C89" s="1009"/>
      <c r="D89" s="1009"/>
      <c r="E89" s="1009"/>
      <c r="F89" s="1009"/>
      <c r="G89" s="1009"/>
      <c r="H89" s="1140"/>
      <c r="I89" s="1009"/>
      <c r="J89" s="1009"/>
      <c r="K89" s="1009"/>
      <c r="L89" s="1009"/>
      <c r="M89" s="1009"/>
      <c r="N89" s="1009"/>
      <c r="O89" s="1009"/>
      <c r="P89" s="1009"/>
      <c r="Q89" s="1009"/>
      <c r="R89" s="1009"/>
      <c r="S89" s="1009"/>
      <c r="T89" s="1009"/>
      <c r="U89" s="1009"/>
      <c r="V89" s="1009"/>
      <c r="W89" s="1009"/>
      <c r="X89" s="1009"/>
      <c r="Y89" s="1009"/>
      <c r="Z89" s="365"/>
    </row>
    <row r="90" ht="15.0" customHeight="1">
      <c r="A90" s="1009"/>
      <c r="B90" s="1009"/>
      <c r="C90" s="1009"/>
      <c r="D90" s="1009"/>
      <c r="E90" s="1009"/>
      <c r="F90" s="1009"/>
      <c r="G90" s="1009"/>
      <c r="H90" s="1140"/>
      <c r="I90" s="1009"/>
      <c r="J90" s="1009"/>
      <c r="K90" s="1009"/>
      <c r="L90" s="1009"/>
      <c r="M90" s="1009"/>
      <c r="N90" s="1009"/>
      <c r="O90" s="1009"/>
      <c r="P90" s="1009"/>
      <c r="Q90" s="1009"/>
      <c r="R90" s="1009"/>
      <c r="S90" s="1009"/>
      <c r="T90" s="1009"/>
      <c r="U90" s="1009"/>
      <c r="V90" s="1009"/>
      <c r="W90" s="1009"/>
      <c r="X90" s="1009"/>
      <c r="Y90" s="1009"/>
      <c r="Z90" s="365"/>
    </row>
    <row r="91" ht="15.0" customHeight="1">
      <c r="A91" s="1009"/>
      <c r="B91" s="1009"/>
      <c r="C91" s="1009"/>
      <c r="D91" s="1009"/>
      <c r="E91" s="1009"/>
      <c r="F91" s="1009"/>
      <c r="G91" s="1009"/>
      <c r="H91" s="1140"/>
      <c r="I91" s="1009"/>
      <c r="J91" s="1009"/>
      <c r="K91" s="1009"/>
      <c r="L91" s="1009"/>
      <c r="M91" s="1009"/>
      <c r="N91" s="1009"/>
      <c r="O91" s="1009"/>
      <c r="P91" s="1009"/>
      <c r="Q91" s="1009"/>
      <c r="R91" s="1009"/>
      <c r="S91" s="1009"/>
      <c r="T91" s="1009"/>
      <c r="U91" s="1009"/>
      <c r="V91" s="1009"/>
      <c r="W91" s="1009"/>
      <c r="X91" s="1009"/>
      <c r="Y91" s="1009"/>
      <c r="Z91" s="365"/>
    </row>
    <row r="92" ht="15.0" customHeight="1">
      <c r="A92" s="1009"/>
      <c r="B92" s="1009"/>
      <c r="C92" s="1009"/>
      <c r="D92" s="1009"/>
      <c r="E92" s="1009"/>
      <c r="F92" s="1009"/>
      <c r="G92" s="1009"/>
      <c r="H92" s="1140"/>
      <c r="I92" s="1009"/>
      <c r="J92" s="1009"/>
      <c r="K92" s="1009"/>
      <c r="L92" s="1009"/>
      <c r="M92" s="1009"/>
      <c r="N92" s="1009"/>
      <c r="O92" s="1009"/>
      <c r="P92" s="1009"/>
      <c r="Q92" s="1009"/>
      <c r="R92" s="1009"/>
      <c r="S92" s="1009"/>
      <c r="T92" s="1009"/>
      <c r="U92" s="1009"/>
      <c r="V92" s="1009"/>
      <c r="W92" s="1009"/>
      <c r="X92" s="1009"/>
      <c r="Y92" s="1009"/>
      <c r="Z92" s="365"/>
    </row>
    <row r="93" ht="15.0" customHeight="1">
      <c r="A93" s="1009"/>
      <c r="B93" s="1009"/>
      <c r="C93" s="1009"/>
      <c r="D93" s="1009"/>
      <c r="E93" s="1009"/>
      <c r="F93" s="1009"/>
      <c r="G93" s="1009"/>
      <c r="H93" s="1140"/>
      <c r="I93" s="1009"/>
      <c r="J93" s="1009"/>
      <c r="K93" s="1009"/>
      <c r="L93" s="1009"/>
      <c r="M93" s="1009"/>
      <c r="N93" s="1009"/>
      <c r="O93" s="1009"/>
      <c r="P93" s="1009"/>
      <c r="Q93" s="1009"/>
      <c r="R93" s="1009"/>
      <c r="S93" s="1009"/>
      <c r="T93" s="1009"/>
      <c r="U93" s="1009"/>
      <c r="V93" s="1009"/>
      <c r="W93" s="1009"/>
      <c r="X93" s="1009"/>
      <c r="Y93" s="1009"/>
      <c r="Z93" s="365"/>
    </row>
    <row r="94" ht="15.0" customHeight="1">
      <c r="A94" s="1009"/>
      <c r="B94" s="1009"/>
      <c r="C94" s="1009"/>
      <c r="D94" s="1009"/>
      <c r="E94" s="1009"/>
      <c r="F94" s="1009"/>
      <c r="G94" s="1009"/>
      <c r="H94" s="1140"/>
      <c r="I94" s="1009"/>
      <c r="J94" s="1009"/>
      <c r="K94" s="1009"/>
      <c r="L94" s="1009"/>
      <c r="M94" s="1009"/>
      <c r="N94" s="1009"/>
      <c r="O94" s="1009"/>
      <c r="P94" s="1009"/>
      <c r="Q94" s="1009"/>
      <c r="R94" s="1009"/>
      <c r="S94" s="1009"/>
      <c r="T94" s="1009"/>
      <c r="U94" s="1009"/>
      <c r="V94" s="1009"/>
      <c r="W94" s="1009"/>
      <c r="X94" s="1009"/>
      <c r="Y94" s="1009"/>
      <c r="Z94" s="365"/>
    </row>
    <row r="95" ht="15.0" customHeight="1">
      <c r="A95" s="1009"/>
      <c r="B95" s="1009"/>
      <c r="C95" s="1009"/>
      <c r="D95" s="1009"/>
      <c r="E95" s="1009"/>
      <c r="F95" s="1009"/>
      <c r="G95" s="1009"/>
      <c r="H95" s="1140"/>
      <c r="I95" s="1009"/>
      <c r="J95" s="1009"/>
      <c r="K95" s="1009"/>
      <c r="L95" s="1009"/>
      <c r="M95" s="1009"/>
      <c r="N95" s="1009"/>
      <c r="O95" s="1009"/>
      <c r="P95" s="1009"/>
      <c r="Q95" s="1009"/>
      <c r="R95" s="1009"/>
      <c r="S95" s="1009"/>
      <c r="T95" s="1009"/>
      <c r="U95" s="1009"/>
      <c r="V95" s="1009"/>
      <c r="W95" s="1009"/>
      <c r="X95" s="1009"/>
      <c r="Y95" s="1009"/>
      <c r="Z95" s="365"/>
    </row>
    <row r="96" ht="15.0" customHeight="1">
      <c r="A96" s="1009"/>
      <c r="B96" s="1009"/>
      <c r="C96" s="1009"/>
      <c r="D96" s="1009"/>
      <c r="E96" s="1009"/>
      <c r="F96" s="1009"/>
      <c r="G96" s="1009"/>
      <c r="H96" s="1140"/>
      <c r="I96" s="1009"/>
      <c r="J96" s="1009"/>
      <c r="K96" s="1009"/>
      <c r="L96" s="1009"/>
      <c r="M96" s="1009"/>
      <c r="N96" s="1009"/>
      <c r="O96" s="1009"/>
      <c r="P96" s="1009"/>
      <c r="Q96" s="1009"/>
      <c r="R96" s="1009"/>
      <c r="S96" s="1009"/>
      <c r="T96" s="1009"/>
      <c r="U96" s="1009"/>
      <c r="V96" s="1009"/>
      <c r="W96" s="1009"/>
      <c r="X96" s="1009"/>
      <c r="Y96" s="1009"/>
      <c r="Z96" s="365"/>
    </row>
    <row r="97" ht="15.0" customHeight="1">
      <c r="A97" s="1009"/>
      <c r="B97" s="1009"/>
      <c r="C97" s="1009"/>
      <c r="D97" s="1009"/>
      <c r="E97" s="1009"/>
      <c r="F97" s="1009"/>
      <c r="G97" s="1009"/>
      <c r="H97" s="1140"/>
      <c r="I97" s="1009"/>
      <c r="J97" s="1009"/>
      <c r="K97" s="1009"/>
      <c r="L97" s="1009"/>
      <c r="M97" s="1009"/>
      <c r="N97" s="1009"/>
      <c r="O97" s="1009"/>
      <c r="P97" s="1009"/>
      <c r="Q97" s="1009"/>
      <c r="R97" s="1009"/>
      <c r="S97" s="1009"/>
      <c r="T97" s="1009"/>
      <c r="U97" s="1009"/>
      <c r="V97" s="1009"/>
      <c r="W97" s="1009"/>
      <c r="X97" s="1009"/>
      <c r="Y97" s="1009"/>
      <c r="Z97" s="365"/>
    </row>
    <row r="98" ht="15.0" customHeight="1">
      <c r="A98" s="1009"/>
      <c r="B98" s="1009"/>
      <c r="C98" s="1009"/>
      <c r="D98" s="1009"/>
      <c r="E98" s="1009"/>
      <c r="F98" s="1009"/>
      <c r="G98" s="1009"/>
      <c r="H98" s="1140"/>
      <c r="I98" s="1009"/>
      <c r="J98" s="1009"/>
      <c r="K98" s="1009"/>
      <c r="L98" s="1009"/>
      <c r="M98" s="1009"/>
      <c r="N98" s="1009"/>
      <c r="O98" s="1009"/>
      <c r="P98" s="1009"/>
      <c r="Q98" s="1009"/>
      <c r="R98" s="1009"/>
      <c r="S98" s="1009"/>
      <c r="T98" s="1009"/>
      <c r="U98" s="1009"/>
      <c r="V98" s="1009"/>
      <c r="W98" s="1009"/>
      <c r="X98" s="1009"/>
      <c r="Y98" s="1009"/>
      <c r="Z98" s="365"/>
    </row>
    <row r="99" ht="15.0" customHeight="1">
      <c r="A99" s="1009"/>
      <c r="B99" s="1009"/>
      <c r="C99" s="1009"/>
      <c r="D99" s="1009"/>
      <c r="E99" s="1009"/>
      <c r="F99" s="1009"/>
      <c r="G99" s="1009"/>
      <c r="H99" s="1140"/>
      <c r="I99" s="1009"/>
      <c r="J99" s="1009"/>
      <c r="K99" s="1009"/>
      <c r="L99" s="1009"/>
      <c r="M99" s="1009"/>
      <c r="N99" s="1009"/>
      <c r="O99" s="1009"/>
      <c r="P99" s="1009"/>
      <c r="Q99" s="1009"/>
      <c r="R99" s="1009"/>
      <c r="S99" s="1009"/>
      <c r="T99" s="1009"/>
      <c r="U99" s="1009"/>
      <c r="V99" s="1009"/>
      <c r="W99" s="1009"/>
      <c r="X99" s="1009"/>
      <c r="Y99" s="1009"/>
      <c r="Z99" s="365"/>
    </row>
    <row r="100" ht="15.0" customHeight="1">
      <c r="A100" s="1009"/>
      <c r="B100" s="1009"/>
      <c r="C100" s="1009"/>
      <c r="D100" s="1009"/>
      <c r="E100" s="1009"/>
      <c r="F100" s="1009"/>
      <c r="G100" s="1009"/>
      <c r="H100" s="1140"/>
      <c r="I100" s="1009"/>
      <c r="J100" s="1009"/>
      <c r="K100" s="1009"/>
      <c r="L100" s="1009"/>
      <c r="M100" s="1009"/>
      <c r="N100" s="1009"/>
      <c r="O100" s="1009"/>
      <c r="P100" s="1009"/>
      <c r="Q100" s="1009"/>
      <c r="R100" s="1009"/>
      <c r="S100" s="1009"/>
      <c r="T100" s="1009"/>
      <c r="U100" s="1009"/>
      <c r="V100" s="1009"/>
      <c r="W100" s="1009"/>
      <c r="X100" s="1009"/>
      <c r="Y100" s="1009"/>
      <c r="Z100" s="365"/>
    </row>
    <row r="101" ht="15.0" customHeight="1">
      <c r="A101" s="1009"/>
      <c r="B101" s="1009"/>
      <c r="C101" s="1009"/>
      <c r="D101" s="1009"/>
      <c r="E101" s="1009"/>
      <c r="F101" s="1009"/>
      <c r="G101" s="1009"/>
      <c r="H101" s="1140"/>
      <c r="I101" s="1009"/>
      <c r="J101" s="1009"/>
      <c r="K101" s="1009"/>
      <c r="L101" s="1009"/>
      <c r="M101" s="1009"/>
      <c r="N101" s="1009"/>
      <c r="O101" s="1009"/>
      <c r="P101" s="1009"/>
      <c r="Q101" s="1009"/>
      <c r="R101" s="1009"/>
      <c r="S101" s="1009"/>
      <c r="T101" s="1009"/>
      <c r="U101" s="1009"/>
      <c r="V101" s="1009"/>
      <c r="W101" s="1009"/>
      <c r="X101" s="1009"/>
      <c r="Y101" s="1009"/>
      <c r="Z101" s="365"/>
    </row>
    <row r="102" ht="15.0" customHeight="1">
      <c r="A102" s="1009"/>
      <c r="B102" s="1009"/>
      <c r="C102" s="1009"/>
      <c r="D102" s="1009"/>
      <c r="E102" s="1009"/>
      <c r="F102" s="1009"/>
      <c r="G102" s="1009"/>
      <c r="H102" s="1140"/>
      <c r="I102" s="1009"/>
      <c r="J102" s="1009"/>
      <c r="K102" s="1009"/>
      <c r="L102" s="1009"/>
      <c r="M102" s="1009"/>
      <c r="N102" s="1009"/>
      <c r="O102" s="1009"/>
      <c r="P102" s="1009"/>
      <c r="Q102" s="1009"/>
      <c r="R102" s="1009"/>
      <c r="S102" s="1009"/>
      <c r="T102" s="1009"/>
      <c r="U102" s="1009"/>
      <c r="V102" s="1009"/>
      <c r="W102" s="1009"/>
      <c r="X102" s="1009"/>
      <c r="Y102" s="1009"/>
      <c r="Z102" s="365"/>
    </row>
    <row r="103" ht="15.0" customHeight="1">
      <c r="A103" s="1009"/>
      <c r="B103" s="1009"/>
      <c r="C103" s="1009"/>
      <c r="D103" s="1009"/>
      <c r="E103" s="1009"/>
      <c r="F103" s="1009"/>
      <c r="G103" s="1009"/>
      <c r="H103" s="1140"/>
      <c r="I103" s="1009"/>
      <c r="J103" s="1009"/>
      <c r="K103" s="1009"/>
      <c r="L103" s="1009"/>
      <c r="M103" s="1009"/>
      <c r="N103" s="1009"/>
      <c r="O103" s="1009"/>
      <c r="P103" s="1009"/>
      <c r="Q103" s="1009"/>
      <c r="R103" s="1009"/>
      <c r="S103" s="1009"/>
      <c r="T103" s="1009"/>
      <c r="U103" s="1009"/>
      <c r="V103" s="1009"/>
      <c r="W103" s="1009"/>
      <c r="X103" s="1009"/>
      <c r="Y103" s="1009"/>
      <c r="Z103" s="365"/>
    </row>
    <row r="104" ht="15.0" customHeight="1">
      <c r="A104" s="1009"/>
      <c r="B104" s="1009"/>
      <c r="C104" s="1009"/>
      <c r="D104" s="1009"/>
      <c r="E104" s="1009"/>
      <c r="F104" s="1009"/>
      <c r="G104" s="1009"/>
      <c r="H104" s="1140"/>
      <c r="I104" s="1009"/>
      <c r="J104" s="1009"/>
      <c r="K104" s="1009"/>
      <c r="L104" s="1009"/>
      <c r="M104" s="1009"/>
      <c r="N104" s="1009"/>
      <c r="O104" s="1009"/>
      <c r="P104" s="1009"/>
      <c r="Q104" s="1009"/>
      <c r="R104" s="1009"/>
      <c r="S104" s="1009"/>
      <c r="T104" s="1009"/>
      <c r="U104" s="1009"/>
      <c r="V104" s="1009"/>
      <c r="W104" s="1009"/>
      <c r="X104" s="1009"/>
      <c r="Y104" s="1009"/>
      <c r="Z104" s="365"/>
    </row>
    <row r="105" ht="15.0" customHeight="1">
      <c r="A105" s="1009"/>
      <c r="B105" s="1009"/>
      <c r="C105" s="1009"/>
      <c r="D105" s="1009"/>
      <c r="E105" s="1009"/>
      <c r="F105" s="1009"/>
      <c r="G105" s="1009"/>
      <c r="H105" s="1140"/>
      <c r="I105" s="1009"/>
      <c r="J105" s="1009"/>
      <c r="K105" s="1009"/>
      <c r="L105" s="1009"/>
      <c r="M105" s="1009"/>
      <c r="N105" s="1009"/>
      <c r="O105" s="1009"/>
      <c r="P105" s="1009"/>
      <c r="Q105" s="1009"/>
      <c r="R105" s="1009"/>
      <c r="S105" s="1009"/>
      <c r="T105" s="1009"/>
      <c r="U105" s="1009"/>
      <c r="V105" s="1009"/>
      <c r="W105" s="1009"/>
      <c r="X105" s="1009"/>
      <c r="Y105" s="1009"/>
      <c r="Z105" s="365"/>
    </row>
    <row r="106" ht="15.0" customHeight="1">
      <c r="A106" s="1009"/>
      <c r="B106" s="1009"/>
      <c r="C106" s="1009"/>
      <c r="D106" s="1009"/>
      <c r="E106" s="1009"/>
      <c r="F106" s="1009"/>
      <c r="G106" s="1009"/>
      <c r="H106" s="1140"/>
      <c r="I106" s="1009"/>
      <c r="J106" s="1009"/>
      <c r="K106" s="1009"/>
      <c r="L106" s="1009"/>
      <c r="M106" s="1009"/>
      <c r="N106" s="1009"/>
      <c r="O106" s="1009"/>
      <c r="P106" s="1009"/>
      <c r="Q106" s="1009"/>
      <c r="R106" s="1009"/>
      <c r="S106" s="1009"/>
      <c r="T106" s="1009"/>
      <c r="U106" s="1009"/>
      <c r="V106" s="1009"/>
      <c r="W106" s="1009"/>
      <c r="X106" s="1009"/>
      <c r="Y106" s="1009"/>
      <c r="Z106" s="365"/>
    </row>
    <row r="107" ht="15.0" customHeight="1">
      <c r="A107" s="1009"/>
      <c r="B107" s="1009"/>
      <c r="C107" s="1009"/>
      <c r="D107" s="1009"/>
      <c r="E107" s="1009"/>
      <c r="F107" s="1009"/>
      <c r="G107" s="1009"/>
      <c r="H107" s="1140"/>
      <c r="I107" s="1009"/>
      <c r="J107" s="1009"/>
      <c r="K107" s="1009"/>
      <c r="L107" s="1009"/>
      <c r="M107" s="1009"/>
      <c r="N107" s="1009"/>
      <c r="O107" s="1009"/>
      <c r="P107" s="1009"/>
      <c r="Q107" s="1009"/>
      <c r="R107" s="1009"/>
      <c r="S107" s="1009"/>
      <c r="T107" s="1009"/>
      <c r="U107" s="1009"/>
      <c r="V107" s="1009"/>
      <c r="W107" s="1009"/>
      <c r="X107" s="1009"/>
      <c r="Y107" s="1009"/>
      <c r="Z107" s="365"/>
    </row>
    <row r="108" ht="15.0" customHeight="1">
      <c r="A108" s="1009"/>
      <c r="B108" s="1009"/>
      <c r="C108" s="1009"/>
      <c r="D108" s="1009"/>
      <c r="E108" s="1009"/>
      <c r="F108" s="1009"/>
      <c r="G108" s="1009"/>
      <c r="H108" s="1140"/>
      <c r="I108" s="1009"/>
      <c r="J108" s="1009"/>
      <c r="K108" s="1009"/>
      <c r="L108" s="1009"/>
      <c r="M108" s="1009"/>
      <c r="N108" s="1009"/>
      <c r="O108" s="1009"/>
      <c r="P108" s="1009"/>
      <c r="Q108" s="1009"/>
      <c r="R108" s="1009"/>
      <c r="S108" s="1009"/>
      <c r="T108" s="1009"/>
      <c r="U108" s="1009"/>
      <c r="V108" s="1009"/>
      <c r="W108" s="1009"/>
      <c r="X108" s="1009"/>
      <c r="Y108" s="1009"/>
      <c r="Z108" s="365"/>
    </row>
    <row r="109" ht="15.0" customHeight="1">
      <c r="A109" s="1009"/>
      <c r="B109" s="1009"/>
      <c r="C109" s="1009"/>
      <c r="D109" s="1009"/>
      <c r="E109" s="1009"/>
      <c r="F109" s="1009"/>
      <c r="G109" s="1009"/>
      <c r="H109" s="1140"/>
      <c r="I109" s="1009"/>
      <c r="J109" s="1009"/>
      <c r="K109" s="1009"/>
      <c r="L109" s="1009"/>
      <c r="M109" s="1009"/>
      <c r="N109" s="1009"/>
      <c r="O109" s="1009"/>
      <c r="P109" s="1009"/>
      <c r="Q109" s="1009"/>
      <c r="R109" s="1009"/>
      <c r="S109" s="1009"/>
      <c r="T109" s="1009"/>
      <c r="U109" s="1009"/>
      <c r="V109" s="1009"/>
      <c r="W109" s="1009"/>
      <c r="X109" s="1009"/>
      <c r="Y109" s="1009"/>
      <c r="Z109" s="365"/>
    </row>
    <row r="110" ht="15.0" customHeight="1">
      <c r="A110" s="1009"/>
      <c r="B110" s="1009"/>
      <c r="C110" s="1009"/>
      <c r="D110" s="1009"/>
      <c r="E110" s="1009"/>
      <c r="F110" s="1009"/>
      <c r="G110" s="1009"/>
      <c r="H110" s="1140"/>
      <c r="I110" s="1009"/>
      <c r="J110" s="1009"/>
      <c r="K110" s="1009"/>
      <c r="L110" s="1009"/>
      <c r="M110" s="1009"/>
      <c r="N110" s="1009"/>
      <c r="O110" s="1009"/>
      <c r="P110" s="1009"/>
      <c r="Q110" s="1009"/>
      <c r="R110" s="1009"/>
      <c r="S110" s="1009"/>
      <c r="T110" s="1009"/>
      <c r="U110" s="1009"/>
      <c r="V110" s="1009"/>
      <c r="W110" s="1009"/>
      <c r="X110" s="1009"/>
      <c r="Y110" s="1009"/>
      <c r="Z110" s="365"/>
    </row>
    <row r="111" ht="15.0" customHeight="1">
      <c r="A111" s="1009"/>
      <c r="B111" s="1009"/>
      <c r="C111" s="1009"/>
      <c r="D111" s="1009"/>
      <c r="E111" s="1009"/>
      <c r="F111" s="1009"/>
      <c r="G111" s="1009"/>
      <c r="H111" s="1140"/>
      <c r="I111" s="1009"/>
      <c r="J111" s="1009"/>
      <c r="K111" s="1009"/>
      <c r="L111" s="1009"/>
      <c r="M111" s="1009"/>
      <c r="N111" s="1009"/>
      <c r="O111" s="1009"/>
      <c r="P111" s="1009"/>
      <c r="Q111" s="1009"/>
      <c r="R111" s="1009"/>
      <c r="S111" s="1009"/>
      <c r="T111" s="1009"/>
      <c r="U111" s="1009"/>
      <c r="V111" s="1009"/>
      <c r="W111" s="1009"/>
      <c r="X111" s="1009"/>
      <c r="Y111" s="1009"/>
      <c r="Z111" s="365"/>
    </row>
    <row r="112" ht="15.0" customHeight="1">
      <c r="A112" s="1009"/>
      <c r="B112" s="1009"/>
      <c r="C112" s="1009"/>
      <c r="D112" s="1009"/>
      <c r="E112" s="1009"/>
      <c r="F112" s="1009"/>
      <c r="G112" s="1009"/>
      <c r="H112" s="1140"/>
      <c r="I112" s="1009"/>
      <c r="J112" s="1009"/>
      <c r="K112" s="1009"/>
      <c r="L112" s="1009"/>
      <c r="M112" s="1009"/>
      <c r="N112" s="1009"/>
      <c r="O112" s="1009"/>
      <c r="P112" s="1009"/>
      <c r="Q112" s="1009"/>
      <c r="R112" s="1009"/>
      <c r="S112" s="1009"/>
      <c r="T112" s="1009"/>
      <c r="U112" s="1009"/>
      <c r="V112" s="1009"/>
      <c r="W112" s="1009"/>
      <c r="X112" s="1009"/>
      <c r="Y112" s="1009"/>
      <c r="Z112" s="365"/>
    </row>
    <row r="113" ht="15.0" customHeight="1">
      <c r="A113" s="1009"/>
      <c r="B113" s="1009"/>
      <c r="C113" s="1009"/>
      <c r="D113" s="1009"/>
      <c r="E113" s="1009"/>
      <c r="F113" s="1009"/>
      <c r="G113" s="1009"/>
      <c r="H113" s="1140"/>
      <c r="I113" s="1009"/>
      <c r="J113" s="1009"/>
      <c r="K113" s="1009"/>
      <c r="L113" s="1009"/>
      <c r="M113" s="1009"/>
      <c r="N113" s="1009"/>
      <c r="O113" s="1009"/>
      <c r="P113" s="1009"/>
      <c r="Q113" s="1009"/>
      <c r="R113" s="1009"/>
      <c r="S113" s="1009"/>
      <c r="T113" s="1009"/>
      <c r="U113" s="1009"/>
      <c r="V113" s="1009"/>
      <c r="W113" s="1009"/>
      <c r="X113" s="1009"/>
      <c r="Y113" s="1009"/>
      <c r="Z113" s="365"/>
    </row>
    <row r="114" ht="15.0" customHeight="1">
      <c r="A114" s="1009"/>
      <c r="B114" s="1009"/>
      <c r="C114" s="1009"/>
      <c r="D114" s="1009"/>
      <c r="E114" s="1009"/>
      <c r="F114" s="1009"/>
      <c r="G114" s="1009"/>
      <c r="H114" s="1140"/>
      <c r="I114" s="1009"/>
      <c r="J114" s="1009"/>
      <c r="K114" s="1009"/>
      <c r="L114" s="1009"/>
      <c r="M114" s="1009"/>
      <c r="N114" s="1009"/>
      <c r="O114" s="1009"/>
      <c r="P114" s="1009"/>
      <c r="Q114" s="1009"/>
      <c r="R114" s="1009"/>
      <c r="S114" s="1009"/>
      <c r="T114" s="1009"/>
      <c r="U114" s="1009"/>
      <c r="V114" s="1009"/>
      <c r="W114" s="1009"/>
      <c r="X114" s="1009"/>
      <c r="Y114" s="1009"/>
      <c r="Z114" s="365"/>
    </row>
    <row r="115" ht="15.0" customHeight="1">
      <c r="A115" s="1009"/>
      <c r="B115" s="1009"/>
      <c r="C115" s="1009"/>
      <c r="D115" s="1009"/>
      <c r="E115" s="1009"/>
      <c r="F115" s="1009"/>
      <c r="G115" s="1009"/>
      <c r="H115" s="1140"/>
      <c r="I115" s="1009"/>
      <c r="J115" s="1009"/>
      <c r="K115" s="1009"/>
      <c r="L115" s="1009"/>
      <c r="M115" s="1009"/>
      <c r="N115" s="1009"/>
      <c r="O115" s="1009"/>
      <c r="P115" s="1009"/>
      <c r="Q115" s="1009"/>
      <c r="R115" s="1009"/>
      <c r="S115" s="1009"/>
      <c r="T115" s="1009"/>
      <c r="U115" s="1009"/>
      <c r="V115" s="1009"/>
      <c r="W115" s="1009"/>
      <c r="X115" s="1009"/>
      <c r="Y115" s="1009"/>
      <c r="Z115" s="365"/>
    </row>
    <row r="116" ht="15.0" customHeight="1">
      <c r="A116" s="1009"/>
      <c r="B116" s="1009"/>
      <c r="C116" s="1009"/>
      <c r="D116" s="1009"/>
      <c r="E116" s="1009"/>
      <c r="F116" s="1009"/>
      <c r="G116" s="1009"/>
      <c r="H116" s="1140"/>
      <c r="I116" s="1009"/>
      <c r="J116" s="1009"/>
      <c r="K116" s="1009"/>
      <c r="L116" s="1009"/>
      <c r="M116" s="1009"/>
      <c r="N116" s="1009"/>
      <c r="O116" s="1009"/>
      <c r="P116" s="1009"/>
      <c r="Q116" s="1009"/>
      <c r="R116" s="1009"/>
      <c r="S116" s="1009"/>
      <c r="T116" s="1009"/>
      <c r="U116" s="1009"/>
      <c r="V116" s="1009"/>
      <c r="W116" s="1009"/>
      <c r="X116" s="1009"/>
      <c r="Y116" s="1009"/>
      <c r="Z116" s="365"/>
    </row>
    <row r="117" ht="15.0" customHeight="1">
      <c r="A117" s="1009"/>
      <c r="B117" s="1009"/>
      <c r="C117" s="1009"/>
      <c r="D117" s="1009"/>
      <c r="E117" s="1009"/>
      <c r="F117" s="1009"/>
      <c r="G117" s="1009"/>
      <c r="H117" s="1140"/>
      <c r="I117" s="1009"/>
      <c r="J117" s="1009"/>
      <c r="K117" s="1009"/>
      <c r="L117" s="1009"/>
      <c r="M117" s="1009"/>
      <c r="N117" s="1009"/>
      <c r="O117" s="1009"/>
      <c r="P117" s="1009"/>
      <c r="Q117" s="1009"/>
      <c r="R117" s="1009"/>
      <c r="S117" s="1009"/>
      <c r="T117" s="1009"/>
      <c r="U117" s="1009"/>
      <c r="V117" s="1009"/>
      <c r="W117" s="1009"/>
      <c r="X117" s="1009"/>
      <c r="Y117" s="1009"/>
      <c r="Z117" s="365"/>
    </row>
    <row r="118" ht="15.0" customHeight="1">
      <c r="A118" s="1009"/>
      <c r="B118" s="1009"/>
      <c r="C118" s="1009"/>
      <c r="D118" s="1009"/>
      <c r="E118" s="1009"/>
      <c r="F118" s="1009"/>
      <c r="G118" s="1009"/>
      <c r="H118" s="1140"/>
      <c r="I118" s="1009"/>
      <c r="J118" s="1009"/>
      <c r="K118" s="1009"/>
      <c r="L118" s="1009"/>
      <c r="M118" s="1009"/>
      <c r="N118" s="1009"/>
      <c r="O118" s="1009"/>
      <c r="P118" s="1009"/>
      <c r="Q118" s="1009"/>
      <c r="R118" s="1009"/>
      <c r="S118" s="1009"/>
      <c r="T118" s="1009"/>
      <c r="U118" s="1009"/>
      <c r="V118" s="1009"/>
      <c r="W118" s="1009"/>
      <c r="X118" s="1009"/>
      <c r="Y118" s="1009"/>
      <c r="Z118" s="365"/>
    </row>
    <row r="119" ht="15.0" customHeight="1">
      <c r="A119" s="1009"/>
      <c r="B119" s="1009"/>
      <c r="C119" s="1009"/>
      <c r="D119" s="1009"/>
      <c r="E119" s="1009"/>
      <c r="F119" s="1009"/>
      <c r="G119" s="1009"/>
      <c r="H119" s="1140"/>
      <c r="I119" s="1009"/>
      <c r="J119" s="1009"/>
      <c r="K119" s="1009"/>
      <c r="L119" s="1009"/>
      <c r="M119" s="1009"/>
      <c r="N119" s="1009"/>
      <c r="O119" s="1009"/>
      <c r="P119" s="1009"/>
      <c r="Q119" s="1009"/>
      <c r="R119" s="1009"/>
      <c r="S119" s="1009"/>
      <c r="T119" s="1009"/>
      <c r="U119" s="1009"/>
      <c r="V119" s="1009"/>
      <c r="W119" s="1009"/>
      <c r="X119" s="1009"/>
      <c r="Y119" s="1009"/>
      <c r="Z119" s="365"/>
    </row>
    <row r="120" ht="15.0" customHeight="1">
      <c r="A120" s="1009"/>
      <c r="B120" s="1009"/>
      <c r="C120" s="1009"/>
      <c r="D120" s="1009"/>
      <c r="E120" s="1009"/>
      <c r="F120" s="1009"/>
      <c r="G120" s="1009"/>
      <c r="H120" s="1140"/>
      <c r="I120" s="1009"/>
      <c r="J120" s="1009"/>
      <c r="K120" s="1009"/>
      <c r="L120" s="1009"/>
      <c r="M120" s="1009"/>
      <c r="N120" s="1009"/>
      <c r="O120" s="1009"/>
      <c r="P120" s="1009"/>
      <c r="Q120" s="1009"/>
      <c r="R120" s="1009"/>
      <c r="S120" s="1009"/>
      <c r="T120" s="1009"/>
      <c r="U120" s="1009"/>
      <c r="V120" s="1009"/>
      <c r="W120" s="1009"/>
      <c r="X120" s="1009"/>
      <c r="Y120" s="1009"/>
      <c r="Z120" s="365"/>
    </row>
    <row r="121" ht="15.0" customHeight="1">
      <c r="A121" s="1009"/>
      <c r="B121" s="1009"/>
      <c r="C121" s="1009"/>
      <c r="D121" s="1009"/>
      <c r="E121" s="1009"/>
      <c r="F121" s="1009"/>
      <c r="G121" s="1009"/>
      <c r="H121" s="1140"/>
      <c r="I121" s="1009"/>
      <c r="J121" s="1009"/>
      <c r="K121" s="1009"/>
      <c r="L121" s="1009"/>
      <c r="M121" s="1009"/>
      <c r="N121" s="1009"/>
      <c r="O121" s="1009"/>
      <c r="P121" s="1009"/>
      <c r="Q121" s="1009"/>
      <c r="R121" s="1009"/>
      <c r="S121" s="1009"/>
      <c r="T121" s="1009"/>
      <c r="U121" s="1009"/>
      <c r="V121" s="1009"/>
      <c r="W121" s="1009"/>
      <c r="X121" s="1009"/>
      <c r="Y121" s="1009"/>
      <c r="Z121" s="365"/>
    </row>
    <row r="122" ht="15.0" customHeight="1">
      <c r="A122" s="1009"/>
      <c r="B122" s="1009"/>
      <c r="C122" s="1009"/>
      <c r="D122" s="1009"/>
      <c r="E122" s="1009"/>
      <c r="F122" s="1009"/>
      <c r="G122" s="1009"/>
      <c r="H122" s="1140"/>
      <c r="I122" s="1009"/>
      <c r="J122" s="1009"/>
      <c r="K122" s="1009"/>
      <c r="L122" s="1009"/>
      <c r="M122" s="1009"/>
      <c r="N122" s="1009"/>
      <c r="O122" s="1009"/>
      <c r="P122" s="1009"/>
      <c r="Q122" s="1009"/>
      <c r="R122" s="1009"/>
      <c r="S122" s="1009"/>
      <c r="T122" s="1009"/>
      <c r="U122" s="1009"/>
      <c r="V122" s="1009"/>
      <c r="W122" s="1009"/>
      <c r="X122" s="1009"/>
      <c r="Y122" s="1009"/>
      <c r="Z122" s="365"/>
    </row>
    <row r="123" ht="15.0" customHeight="1">
      <c r="A123" s="1009"/>
      <c r="B123" s="1009"/>
      <c r="C123" s="1009"/>
      <c r="D123" s="1009"/>
      <c r="E123" s="1009"/>
      <c r="F123" s="1009"/>
      <c r="G123" s="1009"/>
      <c r="H123" s="1140"/>
      <c r="I123" s="1009"/>
      <c r="J123" s="1009"/>
      <c r="K123" s="1009"/>
      <c r="L123" s="1009"/>
      <c r="M123" s="1009"/>
      <c r="N123" s="1009"/>
      <c r="O123" s="1009"/>
      <c r="P123" s="1009"/>
      <c r="Q123" s="1009"/>
      <c r="R123" s="1009"/>
      <c r="S123" s="1009"/>
      <c r="T123" s="1009"/>
      <c r="U123" s="1009"/>
      <c r="V123" s="1009"/>
      <c r="W123" s="1009"/>
      <c r="X123" s="1009"/>
      <c r="Y123" s="1009"/>
      <c r="Z123" s="365"/>
    </row>
    <row r="124" ht="15.0" customHeight="1">
      <c r="A124" s="1009"/>
      <c r="B124" s="1009"/>
      <c r="C124" s="1009"/>
      <c r="D124" s="1009"/>
      <c r="E124" s="1009"/>
      <c r="F124" s="1009"/>
      <c r="G124" s="1009"/>
      <c r="H124" s="1140"/>
      <c r="I124" s="1009"/>
      <c r="J124" s="1009"/>
      <c r="K124" s="1009"/>
      <c r="L124" s="1009"/>
      <c r="M124" s="1009"/>
      <c r="N124" s="1009"/>
      <c r="O124" s="1009"/>
      <c r="P124" s="1009"/>
      <c r="Q124" s="1009"/>
      <c r="R124" s="1009"/>
      <c r="S124" s="1009"/>
      <c r="T124" s="1009"/>
      <c r="U124" s="1009"/>
      <c r="V124" s="1009"/>
      <c r="W124" s="1009"/>
      <c r="X124" s="1009"/>
      <c r="Y124" s="1009"/>
      <c r="Z124" s="365"/>
    </row>
    <row r="125" ht="15.0" customHeight="1">
      <c r="A125" s="1009"/>
      <c r="B125" s="1009"/>
      <c r="C125" s="1009"/>
      <c r="D125" s="1009"/>
      <c r="E125" s="1009"/>
      <c r="F125" s="1009"/>
      <c r="G125" s="1009"/>
      <c r="H125" s="1140"/>
      <c r="I125" s="1009"/>
      <c r="J125" s="1009"/>
      <c r="K125" s="1009"/>
      <c r="L125" s="1009"/>
      <c r="M125" s="1009"/>
      <c r="N125" s="1009"/>
      <c r="O125" s="1009"/>
      <c r="P125" s="1009"/>
      <c r="Q125" s="1009"/>
      <c r="R125" s="1009"/>
      <c r="S125" s="1009"/>
      <c r="T125" s="1009"/>
      <c r="U125" s="1009"/>
      <c r="V125" s="1009"/>
      <c r="W125" s="1009"/>
      <c r="X125" s="1009"/>
      <c r="Y125" s="1009"/>
      <c r="Z125" s="365"/>
    </row>
    <row r="126" ht="15.0" customHeight="1">
      <c r="A126" s="1009"/>
      <c r="B126" s="1009"/>
      <c r="C126" s="1009"/>
      <c r="D126" s="1009"/>
      <c r="E126" s="1009"/>
      <c r="F126" s="1009"/>
      <c r="G126" s="1009"/>
      <c r="H126" s="1140"/>
      <c r="I126" s="1009"/>
      <c r="J126" s="1009"/>
      <c r="K126" s="1009"/>
      <c r="L126" s="1009"/>
      <c r="M126" s="1009"/>
      <c r="N126" s="1009"/>
      <c r="O126" s="1009"/>
      <c r="P126" s="1009"/>
      <c r="Q126" s="1009"/>
      <c r="R126" s="1009"/>
      <c r="S126" s="1009"/>
      <c r="T126" s="1009"/>
      <c r="U126" s="1009"/>
      <c r="V126" s="1009"/>
      <c r="W126" s="1009"/>
      <c r="X126" s="1009"/>
      <c r="Y126" s="1009"/>
      <c r="Z126" s="365"/>
    </row>
    <row r="127" ht="15.0" customHeight="1">
      <c r="A127" s="1009"/>
      <c r="B127" s="1009"/>
      <c r="C127" s="1009"/>
      <c r="D127" s="1009"/>
      <c r="E127" s="1009"/>
      <c r="F127" s="1009"/>
      <c r="G127" s="1009"/>
      <c r="H127" s="1140"/>
      <c r="I127" s="1009"/>
      <c r="J127" s="1009"/>
      <c r="K127" s="1009"/>
      <c r="L127" s="1009"/>
      <c r="M127" s="1009"/>
      <c r="N127" s="1009"/>
      <c r="O127" s="1009"/>
      <c r="P127" s="1009"/>
      <c r="Q127" s="1009"/>
      <c r="R127" s="1009"/>
      <c r="S127" s="1009"/>
      <c r="T127" s="1009"/>
      <c r="U127" s="1009"/>
      <c r="V127" s="1009"/>
      <c r="W127" s="1009"/>
      <c r="X127" s="1009"/>
      <c r="Y127" s="1009"/>
      <c r="Z127" s="365"/>
    </row>
    <row r="128" ht="15.0" customHeight="1">
      <c r="A128" s="1009"/>
      <c r="B128" s="1009"/>
      <c r="C128" s="1009"/>
      <c r="D128" s="1009"/>
      <c r="E128" s="1009"/>
      <c r="F128" s="1009"/>
      <c r="G128" s="1009"/>
      <c r="H128" s="1140"/>
      <c r="I128" s="1009"/>
      <c r="J128" s="1009"/>
      <c r="K128" s="1009"/>
      <c r="L128" s="1009"/>
      <c r="M128" s="1009"/>
      <c r="N128" s="1009"/>
      <c r="O128" s="1009"/>
      <c r="P128" s="1009"/>
      <c r="Q128" s="1009"/>
      <c r="R128" s="1009"/>
      <c r="S128" s="1009"/>
      <c r="T128" s="1009"/>
      <c r="U128" s="1009"/>
      <c r="V128" s="1009"/>
      <c r="W128" s="1009"/>
      <c r="X128" s="1009"/>
      <c r="Y128" s="1009"/>
      <c r="Z128" s="365"/>
    </row>
    <row r="129" ht="15.0" customHeight="1">
      <c r="A129" s="1009"/>
      <c r="B129" s="1009"/>
      <c r="C129" s="1009"/>
      <c r="D129" s="1009"/>
      <c r="E129" s="1009"/>
      <c r="F129" s="1009"/>
      <c r="G129" s="1009"/>
      <c r="H129" s="1140"/>
      <c r="I129" s="1009"/>
      <c r="J129" s="1009"/>
      <c r="K129" s="1009"/>
      <c r="L129" s="1009"/>
      <c r="M129" s="1009"/>
      <c r="N129" s="1009"/>
      <c r="O129" s="1009"/>
      <c r="P129" s="1009"/>
      <c r="Q129" s="1009"/>
      <c r="R129" s="1009"/>
      <c r="S129" s="1009"/>
      <c r="T129" s="1009"/>
      <c r="U129" s="1009"/>
      <c r="V129" s="1009"/>
      <c r="W129" s="1009"/>
      <c r="X129" s="1009"/>
      <c r="Y129" s="1009"/>
      <c r="Z129" s="365"/>
    </row>
    <row r="130" ht="15.0" customHeight="1">
      <c r="A130" s="1009"/>
      <c r="B130" s="1009"/>
      <c r="C130" s="1009"/>
      <c r="D130" s="1009"/>
      <c r="E130" s="1009"/>
      <c r="F130" s="1009"/>
      <c r="G130" s="1009"/>
      <c r="H130" s="1140"/>
      <c r="I130" s="1009"/>
      <c r="J130" s="1009"/>
      <c r="K130" s="1009"/>
      <c r="L130" s="1009"/>
      <c r="M130" s="1009"/>
      <c r="N130" s="1009"/>
      <c r="O130" s="1009"/>
      <c r="P130" s="1009"/>
      <c r="Q130" s="1009"/>
      <c r="R130" s="1009"/>
      <c r="S130" s="1009"/>
      <c r="T130" s="1009"/>
      <c r="U130" s="1009"/>
      <c r="V130" s="1009"/>
      <c r="W130" s="1009"/>
      <c r="X130" s="1009"/>
      <c r="Y130" s="1009"/>
      <c r="Z130" s="365"/>
    </row>
    <row r="131" ht="15.0" customHeight="1">
      <c r="A131" s="1009"/>
      <c r="B131" s="1009"/>
      <c r="C131" s="1009"/>
      <c r="D131" s="1009"/>
      <c r="E131" s="1009"/>
      <c r="F131" s="1009"/>
      <c r="G131" s="1009"/>
      <c r="H131" s="1140"/>
      <c r="I131" s="1009"/>
      <c r="J131" s="1009"/>
      <c r="K131" s="1009"/>
      <c r="L131" s="1009"/>
      <c r="M131" s="1009"/>
      <c r="N131" s="1009"/>
      <c r="O131" s="1009"/>
      <c r="P131" s="1009"/>
      <c r="Q131" s="1009"/>
      <c r="R131" s="1009"/>
      <c r="S131" s="1009"/>
      <c r="T131" s="1009"/>
      <c r="U131" s="1009"/>
      <c r="V131" s="1009"/>
      <c r="W131" s="1009"/>
      <c r="X131" s="1009"/>
      <c r="Y131" s="1009"/>
      <c r="Z131" s="365"/>
    </row>
    <row r="132" ht="15.0" customHeight="1">
      <c r="A132" s="1009"/>
      <c r="B132" s="1009"/>
      <c r="C132" s="1009"/>
      <c r="D132" s="1009"/>
      <c r="E132" s="1009"/>
      <c r="F132" s="1009"/>
      <c r="G132" s="1009"/>
      <c r="H132" s="1140"/>
      <c r="I132" s="1009"/>
      <c r="J132" s="1009"/>
      <c r="K132" s="1009"/>
      <c r="L132" s="1009"/>
      <c r="M132" s="1009"/>
      <c r="N132" s="1009"/>
      <c r="O132" s="1009"/>
      <c r="P132" s="1009"/>
      <c r="Q132" s="1009"/>
      <c r="R132" s="1009"/>
      <c r="S132" s="1009"/>
      <c r="T132" s="1009"/>
      <c r="U132" s="1009"/>
      <c r="V132" s="1009"/>
      <c r="W132" s="1009"/>
      <c r="X132" s="1009"/>
      <c r="Y132" s="1009"/>
      <c r="Z132" s="365"/>
    </row>
    <row r="133" ht="15.0" customHeight="1">
      <c r="A133" s="1009"/>
      <c r="B133" s="1009"/>
      <c r="C133" s="1009"/>
      <c r="D133" s="1009"/>
      <c r="E133" s="1009"/>
      <c r="F133" s="1009"/>
      <c r="G133" s="1009"/>
      <c r="H133" s="1140"/>
      <c r="I133" s="1009"/>
      <c r="J133" s="1009"/>
      <c r="K133" s="1009"/>
      <c r="L133" s="1009"/>
      <c r="M133" s="1009"/>
      <c r="N133" s="1009"/>
      <c r="O133" s="1009"/>
      <c r="P133" s="1009"/>
      <c r="Q133" s="1009"/>
      <c r="R133" s="1009"/>
      <c r="S133" s="1009"/>
      <c r="T133" s="1009"/>
      <c r="U133" s="1009"/>
      <c r="V133" s="1009"/>
      <c r="W133" s="1009"/>
      <c r="X133" s="1009"/>
      <c r="Y133" s="1009"/>
      <c r="Z133" s="365"/>
    </row>
    <row r="134" ht="15.0" customHeight="1">
      <c r="A134" s="1009"/>
      <c r="B134" s="1009"/>
      <c r="C134" s="1009"/>
      <c r="D134" s="1009"/>
      <c r="E134" s="1009"/>
      <c r="F134" s="1009"/>
      <c r="G134" s="1009"/>
      <c r="H134" s="1140"/>
      <c r="I134" s="1009"/>
      <c r="J134" s="1009"/>
      <c r="K134" s="1009"/>
      <c r="L134" s="1009"/>
      <c r="M134" s="1009"/>
      <c r="N134" s="1009"/>
      <c r="O134" s="1009"/>
      <c r="P134" s="1009"/>
      <c r="Q134" s="1009"/>
      <c r="R134" s="1009"/>
      <c r="S134" s="1009"/>
      <c r="T134" s="1009"/>
      <c r="U134" s="1009"/>
      <c r="V134" s="1009"/>
      <c r="W134" s="1009"/>
      <c r="X134" s="1009"/>
      <c r="Y134" s="1009"/>
      <c r="Z134" s="365"/>
    </row>
    <row r="135" ht="15.0" customHeight="1">
      <c r="A135" s="1009"/>
      <c r="B135" s="1009"/>
      <c r="C135" s="1009"/>
      <c r="D135" s="1009"/>
      <c r="E135" s="1009"/>
      <c r="F135" s="1009"/>
      <c r="G135" s="1009"/>
      <c r="H135" s="1140"/>
      <c r="I135" s="1009"/>
      <c r="J135" s="1009"/>
      <c r="K135" s="1009"/>
      <c r="L135" s="1009"/>
      <c r="M135" s="1009"/>
      <c r="N135" s="1009"/>
      <c r="O135" s="1009"/>
      <c r="P135" s="1009"/>
      <c r="Q135" s="1009"/>
      <c r="R135" s="1009"/>
      <c r="S135" s="1009"/>
      <c r="T135" s="1009"/>
      <c r="U135" s="1009"/>
      <c r="V135" s="1009"/>
      <c r="W135" s="1009"/>
      <c r="X135" s="1009"/>
      <c r="Y135" s="1009"/>
      <c r="Z135" s="365"/>
    </row>
    <row r="136" ht="15.0" customHeight="1">
      <c r="A136" s="1009"/>
      <c r="B136" s="1009"/>
      <c r="C136" s="1009"/>
      <c r="D136" s="1009"/>
      <c r="E136" s="1009"/>
      <c r="F136" s="1009"/>
      <c r="G136" s="1009"/>
      <c r="H136" s="1140"/>
      <c r="I136" s="1009"/>
      <c r="J136" s="1009"/>
      <c r="K136" s="1009"/>
      <c r="L136" s="1009"/>
      <c r="M136" s="1009"/>
      <c r="N136" s="1009"/>
      <c r="O136" s="1009"/>
      <c r="P136" s="1009"/>
      <c r="Q136" s="1009"/>
      <c r="R136" s="1009"/>
      <c r="S136" s="1009"/>
      <c r="T136" s="1009"/>
      <c r="U136" s="1009"/>
      <c r="V136" s="1009"/>
      <c r="W136" s="1009"/>
      <c r="X136" s="1009"/>
      <c r="Y136" s="1009"/>
      <c r="Z136" s="365"/>
    </row>
    <row r="137" ht="15.0" customHeight="1">
      <c r="A137" s="1009"/>
      <c r="B137" s="1009"/>
      <c r="C137" s="1009"/>
      <c r="D137" s="1009"/>
      <c r="E137" s="1009"/>
      <c r="F137" s="1009"/>
      <c r="G137" s="1009"/>
      <c r="H137" s="1140"/>
      <c r="I137" s="1009"/>
      <c r="J137" s="1009"/>
      <c r="K137" s="1009"/>
      <c r="L137" s="1009"/>
      <c r="M137" s="1009"/>
      <c r="N137" s="1009"/>
      <c r="O137" s="1009"/>
      <c r="P137" s="1009"/>
      <c r="Q137" s="1009"/>
      <c r="R137" s="1009"/>
      <c r="S137" s="1009"/>
      <c r="T137" s="1009"/>
      <c r="U137" s="1009"/>
      <c r="V137" s="1009"/>
      <c r="W137" s="1009"/>
      <c r="X137" s="1009"/>
      <c r="Y137" s="1009"/>
      <c r="Z137" s="365"/>
    </row>
    <row r="138" ht="15.0" customHeight="1">
      <c r="A138" s="1009"/>
      <c r="B138" s="1009"/>
      <c r="C138" s="1009"/>
      <c r="D138" s="1009"/>
      <c r="E138" s="1009"/>
      <c r="F138" s="1009"/>
      <c r="G138" s="1009"/>
      <c r="H138" s="1140"/>
      <c r="I138" s="1009"/>
      <c r="J138" s="1009"/>
      <c r="K138" s="1009"/>
      <c r="L138" s="1009"/>
      <c r="M138" s="1009"/>
      <c r="N138" s="1009"/>
      <c r="O138" s="1009"/>
      <c r="P138" s="1009"/>
      <c r="Q138" s="1009"/>
      <c r="R138" s="1009"/>
      <c r="S138" s="1009"/>
      <c r="T138" s="1009"/>
      <c r="U138" s="1009"/>
      <c r="V138" s="1009"/>
      <c r="W138" s="1009"/>
      <c r="X138" s="1009"/>
      <c r="Y138" s="1009"/>
      <c r="Z138" s="365"/>
    </row>
    <row r="139" ht="15.0" customHeight="1">
      <c r="A139" s="1009"/>
      <c r="B139" s="1009"/>
      <c r="C139" s="1009"/>
      <c r="D139" s="1009"/>
      <c r="E139" s="1009"/>
      <c r="F139" s="1009"/>
      <c r="G139" s="1009"/>
      <c r="H139" s="1140"/>
      <c r="I139" s="1009"/>
      <c r="J139" s="1009"/>
      <c r="K139" s="1009"/>
      <c r="L139" s="1009"/>
      <c r="M139" s="1009"/>
      <c r="N139" s="1009"/>
      <c r="O139" s="1009"/>
      <c r="P139" s="1009"/>
      <c r="Q139" s="1009"/>
      <c r="R139" s="1009"/>
      <c r="S139" s="1009"/>
      <c r="T139" s="1009"/>
      <c r="U139" s="1009"/>
      <c r="V139" s="1009"/>
      <c r="W139" s="1009"/>
      <c r="X139" s="1009"/>
      <c r="Y139" s="1009"/>
      <c r="Z139" s="365"/>
    </row>
    <row r="140" ht="15.0" customHeight="1">
      <c r="A140" s="1009"/>
      <c r="B140" s="1009"/>
      <c r="C140" s="1009"/>
      <c r="D140" s="1009"/>
      <c r="E140" s="1009"/>
      <c r="F140" s="1009"/>
      <c r="G140" s="1009"/>
      <c r="H140" s="1140"/>
      <c r="I140" s="1009"/>
      <c r="J140" s="1009"/>
      <c r="K140" s="1009"/>
      <c r="L140" s="1009"/>
      <c r="M140" s="1009"/>
      <c r="N140" s="1009"/>
      <c r="O140" s="1009"/>
      <c r="P140" s="1009"/>
      <c r="Q140" s="1009"/>
      <c r="R140" s="1009"/>
      <c r="S140" s="1009"/>
      <c r="T140" s="1009"/>
      <c r="U140" s="1009"/>
      <c r="V140" s="1009"/>
      <c r="W140" s="1009"/>
      <c r="X140" s="1009"/>
      <c r="Y140" s="1009"/>
      <c r="Z140" s="365"/>
    </row>
    <row r="141" ht="15.0" customHeight="1">
      <c r="A141" s="1009"/>
      <c r="B141" s="1009"/>
      <c r="C141" s="1009"/>
      <c r="D141" s="1009"/>
      <c r="E141" s="1009"/>
      <c r="F141" s="1009"/>
      <c r="G141" s="1009"/>
      <c r="H141" s="1140"/>
      <c r="I141" s="1009"/>
      <c r="J141" s="1009"/>
      <c r="K141" s="1009"/>
      <c r="L141" s="1009"/>
      <c r="M141" s="1009"/>
      <c r="N141" s="1009"/>
      <c r="O141" s="1009"/>
      <c r="P141" s="1009"/>
      <c r="Q141" s="1009"/>
      <c r="R141" s="1009"/>
      <c r="S141" s="1009"/>
      <c r="T141" s="1009"/>
      <c r="U141" s="1009"/>
      <c r="V141" s="1009"/>
      <c r="W141" s="1009"/>
      <c r="X141" s="1009"/>
      <c r="Y141" s="1009"/>
      <c r="Z141" s="365"/>
    </row>
    <row r="142" ht="15.0" customHeight="1">
      <c r="A142" s="1009"/>
      <c r="B142" s="1009"/>
      <c r="C142" s="1009"/>
      <c r="D142" s="1009"/>
      <c r="E142" s="1009"/>
      <c r="F142" s="1009"/>
      <c r="G142" s="1009"/>
      <c r="H142" s="1140"/>
      <c r="I142" s="1009"/>
      <c r="J142" s="1009"/>
      <c r="K142" s="1009"/>
      <c r="L142" s="1009"/>
      <c r="M142" s="1009"/>
      <c r="N142" s="1009"/>
      <c r="O142" s="1009"/>
      <c r="P142" s="1009"/>
      <c r="Q142" s="1009"/>
      <c r="R142" s="1009"/>
      <c r="S142" s="1009"/>
      <c r="T142" s="1009"/>
      <c r="U142" s="1009"/>
      <c r="V142" s="1009"/>
      <c r="W142" s="1009"/>
      <c r="X142" s="1009"/>
      <c r="Y142" s="1009"/>
      <c r="Z142" s="365"/>
    </row>
    <row r="143" ht="15.0" customHeight="1">
      <c r="A143" s="1009"/>
      <c r="B143" s="1009"/>
      <c r="C143" s="1009"/>
      <c r="D143" s="1009"/>
      <c r="E143" s="1009"/>
      <c r="F143" s="1009"/>
      <c r="G143" s="1009"/>
      <c r="H143" s="1140"/>
      <c r="I143" s="1009"/>
      <c r="J143" s="1009"/>
      <c r="K143" s="1009"/>
      <c r="L143" s="1009"/>
      <c r="M143" s="1009"/>
      <c r="N143" s="1009"/>
      <c r="O143" s="1009"/>
      <c r="P143" s="1009"/>
      <c r="Q143" s="1009"/>
      <c r="R143" s="1009"/>
      <c r="S143" s="1009"/>
      <c r="T143" s="1009"/>
      <c r="U143" s="1009"/>
      <c r="V143" s="1009"/>
      <c r="W143" s="1009"/>
      <c r="X143" s="1009"/>
      <c r="Y143" s="1009"/>
      <c r="Z143" s="365"/>
    </row>
    <row r="144" ht="15.0" customHeight="1">
      <c r="A144" s="1009"/>
      <c r="B144" s="1009"/>
      <c r="C144" s="1009"/>
      <c r="D144" s="1009"/>
      <c r="E144" s="1009"/>
      <c r="F144" s="1009"/>
      <c r="G144" s="1009"/>
      <c r="H144" s="1140"/>
      <c r="I144" s="1009"/>
      <c r="J144" s="1009"/>
      <c r="K144" s="1009"/>
      <c r="L144" s="1009"/>
      <c r="M144" s="1009"/>
      <c r="N144" s="1009"/>
      <c r="O144" s="1009"/>
      <c r="P144" s="1009"/>
      <c r="Q144" s="1009"/>
      <c r="R144" s="1009"/>
      <c r="S144" s="1009"/>
      <c r="T144" s="1009"/>
      <c r="U144" s="1009"/>
      <c r="V144" s="1009"/>
      <c r="W144" s="1009"/>
      <c r="X144" s="1009"/>
      <c r="Y144" s="1009"/>
      <c r="Z144" s="365"/>
    </row>
    <row r="145" ht="15.0" customHeight="1">
      <c r="A145" s="1009"/>
      <c r="B145" s="1009"/>
      <c r="C145" s="1009"/>
      <c r="D145" s="1009"/>
      <c r="E145" s="1009"/>
      <c r="F145" s="1009"/>
      <c r="G145" s="1009"/>
      <c r="H145" s="1140"/>
      <c r="I145" s="1009"/>
      <c r="J145" s="1009"/>
      <c r="K145" s="1009"/>
      <c r="L145" s="1009"/>
      <c r="M145" s="1009"/>
      <c r="N145" s="1009"/>
      <c r="O145" s="1009"/>
      <c r="P145" s="1009"/>
      <c r="Q145" s="1009"/>
      <c r="R145" s="1009"/>
      <c r="S145" s="1009"/>
      <c r="T145" s="1009"/>
      <c r="U145" s="1009"/>
      <c r="V145" s="1009"/>
      <c r="W145" s="1009"/>
      <c r="X145" s="1009"/>
      <c r="Y145" s="1009"/>
      <c r="Z145" s="365"/>
    </row>
    <row r="146" ht="15.0" customHeight="1">
      <c r="A146" s="1009"/>
      <c r="B146" s="1009"/>
      <c r="C146" s="1009"/>
      <c r="D146" s="1009"/>
      <c r="E146" s="1009"/>
      <c r="F146" s="1009"/>
      <c r="G146" s="1009"/>
      <c r="H146" s="1140"/>
      <c r="I146" s="1009"/>
      <c r="J146" s="1009"/>
      <c r="K146" s="1009"/>
      <c r="L146" s="1009"/>
      <c r="M146" s="1009"/>
      <c r="N146" s="1009"/>
      <c r="O146" s="1009"/>
      <c r="P146" s="1009"/>
      <c r="Q146" s="1009"/>
      <c r="R146" s="1009"/>
      <c r="S146" s="1009"/>
      <c r="T146" s="1009"/>
      <c r="U146" s="1009"/>
      <c r="V146" s="1009"/>
      <c r="W146" s="1009"/>
      <c r="X146" s="1009"/>
      <c r="Y146" s="1009"/>
      <c r="Z146" s="365"/>
    </row>
    <row r="147" ht="15.0" customHeight="1">
      <c r="A147" s="1009"/>
      <c r="B147" s="1009"/>
      <c r="C147" s="1009"/>
      <c r="D147" s="1009"/>
      <c r="E147" s="1009"/>
      <c r="F147" s="1009"/>
      <c r="G147" s="1009"/>
      <c r="H147" s="1140"/>
      <c r="I147" s="1009"/>
      <c r="J147" s="1009"/>
      <c r="K147" s="1009"/>
      <c r="L147" s="1009"/>
      <c r="M147" s="1009"/>
      <c r="N147" s="1009"/>
      <c r="O147" s="1009"/>
      <c r="P147" s="1009"/>
      <c r="Q147" s="1009"/>
      <c r="R147" s="1009"/>
      <c r="S147" s="1009"/>
      <c r="T147" s="1009"/>
      <c r="U147" s="1009"/>
      <c r="V147" s="1009"/>
      <c r="W147" s="1009"/>
      <c r="X147" s="1009"/>
      <c r="Y147" s="1009"/>
      <c r="Z147" s="365"/>
    </row>
    <row r="148" ht="15.0" customHeight="1">
      <c r="A148" s="1009"/>
      <c r="B148" s="1009"/>
      <c r="C148" s="1009"/>
      <c r="D148" s="1009"/>
      <c r="E148" s="1009"/>
      <c r="F148" s="1009"/>
      <c r="G148" s="1009"/>
      <c r="H148" s="1140"/>
      <c r="I148" s="1009"/>
      <c r="J148" s="1009"/>
      <c r="K148" s="1009"/>
      <c r="L148" s="1009"/>
      <c r="M148" s="1009"/>
      <c r="N148" s="1009"/>
      <c r="O148" s="1009"/>
      <c r="P148" s="1009"/>
      <c r="Q148" s="1009"/>
      <c r="R148" s="1009"/>
      <c r="S148" s="1009"/>
      <c r="T148" s="1009"/>
      <c r="U148" s="1009"/>
      <c r="V148" s="1009"/>
      <c r="W148" s="1009"/>
      <c r="X148" s="1009"/>
      <c r="Y148" s="1009"/>
      <c r="Z148" s="365"/>
    </row>
    <row r="149" ht="15.0" customHeight="1">
      <c r="A149" s="1009"/>
      <c r="B149" s="1009"/>
      <c r="C149" s="1009"/>
      <c r="D149" s="1009"/>
      <c r="E149" s="1009"/>
      <c r="F149" s="1009"/>
      <c r="G149" s="1009"/>
      <c r="H149" s="1140"/>
      <c r="I149" s="1009"/>
      <c r="J149" s="1009"/>
      <c r="K149" s="1009"/>
      <c r="L149" s="1009"/>
      <c r="M149" s="1009"/>
      <c r="N149" s="1009"/>
      <c r="O149" s="1009"/>
      <c r="P149" s="1009"/>
      <c r="Q149" s="1009"/>
      <c r="R149" s="1009"/>
      <c r="S149" s="1009"/>
      <c r="T149" s="1009"/>
      <c r="U149" s="1009"/>
      <c r="V149" s="1009"/>
      <c r="W149" s="1009"/>
      <c r="X149" s="1009"/>
      <c r="Y149" s="1009"/>
      <c r="Z149" s="365"/>
    </row>
    <row r="150" ht="15.0" customHeight="1">
      <c r="A150" s="1009"/>
      <c r="B150" s="1009"/>
      <c r="C150" s="1009"/>
      <c r="D150" s="1009"/>
      <c r="E150" s="1009"/>
      <c r="F150" s="1009"/>
      <c r="G150" s="1009"/>
      <c r="H150" s="1140"/>
      <c r="I150" s="1009"/>
      <c r="J150" s="1009"/>
      <c r="K150" s="1009"/>
      <c r="L150" s="1009"/>
      <c r="M150" s="1009"/>
      <c r="N150" s="1009"/>
      <c r="O150" s="1009"/>
      <c r="P150" s="1009"/>
      <c r="Q150" s="1009"/>
      <c r="R150" s="1009"/>
      <c r="S150" s="1009"/>
      <c r="T150" s="1009"/>
      <c r="U150" s="1009"/>
      <c r="V150" s="1009"/>
      <c r="W150" s="1009"/>
      <c r="X150" s="1009"/>
      <c r="Y150" s="1009"/>
      <c r="Z150" s="365"/>
    </row>
    <row r="151" ht="15.0" customHeight="1">
      <c r="A151" s="1009"/>
      <c r="B151" s="1009"/>
      <c r="C151" s="1009"/>
      <c r="D151" s="1009"/>
      <c r="E151" s="1009"/>
      <c r="F151" s="1009"/>
      <c r="G151" s="1009"/>
      <c r="H151" s="1140"/>
      <c r="I151" s="1009"/>
      <c r="J151" s="1009"/>
      <c r="K151" s="1009"/>
      <c r="L151" s="1009"/>
      <c r="M151" s="1009"/>
      <c r="N151" s="1009"/>
      <c r="O151" s="1009"/>
      <c r="P151" s="1009"/>
      <c r="Q151" s="1009"/>
      <c r="R151" s="1009"/>
      <c r="S151" s="1009"/>
      <c r="T151" s="1009"/>
      <c r="U151" s="1009"/>
      <c r="V151" s="1009"/>
      <c r="W151" s="1009"/>
      <c r="X151" s="1009"/>
      <c r="Y151" s="1009"/>
      <c r="Z151" s="365"/>
    </row>
    <row r="152" ht="15.0" customHeight="1">
      <c r="A152" s="1009"/>
      <c r="B152" s="1009"/>
      <c r="C152" s="1009"/>
      <c r="D152" s="1009"/>
      <c r="E152" s="1009"/>
      <c r="F152" s="1009"/>
      <c r="G152" s="1009"/>
      <c r="H152" s="1140"/>
      <c r="I152" s="1009"/>
      <c r="J152" s="1009"/>
      <c r="K152" s="1009"/>
      <c r="L152" s="1009"/>
      <c r="M152" s="1009"/>
      <c r="N152" s="1009"/>
      <c r="O152" s="1009"/>
      <c r="P152" s="1009"/>
      <c r="Q152" s="1009"/>
      <c r="R152" s="1009"/>
      <c r="S152" s="1009"/>
      <c r="T152" s="1009"/>
      <c r="U152" s="1009"/>
      <c r="V152" s="1009"/>
      <c r="W152" s="1009"/>
      <c r="X152" s="1009"/>
      <c r="Y152" s="1009"/>
      <c r="Z152" s="365"/>
    </row>
    <row r="153" ht="15.0" customHeight="1">
      <c r="A153" s="1009"/>
      <c r="B153" s="1009"/>
      <c r="C153" s="1009"/>
      <c r="D153" s="1009"/>
      <c r="E153" s="1009"/>
      <c r="F153" s="1009"/>
      <c r="G153" s="1009"/>
      <c r="H153" s="1140"/>
      <c r="I153" s="1009"/>
      <c r="J153" s="1009"/>
      <c r="K153" s="1009"/>
      <c r="L153" s="1009"/>
      <c r="M153" s="1009"/>
      <c r="N153" s="1009"/>
      <c r="O153" s="1009"/>
      <c r="P153" s="1009"/>
      <c r="Q153" s="1009"/>
      <c r="R153" s="1009"/>
      <c r="S153" s="1009"/>
      <c r="T153" s="1009"/>
      <c r="U153" s="1009"/>
      <c r="V153" s="1009"/>
      <c r="W153" s="1009"/>
      <c r="X153" s="1009"/>
      <c r="Y153" s="1009"/>
      <c r="Z153" s="365"/>
    </row>
    <row r="154" ht="15.0" customHeight="1">
      <c r="A154" s="1009"/>
      <c r="B154" s="1009"/>
      <c r="C154" s="1009"/>
      <c r="D154" s="1009"/>
      <c r="E154" s="1009"/>
      <c r="F154" s="1009"/>
      <c r="G154" s="1009"/>
      <c r="H154" s="1140"/>
      <c r="I154" s="1009"/>
      <c r="J154" s="1009"/>
      <c r="K154" s="1009"/>
      <c r="L154" s="1009"/>
      <c r="M154" s="1009"/>
      <c r="N154" s="1009"/>
      <c r="O154" s="1009"/>
      <c r="P154" s="1009"/>
      <c r="Q154" s="1009"/>
      <c r="R154" s="1009"/>
      <c r="S154" s="1009"/>
      <c r="T154" s="1009"/>
      <c r="U154" s="1009"/>
      <c r="V154" s="1009"/>
      <c r="W154" s="1009"/>
      <c r="X154" s="1009"/>
      <c r="Y154" s="1009"/>
      <c r="Z154" s="365"/>
    </row>
    <row r="155" ht="15.0" customHeight="1">
      <c r="A155" s="1009"/>
      <c r="B155" s="1009"/>
      <c r="C155" s="1009"/>
      <c r="D155" s="1009"/>
      <c r="E155" s="1009"/>
      <c r="F155" s="1009"/>
      <c r="G155" s="1009"/>
      <c r="H155" s="1140"/>
      <c r="I155" s="1009"/>
      <c r="J155" s="1009"/>
      <c r="K155" s="1009"/>
      <c r="L155" s="1009"/>
      <c r="M155" s="1009"/>
      <c r="N155" s="1009"/>
      <c r="O155" s="1009"/>
      <c r="P155" s="1009"/>
      <c r="Q155" s="1009"/>
      <c r="R155" s="1009"/>
      <c r="S155" s="1009"/>
      <c r="T155" s="1009"/>
      <c r="U155" s="1009"/>
      <c r="V155" s="1009"/>
      <c r="W155" s="1009"/>
      <c r="X155" s="1009"/>
      <c r="Y155" s="1009"/>
      <c r="Z155" s="365"/>
    </row>
    <row r="156" ht="15.0" customHeight="1">
      <c r="A156" s="1009"/>
      <c r="B156" s="1009"/>
      <c r="C156" s="1009"/>
      <c r="D156" s="1009"/>
      <c r="E156" s="1009"/>
      <c r="F156" s="1009"/>
      <c r="G156" s="1009"/>
      <c r="H156" s="1140"/>
      <c r="I156" s="1009"/>
      <c r="J156" s="1009"/>
      <c r="K156" s="1009"/>
      <c r="L156" s="1009"/>
      <c r="M156" s="1009"/>
      <c r="N156" s="1009"/>
      <c r="O156" s="1009"/>
      <c r="P156" s="1009"/>
      <c r="Q156" s="1009"/>
      <c r="R156" s="1009"/>
      <c r="S156" s="1009"/>
      <c r="T156" s="1009"/>
      <c r="U156" s="1009"/>
      <c r="V156" s="1009"/>
      <c r="W156" s="1009"/>
      <c r="X156" s="1009"/>
      <c r="Y156" s="1009"/>
      <c r="Z156" s="365"/>
    </row>
    <row r="157" ht="15.0" customHeight="1">
      <c r="A157" s="1009"/>
      <c r="B157" s="1009"/>
      <c r="C157" s="1009"/>
      <c r="D157" s="1009"/>
      <c r="E157" s="1009"/>
      <c r="F157" s="1009"/>
      <c r="G157" s="1009"/>
      <c r="H157" s="1140"/>
      <c r="I157" s="1009"/>
      <c r="J157" s="1009"/>
      <c r="K157" s="1009"/>
      <c r="L157" s="1009"/>
      <c r="M157" s="1009"/>
      <c r="N157" s="1009"/>
      <c r="O157" s="1009"/>
      <c r="P157" s="1009"/>
      <c r="Q157" s="1009"/>
      <c r="R157" s="1009"/>
      <c r="S157" s="1009"/>
      <c r="T157" s="1009"/>
      <c r="U157" s="1009"/>
      <c r="V157" s="1009"/>
      <c r="W157" s="1009"/>
      <c r="X157" s="1009"/>
      <c r="Y157" s="1009"/>
      <c r="Z157" s="365"/>
    </row>
    <row r="158" ht="15.0" customHeight="1">
      <c r="A158" s="1009"/>
      <c r="B158" s="1009"/>
      <c r="C158" s="1009"/>
      <c r="D158" s="1009"/>
      <c r="E158" s="1009"/>
      <c r="F158" s="1009"/>
      <c r="G158" s="1009"/>
      <c r="H158" s="1140"/>
      <c r="I158" s="1009"/>
      <c r="J158" s="1009"/>
      <c r="K158" s="1009"/>
      <c r="L158" s="1009"/>
      <c r="M158" s="1009"/>
      <c r="N158" s="1009"/>
      <c r="O158" s="1009"/>
      <c r="P158" s="1009"/>
      <c r="Q158" s="1009"/>
      <c r="R158" s="1009"/>
      <c r="S158" s="1009"/>
      <c r="T158" s="1009"/>
      <c r="U158" s="1009"/>
      <c r="V158" s="1009"/>
      <c r="W158" s="1009"/>
      <c r="X158" s="1009"/>
      <c r="Y158" s="1009"/>
      <c r="Z158" s="365"/>
    </row>
    <row r="159" ht="15.0" customHeight="1">
      <c r="A159" s="1009"/>
      <c r="B159" s="1009"/>
      <c r="C159" s="1009"/>
      <c r="D159" s="1009"/>
      <c r="E159" s="1009"/>
      <c r="F159" s="1009"/>
      <c r="G159" s="1009"/>
      <c r="H159" s="1140"/>
      <c r="I159" s="1009"/>
      <c r="J159" s="1009"/>
      <c r="K159" s="1009"/>
      <c r="L159" s="1009"/>
      <c r="M159" s="1009"/>
      <c r="N159" s="1009"/>
      <c r="O159" s="1009"/>
      <c r="P159" s="1009"/>
      <c r="Q159" s="1009"/>
      <c r="R159" s="1009"/>
      <c r="S159" s="1009"/>
      <c r="T159" s="1009"/>
      <c r="U159" s="1009"/>
      <c r="V159" s="1009"/>
      <c r="W159" s="1009"/>
      <c r="X159" s="1009"/>
      <c r="Y159" s="1009"/>
      <c r="Z159" s="365"/>
    </row>
    <row r="160" ht="15.0" customHeight="1">
      <c r="A160" s="1009"/>
      <c r="B160" s="1009"/>
      <c r="C160" s="1009"/>
      <c r="D160" s="1009"/>
      <c r="E160" s="1009"/>
      <c r="F160" s="1009"/>
      <c r="G160" s="1009"/>
      <c r="H160" s="1140"/>
      <c r="I160" s="1009"/>
      <c r="J160" s="1009"/>
      <c r="K160" s="1009"/>
      <c r="L160" s="1009"/>
      <c r="M160" s="1009"/>
      <c r="N160" s="1009"/>
      <c r="O160" s="1009"/>
      <c r="P160" s="1009"/>
      <c r="Q160" s="1009"/>
      <c r="R160" s="1009"/>
      <c r="S160" s="1009"/>
      <c r="T160" s="1009"/>
      <c r="U160" s="1009"/>
      <c r="V160" s="1009"/>
      <c r="W160" s="1009"/>
      <c r="X160" s="1009"/>
      <c r="Y160" s="1009"/>
      <c r="Z160" s="365"/>
    </row>
    <row r="161" ht="15.0" customHeight="1">
      <c r="A161" s="1009"/>
      <c r="B161" s="1009"/>
      <c r="C161" s="1009"/>
      <c r="D161" s="1009"/>
      <c r="E161" s="1009"/>
      <c r="F161" s="1009"/>
      <c r="G161" s="1009"/>
      <c r="H161" s="1140"/>
      <c r="I161" s="1009"/>
      <c r="J161" s="1009"/>
      <c r="K161" s="1009"/>
      <c r="L161" s="1009"/>
      <c r="M161" s="1009"/>
      <c r="N161" s="1009"/>
      <c r="O161" s="1009"/>
      <c r="P161" s="1009"/>
      <c r="Q161" s="1009"/>
      <c r="R161" s="1009"/>
      <c r="S161" s="1009"/>
      <c r="T161" s="1009"/>
      <c r="U161" s="1009"/>
      <c r="V161" s="1009"/>
      <c r="W161" s="1009"/>
      <c r="X161" s="1009"/>
      <c r="Y161" s="1009"/>
      <c r="Z161" s="365"/>
    </row>
    <row r="162" ht="15.0" customHeight="1">
      <c r="A162" s="1009"/>
      <c r="B162" s="1009"/>
      <c r="C162" s="1009"/>
      <c r="D162" s="1009"/>
      <c r="E162" s="1009"/>
      <c r="F162" s="1009"/>
      <c r="G162" s="1009"/>
      <c r="H162" s="1140"/>
      <c r="I162" s="1009"/>
      <c r="J162" s="1009"/>
      <c r="K162" s="1009"/>
      <c r="L162" s="1009"/>
      <c r="M162" s="1009"/>
      <c r="N162" s="1009"/>
      <c r="O162" s="1009"/>
      <c r="P162" s="1009"/>
      <c r="Q162" s="1009"/>
      <c r="R162" s="1009"/>
      <c r="S162" s="1009"/>
      <c r="T162" s="1009"/>
      <c r="U162" s="1009"/>
      <c r="V162" s="1009"/>
      <c r="W162" s="1009"/>
      <c r="X162" s="1009"/>
      <c r="Y162" s="1009"/>
      <c r="Z162" s="365"/>
    </row>
    <row r="163" ht="15.0" customHeight="1">
      <c r="A163" s="1009"/>
      <c r="B163" s="1009"/>
      <c r="C163" s="1009"/>
      <c r="D163" s="1009"/>
      <c r="E163" s="1009"/>
      <c r="F163" s="1009"/>
      <c r="G163" s="1009"/>
      <c r="H163" s="1140"/>
      <c r="I163" s="1009"/>
      <c r="J163" s="1009"/>
      <c r="K163" s="1009"/>
      <c r="L163" s="1009"/>
      <c r="M163" s="1009"/>
      <c r="N163" s="1009"/>
      <c r="O163" s="1009"/>
      <c r="P163" s="1009"/>
      <c r="Q163" s="1009"/>
      <c r="R163" s="1009"/>
      <c r="S163" s="1009"/>
      <c r="T163" s="1009"/>
      <c r="U163" s="1009"/>
      <c r="V163" s="1009"/>
      <c r="W163" s="1009"/>
      <c r="X163" s="1009"/>
      <c r="Y163" s="1009"/>
      <c r="Z163" s="365"/>
    </row>
    <row r="164" ht="15.0" customHeight="1">
      <c r="A164" s="1009"/>
      <c r="B164" s="1009"/>
      <c r="C164" s="1009"/>
      <c r="D164" s="1009"/>
      <c r="E164" s="1009"/>
      <c r="F164" s="1009"/>
      <c r="G164" s="1009"/>
      <c r="H164" s="1140"/>
      <c r="I164" s="1009"/>
      <c r="J164" s="1009"/>
      <c r="K164" s="1009"/>
      <c r="L164" s="1009"/>
      <c r="M164" s="1009"/>
      <c r="N164" s="1009"/>
      <c r="O164" s="1009"/>
      <c r="P164" s="1009"/>
      <c r="Q164" s="1009"/>
      <c r="R164" s="1009"/>
      <c r="S164" s="1009"/>
      <c r="T164" s="1009"/>
      <c r="U164" s="1009"/>
      <c r="V164" s="1009"/>
      <c r="W164" s="1009"/>
      <c r="X164" s="1009"/>
      <c r="Y164" s="1009"/>
      <c r="Z164" s="365"/>
    </row>
    <row r="165" ht="15.0" customHeight="1">
      <c r="A165" s="1009"/>
      <c r="B165" s="1009"/>
      <c r="C165" s="1009"/>
      <c r="D165" s="1009"/>
      <c r="E165" s="1009"/>
      <c r="F165" s="1009"/>
      <c r="G165" s="1009"/>
      <c r="H165" s="1140"/>
      <c r="I165" s="1009"/>
      <c r="J165" s="1009"/>
      <c r="K165" s="1009"/>
      <c r="L165" s="1009"/>
      <c r="M165" s="1009"/>
      <c r="N165" s="1009"/>
      <c r="O165" s="1009"/>
      <c r="P165" s="1009"/>
      <c r="Q165" s="1009"/>
      <c r="R165" s="1009"/>
      <c r="S165" s="1009"/>
      <c r="T165" s="1009"/>
      <c r="U165" s="1009"/>
      <c r="V165" s="1009"/>
      <c r="W165" s="1009"/>
      <c r="X165" s="1009"/>
      <c r="Y165" s="1009"/>
      <c r="Z165" s="365"/>
    </row>
    <row r="166" ht="15.0" customHeight="1">
      <c r="A166" s="1009"/>
      <c r="B166" s="1009"/>
      <c r="C166" s="1009"/>
      <c r="D166" s="1009"/>
      <c r="E166" s="1009"/>
      <c r="F166" s="1009"/>
      <c r="G166" s="1009"/>
      <c r="H166" s="1140"/>
      <c r="I166" s="1009"/>
      <c r="J166" s="1009"/>
      <c r="K166" s="1009"/>
      <c r="L166" s="1009"/>
      <c r="M166" s="1009"/>
      <c r="N166" s="1009"/>
      <c r="O166" s="1009"/>
      <c r="P166" s="1009"/>
      <c r="Q166" s="1009"/>
      <c r="R166" s="1009"/>
      <c r="S166" s="1009"/>
      <c r="T166" s="1009"/>
      <c r="U166" s="1009"/>
      <c r="V166" s="1009"/>
      <c r="W166" s="1009"/>
      <c r="X166" s="1009"/>
      <c r="Y166" s="1009"/>
      <c r="Z166" s="365"/>
    </row>
    <row r="167" ht="15.0" customHeight="1">
      <c r="A167" s="1009"/>
      <c r="B167" s="1009"/>
      <c r="C167" s="1009"/>
      <c r="D167" s="1009"/>
      <c r="E167" s="1009"/>
      <c r="F167" s="1009"/>
      <c r="G167" s="1009"/>
      <c r="H167" s="1140"/>
      <c r="I167" s="1009"/>
      <c r="J167" s="1009"/>
      <c r="K167" s="1009"/>
      <c r="L167" s="1009"/>
      <c r="M167" s="1009"/>
      <c r="N167" s="1009"/>
      <c r="O167" s="1009"/>
      <c r="P167" s="1009"/>
      <c r="Q167" s="1009"/>
      <c r="R167" s="1009"/>
      <c r="S167" s="1009"/>
      <c r="T167" s="1009"/>
      <c r="U167" s="1009"/>
      <c r="V167" s="1009"/>
      <c r="W167" s="1009"/>
      <c r="X167" s="1009"/>
      <c r="Y167" s="1009"/>
      <c r="Z167" s="365"/>
    </row>
    <row r="168" ht="15.0" customHeight="1">
      <c r="A168" s="1009"/>
      <c r="B168" s="1009"/>
      <c r="C168" s="1009"/>
      <c r="D168" s="1009"/>
      <c r="E168" s="1009"/>
      <c r="F168" s="1009"/>
      <c r="G168" s="1009"/>
      <c r="H168" s="1140"/>
      <c r="I168" s="1009"/>
      <c r="J168" s="1009"/>
      <c r="K168" s="1009"/>
      <c r="L168" s="1009"/>
      <c r="M168" s="1009"/>
      <c r="N168" s="1009"/>
      <c r="O168" s="1009"/>
      <c r="P168" s="1009"/>
      <c r="Q168" s="1009"/>
      <c r="R168" s="1009"/>
      <c r="S168" s="1009"/>
      <c r="T168" s="1009"/>
      <c r="U168" s="1009"/>
      <c r="V168" s="1009"/>
      <c r="W168" s="1009"/>
      <c r="X168" s="1009"/>
      <c r="Y168" s="1009"/>
      <c r="Z168" s="365"/>
    </row>
    <row r="169" ht="15.0" customHeight="1">
      <c r="A169" s="1009"/>
      <c r="B169" s="1009"/>
      <c r="C169" s="1009"/>
      <c r="D169" s="1009"/>
      <c r="E169" s="1009"/>
      <c r="F169" s="1009"/>
      <c r="G169" s="1009"/>
      <c r="H169" s="1140"/>
      <c r="I169" s="1009"/>
      <c r="J169" s="1009"/>
      <c r="K169" s="1009"/>
      <c r="L169" s="1009"/>
      <c r="M169" s="1009"/>
      <c r="N169" s="1009"/>
      <c r="O169" s="1009"/>
      <c r="P169" s="1009"/>
      <c r="Q169" s="1009"/>
      <c r="R169" s="1009"/>
      <c r="S169" s="1009"/>
      <c r="T169" s="1009"/>
      <c r="U169" s="1009"/>
      <c r="V169" s="1009"/>
      <c r="W169" s="1009"/>
      <c r="X169" s="1009"/>
      <c r="Y169" s="1009"/>
      <c r="Z169" s="365"/>
    </row>
    <row r="170" ht="15.0" customHeight="1">
      <c r="A170" s="1009"/>
      <c r="B170" s="1009"/>
      <c r="C170" s="1009"/>
      <c r="D170" s="1009"/>
      <c r="E170" s="1009"/>
      <c r="F170" s="1009"/>
      <c r="G170" s="1009"/>
      <c r="H170" s="1140"/>
      <c r="I170" s="1009"/>
      <c r="J170" s="1009"/>
      <c r="K170" s="1009"/>
      <c r="L170" s="1009"/>
      <c r="M170" s="1009"/>
      <c r="N170" s="1009"/>
      <c r="O170" s="1009"/>
      <c r="P170" s="1009"/>
      <c r="Q170" s="1009"/>
      <c r="R170" s="1009"/>
      <c r="S170" s="1009"/>
      <c r="T170" s="1009"/>
      <c r="U170" s="1009"/>
      <c r="V170" s="1009"/>
      <c r="W170" s="1009"/>
      <c r="X170" s="1009"/>
      <c r="Y170" s="1009"/>
      <c r="Z170" s="365"/>
    </row>
    <row r="171" ht="15.0" customHeight="1">
      <c r="A171" s="1009"/>
      <c r="B171" s="1009"/>
      <c r="C171" s="1009"/>
      <c r="D171" s="1009"/>
      <c r="E171" s="1009"/>
      <c r="F171" s="1009"/>
      <c r="G171" s="1009"/>
      <c r="H171" s="1140"/>
      <c r="I171" s="1009"/>
      <c r="J171" s="1009"/>
      <c r="K171" s="1009"/>
      <c r="L171" s="1009"/>
      <c r="M171" s="1009"/>
      <c r="N171" s="1009"/>
      <c r="O171" s="1009"/>
      <c r="P171" s="1009"/>
      <c r="Q171" s="1009"/>
      <c r="R171" s="1009"/>
      <c r="S171" s="1009"/>
      <c r="T171" s="1009"/>
      <c r="U171" s="1009"/>
      <c r="V171" s="1009"/>
      <c r="W171" s="1009"/>
      <c r="X171" s="1009"/>
      <c r="Y171" s="1009"/>
      <c r="Z171" s="365"/>
    </row>
    <row r="172" ht="15.0" customHeight="1">
      <c r="A172" s="1009"/>
      <c r="B172" s="1009"/>
      <c r="C172" s="1009"/>
      <c r="D172" s="1009"/>
      <c r="E172" s="1009"/>
      <c r="F172" s="1009"/>
      <c r="G172" s="1009"/>
      <c r="H172" s="1140"/>
      <c r="I172" s="1009"/>
      <c r="J172" s="1009"/>
      <c r="K172" s="1009"/>
      <c r="L172" s="1009"/>
      <c r="M172" s="1009"/>
      <c r="N172" s="1009"/>
      <c r="O172" s="1009"/>
      <c r="P172" s="1009"/>
      <c r="Q172" s="1009"/>
      <c r="R172" s="1009"/>
      <c r="S172" s="1009"/>
      <c r="T172" s="1009"/>
      <c r="U172" s="1009"/>
      <c r="V172" s="1009"/>
      <c r="W172" s="1009"/>
      <c r="X172" s="1009"/>
      <c r="Y172" s="1009"/>
      <c r="Z172" s="365"/>
    </row>
    <row r="173" ht="15.0" customHeight="1">
      <c r="A173" s="1009"/>
      <c r="B173" s="1009"/>
      <c r="C173" s="1009"/>
      <c r="D173" s="1009"/>
      <c r="E173" s="1009"/>
      <c r="F173" s="1009"/>
      <c r="G173" s="1009"/>
      <c r="H173" s="1140"/>
      <c r="I173" s="1009"/>
      <c r="J173" s="1009"/>
      <c r="K173" s="1009"/>
      <c r="L173" s="1009"/>
      <c r="M173" s="1009"/>
      <c r="N173" s="1009"/>
      <c r="O173" s="1009"/>
      <c r="P173" s="1009"/>
      <c r="Q173" s="1009"/>
      <c r="R173" s="1009"/>
      <c r="S173" s="1009"/>
      <c r="T173" s="1009"/>
      <c r="U173" s="1009"/>
      <c r="V173" s="1009"/>
      <c r="W173" s="1009"/>
      <c r="X173" s="1009"/>
      <c r="Y173" s="1009"/>
      <c r="Z173" s="365"/>
    </row>
    <row r="174" ht="15.0" customHeight="1">
      <c r="A174" s="1009"/>
      <c r="B174" s="1009"/>
      <c r="C174" s="1009"/>
      <c r="D174" s="1009"/>
      <c r="E174" s="1009"/>
      <c r="F174" s="1009"/>
      <c r="G174" s="1009"/>
      <c r="H174" s="1140"/>
      <c r="I174" s="1009"/>
      <c r="J174" s="1009"/>
      <c r="K174" s="1009"/>
      <c r="L174" s="1009"/>
      <c r="M174" s="1009"/>
      <c r="N174" s="1009"/>
      <c r="O174" s="1009"/>
      <c r="P174" s="1009"/>
      <c r="Q174" s="1009"/>
      <c r="R174" s="1009"/>
      <c r="S174" s="1009"/>
      <c r="T174" s="1009"/>
      <c r="U174" s="1009"/>
      <c r="V174" s="1009"/>
      <c r="W174" s="1009"/>
      <c r="X174" s="1009"/>
      <c r="Y174" s="1009"/>
      <c r="Z174" s="365"/>
    </row>
    <row r="175" ht="15.0" customHeight="1">
      <c r="A175" s="1009"/>
      <c r="B175" s="1009"/>
      <c r="C175" s="1009"/>
      <c r="D175" s="1009"/>
      <c r="E175" s="1009"/>
      <c r="F175" s="1009"/>
      <c r="G175" s="1009"/>
      <c r="H175" s="1140"/>
      <c r="I175" s="1009"/>
      <c r="J175" s="1009"/>
      <c r="K175" s="1009"/>
      <c r="L175" s="1009"/>
      <c r="M175" s="1009"/>
      <c r="N175" s="1009"/>
      <c r="O175" s="1009"/>
      <c r="P175" s="1009"/>
      <c r="Q175" s="1009"/>
      <c r="R175" s="1009"/>
      <c r="S175" s="1009"/>
      <c r="T175" s="1009"/>
      <c r="U175" s="1009"/>
      <c r="V175" s="1009"/>
      <c r="W175" s="1009"/>
      <c r="X175" s="1009"/>
      <c r="Y175" s="1009"/>
      <c r="Z175" s="365"/>
    </row>
    <row r="176" ht="15.0" customHeight="1">
      <c r="A176" s="1009"/>
      <c r="B176" s="1009"/>
      <c r="C176" s="1009"/>
      <c r="D176" s="1009"/>
      <c r="E176" s="1009"/>
      <c r="F176" s="1009"/>
      <c r="G176" s="1009"/>
      <c r="H176" s="1140"/>
      <c r="I176" s="1009"/>
      <c r="J176" s="1009"/>
      <c r="K176" s="1009"/>
      <c r="L176" s="1009"/>
      <c r="M176" s="1009"/>
      <c r="N176" s="1009"/>
      <c r="O176" s="1009"/>
      <c r="P176" s="1009"/>
      <c r="Q176" s="1009"/>
      <c r="R176" s="1009"/>
      <c r="S176" s="1009"/>
      <c r="T176" s="1009"/>
      <c r="U176" s="1009"/>
      <c r="V176" s="1009"/>
      <c r="W176" s="1009"/>
      <c r="X176" s="1009"/>
      <c r="Y176" s="1009"/>
      <c r="Z176" s="365"/>
    </row>
    <row r="177" ht="15.0" customHeight="1">
      <c r="A177" s="1009"/>
      <c r="B177" s="1009"/>
      <c r="C177" s="1009"/>
      <c r="D177" s="1009"/>
      <c r="E177" s="1009"/>
      <c r="F177" s="1009"/>
      <c r="G177" s="1009"/>
      <c r="H177" s="1140"/>
      <c r="I177" s="1009"/>
      <c r="J177" s="1009"/>
      <c r="K177" s="1009"/>
      <c r="L177" s="1009"/>
      <c r="M177" s="1009"/>
      <c r="N177" s="1009"/>
      <c r="O177" s="1009"/>
      <c r="P177" s="1009"/>
      <c r="Q177" s="1009"/>
      <c r="R177" s="1009"/>
      <c r="S177" s="1009"/>
      <c r="T177" s="1009"/>
      <c r="U177" s="1009"/>
      <c r="V177" s="1009"/>
      <c r="W177" s="1009"/>
      <c r="X177" s="1009"/>
      <c r="Y177" s="1009"/>
      <c r="Z177" s="365"/>
    </row>
    <row r="178" ht="15.0" customHeight="1">
      <c r="A178" s="1009"/>
      <c r="B178" s="1009"/>
      <c r="C178" s="1009"/>
      <c r="D178" s="1009"/>
      <c r="E178" s="1009"/>
      <c r="F178" s="1009"/>
      <c r="G178" s="1009"/>
      <c r="H178" s="1140"/>
      <c r="I178" s="1009"/>
      <c r="J178" s="1009"/>
      <c r="K178" s="1009"/>
      <c r="L178" s="1009"/>
      <c r="M178" s="1009"/>
      <c r="N178" s="1009"/>
      <c r="O178" s="1009"/>
      <c r="P178" s="1009"/>
      <c r="Q178" s="1009"/>
      <c r="R178" s="1009"/>
      <c r="S178" s="1009"/>
      <c r="T178" s="1009"/>
      <c r="U178" s="1009"/>
      <c r="V178" s="1009"/>
      <c r="W178" s="1009"/>
      <c r="X178" s="1009"/>
      <c r="Y178" s="1009"/>
      <c r="Z178" s="365"/>
    </row>
    <row r="179" ht="15.0" customHeight="1">
      <c r="A179" s="1009"/>
      <c r="B179" s="1009"/>
      <c r="C179" s="1009"/>
      <c r="D179" s="1009"/>
      <c r="E179" s="1009"/>
      <c r="F179" s="1009"/>
      <c r="G179" s="1009"/>
      <c r="H179" s="1140"/>
      <c r="I179" s="1009"/>
      <c r="J179" s="1009"/>
      <c r="K179" s="1009"/>
      <c r="L179" s="1009"/>
      <c r="M179" s="1009"/>
      <c r="N179" s="1009"/>
      <c r="O179" s="1009"/>
      <c r="P179" s="1009"/>
      <c r="Q179" s="1009"/>
      <c r="R179" s="1009"/>
      <c r="S179" s="1009"/>
      <c r="T179" s="1009"/>
      <c r="U179" s="1009"/>
      <c r="V179" s="1009"/>
      <c r="W179" s="1009"/>
      <c r="X179" s="1009"/>
      <c r="Y179" s="1009"/>
      <c r="Z179" s="365"/>
    </row>
    <row r="180" ht="15.0" customHeight="1">
      <c r="A180" s="1009"/>
      <c r="B180" s="1009"/>
      <c r="C180" s="1009"/>
      <c r="D180" s="1009"/>
      <c r="E180" s="1009"/>
      <c r="F180" s="1009"/>
      <c r="G180" s="1009"/>
      <c r="H180" s="1140"/>
      <c r="I180" s="1009"/>
      <c r="J180" s="1009"/>
      <c r="K180" s="1009"/>
      <c r="L180" s="1009"/>
      <c r="M180" s="1009"/>
      <c r="N180" s="1009"/>
      <c r="O180" s="1009"/>
      <c r="P180" s="1009"/>
      <c r="Q180" s="1009"/>
      <c r="R180" s="1009"/>
      <c r="S180" s="1009"/>
      <c r="T180" s="1009"/>
      <c r="U180" s="1009"/>
      <c r="V180" s="1009"/>
      <c r="W180" s="1009"/>
      <c r="X180" s="1009"/>
      <c r="Y180" s="1009"/>
      <c r="Z180" s="365"/>
    </row>
    <row r="181" ht="15.0" customHeight="1">
      <c r="A181" s="1009"/>
      <c r="B181" s="1009"/>
      <c r="C181" s="1009"/>
      <c r="D181" s="1009"/>
      <c r="E181" s="1009"/>
      <c r="F181" s="1009"/>
      <c r="G181" s="1009"/>
      <c r="H181" s="1140"/>
      <c r="I181" s="1009"/>
      <c r="J181" s="1009"/>
      <c r="K181" s="1009"/>
      <c r="L181" s="1009"/>
      <c r="M181" s="1009"/>
      <c r="N181" s="1009"/>
      <c r="O181" s="1009"/>
      <c r="P181" s="1009"/>
      <c r="Q181" s="1009"/>
      <c r="R181" s="1009"/>
      <c r="S181" s="1009"/>
      <c r="T181" s="1009"/>
      <c r="U181" s="1009"/>
      <c r="V181" s="1009"/>
      <c r="W181" s="1009"/>
      <c r="X181" s="1009"/>
      <c r="Y181" s="1009"/>
      <c r="Z181" s="365"/>
    </row>
    <row r="182" ht="15.0" customHeight="1">
      <c r="A182" s="1009"/>
      <c r="B182" s="1009"/>
      <c r="C182" s="1009"/>
      <c r="D182" s="1009"/>
      <c r="E182" s="1009"/>
      <c r="F182" s="1009"/>
      <c r="G182" s="1009"/>
      <c r="H182" s="1140"/>
      <c r="I182" s="1009"/>
      <c r="J182" s="1009"/>
      <c r="K182" s="1009"/>
      <c r="L182" s="1009"/>
      <c r="M182" s="1009"/>
      <c r="N182" s="1009"/>
      <c r="O182" s="1009"/>
      <c r="P182" s="1009"/>
      <c r="Q182" s="1009"/>
      <c r="R182" s="1009"/>
      <c r="S182" s="1009"/>
      <c r="T182" s="1009"/>
      <c r="U182" s="1009"/>
      <c r="V182" s="1009"/>
      <c r="W182" s="1009"/>
      <c r="X182" s="1009"/>
      <c r="Y182" s="1009"/>
      <c r="Z182" s="365"/>
    </row>
    <row r="183" ht="15.0" customHeight="1">
      <c r="A183" s="1009"/>
      <c r="B183" s="1009"/>
      <c r="C183" s="1009"/>
      <c r="D183" s="1009"/>
      <c r="E183" s="1009"/>
      <c r="F183" s="1009"/>
      <c r="G183" s="1009"/>
      <c r="H183" s="1140"/>
      <c r="I183" s="1009"/>
      <c r="J183" s="1009"/>
      <c r="K183" s="1009"/>
      <c r="L183" s="1009"/>
      <c r="M183" s="1009"/>
      <c r="N183" s="1009"/>
      <c r="O183" s="1009"/>
      <c r="P183" s="1009"/>
      <c r="Q183" s="1009"/>
      <c r="R183" s="1009"/>
      <c r="S183" s="1009"/>
      <c r="T183" s="1009"/>
      <c r="U183" s="1009"/>
      <c r="V183" s="1009"/>
      <c r="W183" s="1009"/>
      <c r="X183" s="1009"/>
      <c r="Y183" s="1009"/>
      <c r="Z183" s="365"/>
    </row>
    <row r="184" ht="15.0" customHeight="1">
      <c r="A184" s="1009"/>
      <c r="B184" s="1009"/>
      <c r="C184" s="1009"/>
      <c r="D184" s="1009"/>
      <c r="E184" s="1009"/>
      <c r="F184" s="1009"/>
      <c r="G184" s="1009"/>
      <c r="H184" s="1140"/>
      <c r="I184" s="1009"/>
      <c r="J184" s="1009"/>
      <c r="K184" s="1009"/>
      <c r="L184" s="1009"/>
      <c r="M184" s="1009"/>
      <c r="N184" s="1009"/>
      <c r="O184" s="1009"/>
      <c r="P184" s="1009"/>
      <c r="Q184" s="1009"/>
      <c r="R184" s="1009"/>
      <c r="S184" s="1009"/>
      <c r="T184" s="1009"/>
      <c r="U184" s="1009"/>
      <c r="V184" s="1009"/>
      <c r="W184" s="1009"/>
      <c r="X184" s="1009"/>
      <c r="Y184" s="1009"/>
      <c r="Z184" s="365"/>
    </row>
    <row r="185" ht="15.0" customHeight="1">
      <c r="A185" s="1009"/>
      <c r="B185" s="1009"/>
      <c r="C185" s="1009"/>
      <c r="D185" s="1009"/>
      <c r="E185" s="1009"/>
      <c r="F185" s="1009"/>
      <c r="G185" s="1009"/>
      <c r="H185" s="1140"/>
      <c r="I185" s="1009"/>
      <c r="J185" s="1009"/>
      <c r="K185" s="1009"/>
      <c r="L185" s="1009"/>
      <c r="M185" s="1009"/>
      <c r="N185" s="1009"/>
      <c r="O185" s="1009"/>
      <c r="P185" s="1009"/>
      <c r="Q185" s="1009"/>
      <c r="R185" s="1009"/>
      <c r="S185" s="1009"/>
      <c r="T185" s="1009"/>
      <c r="U185" s="1009"/>
      <c r="V185" s="1009"/>
      <c r="W185" s="1009"/>
      <c r="X185" s="1009"/>
      <c r="Y185" s="1009"/>
      <c r="Z185" s="365"/>
    </row>
    <row r="186" ht="15.0" customHeight="1">
      <c r="A186" s="1009"/>
      <c r="B186" s="1009"/>
      <c r="C186" s="1009"/>
      <c r="D186" s="1009"/>
      <c r="E186" s="1009"/>
      <c r="F186" s="1009"/>
      <c r="G186" s="1009"/>
      <c r="H186" s="1140"/>
      <c r="I186" s="1009"/>
      <c r="J186" s="1009"/>
      <c r="K186" s="1009"/>
      <c r="L186" s="1009"/>
      <c r="M186" s="1009"/>
      <c r="N186" s="1009"/>
      <c r="O186" s="1009"/>
      <c r="P186" s="1009"/>
      <c r="Q186" s="1009"/>
      <c r="R186" s="1009"/>
      <c r="S186" s="1009"/>
      <c r="T186" s="1009"/>
      <c r="U186" s="1009"/>
      <c r="V186" s="1009"/>
      <c r="W186" s="1009"/>
      <c r="X186" s="1009"/>
      <c r="Y186" s="1009"/>
      <c r="Z186" s="365"/>
    </row>
    <row r="187" ht="15.0" customHeight="1">
      <c r="A187" s="1009"/>
      <c r="B187" s="1009"/>
      <c r="C187" s="1009"/>
      <c r="D187" s="1009"/>
      <c r="E187" s="1009"/>
      <c r="F187" s="1009"/>
      <c r="G187" s="1009"/>
      <c r="H187" s="1140"/>
      <c r="I187" s="1009"/>
      <c r="J187" s="1009"/>
      <c r="K187" s="1009"/>
      <c r="L187" s="1009"/>
      <c r="M187" s="1009"/>
      <c r="N187" s="1009"/>
      <c r="O187" s="1009"/>
      <c r="P187" s="1009"/>
      <c r="Q187" s="1009"/>
      <c r="R187" s="1009"/>
      <c r="S187" s="1009"/>
      <c r="T187" s="1009"/>
      <c r="U187" s="1009"/>
      <c r="V187" s="1009"/>
      <c r="W187" s="1009"/>
      <c r="X187" s="1009"/>
      <c r="Y187" s="1009"/>
      <c r="Z187" s="365"/>
    </row>
    <row r="188" ht="15.0" customHeight="1">
      <c r="A188" s="1009"/>
      <c r="B188" s="1009"/>
      <c r="C188" s="1009"/>
      <c r="D188" s="1009"/>
      <c r="E188" s="1009"/>
      <c r="F188" s="1009"/>
      <c r="G188" s="1009"/>
      <c r="H188" s="1140"/>
      <c r="I188" s="1009"/>
      <c r="J188" s="1009"/>
      <c r="K188" s="1009"/>
      <c r="L188" s="1009"/>
      <c r="M188" s="1009"/>
      <c r="N188" s="1009"/>
      <c r="O188" s="1009"/>
      <c r="P188" s="1009"/>
      <c r="Q188" s="1009"/>
      <c r="R188" s="1009"/>
      <c r="S188" s="1009"/>
      <c r="T188" s="1009"/>
      <c r="U188" s="1009"/>
      <c r="V188" s="1009"/>
      <c r="W188" s="1009"/>
      <c r="X188" s="1009"/>
      <c r="Y188" s="1009"/>
      <c r="Z188" s="365"/>
    </row>
    <row r="189" ht="15.0" customHeight="1">
      <c r="A189" s="1009"/>
      <c r="B189" s="1009"/>
      <c r="C189" s="1009"/>
      <c r="D189" s="1009"/>
      <c r="E189" s="1009"/>
      <c r="F189" s="1009"/>
      <c r="G189" s="1009"/>
      <c r="H189" s="1140"/>
      <c r="I189" s="1009"/>
      <c r="J189" s="1009"/>
      <c r="K189" s="1009"/>
      <c r="L189" s="1009"/>
      <c r="M189" s="1009"/>
      <c r="N189" s="1009"/>
      <c r="O189" s="1009"/>
      <c r="P189" s="1009"/>
      <c r="Q189" s="1009"/>
      <c r="R189" s="1009"/>
      <c r="S189" s="1009"/>
      <c r="T189" s="1009"/>
      <c r="U189" s="1009"/>
      <c r="V189" s="1009"/>
      <c r="W189" s="1009"/>
      <c r="X189" s="1009"/>
      <c r="Y189" s="1009"/>
      <c r="Z189" s="365"/>
    </row>
    <row r="190" ht="15.0" customHeight="1">
      <c r="A190" s="1009"/>
      <c r="B190" s="1009"/>
      <c r="C190" s="1009"/>
      <c r="D190" s="1009"/>
      <c r="E190" s="1009"/>
      <c r="F190" s="1009"/>
      <c r="G190" s="1009"/>
      <c r="H190" s="1140"/>
      <c r="I190" s="1009"/>
      <c r="J190" s="1009"/>
      <c r="K190" s="1009"/>
      <c r="L190" s="1009"/>
      <c r="M190" s="1009"/>
      <c r="N190" s="1009"/>
      <c r="O190" s="1009"/>
      <c r="P190" s="1009"/>
      <c r="Q190" s="1009"/>
      <c r="R190" s="1009"/>
      <c r="S190" s="1009"/>
      <c r="T190" s="1009"/>
      <c r="U190" s="1009"/>
      <c r="V190" s="1009"/>
      <c r="W190" s="1009"/>
      <c r="X190" s="1009"/>
      <c r="Y190" s="1009"/>
      <c r="Z190" s="365"/>
    </row>
    <row r="191" ht="15.0" customHeight="1">
      <c r="A191" s="1009"/>
      <c r="B191" s="1009"/>
      <c r="C191" s="1009"/>
      <c r="D191" s="1009"/>
      <c r="E191" s="1009"/>
      <c r="F191" s="1009"/>
      <c r="G191" s="1009"/>
      <c r="H191" s="1140"/>
      <c r="I191" s="1009"/>
      <c r="J191" s="1009"/>
      <c r="K191" s="1009"/>
      <c r="L191" s="1009"/>
      <c r="M191" s="1009"/>
      <c r="N191" s="1009"/>
      <c r="O191" s="1009"/>
      <c r="P191" s="1009"/>
      <c r="Q191" s="1009"/>
      <c r="R191" s="1009"/>
      <c r="S191" s="1009"/>
      <c r="T191" s="1009"/>
      <c r="U191" s="1009"/>
      <c r="V191" s="1009"/>
      <c r="W191" s="1009"/>
      <c r="X191" s="1009"/>
      <c r="Y191" s="1009"/>
      <c r="Z191" s="365"/>
    </row>
    <row r="192" ht="15.0" customHeight="1">
      <c r="A192" s="1009"/>
      <c r="B192" s="1009"/>
      <c r="C192" s="1009"/>
      <c r="D192" s="1009"/>
      <c r="E192" s="1009"/>
      <c r="F192" s="1009"/>
      <c r="G192" s="1009"/>
      <c r="H192" s="1140"/>
      <c r="I192" s="1009"/>
      <c r="J192" s="1009"/>
      <c r="K192" s="1009"/>
      <c r="L192" s="1009"/>
      <c r="M192" s="1009"/>
      <c r="N192" s="1009"/>
      <c r="O192" s="1009"/>
      <c r="P192" s="1009"/>
      <c r="Q192" s="1009"/>
      <c r="R192" s="1009"/>
      <c r="S192" s="1009"/>
      <c r="T192" s="1009"/>
      <c r="U192" s="1009"/>
      <c r="V192" s="1009"/>
      <c r="W192" s="1009"/>
      <c r="X192" s="1009"/>
      <c r="Y192" s="1009"/>
      <c r="Z192" s="365"/>
    </row>
    <row r="193" ht="15.0" customHeight="1">
      <c r="A193" s="1009"/>
      <c r="B193" s="1009"/>
      <c r="C193" s="1009"/>
      <c r="D193" s="1009"/>
      <c r="E193" s="1009"/>
      <c r="F193" s="1009"/>
      <c r="G193" s="1009"/>
      <c r="H193" s="1140"/>
      <c r="I193" s="1009"/>
      <c r="J193" s="1009"/>
      <c r="K193" s="1009"/>
      <c r="L193" s="1009"/>
      <c r="M193" s="1009"/>
      <c r="N193" s="1009"/>
      <c r="O193" s="1009"/>
      <c r="P193" s="1009"/>
      <c r="Q193" s="1009"/>
      <c r="R193" s="1009"/>
      <c r="S193" s="1009"/>
      <c r="T193" s="1009"/>
      <c r="U193" s="1009"/>
      <c r="V193" s="1009"/>
      <c r="W193" s="1009"/>
      <c r="X193" s="1009"/>
      <c r="Y193" s="1009"/>
      <c r="Z193" s="365"/>
    </row>
    <row r="194" ht="15.0" customHeight="1">
      <c r="A194" s="1009"/>
      <c r="B194" s="1009"/>
      <c r="C194" s="1009"/>
      <c r="D194" s="1009"/>
      <c r="E194" s="1009"/>
      <c r="F194" s="1009"/>
      <c r="G194" s="1009"/>
      <c r="H194" s="1140"/>
      <c r="I194" s="1009"/>
      <c r="J194" s="1009"/>
      <c r="K194" s="1009"/>
      <c r="L194" s="1009"/>
      <c r="M194" s="1009"/>
      <c r="N194" s="1009"/>
      <c r="O194" s="1009"/>
      <c r="P194" s="1009"/>
      <c r="Q194" s="1009"/>
      <c r="R194" s="1009"/>
      <c r="S194" s="1009"/>
      <c r="T194" s="1009"/>
      <c r="U194" s="1009"/>
      <c r="V194" s="1009"/>
      <c r="W194" s="1009"/>
      <c r="X194" s="1009"/>
      <c r="Y194" s="1009"/>
      <c r="Z194" s="365"/>
    </row>
    <row r="195" ht="15.0" customHeight="1">
      <c r="A195" s="1009"/>
      <c r="B195" s="1009"/>
      <c r="C195" s="1009"/>
      <c r="D195" s="1009"/>
      <c r="E195" s="1009"/>
      <c r="F195" s="1009"/>
      <c r="G195" s="1009"/>
      <c r="H195" s="1140"/>
      <c r="I195" s="1009"/>
      <c r="J195" s="1009"/>
      <c r="K195" s="1009"/>
      <c r="L195" s="1009"/>
      <c r="M195" s="1009"/>
      <c r="N195" s="1009"/>
      <c r="O195" s="1009"/>
      <c r="P195" s="1009"/>
      <c r="Q195" s="1009"/>
      <c r="R195" s="1009"/>
      <c r="S195" s="1009"/>
      <c r="T195" s="1009"/>
      <c r="U195" s="1009"/>
      <c r="V195" s="1009"/>
      <c r="W195" s="1009"/>
      <c r="X195" s="1009"/>
      <c r="Y195" s="1009"/>
      <c r="Z195" s="365"/>
    </row>
    <row r="196" ht="15.0" customHeight="1">
      <c r="A196" s="1009"/>
      <c r="B196" s="1009"/>
      <c r="C196" s="1009"/>
      <c r="D196" s="1009"/>
      <c r="E196" s="1009"/>
      <c r="F196" s="1009"/>
      <c r="G196" s="1009"/>
      <c r="H196" s="1140"/>
      <c r="I196" s="1009"/>
      <c r="J196" s="1009"/>
      <c r="K196" s="1009"/>
      <c r="L196" s="1009"/>
      <c r="M196" s="1009"/>
      <c r="N196" s="1009"/>
      <c r="O196" s="1009"/>
      <c r="P196" s="1009"/>
      <c r="Q196" s="1009"/>
      <c r="R196" s="1009"/>
      <c r="S196" s="1009"/>
      <c r="T196" s="1009"/>
      <c r="U196" s="1009"/>
      <c r="V196" s="1009"/>
      <c r="W196" s="1009"/>
      <c r="X196" s="1009"/>
      <c r="Y196" s="1009"/>
      <c r="Z196" s="365"/>
    </row>
    <row r="197" ht="15.0" customHeight="1">
      <c r="A197" s="1009"/>
      <c r="B197" s="1009"/>
      <c r="C197" s="1009"/>
      <c r="D197" s="1009"/>
      <c r="E197" s="1009"/>
      <c r="F197" s="1009"/>
      <c r="G197" s="1009"/>
      <c r="H197" s="1140"/>
      <c r="I197" s="1009"/>
      <c r="J197" s="1009"/>
      <c r="K197" s="1009"/>
      <c r="L197" s="1009"/>
      <c r="M197" s="1009"/>
      <c r="N197" s="1009"/>
      <c r="O197" s="1009"/>
      <c r="P197" s="1009"/>
      <c r="Q197" s="1009"/>
      <c r="R197" s="1009"/>
      <c r="S197" s="1009"/>
      <c r="T197" s="1009"/>
      <c r="U197" s="1009"/>
      <c r="V197" s="1009"/>
      <c r="W197" s="1009"/>
      <c r="X197" s="1009"/>
      <c r="Y197" s="1009"/>
      <c r="Z197" s="365"/>
    </row>
    <row r="198" ht="15.0" customHeight="1">
      <c r="A198" s="1009"/>
      <c r="B198" s="1009"/>
      <c r="C198" s="1009"/>
      <c r="D198" s="1009"/>
      <c r="E198" s="1009"/>
      <c r="F198" s="1009"/>
      <c r="G198" s="1009"/>
      <c r="H198" s="1140"/>
      <c r="I198" s="1009"/>
      <c r="J198" s="1009"/>
      <c r="K198" s="1009"/>
      <c r="L198" s="1009"/>
      <c r="M198" s="1009"/>
      <c r="N198" s="1009"/>
      <c r="O198" s="1009"/>
      <c r="P198" s="1009"/>
      <c r="Q198" s="1009"/>
      <c r="R198" s="1009"/>
      <c r="S198" s="1009"/>
      <c r="T198" s="1009"/>
      <c r="U198" s="1009"/>
      <c r="V198" s="1009"/>
      <c r="W198" s="1009"/>
      <c r="X198" s="1009"/>
      <c r="Y198" s="1009"/>
      <c r="Z198" s="365"/>
    </row>
    <row r="199" ht="15.0" customHeight="1">
      <c r="A199" s="1009"/>
      <c r="B199" s="1009"/>
      <c r="C199" s="1009"/>
      <c r="D199" s="1009"/>
      <c r="E199" s="1009"/>
      <c r="F199" s="1009"/>
      <c r="G199" s="1009"/>
      <c r="H199" s="1140"/>
      <c r="I199" s="1009"/>
      <c r="J199" s="1009"/>
      <c r="K199" s="1009"/>
      <c r="L199" s="1009"/>
      <c r="M199" s="1009"/>
      <c r="N199" s="1009"/>
      <c r="O199" s="1009"/>
      <c r="P199" s="1009"/>
      <c r="Q199" s="1009"/>
      <c r="R199" s="1009"/>
      <c r="S199" s="1009"/>
      <c r="T199" s="1009"/>
      <c r="U199" s="1009"/>
      <c r="V199" s="1009"/>
      <c r="W199" s="1009"/>
      <c r="X199" s="1009"/>
      <c r="Y199" s="1009"/>
      <c r="Z199" s="365"/>
    </row>
    <row r="200" ht="15.0" customHeight="1">
      <c r="A200" s="1009"/>
      <c r="B200" s="1009"/>
      <c r="C200" s="1009"/>
      <c r="D200" s="1009"/>
      <c r="E200" s="1009"/>
      <c r="F200" s="1009"/>
      <c r="G200" s="1009"/>
      <c r="H200" s="1140"/>
      <c r="I200" s="1009"/>
      <c r="J200" s="1009"/>
      <c r="K200" s="1009"/>
      <c r="L200" s="1009"/>
      <c r="M200" s="1009"/>
      <c r="N200" s="1009"/>
      <c r="O200" s="1009"/>
      <c r="P200" s="1009"/>
      <c r="Q200" s="1009"/>
      <c r="R200" s="1009"/>
      <c r="S200" s="1009"/>
      <c r="T200" s="1009"/>
      <c r="U200" s="1009"/>
      <c r="V200" s="1009"/>
      <c r="W200" s="1009"/>
      <c r="X200" s="1009"/>
      <c r="Y200" s="1009"/>
      <c r="Z200" s="365"/>
    </row>
    <row r="201" ht="15.0" customHeight="1">
      <c r="A201" s="1009"/>
      <c r="B201" s="1009"/>
      <c r="C201" s="1009"/>
      <c r="D201" s="1009"/>
      <c r="E201" s="1009"/>
      <c r="F201" s="1009"/>
      <c r="G201" s="1009"/>
      <c r="H201" s="1140"/>
      <c r="I201" s="1009"/>
      <c r="J201" s="1009"/>
      <c r="K201" s="1009"/>
      <c r="L201" s="1009"/>
      <c r="M201" s="1009"/>
      <c r="N201" s="1009"/>
      <c r="O201" s="1009"/>
      <c r="P201" s="1009"/>
      <c r="Q201" s="1009"/>
      <c r="R201" s="1009"/>
      <c r="S201" s="1009"/>
      <c r="T201" s="1009"/>
      <c r="U201" s="1009"/>
      <c r="V201" s="1009"/>
      <c r="W201" s="1009"/>
      <c r="X201" s="1009"/>
      <c r="Y201" s="1009"/>
      <c r="Z201" s="365"/>
    </row>
    <row r="202" ht="15.0" customHeight="1">
      <c r="A202" s="1009"/>
      <c r="B202" s="1009"/>
      <c r="C202" s="1009"/>
      <c r="D202" s="1009"/>
      <c r="E202" s="1009"/>
      <c r="F202" s="1009"/>
      <c r="G202" s="1009"/>
      <c r="H202" s="1140"/>
      <c r="I202" s="1009"/>
      <c r="J202" s="1009"/>
      <c r="K202" s="1009"/>
      <c r="L202" s="1009"/>
      <c r="M202" s="1009"/>
      <c r="N202" s="1009"/>
      <c r="O202" s="1009"/>
      <c r="P202" s="1009"/>
      <c r="Q202" s="1009"/>
      <c r="R202" s="1009"/>
      <c r="S202" s="1009"/>
      <c r="T202" s="1009"/>
      <c r="U202" s="1009"/>
      <c r="V202" s="1009"/>
      <c r="W202" s="1009"/>
      <c r="X202" s="1009"/>
      <c r="Y202" s="1009"/>
      <c r="Z202" s="365"/>
    </row>
    <row r="203" ht="15.0" customHeight="1">
      <c r="A203" s="1009"/>
      <c r="B203" s="1009"/>
      <c r="C203" s="1009"/>
      <c r="D203" s="1009"/>
      <c r="E203" s="1009"/>
      <c r="F203" s="1009"/>
      <c r="G203" s="1009"/>
      <c r="H203" s="1140"/>
      <c r="I203" s="1009"/>
      <c r="J203" s="1009"/>
      <c r="K203" s="1009"/>
      <c r="L203" s="1009"/>
      <c r="M203" s="1009"/>
      <c r="N203" s="1009"/>
      <c r="O203" s="1009"/>
      <c r="P203" s="1009"/>
      <c r="Q203" s="1009"/>
      <c r="R203" s="1009"/>
      <c r="S203" s="1009"/>
      <c r="T203" s="1009"/>
      <c r="U203" s="1009"/>
      <c r="V203" s="1009"/>
      <c r="W203" s="1009"/>
      <c r="X203" s="1009"/>
      <c r="Y203" s="1009"/>
      <c r="Z203" s="365"/>
    </row>
    <row r="204" ht="15.0" customHeight="1">
      <c r="A204" s="1009"/>
      <c r="B204" s="1009"/>
      <c r="C204" s="1009"/>
      <c r="D204" s="1009"/>
      <c r="E204" s="1009"/>
      <c r="F204" s="1009"/>
      <c r="G204" s="1009"/>
      <c r="H204" s="1140"/>
      <c r="I204" s="1009"/>
      <c r="J204" s="1009"/>
      <c r="K204" s="1009"/>
      <c r="L204" s="1009"/>
      <c r="M204" s="1009"/>
      <c r="N204" s="1009"/>
      <c r="O204" s="1009"/>
      <c r="P204" s="1009"/>
      <c r="Q204" s="1009"/>
      <c r="R204" s="1009"/>
      <c r="S204" s="1009"/>
      <c r="T204" s="1009"/>
      <c r="U204" s="1009"/>
      <c r="V204" s="1009"/>
      <c r="W204" s="1009"/>
      <c r="X204" s="1009"/>
      <c r="Y204" s="1009"/>
      <c r="Z204" s="365"/>
    </row>
    <row r="205" ht="15.0" customHeight="1">
      <c r="A205" s="1009"/>
      <c r="B205" s="1009"/>
      <c r="C205" s="1009"/>
      <c r="D205" s="1009"/>
      <c r="E205" s="1009"/>
      <c r="F205" s="1009"/>
      <c r="G205" s="1009"/>
      <c r="H205" s="1140"/>
      <c r="I205" s="1009"/>
      <c r="J205" s="1009"/>
      <c r="K205" s="1009"/>
      <c r="L205" s="1009"/>
      <c r="M205" s="1009"/>
      <c r="N205" s="1009"/>
      <c r="O205" s="1009"/>
      <c r="P205" s="1009"/>
      <c r="Q205" s="1009"/>
      <c r="R205" s="1009"/>
      <c r="S205" s="1009"/>
      <c r="T205" s="1009"/>
      <c r="U205" s="1009"/>
      <c r="V205" s="1009"/>
      <c r="W205" s="1009"/>
      <c r="X205" s="1009"/>
      <c r="Y205" s="1009"/>
      <c r="Z205" s="365"/>
    </row>
    <row r="206" ht="15.0" customHeight="1">
      <c r="A206" s="1009"/>
      <c r="B206" s="1009"/>
      <c r="C206" s="1009"/>
      <c r="D206" s="1009"/>
      <c r="E206" s="1009"/>
      <c r="F206" s="1009"/>
      <c r="G206" s="1009"/>
      <c r="H206" s="1140"/>
      <c r="I206" s="1009"/>
      <c r="J206" s="1009"/>
      <c r="K206" s="1009"/>
      <c r="L206" s="1009"/>
      <c r="M206" s="1009"/>
      <c r="N206" s="1009"/>
      <c r="O206" s="1009"/>
      <c r="P206" s="1009"/>
      <c r="Q206" s="1009"/>
      <c r="R206" s="1009"/>
      <c r="S206" s="1009"/>
      <c r="T206" s="1009"/>
      <c r="U206" s="1009"/>
      <c r="V206" s="1009"/>
      <c r="W206" s="1009"/>
      <c r="X206" s="1009"/>
      <c r="Y206" s="1009"/>
      <c r="Z206" s="365"/>
    </row>
    <row r="207" ht="15.0" customHeight="1">
      <c r="A207" s="1009"/>
      <c r="B207" s="1009"/>
      <c r="C207" s="1009"/>
      <c r="D207" s="1009"/>
      <c r="E207" s="1009"/>
      <c r="F207" s="1009"/>
      <c r="G207" s="1009"/>
      <c r="H207" s="1140"/>
      <c r="I207" s="1009"/>
      <c r="J207" s="1009"/>
      <c r="K207" s="1009"/>
      <c r="L207" s="1009"/>
      <c r="M207" s="1009"/>
      <c r="N207" s="1009"/>
      <c r="O207" s="1009"/>
      <c r="P207" s="1009"/>
      <c r="Q207" s="1009"/>
      <c r="R207" s="1009"/>
      <c r="S207" s="1009"/>
      <c r="T207" s="1009"/>
      <c r="U207" s="1009"/>
      <c r="V207" s="1009"/>
      <c r="W207" s="1009"/>
      <c r="X207" s="1009"/>
      <c r="Y207" s="1009"/>
      <c r="Z207" s="365"/>
    </row>
    <row r="208" ht="15.0" customHeight="1">
      <c r="A208" s="1009"/>
      <c r="B208" s="1009"/>
      <c r="C208" s="1009"/>
      <c r="D208" s="1009"/>
      <c r="E208" s="1009"/>
      <c r="F208" s="1009"/>
      <c r="G208" s="1009"/>
      <c r="H208" s="1140"/>
      <c r="I208" s="1009"/>
      <c r="J208" s="1009"/>
      <c r="K208" s="1009"/>
      <c r="L208" s="1009"/>
      <c r="M208" s="1009"/>
      <c r="N208" s="1009"/>
      <c r="O208" s="1009"/>
      <c r="P208" s="1009"/>
      <c r="Q208" s="1009"/>
      <c r="R208" s="1009"/>
      <c r="S208" s="1009"/>
      <c r="T208" s="1009"/>
      <c r="U208" s="1009"/>
      <c r="V208" s="1009"/>
      <c r="W208" s="1009"/>
      <c r="X208" s="1009"/>
      <c r="Y208" s="1009"/>
      <c r="Z208" s="365"/>
    </row>
    <row r="209" ht="15.0" customHeight="1">
      <c r="A209" s="1009"/>
      <c r="B209" s="1009"/>
      <c r="C209" s="1009"/>
      <c r="D209" s="1009"/>
      <c r="E209" s="1009"/>
      <c r="F209" s="1009"/>
      <c r="G209" s="1009"/>
      <c r="H209" s="1140"/>
      <c r="I209" s="1009"/>
      <c r="J209" s="1009"/>
      <c r="K209" s="1009"/>
      <c r="L209" s="1009"/>
      <c r="M209" s="1009"/>
      <c r="N209" s="1009"/>
      <c r="O209" s="1009"/>
      <c r="P209" s="1009"/>
      <c r="Q209" s="1009"/>
      <c r="R209" s="1009"/>
      <c r="S209" s="1009"/>
      <c r="T209" s="1009"/>
      <c r="U209" s="1009"/>
      <c r="V209" s="1009"/>
      <c r="W209" s="1009"/>
      <c r="X209" s="1009"/>
      <c r="Y209" s="1009"/>
      <c r="Z209" s="365"/>
    </row>
    <row r="210" ht="15.0" customHeight="1">
      <c r="A210" s="1009"/>
      <c r="B210" s="1009"/>
      <c r="C210" s="1009"/>
      <c r="D210" s="1009"/>
      <c r="E210" s="1009"/>
      <c r="F210" s="1009"/>
      <c r="G210" s="1009"/>
      <c r="H210" s="1140"/>
      <c r="I210" s="1009"/>
      <c r="J210" s="1009"/>
      <c r="K210" s="1009"/>
      <c r="L210" s="1009"/>
      <c r="M210" s="1009"/>
      <c r="N210" s="1009"/>
      <c r="O210" s="1009"/>
      <c r="P210" s="1009"/>
      <c r="Q210" s="1009"/>
      <c r="R210" s="1009"/>
      <c r="S210" s="1009"/>
      <c r="T210" s="1009"/>
      <c r="U210" s="1009"/>
      <c r="V210" s="1009"/>
      <c r="W210" s="1009"/>
      <c r="X210" s="1009"/>
      <c r="Y210" s="1009"/>
      <c r="Z210" s="365"/>
    </row>
    <row r="211" ht="15.0" customHeight="1">
      <c r="A211" s="1009"/>
      <c r="B211" s="1009"/>
      <c r="C211" s="1009"/>
      <c r="D211" s="1009"/>
      <c r="E211" s="1009"/>
      <c r="F211" s="1009"/>
      <c r="G211" s="1009"/>
      <c r="H211" s="1140"/>
      <c r="I211" s="1009"/>
      <c r="J211" s="1009"/>
      <c r="K211" s="1009"/>
      <c r="L211" s="1009"/>
      <c r="M211" s="1009"/>
      <c r="N211" s="1009"/>
      <c r="O211" s="1009"/>
      <c r="P211" s="1009"/>
      <c r="Q211" s="1009"/>
      <c r="R211" s="1009"/>
      <c r="S211" s="1009"/>
      <c r="T211" s="1009"/>
      <c r="U211" s="1009"/>
      <c r="V211" s="1009"/>
      <c r="W211" s="1009"/>
      <c r="X211" s="1009"/>
      <c r="Y211" s="1009"/>
      <c r="Z211" s="365"/>
    </row>
    <row r="212" ht="15.0" customHeight="1">
      <c r="A212" s="1009"/>
      <c r="B212" s="1009"/>
      <c r="C212" s="1009"/>
      <c r="D212" s="1009"/>
      <c r="E212" s="1009"/>
      <c r="F212" s="1009"/>
      <c r="G212" s="1009"/>
      <c r="H212" s="1140"/>
      <c r="I212" s="1009"/>
      <c r="J212" s="1009"/>
      <c r="K212" s="1009"/>
      <c r="L212" s="1009"/>
      <c r="M212" s="1009"/>
      <c r="N212" s="1009"/>
      <c r="O212" s="1009"/>
      <c r="P212" s="1009"/>
      <c r="Q212" s="1009"/>
      <c r="R212" s="1009"/>
      <c r="S212" s="1009"/>
      <c r="T212" s="1009"/>
      <c r="U212" s="1009"/>
      <c r="V212" s="1009"/>
      <c r="W212" s="1009"/>
      <c r="X212" s="1009"/>
      <c r="Y212" s="1009"/>
      <c r="Z212" s="365"/>
    </row>
    <row r="213" ht="15.0" customHeight="1">
      <c r="A213" s="1009"/>
      <c r="B213" s="1009"/>
      <c r="C213" s="1009"/>
      <c r="D213" s="1009"/>
      <c r="E213" s="1009"/>
      <c r="F213" s="1009"/>
      <c r="G213" s="1009"/>
      <c r="H213" s="1140"/>
      <c r="I213" s="1009"/>
      <c r="J213" s="1009"/>
      <c r="K213" s="1009"/>
      <c r="L213" s="1009"/>
      <c r="M213" s="1009"/>
      <c r="N213" s="1009"/>
      <c r="O213" s="1009"/>
      <c r="P213" s="1009"/>
      <c r="Q213" s="1009"/>
      <c r="R213" s="1009"/>
      <c r="S213" s="1009"/>
      <c r="T213" s="1009"/>
      <c r="U213" s="1009"/>
      <c r="V213" s="1009"/>
      <c r="W213" s="1009"/>
      <c r="X213" s="1009"/>
      <c r="Y213" s="1009"/>
      <c r="Z213" s="365"/>
    </row>
    <row r="214" ht="15.0" customHeight="1">
      <c r="A214" s="1009"/>
      <c r="B214" s="1009"/>
      <c r="C214" s="1009"/>
      <c r="D214" s="1009"/>
      <c r="E214" s="1009"/>
      <c r="F214" s="1009"/>
      <c r="G214" s="1009"/>
      <c r="H214" s="1140"/>
      <c r="I214" s="1009"/>
      <c r="J214" s="1009"/>
      <c r="K214" s="1009"/>
      <c r="L214" s="1009"/>
      <c r="M214" s="1009"/>
      <c r="N214" s="1009"/>
      <c r="O214" s="1009"/>
      <c r="P214" s="1009"/>
      <c r="Q214" s="1009"/>
      <c r="R214" s="1009"/>
      <c r="S214" s="1009"/>
      <c r="T214" s="1009"/>
      <c r="U214" s="1009"/>
      <c r="V214" s="1009"/>
      <c r="W214" s="1009"/>
      <c r="X214" s="1009"/>
      <c r="Y214" s="1009"/>
      <c r="Z214" s="365"/>
    </row>
    <row r="215" ht="15.0" customHeight="1">
      <c r="A215" s="1009"/>
      <c r="B215" s="1009"/>
      <c r="C215" s="1009"/>
      <c r="D215" s="1009"/>
      <c r="E215" s="1009"/>
      <c r="F215" s="1009"/>
      <c r="G215" s="1009"/>
      <c r="H215" s="1140"/>
      <c r="I215" s="1009"/>
      <c r="J215" s="1009"/>
      <c r="K215" s="1009"/>
      <c r="L215" s="1009"/>
      <c r="M215" s="1009"/>
      <c r="N215" s="1009"/>
      <c r="O215" s="1009"/>
      <c r="P215" s="1009"/>
      <c r="Q215" s="1009"/>
      <c r="R215" s="1009"/>
      <c r="S215" s="1009"/>
      <c r="T215" s="1009"/>
      <c r="U215" s="1009"/>
      <c r="V215" s="1009"/>
      <c r="W215" s="1009"/>
      <c r="X215" s="1009"/>
      <c r="Y215" s="1009"/>
      <c r="Z215" s="365"/>
    </row>
    <row r="216" ht="15.0" customHeight="1">
      <c r="A216" s="1009"/>
      <c r="B216" s="1009"/>
      <c r="C216" s="1009"/>
      <c r="D216" s="1009"/>
      <c r="E216" s="1009"/>
      <c r="F216" s="1009"/>
      <c r="G216" s="1009"/>
      <c r="H216" s="1140"/>
      <c r="I216" s="1009"/>
      <c r="J216" s="1009"/>
      <c r="K216" s="1009"/>
      <c r="L216" s="1009"/>
      <c r="M216" s="1009"/>
      <c r="N216" s="1009"/>
      <c r="O216" s="1009"/>
      <c r="P216" s="1009"/>
      <c r="Q216" s="1009"/>
      <c r="R216" s="1009"/>
      <c r="S216" s="1009"/>
      <c r="T216" s="1009"/>
      <c r="U216" s="1009"/>
      <c r="V216" s="1009"/>
      <c r="W216" s="1009"/>
      <c r="X216" s="1009"/>
      <c r="Y216" s="1009"/>
      <c r="Z216" s="365"/>
    </row>
    <row r="217" ht="15.0" customHeight="1">
      <c r="A217" s="1009"/>
      <c r="B217" s="1009"/>
      <c r="C217" s="1009"/>
      <c r="D217" s="1009"/>
      <c r="E217" s="1009"/>
      <c r="F217" s="1009"/>
      <c r="G217" s="1009"/>
      <c r="H217" s="1140"/>
      <c r="I217" s="1009"/>
      <c r="J217" s="1009"/>
      <c r="K217" s="1009"/>
      <c r="L217" s="1009"/>
      <c r="M217" s="1009"/>
      <c r="N217" s="1009"/>
      <c r="O217" s="1009"/>
      <c r="P217" s="1009"/>
      <c r="Q217" s="1009"/>
      <c r="R217" s="1009"/>
      <c r="S217" s="1009"/>
      <c r="T217" s="1009"/>
      <c r="U217" s="1009"/>
      <c r="V217" s="1009"/>
      <c r="W217" s="1009"/>
      <c r="X217" s="1009"/>
      <c r="Y217" s="1009"/>
      <c r="Z217" s="365"/>
    </row>
    <row r="218" ht="15.0" customHeight="1">
      <c r="A218" s="1009"/>
      <c r="B218" s="1009"/>
      <c r="C218" s="1009"/>
      <c r="D218" s="1009"/>
      <c r="E218" s="1009"/>
      <c r="F218" s="1009"/>
      <c r="G218" s="1009"/>
      <c r="H218" s="1140"/>
      <c r="I218" s="1009"/>
      <c r="J218" s="1009"/>
      <c r="K218" s="1009"/>
      <c r="L218" s="1009"/>
      <c r="M218" s="1009"/>
      <c r="N218" s="1009"/>
      <c r="O218" s="1009"/>
      <c r="P218" s="1009"/>
      <c r="Q218" s="1009"/>
      <c r="R218" s="1009"/>
      <c r="S218" s="1009"/>
      <c r="T218" s="1009"/>
      <c r="U218" s="1009"/>
      <c r="V218" s="1009"/>
      <c r="W218" s="1009"/>
      <c r="X218" s="1009"/>
      <c r="Y218" s="1009"/>
      <c r="Z218" s="365"/>
    </row>
    <row r="219" ht="15.0" customHeight="1">
      <c r="A219" s="1009"/>
      <c r="B219" s="1009"/>
      <c r="C219" s="1009"/>
      <c r="D219" s="1009"/>
      <c r="E219" s="1009"/>
      <c r="F219" s="1009"/>
      <c r="G219" s="1009"/>
      <c r="H219" s="1140"/>
      <c r="I219" s="1009"/>
      <c r="J219" s="1009"/>
      <c r="K219" s="1009"/>
      <c r="L219" s="1009"/>
      <c r="M219" s="1009"/>
      <c r="N219" s="1009"/>
      <c r="O219" s="1009"/>
      <c r="P219" s="1009"/>
      <c r="Q219" s="1009"/>
      <c r="R219" s="1009"/>
      <c r="S219" s="1009"/>
      <c r="T219" s="1009"/>
      <c r="U219" s="1009"/>
      <c r="V219" s="1009"/>
      <c r="W219" s="1009"/>
      <c r="X219" s="1009"/>
      <c r="Y219" s="1009"/>
      <c r="Z219" s="365"/>
    </row>
    <row r="220" ht="15.0" customHeight="1">
      <c r="A220" s="1009"/>
      <c r="B220" s="1009"/>
      <c r="C220" s="1009"/>
      <c r="D220" s="1009"/>
      <c r="E220" s="1009"/>
      <c r="F220" s="1009"/>
      <c r="G220" s="1009"/>
      <c r="H220" s="1140"/>
      <c r="I220" s="1009"/>
      <c r="J220" s="1009"/>
      <c r="K220" s="1009"/>
      <c r="L220" s="1009"/>
      <c r="M220" s="1009"/>
      <c r="N220" s="1009"/>
      <c r="O220" s="1009"/>
      <c r="P220" s="1009"/>
      <c r="Q220" s="1009"/>
      <c r="R220" s="1009"/>
      <c r="S220" s="1009"/>
      <c r="T220" s="1009"/>
      <c r="U220" s="1009"/>
      <c r="V220" s="1009"/>
      <c r="W220" s="1009"/>
      <c r="X220" s="1009"/>
      <c r="Y220" s="1009"/>
      <c r="Z220" s="365"/>
    </row>
    <row r="221" ht="15.0" customHeight="1">
      <c r="A221" s="1009"/>
      <c r="B221" s="1009"/>
      <c r="C221" s="1009"/>
      <c r="D221" s="1009"/>
      <c r="E221" s="1009"/>
      <c r="F221" s="1009"/>
      <c r="G221" s="1009"/>
      <c r="H221" s="1140"/>
      <c r="I221" s="1009"/>
      <c r="J221" s="1009"/>
      <c r="K221" s="1009"/>
      <c r="L221" s="1009"/>
      <c r="M221" s="1009"/>
      <c r="N221" s="1009"/>
      <c r="O221" s="1009"/>
      <c r="P221" s="1009"/>
      <c r="Q221" s="1009"/>
      <c r="R221" s="1009"/>
      <c r="S221" s="1009"/>
      <c r="T221" s="1009"/>
      <c r="U221" s="1009"/>
      <c r="V221" s="1009"/>
      <c r="W221" s="1009"/>
      <c r="X221" s="1009"/>
      <c r="Y221" s="1009"/>
      <c r="Z221" s="365"/>
    </row>
    <row r="222" ht="15.0" customHeight="1">
      <c r="A222" s="1009"/>
      <c r="B222" s="1009"/>
      <c r="C222" s="1009"/>
      <c r="D222" s="1009"/>
      <c r="E222" s="1009"/>
      <c r="F222" s="1009"/>
      <c r="G222" s="1009"/>
      <c r="H222" s="1140"/>
      <c r="I222" s="1009"/>
      <c r="J222" s="1009"/>
      <c r="K222" s="1009"/>
      <c r="L222" s="1009"/>
      <c r="M222" s="1009"/>
      <c r="N222" s="1009"/>
      <c r="O222" s="1009"/>
      <c r="P222" s="1009"/>
      <c r="Q222" s="1009"/>
      <c r="R222" s="1009"/>
      <c r="S222" s="1009"/>
      <c r="T222" s="1009"/>
      <c r="U222" s="1009"/>
      <c r="V222" s="1009"/>
      <c r="W222" s="1009"/>
      <c r="X222" s="1009"/>
      <c r="Y222" s="1009"/>
      <c r="Z222" s="365"/>
    </row>
    <row r="223" ht="15.0" customHeight="1">
      <c r="A223" s="1009"/>
      <c r="B223" s="1009"/>
      <c r="C223" s="1009"/>
      <c r="D223" s="1009"/>
      <c r="E223" s="1009"/>
      <c r="F223" s="1009"/>
      <c r="G223" s="1009"/>
      <c r="H223" s="1140"/>
      <c r="I223" s="1009"/>
      <c r="J223" s="1009"/>
      <c r="K223" s="1009"/>
      <c r="L223" s="1009"/>
      <c r="M223" s="1009"/>
      <c r="N223" s="1009"/>
      <c r="O223" s="1009"/>
      <c r="P223" s="1009"/>
      <c r="Q223" s="1009"/>
      <c r="R223" s="1009"/>
      <c r="S223" s="1009"/>
      <c r="T223" s="1009"/>
      <c r="U223" s="1009"/>
      <c r="V223" s="1009"/>
      <c r="W223" s="1009"/>
      <c r="X223" s="1009"/>
      <c r="Y223" s="1009"/>
      <c r="Z223" s="365"/>
    </row>
    <row r="224" ht="15.0" customHeight="1">
      <c r="A224" s="1009"/>
      <c r="B224" s="1009"/>
      <c r="C224" s="1009"/>
      <c r="D224" s="1009"/>
      <c r="E224" s="1009"/>
      <c r="F224" s="1009"/>
      <c r="G224" s="1009"/>
      <c r="H224" s="1140"/>
      <c r="I224" s="1009"/>
      <c r="J224" s="1009"/>
      <c r="K224" s="1009"/>
      <c r="L224" s="1009"/>
      <c r="M224" s="1009"/>
      <c r="N224" s="1009"/>
      <c r="O224" s="1009"/>
      <c r="P224" s="1009"/>
      <c r="Q224" s="1009"/>
      <c r="R224" s="1009"/>
      <c r="S224" s="1009"/>
      <c r="T224" s="1009"/>
      <c r="U224" s="1009"/>
      <c r="V224" s="1009"/>
      <c r="W224" s="1009"/>
      <c r="X224" s="1009"/>
      <c r="Y224" s="1009"/>
      <c r="Z224" s="365"/>
    </row>
    <row r="225" ht="15.0" customHeight="1">
      <c r="A225" s="1009"/>
      <c r="B225" s="1009"/>
      <c r="C225" s="1009"/>
      <c r="D225" s="1009"/>
      <c r="E225" s="1009"/>
      <c r="F225" s="1009"/>
      <c r="G225" s="1009"/>
      <c r="H225" s="1140"/>
      <c r="I225" s="1009"/>
      <c r="J225" s="1009"/>
      <c r="K225" s="1009"/>
      <c r="L225" s="1009"/>
      <c r="M225" s="1009"/>
      <c r="N225" s="1009"/>
      <c r="O225" s="1009"/>
      <c r="P225" s="1009"/>
      <c r="Q225" s="1009"/>
      <c r="R225" s="1009"/>
      <c r="S225" s="1009"/>
      <c r="T225" s="1009"/>
      <c r="U225" s="1009"/>
      <c r="V225" s="1009"/>
      <c r="W225" s="1009"/>
      <c r="X225" s="1009"/>
      <c r="Y225" s="1009"/>
      <c r="Z225" s="365"/>
    </row>
    <row r="226" ht="15.0" customHeight="1">
      <c r="A226" s="1009"/>
      <c r="B226" s="1009"/>
      <c r="C226" s="1009"/>
      <c r="D226" s="1009"/>
      <c r="E226" s="1009"/>
      <c r="F226" s="1009"/>
      <c r="G226" s="1009"/>
      <c r="H226" s="1140"/>
      <c r="I226" s="1009"/>
      <c r="J226" s="1009"/>
      <c r="K226" s="1009"/>
      <c r="L226" s="1009"/>
      <c r="M226" s="1009"/>
      <c r="N226" s="1009"/>
      <c r="O226" s="1009"/>
      <c r="P226" s="1009"/>
      <c r="Q226" s="1009"/>
      <c r="R226" s="1009"/>
      <c r="S226" s="1009"/>
      <c r="T226" s="1009"/>
      <c r="U226" s="1009"/>
      <c r="V226" s="1009"/>
      <c r="W226" s="1009"/>
      <c r="X226" s="1009"/>
      <c r="Y226" s="1009"/>
      <c r="Z226" s="365"/>
    </row>
    <row r="227" ht="15.0" customHeight="1">
      <c r="A227" s="1009"/>
      <c r="B227" s="1009"/>
      <c r="C227" s="1009"/>
      <c r="D227" s="1009"/>
      <c r="E227" s="1009"/>
      <c r="F227" s="1009"/>
      <c r="G227" s="1009"/>
      <c r="H227" s="1140"/>
      <c r="I227" s="1009"/>
      <c r="J227" s="1009"/>
      <c r="K227" s="1009"/>
      <c r="L227" s="1009"/>
      <c r="M227" s="1009"/>
      <c r="N227" s="1009"/>
      <c r="O227" s="1009"/>
      <c r="P227" s="1009"/>
      <c r="Q227" s="1009"/>
      <c r="R227" s="1009"/>
      <c r="S227" s="1009"/>
      <c r="T227" s="1009"/>
      <c r="U227" s="1009"/>
      <c r="V227" s="1009"/>
      <c r="W227" s="1009"/>
      <c r="X227" s="1009"/>
      <c r="Y227" s="1009"/>
      <c r="Z227" s="365"/>
    </row>
    <row r="228" ht="15.0" customHeight="1">
      <c r="A228" s="1009"/>
      <c r="B228" s="1009"/>
      <c r="C228" s="1009"/>
      <c r="D228" s="1009"/>
      <c r="E228" s="1009"/>
      <c r="F228" s="1009"/>
      <c r="G228" s="1009"/>
      <c r="H228" s="1140"/>
      <c r="I228" s="1009"/>
      <c r="J228" s="1009"/>
      <c r="K228" s="1009"/>
      <c r="L228" s="1009"/>
      <c r="M228" s="1009"/>
      <c r="N228" s="1009"/>
      <c r="O228" s="1009"/>
      <c r="P228" s="1009"/>
      <c r="Q228" s="1009"/>
      <c r="R228" s="1009"/>
      <c r="S228" s="1009"/>
      <c r="T228" s="1009"/>
      <c r="U228" s="1009"/>
      <c r="V228" s="1009"/>
      <c r="W228" s="1009"/>
      <c r="X228" s="1009"/>
      <c r="Y228" s="1009"/>
      <c r="Z228" s="365"/>
    </row>
    <row r="229" ht="15.0" customHeight="1">
      <c r="A229" s="1009"/>
      <c r="B229" s="1009"/>
      <c r="C229" s="1009"/>
      <c r="D229" s="1009"/>
      <c r="E229" s="1009"/>
      <c r="F229" s="1009"/>
      <c r="G229" s="1009"/>
      <c r="H229" s="1140"/>
      <c r="I229" s="1009"/>
      <c r="J229" s="1009"/>
      <c r="K229" s="1009"/>
      <c r="L229" s="1009"/>
      <c r="M229" s="1009"/>
      <c r="N229" s="1009"/>
      <c r="O229" s="1009"/>
      <c r="P229" s="1009"/>
      <c r="Q229" s="1009"/>
      <c r="R229" s="1009"/>
      <c r="S229" s="1009"/>
      <c r="T229" s="1009"/>
      <c r="U229" s="1009"/>
      <c r="V229" s="1009"/>
      <c r="W229" s="1009"/>
      <c r="X229" s="1009"/>
      <c r="Y229" s="1009"/>
      <c r="Z229" s="365"/>
    </row>
    <row r="230" ht="15.0" customHeight="1">
      <c r="A230" s="1009"/>
      <c r="B230" s="1009"/>
      <c r="C230" s="1009"/>
      <c r="D230" s="1009"/>
      <c r="E230" s="1009"/>
      <c r="F230" s="1009"/>
      <c r="G230" s="1009"/>
      <c r="H230" s="1140"/>
      <c r="I230" s="1009"/>
      <c r="J230" s="1009"/>
      <c r="K230" s="1009"/>
      <c r="L230" s="1009"/>
      <c r="M230" s="1009"/>
      <c r="N230" s="1009"/>
      <c r="O230" s="1009"/>
      <c r="P230" s="1009"/>
      <c r="Q230" s="1009"/>
      <c r="R230" s="1009"/>
      <c r="S230" s="1009"/>
      <c r="T230" s="1009"/>
      <c r="U230" s="1009"/>
      <c r="V230" s="1009"/>
      <c r="W230" s="1009"/>
      <c r="X230" s="1009"/>
      <c r="Y230" s="1009"/>
      <c r="Z230" s="365"/>
    </row>
    <row r="231" ht="15.0" customHeight="1">
      <c r="A231" s="1009"/>
      <c r="B231" s="1009"/>
      <c r="C231" s="1009"/>
      <c r="D231" s="1009"/>
      <c r="E231" s="1009"/>
      <c r="F231" s="1009"/>
      <c r="G231" s="1009"/>
      <c r="H231" s="1140"/>
      <c r="I231" s="1009"/>
      <c r="J231" s="1009"/>
      <c r="K231" s="1009"/>
      <c r="L231" s="1009"/>
      <c r="M231" s="1009"/>
      <c r="N231" s="1009"/>
      <c r="O231" s="1009"/>
      <c r="P231" s="1009"/>
      <c r="Q231" s="1009"/>
      <c r="R231" s="1009"/>
      <c r="S231" s="1009"/>
      <c r="T231" s="1009"/>
      <c r="U231" s="1009"/>
      <c r="V231" s="1009"/>
      <c r="W231" s="1009"/>
      <c r="X231" s="1009"/>
      <c r="Y231" s="1009"/>
      <c r="Z231" s="365"/>
    </row>
    <row r="232" ht="15.0" customHeight="1">
      <c r="A232" s="1009"/>
      <c r="B232" s="1009"/>
      <c r="C232" s="1009"/>
      <c r="D232" s="1009"/>
      <c r="E232" s="1009"/>
      <c r="F232" s="1009"/>
      <c r="G232" s="1009"/>
      <c r="H232" s="1140"/>
      <c r="I232" s="1009"/>
      <c r="J232" s="1009"/>
      <c r="K232" s="1009"/>
      <c r="L232" s="1009"/>
      <c r="M232" s="1009"/>
      <c r="N232" s="1009"/>
      <c r="O232" s="1009"/>
      <c r="P232" s="1009"/>
      <c r="Q232" s="1009"/>
      <c r="R232" s="1009"/>
      <c r="S232" s="1009"/>
      <c r="T232" s="1009"/>
      <c r="U232" s="1009"/>
      <c r="V232" s="1009"/>
      <c r="W232" s="1009"/>
      <c r="X232" s="1009"/>
      <c r="Y232" s="1009"/>
      <c r="Z232" s="365"/>
    </row>
    <row r="233" ht="15.0" customHeight="1">
      <c r="A233" s="1009"/>
      <c r="B233" s="1009"/>
      <c r="C233" s="1009"/>
      <c r="D233" s="1009"/>
      <c r="E233" s="1009"/>
      <c r="F233" s="1009"/>
      <c r="G233" s="1009"/>
      <c r="H233" s="1140"/>
      <c r="I233" s="1009"/>
      <c r="J233" s="1009"/>
      <c r="K233" s="1009"/>
      <c r="L233" s="1009"/>
      <c r="M233" s="1009"/>
      <c r="N233" s="1009"/>
      <c r="O233" s="1009"/>
      <c r="P233" s="1009"/>
      <c r="Q233" s="1009"/>
      <c r="R233" s="1009"/>
      <c r="S233" s="1009"/>
      <c r="T233" s="1009"/>
      <c r="U233" s="1009"/>
      <c r="V233" s="1009"/>
      <c r="W233" s="1009"/>
      <c r="X233" s="1009"/>
      <c r="Y233" s="1009"/>
      <c r="Z233" s="365"/>
    </row>
    <row r="234" ht="15.0" customHeight="1">
      <c r="A234" s="1009"/>
      <c r="B234" s="1009"/>
      <c r="C234" s="1009"/>
      <c r="D234" s="1009"/>
      <c r="E234" s="1009"/>
      <c r="F234" s="1009"/>
      <c r="G234" s="1009"/>
      <c r="H234" s="1140"/>
      <c r="I234" s="1009"/>
      <c r="J234" s="1009"/>
      <c r="K234" s="1009"/>
      <c r="L234" s="1009"/>
      <c r="M234" s="1009"/>
      <c r="N234" s="1009"/>
      <c r="O234" s="1009"/>
      <c r="P234" s="1009"/>
      <c r="Q234" s="1009"/>
      <c r="R234" s="1009"/>
      <c r="S234" s="1009"/>
      <c r="T234" s="1009"/>
      <c r="U234" s="1009"/>
      <c r="V234" s="1009"/>
      <c r="W234" s="1009"/>
      <c r="X234" s="1009"/>
      <c r="Y234" s="1009"/>
      <c r="Z234" s="365"/>
    </row>
    <row r="235" ht="15.0" customHeight="1">
      <c r="A235" s="1009"/>
      <c r="B235" s="1009"/>
      <c r="C235" s="1009"/>
      <c r="D235" s="1009"/>
      <c r="E235" s="1009"/>
      <c r="F235" s="1009"/>
      <c r="G235" s="1009"/>
      <c r="H235" s="1140"/>
      <c r="I235" s="1009"/>
      <c r="J235" s="1009"/>
      <c r="K235" s="1009"/>
      <c r="L235" s="1009"/>
      <c r="M235" s="1009"/>
      <c r="N235" s="1009"/>
      <c r="O235" s="1009"/>
      <c r="P235" s="1009"/>
      <c r="Q235" s="1009"/>
      <c r="R235" s="1009"/>
      <c r="S235" s="1009"/>
      <c r="T235" s="1009"/>
      <c r="U235" s="1009"/>
      <c r="V235" s="1009"/>
      <c r="W235" s="1009"/>
      <c r="X235" s="1009"/>
      <c r="Y235" s="1009"/>
      <c r="Z235" s="365"/>
    </row>
    <row r="236" ht="15.0" customHeight="1">
      <c r="A236" s="1009"/>
      <c r="B236" s="1009"/>
      <c r="C236" s="1009"/>
      <c r="D236" s="1009"/>
      <c r="E236" s="1009"/>
      <c r="F236" s="1009"/>
      <c r="G236" s="1009"/>
      <c r="H236" s="1140"/>
      <c r="I236" s="1009"/>
      <c r="J236" s="1009"/>
      <c r="K236" s="1009"/>
      <c r="L236" s="1009"/>
      <c r="M236" s="1009"/>
      <c r="N236" s="1009"/>
      <c r="O236" s="1009"/>
      <c r="P236" s="1009"/>
      <c r="Q236" s="1009"/>
      <c r="R236" s="1009"/>
      <c r="S236" s="1009"/>
      <c r="T236" s="1009"/>
      <c r="U236" s="1009"/>
      <c r="V236" s="1009"/>
      <c r="W236" s="1009"/>
      <c r="X236" s="1009"/>
      <c r="Y236" s="1009"/>
      <c r="Z236" s="365"/>
    </row>
    <row r="237" ht="15.0" customHeight="1">
      <c r="A237" s="1009"/>
      <c r="B237" s="1009"/>
      <c r="C237" s="1009"/>
      <c r="D237" s="1009"/>
      <c r="E237" s="1009"/>
      <c r="F237" s="1009"/>
      <c r="G237" s="1009"/>
      <c r="H237" s="1140"/>
      <c r="I237" s="1009"/>
      <c r="J237" s="1009"/>
      <c r="K237" s="1009"/>
      <c r="L237" s="1009"/>
      <c r="M237" s="1009"/>
      <c r="N237" s="1009"/>
      <c r="O237" s="1009"/>
      <c r="P237" s="1009"/>
      <c r="Q237" s="1009"/>
      <c r="R237" s="1009"/>
      <c r="S237" s="1009"/>
      <c r="T237" s="1009"/>
      <c r="U237" s="1009"/>
      <c r="V237" s="1009"/>
      <c r="W237" s="1009"/>
      <c r="X237" s="1009"/>
      <c r="Y237" s="1009"/>
      <c r="Z237" s="365"/>
    </row>
    <row r="238" ht="15.0" customHeight="1">
      <c r="A238" s="1009"/>
      <c r="B238" s="1009"/>
      <c r="C238" s="1009"/>
      <c r="D238" s="1009"/>
      <c r="E238" s="1009"/>
      <c r="F238" s="1009"/>
      <c r="G238" s="1009"/>
      <c r="H238" s="1140"/>
      <c r="I238" s="1009"/>
      <c r="J238" s="1009"/>
      <c r="K238" s="1009"/>
      <c r="L238" s="1009"/>
      <c r="M238" s="1009"/>
      <c r="N238" s="1009"/>
      <c r="O238" s="1009"/>
      <c r="P238" s="1009"/>
      <c r="Q238" s="1009"/>
      <c r="R238" s="1009"/>
      <c r="S238" s="1009"/>
      <c r="T238" s="1009"/>
      <c r="U238" s="1009"/>
      <c r="V238" s="1009"/>
      <c r="W238" s="1009"/>
      <c r="X238" s="1009"/>
      <c r="Y238" s="1009"/>
      <c r="Z238" s="365"/>
    </row>
    <row r="239" ht="15.0" customHeight="1">
      <c r="A239" s="1009"/>
      <c r="B239" s="1009"/>
      <c r="C239" s="1009"/>
      <c r="D239" s="1009"/>
      <c r="E239" s="1009"/>
      <c r="F239" s="1009"/>
      <c r="G239" s="1009"/>
      <c r="H239" s="1140"/>
      <c r="I239" s="1009"/>
      <c r="J239" s="1009"/>
      <c r="K239" s="1009"/>
      <c r="L239" s="1009"/>
      <c r="M239" s="1009"/>
      <c r="N239" s="1009"/>
      <c r="O239" s="1009"/>
      <c r="P239" s="1009"/>
      <c r="Q239" s="1009"/>
      <c r="R239" s="1009"/>
      <c r="S239" s="1009"/>
      <c r="T239" s="1009"/>
      <c r="U239" s="1009"/>
      <c r="V239" s="1009"/>
      <c r="W239" s="1009"/>
      <c r="X239" s="1009"/>
      <c r="Y239" s="1009"/>
      <c r="Z239" s="365"/>
    </row>
    <row r="240" ht="15.0" customHeight="1">
      <c r="A240" s="1009"/>
      <c r="B240" s="1009"/>
      <c r="C240" s="1009"/>
      <c r="D240" s="1009"/>
      <c r="E240" s="1009"/>
      <c r="F240" s="1009"/>
      <c r="G240" s="1009"/>
      <c r="H240" s="1140"/>
      <c r="I240" s="1009"/>
      <c r="J240" s="1009"/>
      <c r="K240" s="1009"/>
      <c r="L240" s="1009"/>
      <c r="M240" s="1009"/>
      <c r="N240" s="1009"/>
      <c r="O240" s="1009"/>
      <c r="P240" s="1009"/>
      <c r="Q240" s="1009"/>
      <c r="R240" s="1009"/>
      <c r="S240" s="1009"/>
      <c r="T240" s="1009"/>
      <c r="U240" s="1009"/>
      <c r="V240" s="1009"/>
      <c r="W240" s="1009"/>
      <c r="X240" s="1009"/>
      <c r="Y240" s="1009"/>
      <c r="Z240" s="365"/>
    </row>
    <row r="241" ht="15.0" customHeight="1">
      <c r="A241" s="1009"/>
      <c r="B241" s="1009"/>
      <c r="C241" s="1009"/>
      <c r="D241" s="1009"/>
      <c r="E241" s="1009"/>
      <c r="F241" s="1009"/>
      <c r="G241" s="1009"/>
      <c r="H241" s="1140"/>
      <c r="I241" s="1009"/>
      <c r="J241" s="1009"/>
      <c r="K241" s="1009"/>
      <c r="L241" s="1009"/>
      <c r="M241" s="1009"/>
      <c r="N241" s="1009"/>
      <c r="O241" s="1009"/>
      <c r="P241" s="1009"/>
      <c r="Q241" s="1009"/>
      <c r="R241" s="1009"/>
      <c r="S241" s="1009"/>
      <c r="T241" s="1009"/>
      <c r="U241" s="1009"/>
      <c r="V241" s="1009"/>
      <c r="W241" s="1009"/>
      <c r="X241" s="1009"/>
      <c r="Y241" s="1009"/>
      <c r="Z241" s="365"/>
    </row>
    <row r="242" ht="15.0" customHeight="1">
      <c r="A242" s="1009"/>
      <c r="B242" s="1009"/>
      <c r="C242" s="1009"/>
      <c r="D242" s="1009"/>
      <c r="E242" s="1009"/>
      <c r="F242" s="1009"/>
      <c r="G242" s="1009"/>
      <c r="H242" s="1140"/>
      <c r="I242" s="1009"/>
      <c r="J242" s="1009"/>
      <c r="K242" s="1009"/>
      <c r="L242" s="1009"/>
      <c r="M242" s="1009"/>
      <c r="N242" s="1009"/>
      <c r="O242" s="1009"/>
      <c r="P242" s="1009"/>
      <c r="Q242" s="1009"/>
      <c r="R242" s="1009"/>
      <c r="S242" s="1009"/>
      <c r="T242" s="1009"/>
      <c r="U242" s="1009"/>
      <c r="V242" s="1009"/>
      <c r="W242" s="1009"/>
      <c r="X242" s="1009"/>
      <c r="Y242" s="1009"/>
      <c r="Z242" s="365"/>
    </row>
    <row r="243" ht="15.0" customHeight="1">
      <c r="A243" s="1009"/>
      <c r="B243" s="1009"/>
      <c r="C243" s="1009"/>
      <c r="D243" s="1009"/>
      <c r="E243" s="1009"/>
      <c r="F243" s="1009"/>
      <c r="G243" s="1009"/>
      <c r="H243" s="1140"/>
      <c r="I243" s="1009"/>
      <c r="J243" s="1009"/>
      <c r="K243" s="1009"/>
      <c r="L243" s="1009"/>
      <c r="M243" s="1009"/>
      <c r="N243" s="1009"/>
      <c r="O243" s="1009"/>
      <c r="P243" s="1009"/>
      <c r="Q243" s="1009"/>
      <c r="R243" s="1009"/>
      <c r="S243" s="1009"/>
      <c r="T243" s="1009"/>
      <c r="U243" s="1009"/>
      <c r="V243" s="1009"/>
      <c r="W243" s="1009"/>
      <c r="X243" s="1009"/>
      <c r="Y243" s="1009"/>
      <c r="Z243" s="365"/>
    </row>
    <row r="244" ht="15.0" customHeight="1">
      <c r="A244" s="1009"/>
      <c r="B244" s="1009"/>
      <c r="C244" s="1009"/>
      <c r="D244" s="1009"/>
      <c r="E244" s="1009"/>
      <c r="F244" s="1009"/>
      <c r="G244" s="1009"/>
      <c r="H244" s="1140"/>
      <c r="I244" s="1009"/>
      <c r="J244" s="1009"/>
      <c r="K244" s="1009"/>
      <c r="L244" s="1009"/>
      <c r="M244" s="1009"/>
      <c r="N244" s="1009"/>
      <c r="O244" s="1009"/>
      <c r="P244" s="1009"/>
      <c r="Q244" s="1009"/>
      <c r="R244" s="1009"/>
      <c r="S244" s="1009"/>
      <c r="T244" s="1009"/>
      <c r="U244" s="1009"/>
      <c r="V244" s="1009"/>
      <c r="W244" s="1009"/>
      <c r="X244" s="1009"/>
      <c r="Y244" s="1009"/>
      <c r="Z244" s="365"/>
    </row>
    <row r="245" ht="15.0" customHeight="1">
      <c r="A245" s="1009"/>
      <c r="B245" s="1009"/>
      <c r="C245" s="1009"/>
      <c r="D245" s="1009"/>
      <c r="E245" s="1009"/>
      <c r="F245" s="1009"/>
      <c r="G245" s="1009"/>
      <c r="H245" s="1140"/>
      <c r="I245" s="1009"/>
      <c r="J245" s="1009"/>
      <c r="K245" s="1009"/>
      <c r="L245" s="1009"/>
      <c r="M245" s="1009"/>
      <c r="N245" s="1009"/>
      <c r="O245" s="1009"/>
      <c r="P245" s="1009"/>
      <c r="Q245" s="1009"/>
      <c r="R245" s="1009"/>
      <c r="S245" s="1009"/>
      <c r="T245" s="1009"/>
      <c r="U245" s="1009"/>
      <c r="V245" s="1009"/>
      <c r="W245" s="1009"/>
      <c r="X245" s="1009"/>
      <c r="Y245" s="1009"/>
      <c r="Z245" s="365"/>
    </row>
    <row r="246" ht="15.0" customHeight="1">
      <c r="A246" s="1009"/>
      <c r="B246" s="1009"/>
      <c r="C246" s="1009"/>
      <c r="D246" s="1009"/>
      <c r="E246" s="1009"/>
      <c r="F246" s="1009"/>
      <c r="G246" s="1009"/>
      <c r="H246" s="1140"/>
      <c r="I246" s="1009"/>
      <c r="J246" s="1009"/>
      <c r="K246" s="1009"/>
      <c r="L246" s="1009"/>
      <c r="M246" s="1009"/>
      <c r="N246" s="1009"/>
      <c r="O246" s="1009"/>
      <c r="P246" s="1009"/>
      <c r="Q246" s="1009"/>
      <c r="R246" s="1009"/>
      <c r="S246" s="1009"/>
      <c r="T246" s="1009"/>
      <c r="U246" s="1009"/>
      <c r="V246" s="1009"/>
      <c r="W246" s="1009"/>
      <c r="X246" s="1009"/>
      <c r="Y246" s="1009"/>
      <c r="Z246" s="365"/>
    </row>
    <row r="247" ht="15.0" customHeight="1">
      <c r="A247" s="1009"/>
      <c r="B247" s="1009"/>
      <c r="C247" s="1009"/>
      <c r="D247" s="1009"/>
      <c r="E247" s="1009"/>
      <c r="F247" s="1009"/>
      <c r="G247" s="1009"/>
      <c r="H247" s="1140"/>
      <c r="I247" s="1009"/>
      <c r="J247" s="1009"/>
      <c r="K247" s="1009"/>
      <c r="L247" s="1009"/>
      <c r="M247" s="1009"/>
      <c r="N247" s="1009"/>
      <c r="O247" s="1009"/>
      <c r="P247" s="1009"/>
      <c r="Q247" s="1009"/>
      <c r="R247" s="1009"/>
      <c r="S247" s="1009"/>
      <c r="T247" s="1009"/>
      <c r="U247" s="1009"/>
      <c r="V247" s="1009"/>
      <c r="W247" s="1009"/>
      <c r="X247" s="1009"/>
      <c r="Y247" s="1009"/>
      <c r="Z247" s="365"/>
    </row>
    <row r="248" ht="15.0" customHeight="1">
      <c r="A248" s="1009"/>
      <c r="B248" s="1009"/>
      <c r="C248" s="1009"/>
      <c r="D248" s="1009"/>
      <c r="E248" s="1009"/>
      <c r="F248" s="1009"/>
      <c r="G248" s="1009"/>
      <c r="H248" s="1140"/>
      <c r="I248" s="1009"/>
      <c r="J248" s="1009"/>
      <c r="K248" s="1009"/>
      <c r="L248" s="1009"/>
      <c r="M248" s="1009"/>
      <c r="N248" s="1009"/>
      <c r="O248" s="1009"/>
      <c r="P248" s="1009"/>
      <c r="Q248" s="1009"/>
      <c r="R248" s="1009"/>
      <c r="S248" s="1009"/>
      <c r="T248" s="1009"/>
      <c r="U248" s="1009"/>
      <c r="V248" s="1009"/>
      <c r="W248" s="1009"/>
      <c r="X248" s="1009"/>
      <c r="Y248" s="1009"/>
      <c r="Z248" s="365"/>
    </row>
    <row r="249" ht="15.0" customHeight="1">
      <c r="A249" s="1009"/>
      <c r="B249" s="1009"/>
      <c r="C249" s="1009"/>
      <c r="D249" s="1009"/>
      <c r="E249" s="1009"/>
      <c r="F249" s="1009"/>
      <c r="G249" s="1009"/>
      <c r="H249" s="1140"/>
      <c r="I249" s="1009"/>
      <c r="J249" s="1009"/>
      <c r="K249" s="1009"/>
      <c r="L249" s="1009"/>
      <c r="M249" s="1009"/>
      <c r="N249" s="1009"/>
      <c r="O249" s="1009"/>
      <c r="P249" s="1009"/>
      <c r="Q249" s="1009"/>
      <c r="R249" s="1009"/>
      <c r="S249" s="1009"/>
      <c r="T249" s="1009"/>
      <c r="U249" s="1009"/>
      <c r="V249" s="1009"/>
      <c r="W249" s="1009"/>
      <c r="X249" s="1009"/>
      <c r="Y249" s="1009"/>
      <c r="Z249" s="365"/>
    </row>
    <row r="250" ht="15.0" customHeight="1">
      <c r="A250" s="1009"/>
      <c r="B250" s="1009"/>
      <c r="C250" s="1009"/>
      <c r="D250" s="1009"/>
      <c r="E250" s="1009"/>
      <c r="F250" s="1009"/>
      <c r="G250" s="1009"/>
      <c r="H250" s="1140"/>
      <c r="I250" s="1009"/>
      <c r="J250" s="1009"/>
      <c r="K250" s="1009"/>
      <c r="L250" s="1009"/>
      <c r="M250" s="1009"/>
      <c r="N250" s="1009"/>
      <c r="O250" s="1009"/>
      <c r="P250" s="1009"/>
      <c r="Q250" s="1009"/>
      <c r="R250" s="1009"/>
      <c r="S250" s="1009"/>
      <c r="T250" s="1009"/>
      <c r="U250" s="1009"/>
      <c r="V250" s="1009"/>
      <c r="W250" s="1009"/>
      <c r="X250" s="1009"/>
      <c r="Y250" s="1009"/>
      <c r="Z250" s="365"/>
    </row>
    <row r="251" ht="15.0" customHeight="1">
      <c r="A251" s="1009"/>
      <c r="B251" s="1009"/>
      <c r="C251" s="1009"/>
      <c r="D251" s="1009"/>
      <c r="E251" s="1009"/>
      <c r="F251" s="1009"/>
      <c r="G251" s="1009"/>
      <c r="H251" s="1140"/>
      <c r="I251" s="1009"/>
      <c r="J251" s="1009"/>
      <c r="K251" s="1009"/>
      <c r="L251" s="1009"/>
      <c r="M251" s="1009"/>
      <c r="N251" s="1009"/>
      <c r="O251" s="1009"/>
      <c r="P251" s="1009"/>
      <c r="Q251" s="1009"/>
      <c r="R251" s="1009"/>
      <c r="S251" s="1009"/>
      <c r="T251" s="1009"/>
      <c r="U251" s="1009"/>
      <c r="V251" s="1009"/>
      <c r="W251" s="1009"/>
      <c r="X251" s="1009"/>
      <c r="Y251" s="1009"/>
      <c r="Z251" s="365"/>
    </row>
    <row r="252" ht="15.0" customHeight="1">
      <c r="A252" s="1009"/>
      <c r="B252" s="1009"/>
      <c r="C252" s="1009"/>
      <c r="D252" s="1009"/>
      <c r="E252" s="1009"/>
      <c r="F252" s="1009"/>
      <c r="G252" s="1009"/>
      <c r="H252" s="1140"/>
      <c r="I252" s="1009"/>
      <c r="J252" s="1009"/>
      <c r="K252" s="1009"/>
      <c r="L252" s="1009"/>
      <c r="M252" s="1009"/>
      <c r="N252" s="1009"/>
      <c r="O252" s="1009"/>
      <c r="P252" s="1009"/>
      <c r="Q252" s="1009"/>
      <c r="R252" s="1009"/>
      <c r="S252" s="1009"/>
      <c r="T252" s="1009"/>
      <c r="U252" s="1009"/>
      <c r="V252" s="1009"/>
      <c r="W252" s="1009"/>
      <c r="X252" s="1009"/>
      <c r="Y252" s="1009"/>
      <c r="Z252" s="365"/>
    </row>
    <row r="253" ht="15.0" customHeight="1">
      <c r="A253" s="1009"/>
      <c r="B253" s="1009"/>
      <c r="C253" s="1009"/>
      <c r="D253" s="1009"/>
      <c r="E253" s="1009"/>
      <c r="F253" s="1009"/>
      <c r="G253" s="1009"/>
      <c r="H253" s="1140"/>
      <c r="I253" s="1009"/>
      <c r="J253" s="1009"/>
      <c r="K253" s="1009"/>
      <c r="L253" s="1009"/>
      <c r="M253" s="1009"/>
      <c r="N253" s="1009"/>
      <c r="O253" s="1009"/>
      <c r="P253" s="1009"/>
      <c r="Q253" s="1009"/>
      <c r="R253" s="1009"/>
      <c r="S253" s="1009"/>
      <c r="T253" s="1009"/>
      <c r="U253" s="1009"/>
      <c r="V253" s="1009"/>
      <c r="W253" s="1009"/>
      <c r="X253" s="1009"/>
      <c r="Y253" s="1009"/>
      <c r="Z253" s="365"/>
    </row>
    <row r="254" ht="15.0" customHeight="1">
      <c r="A254" s="1009"/>
      <c r="B254" s="1009"/>
      <c r="C254" s="1009"/>
      <c r="D254" s="1009"/>
      <c r="E254" s="1009"/>
      <c r="F254" s="1009"/>
      <c r="G254" s="1009"/>
      <c r="H254" s="1140"/>
      <c r="I254" s="1009"/>
      <c r="J254" s="1009"/>
      <c r="K254" s="1009"/>
      <c r="L254" s="1009"/>
      <c r="M254" s="1009"/>
      <c r="N254" s="1009"/>
      <c r="O254" s="1009"/>
      <c r="P254" s="1009"/>
      <c r="Q254" s="1009"/>
      <c r="R254" s="1009"/>
      <c r="S254" s="1009"/>
      <c r="T254" s="1009"/>
      <c r="U254" s="1009"/>
      <c r="V254" s="1009"/>
      <c r="W254" s="1009"/>
      <c r="X254" s="1009"/>
      <c r="Y254" s="1009"/>
      <c r="Z254" s="365"/>
    </row>
    <row r="255" ht="15.0" customHeight="1">
      <c r="A255" s="1009"/>
      <c r="B255" s="1009"/>
      <c r="C255" s="1009"/>
      <c r="D255" s="1009"/>
      <c r="E255" s="1009"/>
      <c r="F255" s="1009"/>
      <c r="G255" s="1009"/>
      <c r="H255" s="1140"/>
      <c r="I255" s="1009"/>
      <c r="J255" s="1009"/>
      <c r="K255" s="1009"/>
      <c r="L255" s="1009"/>
      <c r="M255" s="1009"/>
      <c r="N255" s="1009"/>
      <c r="O255" s="1009"/>
      <c r="P255" s="1009"/>
      <c r="Q255" s="1009"/>
      <c r="R255" s="1009"/>
      <c r="S255" s="1009"/>
      <c r="T255" s="1009"/>
      <c r="U255" s="1009"/>
      <c r="V255" s="1009"/>
      <c r="W255" s="1009"/>
      <c r="X255" s="1009"/>
      <c r="Y255" s="1009"/>
      <c r="Z255" s="365"/>
    </row>
    <row r="256" ht="15.0" customHeight="1">
      <c r="A256" s="1009"/>
      <c r="B256" s="1009"/>
      <c r="C256" s="1009"/>
      <c r="D256" s="1009"/>
      <c r="E256" s="1009"/>
      <c r="F256" s="1009"/>
      <c r="G256" s="1009"/>
      <c r="H256" s="1140"/>
      <c r="I256" s="1009"/>
      <c r="J256" s="1009"/>
      <c r="K256" s="1009"/>
      <c r="L256" s="1009"/>
      <c r="M256" s="1009"/>
      <c r="N256" s="1009"/>
      <c r="O256" s="1009"/>
      <c r="P256" s="1009"/>
      <c r="Q256" s="1009"/>
      <c r="R256" s="1009"/>
      <c r="S256" s="1009"/>
      <c r="T256" s="1009"/>
      <c r="U256" s="1009"/>
      <c r="V256" s="1009"/>
      <c r="W256" s="1009"/>
      <c r="X256" s="1009"/>
      <c r="Y256" s="1009"/>
      <c r="Z256" s="365"/>
    </row>
    <row r="257" ht="15.0" customHeight="1">
      <c r="A257" s="1009"/>
      <c r="B257" s="1009"/>
      <c r="C257" s="1009"/>
      <c r="D257" s="1009"/>
      <c r="E257" s="1009"/>
      <c r="F257" s="1009"/>
      <c r="G257" s="1009"/>
      <c r="H257" s="1140"/>
      <c r="I257" s="1009"/>
      <c r="J257" s="1009"/>
      <c r="K257" s="1009"/>
      <c r="L257" s="1009"/>
      <c r="M257" s="1009"/>
      <c r="N257" s="1009"/>
      <c r="O257" s="1009"/>
      <c r="P257" s="1009"/>
      <c r="Q257" s="1009"/>
      <c r="R257" s="1009"/>
      <c r="S257" s="1009"/>
      <c r="T257" s="1009"/>
      <c r="U257" s="1009"/>
      <c r="V257" s="1009"/>
      <c r="W257" s="1009"/>
      <c r="X257" s="1009"/>
      <c r="Y257" s="1009"/>
      <c r="Z257" s="365"/>
    </row>
    <row r="258" ht="15.0" customHeight="1">
      <c r="A258" s="1009"/>
      <c r="B258" s="1009"/>
      <c r="C258" s="1009"/>
      <c r="D258" s="1009"/>
      <c r="E258" s="1009"/>
      <c r="F258" s="1009"/>
      <c r="G258" s="1009"/>
      <c r="H258" s="1140"/>
      <c r="I258" s="1009"/>
      <c r="J258" s="1009"/>
      <c r="K258" s="1009"/>
      <c r="L258" s="1009"/>
      <c r="M258" s="1009"/>
      <c r="N258" s="1009"/>
      <c r="O258" s="1009"/>
      <c r="P258" s="1009"/>
      <c r="Q258" s="1009"/>
      <c r="R258" s="1009"/>
      <c r="S258" s="1009"/>
      <c r="T258" s="1009"/>
      <c r="U258" s="1009"/>
      <c r="V258" s="1009"/>
      <c r="W258" s="1009"/>
      <c r="X258" s="1009"/>
      <c r="Y258" s="1009"/>
      <c r="Z258" s="365"/>
    </row>
    <row r="259" ht="15.0" customHeight="1">
      <c r="A259" s="1009"/>
      <c r="B259" s="1009"/>
      <c r="C259" s="1009"/>
      <c r="D259" s="1009"/>
      <c r="E259" s="1009"/>
      <c r="F259" s="1009"/>
      <c r="G259" s="1009"/>
      <c r="H259" s="1140"/>
      <c r="I259" s="1009"/>
      <c r="J259" s="1009"/>
      <c r="K259" s="1009"/>
      <c r="L259" s="1009"/>
      <c r="M259" s="1009"/>
      <c r="N259" s="1009"/>
      <c r="O259" s="1009"/>
      <c r="P259" s="1009"/>
      <c r="Q259" s="1009"/>
      <c r="R259" s="1009"/>
      <c r="S259" s="1009"/>
      <c r="T259" s="1009"/>
      <c r="U259" s="1009"/>
      <c r="V259" s="1009"/>
      <c r="W259" s="1009"/>
      <c r="X259" s="1009"/>
      <c r="Y259" s="1009"/>
      <c r="Z259" s="365"/>
    </row>
    <row r="260" ht="15.0" customHeight="1">
      <c r="A260" s="1009"/>
      <c r="B260" s="1009"/>
      <c r="C260" s="1009"/>
      <c r="D260" s="1009"/>
      <c r="E260" s="1009"/>
      <c r="F260" s="1009"/>
      <c r="G260" s="1009"/>
      <c r="H260" s="1140"/>
      <c r="I260" s="1009"/>
      <c r="J260" s="1009"/>
      <c r="K260" s="1009"/>
      <c r="L260" s="1009"/>
      <c r="M260" s="1009"/>
      <c r="N260" s="1009"/>
      <c r="O260" s="1009"/>
      <c r="P260" s="1009"/>
      <c r="Q260" s="1009"/>
      <c r="R260" s="1009"/>
      <c r="S260" s="1009"/>
      <c r="T260" s="1009"/>
      <c r="U260" s="1009"/>
      <c r="V260" s="1009"/>
      <c r="W260" s="1009"/>
      <c r="X260" s="1009"/>
      <c r="Y260" s="1009"/>
      <c r="Z260" s="365"/>
    </row>
    <row r="261" ht="15.0" customHeight="1">
      <c r="A261" s="1009"/>
      <c r="B261" s="1009"/>
      <c r="C261" s="1009"/>
      <c r="D261" s="1009"/>
      <c r="E261" s="1009"/>
      <c r="F261" s="1009"/>
      <c r="G261" s="1009"/>
      <c r="H261" s="1140"/>
      <c r="I261" s="1009"/>
      <c r="J261" s="1009"/>
      <c r="K261" s="1009"/>
      <c r="L261" s="1009"/>
      <c r="M261" s="1009"/>
      <c r="N261" s="1009"/>
      <c r="O261" s="1009"/>
      <c r="P261" s="1009"/>
      <c r="Q261" s="1009"/>
      <c r="R261" s="1009"/>
      <c r="S261" s="1009"/>
      <c r="T261" s="1009"/>
      <c r="U261" s="1009"/>
      <c r="V261" s="1009"/>
      <c r="W261" s="1009"/>
      <c r="X261" s="1009"/>
      <c r="Y261" s="1009"/>
      <c r="Z261" s="365"/>
    </row>
    <row r="262" ht="15.0" customHeight="1">
      <c r="A262" s="1009"/>
      <c r="B262" s="1009"/>
      <c r="C262" s="1009"/>
      <c r="D262" s="1009"/>
      <c r="E262" s="1009"/>
      <c r="F262" s="1009"/>
      <c r="G262" s="1009"/>
      <c r="H262" s="1140"/>
      <c r="I262" s="1009"/>
      <c r="J262" s="1009"/>
      <c r="K262" s="1009"/>
      <c r="L262" s="1009"/>
      <c r="M262" s="1009"/>
      <c r="N262" s="1009"/>
      <c r="O262" s="1009"/>
      <c r="P262" s="1009"/>
      <c r="Q262" s="1009"/>
      <c r="R262" s="1009"/>
      <c r="S262" s="1009"/>
      <c r="T262" s="1009"/>
      <c r="U262" s="1009"/>
      <c r="V262" s="1009"/>
      <c r="W262" s="1009"/>
      <c r="X262" s="1009"/>
      <c r="Y262" s="1009"/>
      <c r="Z262" s="365"/>
    </row>
    <row r="263" ht="15.0" customHeight="1">
      <c r="A263" s="1009"/>
      <c r="B263" s="1009"/>
      <c r="C263" s="1009"/>
      <c r="D263" s="1009"/>
      <c r="E263" s="1009"/>
      <c r="F263" s="1009"/>
      <c r="G263" s="1009"/>
      <c r="H263" s="1140"/>
      <c r="I263" s="1009"/>
      <c r="J263" s="1009"/>
      <c r="K263" s="1009"/>
      <c r="L263" s="1009"/>
      <c r="M263" s="1009"/>
      <c r="N263" s="1009"/>
      <c r="O263" s="1009"/>
      <c r="P263" s="1009"/>
      <c r="Q263" s="1009"/>
      <c r="R263" s="1009"/>
      <c r="S263" s="1009"/>
      <c r="T263" s="1009"/>
      <c r="U263" s="1009"/>
      <c r="V263" s="1009"/>
      <c r="W263" s="1009"/>
      <c r="X263" s="1009"/>
      <c r="Y263" s="1009"/>
      <c r="Z263" s="365"/>
    </row>
    <row r="264" ht="15.0" customHeight="1">
      <c r="A264" s="1009"/>
      <c r="B264" s="1009"/>
      <c r="C264" s="1009"/>
      <c r="D264" s="1009"/>
      <c r="E264" s="1009"/>
      <c r="F264" s="1009"/>
      <c r="G264" s="1009"/>
      <c r="H264" s="1140"/>
      <c r="I264" s="1009"/>
      <c r="J264" s="1009"/>
      <c r="K264" s="1009"/>
      <c r="L264" s="1009"/>
      <c r="M264" s="1009"/>
      <c r="N264" s="1009"/>
      <c r="O264" s="1009"/>
      <c r="P264" s="1009"/>
      <c r="Q264" s="1009"/>
      <c r="R264" s="1009"/>
      <c r="S264" s="1009"/>
      <c r="T264" s="1009"/>
      <c r="U264" s="1009"/>
      <c r="V264" s="1009"/>
      <c r="W264" s="1009"/>
      <c r="X264" s="1009"/>
      <c r="Y264" s="1009"/>
      <c r="Z264" s="365"/>
    </row>
    <row r="265" ht="15.0" customHeight="1">
      <c r="A265" s="1009"/>
      <c r="B265" s="1009"/>
      <c r="C265" s="1009"/>
      <c r="D265" s="1009"/>
      <c r="E265" s="1009"/>
      <c r="F265" s="1009"/>
      <c r="G265" s="1009"/>
      <c r="H265" s="1140"/>
      <c r="I265" s="1009"/>
      <c r="J265" s="1009"/>
      <c r="K265" s="1009"/>
      <c r="L265" s="1009"/>
      <c r="M265" s="1009"/>
      <c r="N265" s="1009"/>
      <c r="O265" s="1009"/>
      <c r="P265" s="1009"/>
      <c r="Q265" s="1009"/>
      <c r="R265" s="1009"/>
      <c r="S265" s="1009"/>
      <c r="T265" s="1009"/>
      <c r="U265" s="1009"/>
      <c r="V265" s="1009"/>
      <c r="W265" s="1009"/>
      <c r="X265" s="1009"/>
      <c r="Y265" s="1009"/>
      <c r="Z265" s="365"/>
    </row>
    <row r="266" ht="15.0" customHeight="1">
      <c r="A266" s="1009"/>
      <c r="B266" s="1009"/>
      <c r="C266" s="1009"/>
      <c r="D266" s="1009"/>
      <c r="E266" s="1009"/>
      <c r="F266" s="1009"/>
      <c r="G266" s="1009"/>
      <c r="H266" s="1140"/>
      <c r="I266" s="1009"/>
      <c r="J266" s="1009"/>
      <c r="K266" s="1009"/>
      <c r="L266" s="1009"/>
      <c r="M266" s="1009"/>
      <c r="N266" s="1009"/>
      <c r="O266" s="1009"/>
      <c r="P266" s="1009"/>
      <c r="Q266" s="1009"/>
      <c r="R266" s="1009"/>
      <c r="S266" s="1009"/>
      <c r="T266" s="1009"/>
      <c r="U266" s="1009"/>
      <c r="V266" s="1009"/>
      <c r="W266" s="1009"/>
      <c r="X266" s="1009"/>
      <c r="Y266" s="1009"/>
      <c r="Z266" s="365"/>
    </row>
    <row r="267" ht="15.0" customHeight="1">
      <c r="A267" s="1009"/>
      <c r="B267" s="1009"/>
      <c r="C267" s="1009"/>
      <c r="D267" s="1009"/>
      <c r="E267" s="1009"/>
      <c r="F267" s="1009"/>
      <c r="G267" s="1009"/>
      <c r="H267" s="1140"/>
      <c r="I267" s="1009"/>
      <c r="J267" s="1009"/>
      <c r="K267" s="1009"/>
      <c r="L267" s="1009"/>
      <c r="M267" s="1009"/>
      <c r="N267" s="1009"/>
      <c r="O267" s="1009"/>
      <c r="P267" s="1009"/>
      <c r="Q267" s="1009"/>
      <c r="R267" s="1009"/>
      <c r="S267" s="1009"/>
      <c r="T267" s="1009"/>
      <c r="U267" s="1009"/>
      <c r="V267" s="1009"/>
      <c r="W267" s="1009"/>
      <c r="X267" s="1009"/>
      <c r="Y267" s="1009"/>
      <c r="Z267" s="365"/>
    </row>
    <row r="268" ht="15.0" customHeight="1">
      <c r="A268" s="1009"/>
      <c r="B268" s="1009"/>
      <c r="C268" s="1009"/>
      <c r="D268" s="1009"/>
      <c r="E268" s="1009"/>
      <c r="F268" s="1009"/>
      <c r="G268" s="1009"/>
      <c r="H268" s="1140"/>
      <c r="I268" s="1009"/>
      <c r="J268" s="1009"/>
      <c r="K268" s="1009"/>
      <c r="L268" s="1009"/>
      <c r="M268" s="1009"/>
      <c r="N268" s="1009"/>
      <c r="O268" s="1009"/>
      <c r="P268" s="1009"/>
      <c r="Q268" s="1009"/>
      <c r="R268" s="1009"/>
      <c r="S268" s="1009"/>
      <c r="T268" s="1009"/>
      <c r="U268" s="1009"/>
      <c r="V268" s="1009"/>
      <c r="W268" s="1009"/>
      <c r="X268" s="1009"/>
      <c r="Y268" s="1009"/>
      <c r="Z268" s="365"/>
    </row>
    <row r="269" ht="15.0" customHeight="1">
      <c r="A269" s="1009"/>
      <c r="B269" s="1009"/>
      <c r="C269" s="1009"/>
      <c r="D269" s="1009"/>
      <c r="E269" s="1009"/>
      <c r="F269" s="1009"/>
      <c r="G269" s="1009"/>
      <c r="H269" s="1140"/>
      <c r="I269" s="1009"/>
      <c r="J269" s="1009"/>
      <c r="K269" s="1009"/>
      <c r="L269" s="1009"/>
      <c r="M269" s="1009"/>
      <c r="N269" s="1009"/>
      <c r="O269" s="1009"/>
      <c r="P269" s="1009"/>
      <c r="Q269" s="1009"/>
      <c r="R269" s="1009"/>
      <c r="S269" s="1009"/>
      <c r="T269" s="1009"/>
      <c r="U269" s="1009"/>
      <c r="V269" s="1009"/>
      <c r="W269" s="1009"/>
      <c r="X269" s="1009"/>
      <c r="Y269" s="1009"/>
      <c r="Z269" s="365"/>
    </row>
    <row r="270" ht="15.0" customHeight="1">
      <c r="A270" s="1009"/>
      <c r="B270" s="1009"/>
      <c r="C270" s="1009"/>
      <c r="D270" s="1009"/>
      <c r="E270" s="1009"/>
      <c r="F270" s="1009"/>
      <c r="G270" s="1009"/>
      <c r="H270" s="1140"/>
      <c r="I270" s="1009"/>
      <c r="J270" s="1009"/>
      <c r="K270" s="1009"/>
      <c r="L270" s="1009"/>
      <c r="M270" s="1009"/>
      <c r="N270" s="1009"/>
      <c r="O270" s="1009"/>
      <c r="P270" s="1009"/>
      <c r="Q270" s="1009"/>
      <c r="R270" s="1009"/>
      <c r="S270" s="1009"/>
      <c r="T270" s="1009"/>
      <c r="U270" s="1009"/>
      <c r="V270" s="1009"/>
      <c r="W270" s="1009"/>
      <c r="X270" s="1009"/>
      <c r="Y270" s="1009"/>
      <c r="Z270" s="365"/>
    </row>
    <row r="271" ht="15.0" customHeight="1">
      <c r="A271" s="1009"/>
      <c r="B271" s="1009"/>
      <c r="C271" s="1009"/>
      <c r="D271" s="1009"/>
      <c r="E271" s="1009"/>
      <c r="F271" s="1009"/>
      <c r="G271" s="1009"/>
      <c r="H271" s="1140"/>
      <c r="I271" s="1009"/>
      <c r="J271" s="1009"/>
      <c r="K271" s="1009"/>
      <c r="L271" s="1009"/>
      <c r="M271" s="1009"/>
      <c r="N271" s="1009"/>
      <c r="O271" s="1009"/>
      <c r="P271" s="1009"/>
      <c r="Q271" s="1009"/>
      <c r="R271" s="1009"/>
      <c r="S271" s="1009"/>
      <c r="T271" s="1009"/>
      <c r="U271" s="1009"/>
      <c r="V271" s="1009"/>
      <c r="W271" s="1009"/>
      <c r="X271" s="1009"/>
      <c r="Y271" s="1009"/>
      <c r="Z271" s="365"/>
    </row>
    <row r="272" ht="15.0" customHeight="1">
      <c r="A272" s="1009"/>
      <c r="B272" s="1009"/>
      <c r="C272" s="1009"/>
      <c r="D272" s="1009"/>
      <c r="E272" s="1009"/>
      <c r="F272" s="1009"/>
      <c r="G272" s="1009"/>
      <c r="H272" s="1140"/>
      <c r="I272" s="1009"/>
      <c r="J272" s="1009"/>
      <c r="K272" s="1009"/>
      <c r="L272" s="1009"/>
      <c r="M272" s="1009"/>
      <c r="N272" s="1009"/>
      <c r="O272" s="1009"/>
      <c r="P272" s="1009"/>
      <c r="Q272" s="1009"/>
      <c r="R272" s="1009"/>
      <c r="S272" s="1009"/>
      <c r="T272" s="1009"/>
      <c r="U272" s="1009"/>
      <c r="V272" s="1009"/>
      <c r="W272" s="1009"/>
      <c r="X272" s="1009"/>
      <c r="Y272" s="1009"/>
      <c r="Z272" s="365"/>
    </row>
    <row r="273" ht="15.0" customHeight="1">
      <c r="A273" s="1009"/>
      <c r="B273" s="1009"/>
      <c r="C273" s="1009"/>
      <c r="D273" s="1009"/>
      <c r="E273" s="1009"/>
      <c r="F273" s="1009"/>
      <c r="G273" s="1009"/>
      <c r="H273" s="1140"/>
      <c r="I273" s="1009"/>
      <c r="J273" s="1009"/>
      <c r="K273" s="1009"/>
      <c r="L273" s="1009"/>
      <c r="M273" s="1009"/>
      <c r="N273" s="1009"/>
      <c r="O273" s="1009"/>
      <c r="P273" s="1009"/>
      <c r="Q273" s="1009"/>
      <c r="R273" s="1009"/>
      <c r="S273" s="1009"/>
      <c r="T273" s="1009"/>
      <c r="U273" s="1009"/>
      <c r="V273" s="1009"/>
      <c r="W273" s="1009"/>
      <c r="X273" s="1009"/>
      <c r="Y273" s="1009"/>
      <c r="Z273" s="365"/>
    </row>
    <row r="274" ht="15.0" customHeight="1">
      <c r="A274" s="1009"/>
      <c r="B274" s="1009"/>
      <c r="C274" s="1009"/>
      <c r="D274" s="1009"/>
      <c r="E274" s="1009"/>
      <c r="F274" s="1009"/>
      <c r="G274" s="1009"/>
      <c r="H274" s="1140"/>
      <c r="I274" s="1009"/>
      <c r="J274" s="1009"/>
      <c r="K274" s="1009"/>
      <c r="L274" s="1009"/>
      <c r="M274" s="1009"/>
      <c r="N274" s="1009"/>
      <c r="O274" s="1009"/>
      <c r="P274" s="1009"/>
      <c r="Q274" s="1009"/>
      <c r="R274" s="1009"/>
      <c r="S274" s="1009"/>
      <c r="T274" s="1009"/>
      <c r="U274" s="1009"/>
      <c r="V274" s="1009"/>
      <c r="W274" s="1009"/>
      <c r="X274" s="1009"/>
      <c r="Y274" s="1009"/>
      <c r="Z274" s="365"/>
    </row>
    <row r="275" ht="15.0" customHeight="1">
      <c r="A275" s="1009"/>
      <c r="B275" s="1009"/>
      <c r="C275" s="1009"/>
      <c r="D275" s="1009"/>
      <c r="E275" s="1009"/>
      <c r="F275" s="1009"/>
      <c r="G275" s="1009"/>
      <c r="H275" s="1140"/>
      <c r="I275" s="1009"/>
      <c r="J275" s="1009"/>
      <c r="K275" s="1009"/>
      <c r="L275" s="1009"/>
      <c r="M275" s="1009"/>
      <c r="N275" s="1009"/>
      <c r="O275" s="1009"/>
      <c r="P275" s="1009"/>
      <c r="Q275" s="1009"/>
      <c r="R275" s="1009"/>
      <c r="S275" s="1009"/>
      <c r="T275" s="1009"/>
      <c r="U275" s="1009"/>
      <c r="V275" s="1009"/>
      <c r="W275" s="1009"/>
      <c r="X275" s="1009"/>
      <c r="Y275" s="1009"/>
      <c r="Z275" s="365"/>
    </row>
    <row r="276" ht="15.0" customHeight="1">
      <c r="A276" s="1009"/>
      <c r="B276" s="1009"/>
      <c r="C276" s="1009"/>
      <c r="D276" s="1009"/>
      <c r="E276" s="1009"/>
      <c r="F276" s="1009"/>
      <c r="G276" s="1009"/>
      <c r="H276" s="1140"/>
      <c r="I276" s="1009"/>
      <c r="J276" s="1009"/>
      <c r="K276" s="1009"/>
      <c r="L276" s="1009"/>
      <c r="M276" s="1009"/>
      <c r="N276" s="1009"/>
      <c r="O276" s="1009"/>
      <c r="P276" s="1009"/>
      <c r="Q276" s="1009"/>
      <c r="R276" s="1009"/>
      <c r="S276" s="1009"/>
      <c r="T276" s="1009"/>
      <c r="U276" s="1009"/>
      <c r="V276" s="1009"/>
      <c r="W276" s="1009"/>
      <c r="X276" s="1009"/>
      <c r="Y276" s="1009"/>
      <c r="Z276" s="365"/>
    </row>
    <row r="277" ht="15.0" customHeight="1">
      <c r="A277" s="1009"/>
      <c r="B277" s="1009"/>
      <c r="C277" s="1009"/>
      <c r="D277" s="1009"/>
      <c r="E277" s="1009"/>
      <c r="F277" s="1009"/>
      <c r="G277" s="1009"/>
      <c r="H277" s="1140"/>
      <c r="I277" s="1009"/>
      <c r="J277" s="1009"/>
      <c r="K277" s="1009"/>
      <c r="L277" s="1009"/>
      <c r="M277" s="1009"/>
      <c r="N277" s="1009"/>
      <c r="O277" s="1009"/>
      <c r="P277" s="1009"/>
      <c r="Q277" s="1009"/>
      <c r="R277" s="1009"/>
      <c r="S277" s="1009"/>
      <c r="T277" s="1009"/>
      <c r="U277" s="1009"/>
      <c r="V277" s="1009"/>
      <c r="W277" s="1009"/>
      <c r="X277" s="1009"/>
      <c r="Y277" s="1009"/>
      <c r="Z277" s="365"/>
    </row>
    <row r="278" ht="15.0" customHeight="1">
      <c r="A278" s="1009"/>
      <c r="B278" s="1009"/>
      <c r="C278" s="1009"/>
      <c r="D278" s="1009"/>
      <c r="E278" s="1009"/>
      <c r="F278" s="1009"/>
      <c r="G278" s="1009"/>
      <c r="H278" s="1140"/>
      <c r="I278" s="1009"/>
      <c r="J278" s="1009"/>
      <c r="K278" s="1009"/>
      <c r="L278" s="1009"/>
      <c r="M278" s="1009"/>
      <c r="N278" s="1009"/>
      <c r="O278" s="1009"/>
      <c r="P278" s="1009"/>
      <c r="Q278" s="1009"/>
      <c r="R278" s="1009"/>
      <c r="S278" s="1009"/>
      <c r="T278" s="1009"/>
      <c r="U278" s="1009"/>
      <c r="V278" s="1009"/>
      <c r="W278" s="1009"/>
      <c r="X278" s="1009"/>
      <c r="Y278" s="1009"/>
      <c r="Z278" s="365"/>
    </row>
    <row r="279" ht="15.0" customHeight="1">
      <c r="A279" s="1009"/>
      <c r="B279" s="1009"/>
      <c r="C279" s="1009"/>
      <c r="D279" s="1009"/>
      <c r="E279" s="1009"/>
      <c r="F279" s="1009"/>
      <c r="G279" s="1009"/>
      <c r="H279" s="1140"/>
      <c r="I279" s="1009"/>
      <c r="J279" s="1009"/>
      <c r="K279" s="1009"/>
      <c r="L279" s="1009"/>
      <c r="M279" s="1009"/>
      <c r="N279" s="1009"/>
      <c r="O279" s="1009"/>
      <c r="P279" s="1009"/>
      <c r="Q279" s="1009"/>
      <c r="R279" s="1009"/>
      <c r="S279" s="1009"/>
      <c r="T279" s="1009"/>
      <c r="U279" s="1009"/>
      <c r="V279" s="1009"/>
      <c r="W279" s="1009"/>
      <c r="X279" s="1009"/>
      <c r="Y279" s="1009"/>
      <c r="Z279" s="365"/>
    </row>
    <row r="280" ht="15.0" customHeight="1">
      <c r="A280" s="1009"/>
      <c r="B280" s="1009"/>
      <c r="C280" s="1009"/>
      <c r="D280" s="1009"/>
      <c r="E280" s="1009"/>
      <c r="F280" s="1009"/>
      <c r="G280" s="1009"/>
      <c r="H280" s="1140"/>
      <c r="I280" s="1009"/>
      <c r="J280" s="1009"/>
      <c r="K280" s="1009"/>
      <c r="L280" s="1009"/>
      <c r="M280" s="1009"/>
      <c r="N280" s="1009"/>
      <c r="O280" s="1009"/>
      <c r="P280" s="1009"/>
      <c r="Q280" s="1009"/>
      <c r="R280" s="1009"/>
      <c r="S280" s="1009"/>
      <c r="T280" s="1009"/>
      <c r="U280" s="1009"/>
      <c r="V280" s="1009"/>
      <c r="W280" s="1009"/>
      <c r="X280" s="1009"/>
      <c r="Y280" s="1009"/>
      <c r="Z280" s="365"/>
    </row>
    <row r="281" ht="15.0" customHeight="1">
      <c r="A281" s="1009"/>
      <c r="B281" s="1009"/>
      <c r="C281" s="1009"/>
      <c r="D281" s="1009"/>
      <c r="E281" s="1009"/>
      <c r="F281" s="1009"/>
      <c r="G281" s="1009"/>
      <c r="H281" s="1140"/>
      <c r="I281" s="1009"/>
      <c r="J281" s="1009"/>
      <c r="K281" s="1009"/>
      <c r="L281" s="1009"/>
      <c r="M281" s="1009"/>
      <c r="N281" s="1009"/>
      <c r="O281" s="1009"/>
      <c r="P281" s="1009"/>
      <c r="Q281" s="1009"/>
      <c r="R281" s="1009"/>
      <c r="S281" s="1009"/>
      <c r="T281" s="1009"/>
      <c r="U281" s="1009"/>
      <c r="V281" s="1009"/>
      <c r="W281" s="1009"/>
      <c r="X281" s="1009"/>
      <c r="Y281" s="1009"/>
      <c r="Z281" s="365"/>
    </row>
    <row r="282" ht="15.0" customHeight="1">
      <c r="A282" s="1009"/>
      <c r="B282" s="1009"/>
      <c r="C282" s="1009"/>
      <c r="D282" s="1009"/>
      <c r="E282" s="1009"/>
      <c r="F282" s="1009"/>
      <c r="G282" s="1009"/>
      <c r="H282" s="1140"/>
      <c r="I282" s="1009"/>
      <c r="J282" s="1009"/>
      <c r="K282" s="1009"/>
      <c r="L282" s="1009"/>
      <c r="M282" s="1009"/>
      <c r="N282" s="1009"/>
      <c r="O282" s="1009"/>
      <c r="P282" s="1009"/>
      <c r="Q282" s="1009"/>
      <c r="R282" s="1009"/>
      <c r="S282" s="1009"/>
      <c r="T282" s="1009"/>
      <c r="U282" s="1009"/>
      <c r="V282" s="1009"/>
      <c r="W282" s="1009"/>
      <c r="X282" s="1009"/>
      <c r="Y282" s="1009"/>
      <c r="Z282" s="365"/>
    </row>
    <row r="283" ht="15.0" customHeight="1">
      <c r="A283" s="1009"/>
      <c r="B283" s="1009"/>
      <c r="C283" s="1009"/>
      <c r="D283" s="1009"/>
      <c r="E283" s="1009"/>
      <c r="F283" s="1009"/>
      <c r="G283" s="1009"/>
      <c r="H283" s="1140"/>
      <c r="I283" s="1009"/>
      <c r="J283" s="1009"/>
      <c r="K283" s="1009"/>
      <c r="L283" s="1009"/>
      <c r="M283" s="1009"/>
      <c r="N283" s="1009"/>
      <c r="O283" s="1009"/>
      <c r="P283" s="1009"/>
      <c r="Q283" s="1009"/>
      <c r="R283" s="1009"/>
      <c r="S283" s="1009"/>
      <c r="T283" s="1009"/>
      <c r="U283" s="1009"/>
      <c r="V283" s="1009"/>
      <c r="W283" s="1009"/>
      <c r="X283" s="1009"/>
      <c r="Y283" s="1009"/>
      <c r="Z283" s="365"/>
    </row>
    <row r="284" ht="15.0" customHeight="1">
      <c r="A284" s="1009"/>
      <c r="B284" s="1009"/>
      <c r="C284" s="1009"/>
      <c r="D284" s="1009"/>
      <c r="E284" s="1009"/>
      <c r="F284" s="1009"/>
      <c r="G284" s="1009"/>
      <c r="H284" s="1140"/>
      <c r="I284" s="1009"/>
      <c r="J284" s="1009"/>
      <c r="K284" s="1009"/>
      <c r="L284" s="1009"/>
      <c r="M284" s="1009"/>
      <c r="N284" s="1009"/>
      <c r="O284" s="1009"/>
      <c r="P284" s="1009"/>
      <c r="Q284" s="1009"/>
      <c r="R284" s="1009"/>
      <c r="S284" s="1009"/>
      <c r="T284" s="1009"/>
      <c r="U284" s="1009"/>
      <c r="V284" s="1009"/>
      <c r="W284" s="1009"/>
      <c r="X284" s="1009"/>
      <c r="Y284" s="1009"/>
      <c r="Z284" s="365"/>
    </row>
    <row r="285" ht="15.0" customHeight="1">
      <c r="A285" s="1009"/>
      <c r="B285" s="1009"/>
      <c r="C285" s="1009"/>
      <c r="D285" s="1009"/>
      <c r="E285" s="1009"/>
      <c r="F285" s="1009"/>
      <c r="G285" s="1009"/>
      <c r="H285" s="1140"/>
      <c r="I285" s="1009"/>
      <c r="J285" s="1009"/>
      <c r="K285" s="1009"/>
      <c r="L285" s="1009"/>
      <c r="M285" s="1009"/>
      <c r="N285" s="1009"/>
      <c r="O285" s="1009"/>
      <c r="P285" s="1009"/>
      <c r="Q285" s="1009"/>
      <c r="R285" s="1009"/>
      <c r="S285" s="1009"/>
      <c r="T285" s="1009"/>
      <c r="U285" s="1009"/>
      <c r="V285" s="1009"/>
      <c r="W285" s="1009"/>
      <c r="X285" s="1009"/>
      <c r="Y285" s="1009"/>
      <c r="Z285" s="365"/>
    </row>
    <row r="286" ht="15.0" customHeight="1">
      <c r="A286" s="1009"/>
      <c r="B286" s="1009"/>
      <c r="C286" s="1009"/>
      <c r="D286" s="1009"/>
      <c r="E286" s="1009"/>
      <c r="F286" s="1009"/>
      <c r="G286" s="1009"/>
      <c r="H286" s="1140"/>
      <c r="I286" s="1009"/>
      <c r="J286" s="1009"/>
      <c r="K286" s="1009"/>
      <c r="L286" s="1009"/>
      <c r="M286" s="1009"/>
      <c r="N286" s="1009"/>
      <c r="O286" s="1009"/>
      <c r="P286" s="1009"/>
      <c r="Q286" s="1009"/>
      <c r="R286" s="1009"/>
      <c r="S286" s="1009"/>
      <c r="T286" s="1009"/>
      <c r="U286" s="1009"/>
      <c r="V286" s="1009"/>
      <c r="W286" s="1009"/>
      <c r="X286" s="1009"/>
      <c r="Y286" s="1009"/>
      <c r="Z286" s="365"/>
    </row>
    <row r="287" ht="15.0" customHeight="1">
      <c r="A287" s="1009"/>
      <c r="B287" s="1009"/>
      <c r="C287" s="1009"/>
      <c r="D287" s="1009"/>
      <c r="E287" s="1009"/>
      <c r="F287" s="1009"/>
      <c r="G287" s="1009"/>
      <c r="H287" s="1140"/>
      <c r="I287" s="1009"/>
      <c r="J287" s="1009"/>
      <c r="K287" s="1009"/>
      <c r="L287" s="1009"/>
      <c r="M287" s="1009"/>
      <c r="N287" s="1009"/>
      <c r="O287" s="1009"/>
      <c r="P287" s="1009"/>
      <c r="Q287" s="1009"/>
      <c r="R287" s="1009"/>
      <c r="S287" s="1009"/>
      <c r="T287" s="1009"/>
      <c r="U287" s="1009"/>
      <c r="V287" s="1009"/>
      <c r="W287" s="1009"/>
      <c r="X287" s="1009"/>
      <c r="Y287" s="1009"/>
      <c r="Z287" s="365"/>
    </row>
    <row r="288" ht="15.0" customHeight="1">
      <c r="A288" s="1009"/>
      <c r="B288" s="1009"/>
      <c r="C288" s="1009"/>
      <c r="D288" s="1009"/>
      <c r="E288" s="1009"/>
      <c r="F288" s="1009"/>
      <c r="G288" s="1009"/>
      <c r="H288" s="1140"/>
      <c r="I288" s="1009"/>
      <c r="J288" s="1009"/>
      <c r="K288" s="1009"/>
      <c r="L288" s="1009"/>
      <c r="M288" s="1009"/>
      <c r="N288" s="1009"/>
      <c r="O288" s="1009"/>
      <c r="P288" s="1009"/>
      <c r="Q288" s="1009"/>
      <c r="R288" s="1009"/>
      <c r="S288" s="1009"/>
      <c r="T288" s="1009"/>
      <c r="U288" s="1009"/>
      <c r="V288" s="1009"/>
      <c r="W288" s="1009"/>
      <c r="X288" s="1009"/>
      <c r="Y288" s="1009"/>
      <c r="Z288" s="365"/>
    </row>
    <row r="289" ht="15.0" customHeight="1">
      <c r="A289" s="1009"/>
      <c r="B289" s="1009"/>
      <c r="C289" s="1009"/>
      <c r="D289" s="1009"/>
      <c r="E289" s="1009"/>
      <c r="F289" s="1009"/>
      <c r="G289" s="1009"/>
      <c r="H289" s="1140"/>
      <c r="I289" s="1009"/>
      <c r="J289" s="1009"/>
      <c r="K289" s="1009"/>
      <c r="L289" s="1009"/>
      <c r="M289" s="1009"/>
      <c r="N289" s="1009"/>
      <c r="O289" s="1009"/>
      <c r="P289" s="1009"/>
      <c r="Q289" s="1009"/>
      <c r="R289" s="1009"/>
      <c r="S289" s="1009"/>
      <c r="T289" s="1009"/>
      <c r="U289" s="1009"/>
      <c r="V289" s="1009"/>
      <c r="W289" s="1009"/>
      <c r="X289" s="1009"/>
      <c r="Y289" s="1009"/>
      <c r="Z289" s="365"/>
    </row>
    <row r="290" ht="15.0" customHeight="1">
      <c r="A290" s="1009"/>
      <c r="B290" s="1009"/>
      <c r="C290" s="1009"/>
      <c r="D290" s="1009"/>
      <c r="E290" s="1009"/>
      <c r="F290" s="1009"/>
      <c r="G290" s="1009"/>
      <c r="H290" s="1140"/>
      <c r="I290" s="1009"/>
      <c r="J290" s="1009"/>
      <c r="K290" s="1009"/>
      <c r="L290" s="1009"/>
      <c r="M290" s="1009"/>
      <c r="N290" s="1009"/>
      <c r="O290" s="1009"/>
      <c r="P290" s="1009"/>
      <c r="Q290" s="1009"/>
      <c r="R290" s="1009"/>
      <c r="S290" s="1009"/>
      <c r="T290" s="1009"/>
      <c r="U290" s="1009"/>
      <c r="V290" s="1009"/>
      <c r="W290" s="1009"/>
      <c r="X290" s="1009"/>
      <c r="Y290" s="1009"/>
      <c r="Z290" s="365"/>
    </row>
    <row r="291" ht="15.0" customHeight="1">
      <c r="A291" s="1009"/>
      <c r="B291" s="1009"/>
      <c r="C291" s="1009"/>
      <c r="D291" s="1009"/>
      <c r="E291" s="1009"/>
      <c r="F291" s="1009"/>
      <c r="G291" s="1009"/>
      <c r="H291" s="1140"/>
      <c r="I291" s="1009"/>
      <c r="J291" s="1009"/>
      <c r="K291" s="1009"/>
      <c r="L291" s="1009"/>
      <c r="M291" s="1009"/>
      <c r="N291" s="1009"/>
      <c r="O291" s="1009"/>
      <c r="P291" s="1009"/>
      <c r="Q291" s="1009"/>
      <c r="R291" s="1009"/>
      <c r="S291" s="1009"/>
      <c r="T291" s="1009"/>
      <c r="U291" s="1009"/>
      <c r="V291" s="1009"/>
      <c r="W291" s="1009"/>
      <c r="X291" s="1009"/>
      <c r="Y291" s="1009"/>
      <c r="Z291" s="365"/>
    </row>
    <row r="292" ht="15.0" customHeight="1">
      <c r="A292" s="1009"/>
      <c r="B292" s="1009"/>
      <c r="C292" s="1009"/>
      <c r="D292" s="1009"/>
      <c r="E292" s="1009"/>
      <c r="F292" s="1009"/>
      <c r="G292" s="1009"/>
      <c r="H292" s="1140"/>
      <c r="I292" s="1009"/>
      <c r="J292" s="1009"/>
      <c r="K292" s="1009"/>
      <c r="L292" s="1009"/>
      <c r="M292" s="1009"/>
      <c r="N292" s="1009"/>
      <c r="O292" s="1009"/>
      <c r="P292" s="1009"/>
      <c r="Q292" s="1009"/>
      <c r="R292" s="1009"/>
      <c r="S292" s="1009"/>
      <c r="T292" s="1009"/>
      <c r="U292" s="1009"/>
      <c r="V292" s="1009"/>
      <c r="W292" s="1009"/>
      <c r="X292" s="1009"/>
      <c r="Y292" s="1009"/>
      <c r="Z292" s="365"/>
    </row>
    <row r="293" ht="15.0" customHeight="1">
      <c r="A293" s="1009"/>
      <c r="B293" s="1009"/>
      <c r="C293" s="1009"/>
      <c r="D293" s="1009"/>
      <c r="E293" s="1009"/>
      <c r="F293" s="1009"/>
      <c r="G293" s="1009"/>
      <c r="H293" s="1140"/>
      <c r="I293" s="1009"/>
      <c r="J293" s="1009"/>
      <c r="K293" s="1009"/>
      <c r="L293" s="1009"/>
      <c r="M293" s="1009"/>
      <c r="N293" s="1009"/>
      <c r="O293" s="1009"/>
      <c r="P293" s="1009"/>
      <c r="Q293" s="1009"/>
      <c r="R293" s="1009"/>
      <c r="S293" s="1009"/>
      <c r="T293" s="1009"/>
      <c r="U293" s="1009"/>
      <c r="V293" s="1009"/>
      <c r="W293" s="1009"/>
      <c r="X293" s="1009"/>
      <c r="Y293" s="1009"/>
      <c r="Z293" s="365"/>
    </row>
    <row r="294" ht="15.0" customHeight="1">
      <c r="A294" s="1009"/>
      <c r="B294" s="1009"/>
      <c r="C294" s="1009"/>
      <c r="D294" s="1009"/>
      <c r="E294" s="1009"/>
      <c r="F294" s="1009"/>
      <c r="G294" s="1009"/>
      <c r="H294" s="1140"/>
      <c r="I294" s="1009"/>
      <c r="J294" s="1009"/>
      <c r="K294" s="1009"/>
      <c r="L294" s="1009"/>
      <c r="M294" s="1009"/>
      <c r="N294" s="1009"/>
      <c r="O294" s="1009"/>
      <c r="P294" s="1009"/>
      <c r="Q294" s="1009"/>
      <c r="R294" s="1009"/>
      <c r="S294" s="1009"/>
      <c r="T294" s="1009"/>
      <c r="U294" s="1009"/>
      <c r="V294" s="1009"/>
      <c r="W294" s="1009"/>
      <c r="X294" s="1009"/>
      <c r="Y294" s="1009"/>
      <c r="Z294" s="365"/>
    </row>
    <row r="295" ht="15.0" customHeight="1">
      <c r="A295" s="1009"/>
      <c r="B295" s="1009"/>
      <c r="C295" s="1009"/>
      <c r="D295" s="1009"/>
      <c r="E295" s="1009"/>
      <c r="F295" s="1009"/>
      <c r="G295" s="1009"/>
      <c r="H295" s="1140"/>
      <c r="I295" s="1009"/>
      <c r="J295" s="1009"/>
      <c r="K295" s="1009"/>
      <c r="L295" s="1009"/>
      <c r="M295" s="1009"/>
      <c r="N295" s="1009"/>
      <c r="O295" s="1009"/>
      <c r="P295" s="1009"/>
      <c r="Q295" s="1009"/>
      <c r="R295" s="1009"/>
      <c r="S295" s="1009"/>
      <c r="T295" s="1009"/>
      <c r="U295" s="1009"/>
      <c r="V295" s="1009"/>
      <c r="W295" s="1009"/>
      <c r="X295" s="1009"/>
      <c r="Y295" s="1009"/>
      <c r="Z295" s="365"/>
    </row>
    <row r="296" ht="15.0" customHeight="1">
      <c r="A296" s="1009"/>
      <c r="B296" s="1009"/>
      <c r="C296" s="1009"/>
      <c r="D296" s="1009"/>
      <c r="E296" s="1009"/>
      <c r="F296" s="1009"/>
      <c r="G296" s="1009"/>
      <c r="H296" s="1140"/>
      <c r="I296" s="1009"/>
      <c r="J296" s="1009"/>
      <c r="K296" s="1009"/>
      <c r="L296" s="1009"/>
      <c r="M296" s="1009"/>
      <c r="N296" s="1009"/>
      <c r="O296" s="1009"/>
      <c r="P296" s="1009"/>
      <c r="Q296" s="1009"/>
      <c r="R296" s="1009"/>
      <c r="S296" s="1009"/>
      <c r="T296" s="1009"/>
      <c r="U296" s="1009"/>
      <c r="V296" s="1009"/>
      <c r="W296" s="1009"/>
      <c r="X296" s="1009"/>
      <c r="Y296" s="1009"/>
      <c r="Z296" s="365"/>
    </row>
    <row r="297" ht="15.0" customHeight="1">
      <c r="A297" s="1009"/>
      <c r="B297" s="1009"/>
      <c r="C297" s="1009"/>
      <c r="D297" s="1009"/>
      <c r="E297" s="1009"/>
      <c r="F297" s="1009"/>
      <c r="G297" s="1009"/>
      <c r="H297" s="1140"/>
      <c r="I297" s="1009"/>
      <c r="J297" s="1009"/>
      <c r="K297" s="1009"/>
      <c r="L297" s="1009"/>
      <c r="M297" s="1009"/>
      <c r="N297" s="1009"/>
      <c r="O297" s="1009"/>
      <c r="P297" s="1009"/>
      <c r="Q297" s="1009"/>
      <c r="R297" s="1009"/>
      <c r="S297" s="1009"/>
      <c r="T297" s="1009"/>
      <c r="U297" s="1009"/>
      <c r="V297" s="1009"/>
      <c r="W297" s="1009"/>
      <c r="X297" s="1009"/>
      <c r="Y297" s="1009"/>
      <c r="Z297" s="365"/>
    </row>
    <row r="298" ht="15.0" customHeight="1">
      <c r="A298" s="1009"/>
      <c r="B298" s="1009"/>
      <c r="C298" s="1009"/>
      <c r="D298" s="1009"/>
      <c r="E298" s="1009"/>
      <c r="F298" s="1009"/>
      <c r="G298" s="1009"/>
      <c r="H298" s="1140"/>
      <c r="I298" s="1009"/>
      <c r="J298" s="1009"/>
      <c r="K298" s="1009"/>
      <c r="L298" s="1009"/>
      <c r="M298" s="1009"/>
      <c r="N298" s="1009"/>
      <c r="O298" s="1009"/>
      <c r="P298" s="1009"/>
      <c r="Q298" s="1009"/>
      <c r="R298" s="1009"/>
      <c r="S298" s="1009"/>
      <c r="T298" s="1009"/>
      <c r="U298" s="1009"/>
      <c r="V298" s="1009"/>
      <c r="W298" s="1009"/>
      <c r="X298" s="1009"/>
      <c r="Y298" s="1009"/>
      <c r="Z298" s="365"/>
    </row>
    <row r="299" ht="15.0" customHeight="1">
      <c r="A299" s="1009"/>
      <c r="B299" s="1009"/>
      <c r="C299" s="1009"/>
      <c r="D299" s="1009"/>
      <c r="E299" s="1009"/>
      <c r="F299" s="1009"/>
      <c r="G299" s="1009"/>
      <c r="H299" s="1140"/>
      <c r="I299" s="1009"/>
      <c r="J299" s="1009"/>
      <c r="K299" s="1009"/>
      <c r="L299" s="1009"/>
      <c r="M299" s="1009"/>
      <c r="N299" s="1009"/>
      <c r="O299" s="1009"/>
      <c r="P299" s="1009"/>
      <c r="Q299" s="1009"/>
      <c r="R299" s="1009"/>
      <c r="S299" s="1009"/>
      <c r="T299" s="1009"/>
      <c r="U299" s="1009"/>
      <c r="V299" s="1009"/>
      <c r="W299" s="1009"/>
      <c r="X299" s="1009"/>
      <c r="Y299" s="1009"/>
      <c r="Z299" s="365"/>
    </row>
    <row r="300" ht="15.0" customHeight="1">
      <c r="A300" s="1009"/>
      <c r="B300" s="1009"/>
      <c r="C300" s="1009"/>
      <c r="D300" s="1009"/>
      <c r="E300" s="1009"/>
      <c r="F300" s="1009"/>
      <c r="G300" s="1009"/>
      <c r="H300" s="1140"/>
      <c r="I300" s="1009"/>
      <c r="J300" s="1009"/>
      <c r="K300" s="1009"/>
      <c r="L300" s="1009"/>
      <c r="M300" s="1009"/>
      <c r="N300" s="1009"/>
      <c r="O300" s="1009"/>
      <c r="P300" s="1009"/>
      <c r="Q300" s="1009"/>
      <c r="R300" s="1009"/>
      <c r="S300" s="1009"/>
      <c r="T300" s="1009"/>
      <c r="U300" s="1009"/>
      <c r="V300" s="1009"/>
      <c r="W300" s="1009"/>
      <c r="X300" s="1009"/>
      <c r="Y300" s="1009"/>
      <c r="Z300" s="365"/>
    </row>
    <row r="301" ht="15.0" customHeight="1">
      <c r="A301" s="1009"/>
      <c r="B301" s="1009"/>
      <c r="C301" s="1009"/>
      <c r="D301" s="1009"/>
      <c r="E301" s="1009"/>
      <c r="F301" s="1009"/>
      <c r="G301" s="1009"/>
      <c r="H301" s="1140"/>
      <c r="I301" s="1009"/>
      <c r="J301" s="1009"/>
      <c r="K301" s="1009"/>
      <c r="L301" s="1009"/>
      <c r="M301" s="1009"/>
      <c r="N301" s="1009"/>
      <c r="O301" s="1009"/>
      <c r="P301" s="1009"/>
      <c r="Q301" s="1009"/>
      <c r="R301" s="1009"/>
      <c r="S301" s="1009"/>
      <c r="T301" s="1009"/>
      <c r="U301" s="1009"/>
      <c r="V301" s="1009"/>
      <c r="W301" s="1009"/>
      <c r="X301" s="1009"/>
      <c r="Y301" s="1009"/>
      <c r="Z301" s="365"/>
    </row>
    <row r="302" ht="15.0" customHeight="1">
      <c r="A302" s="1009"/>
      <c r="B302" s="1009"/>
      <c r="C302" s="1009"/>
      <c r="D302" s="1009"/>
      <c r="E302" s="1009"/>
      <c r="F302" s="1009"/>
      <c r="G302" s="1009"/>
      <c r="H302" s="1140"/>
      <c r="I302" s="1009"/>
      <c r="J302" s="1009"/>
      <c r="K302" s="1009"/>
      <c r="L302" s="1009"/>
      <c r="M302" s="1009"/>
      <c r="N302" s="1009"/>
      <c r="O302" s="1009"/>
      <c r="P302" s="1009"/>
      <c r="Q302" s="1009"/>
      <c r="R302" s="1009"/>
      <c r="S302" s="1009"/>
      <c r="T302" s="1009"/>
      <c r="U302" s="1009"/>
      <c r="V302" s="1009"/>
      <c r="W302" s="1009"/>
      <c r="X302" s="1009"/>
      <c r="Y302" s="1009"/>
      <c r="Z302" s="365"/>
    </row>
    <row r="303" ht="15.0" customHeight="1">
      <c r="A303" s="1009"/>
      <c r="B303" s="1009"/>
      <c r="C303" s="1009"/>
      <c r="D303" s="1009"/>
      <c r="E303" s="1009"/>
      <c r="F303" s="1009"/>
      <c r="G303" s="1009"/>
      <c r="H303" s="1140"/>
      <c r="I303" s="1009"/>
      <c r="J303" s="1009"/>
      <c r="K303" s="1009"/>
      <c r="L303" s="1009"/>
      <c r="M303" s="1009"/>
      <c r="N303" s="1009"/>
      <c r="O303" s="1009"/>
      <c r="P303" s="1009"/>
      <c r="Q303" s="1009"/>
      <c r="R303" s="1009"/>
      <c r="S303" s="1009"/>
      <c r="T303" s="1009"/>
      <c r="U303" s="1009"/>
      <c r="V303" s="1009"/>
      <c r="W303" s="1009"/>
      <c r="X303" s="1009"/>
      <c r="Y303" s="1009"/>
      <c r="Z303" s="365"/>
    </row>
    <row r="304" ht="15.0" customHeight="1">
      <c r="A304" s="1009"/>
      <c r="B304" s="1009"/>
      <c r="C304" s="1009"/>
      <c r="D304" s="1009"/>
      <c r="E304" s="1009"/>
      <c r="F304" s="1009"/>
      <c r="G304" s="1009"/>
      <c r="H304" s="1140"/>
      <c r="I304" s="1009"/>
      <c r="J304" s="1009"/>
      <c r="K304" s="1009"/>
      <c r="L304" s="1009"/>
      <c r="M304" s="1009"/>
      <c r="N304" s="1009"/>
      <c r="O304" s="1009"/>
      <c r="P304" s="1009"/>
      <c r="Q304" s="1009"/>
      <c r="R304" s="1009"/>
      <c r="S304" s="1009"/>
      <c r="T304" s="1009"/>
      <c r="U304" s="1009"/>
      <c r="V304" s="1009"/>
      <c r="W304" s="1009"/>
      <c r="X304" s="1009"/>
      <c r="Y304" s="1009"/>
      <c r="Z304" s="365"/>
    </row>
    <row r="305" ht="15.0" customHeight="1">
      <c r="A305" s="1009"/>
      <c r="B305" s="1009"/>
      <c r="C305" s="1009"/>
      <c r="D305" s="1009"/>
      <c r="E305" s="1009"/>
      <c r="F305" s="1009"/>
      <c r="G305" s="1009"/>
      <c r="H305" s="1140"/>
      <c r="I305" s="1009"/>
      <c r="J305" s="1009"/>
      <c r="K305" s="1009"/>
      <c r="L305" s="1009"/>
      <c r="M305" s="1009"/>
      <c r="N305" s="1009"/>
      <c r="O305" s="1009"/>
      <c r="P305" s="1009"/>
      <c r="Q305" s="1009"/>
      <c r="R305" s="1009"/>
      <c r="S305" s="1009"/>
      <c r="T305" s="1009"/>
      <c r="U305" s="1009"/>
      <c r="V305" s="1009"/>
      <c r="W305" s="1009"/>
      <c r="X305" s="1009"/>
      <c r="Y305" s="1009"/>
      <c r="Z305" s="365"/>
    </row>
    <row r="306" ht="15.0" customHeight="1">
      <c r="A306" s="1009"/>
      <c r="B306" s="1009"/>
      <c r="C306" s="1009"/>
      <c r="D306" s="1009"/>
      <c r="E306" s="1009"/>
      <c r="F306" s="1009"/>
      <c r="G306" s="1009"/>
      <c r="H306" s="1140"/>
      <c r="I306" s="1009"/>
      <c r="J306" s="1009"/>
      <c r="K306" s="1009"/>
      <c r="L306" s="1009"/>
      <c r="M306" s="1009"/>
      <c r="N306" s="1009"/>
      <c r="O306" s="1009"/>
      <c r="P306" s="1009"/>
      <c r="Q306" s="1009"/>
      <c r="R306" s="1009"/>
      <c r="S306" s="1009"/>
      <c r="T306" s="1009"/>
      <c r="U306" s="1009"/>
      <c r="V306" s="1009"/>
      <c r="W306" s="1009"/>
      <c r="X306" s="1009"/>
      <c r="Y306" s="1009"/>
      <c r="Z306" s="365"/>
    </row>
    <row r="307" ht="15.0" customHeight="1">
      <c r="A307" s="1009"/>
      <c r="B307" s="1009"/>
      <c r="C307" s="1009"/>
      <c r="D307" s="1009"/>
      <c r="E307" s="1009"/>
      <c r="F307" s="1009"/>
      <c r="G307" s="1009"/>
      <c r="H307" s="1140"/>
      <c r="I307" s="1009"/>
      <c r="J307" s="1009"/>
      <c r="K307" s="1009"/>
      <c r="L307" s="1009"/>
      <c r="M307" s="1009"/>
      <c r="N307" s="1009"/>
      <c r="O307" s="1009"/>
      <c r="P307" s="1009"/>
      <c r="Q307" s="1009"/>
      <c r="R307" s="1009"/>
      <c r="S307" s="1009"/>
      <c r="T307" s="1009"/>
      <c r="U307" s="1009"/>
      <c r="V307" s="1009"/>
      <c r="W307" s="1009"/>
      <c r="X307" s="1009"/>
      <c r="Y307" s="1009"/>
      <c r="Z307" s="365"/>
    </row>
    <row r="308" ht="15.0" customHeight="1">
      <c r="A308" s="1009"/>
      <c r="B308" s="1009"/>
      <c r="C308" s="1009"/>
      <c r="D308" s="1009"/>
      <c r="E308" s="1009"/>
      <c r="F308" s="1009"/>
      <c r="G308" s="1009"/>
      <c r="H308" s="1140"/>
      <c r="I308" s="1009"/>
      <c r="J308" s="1009"/>
      <c r="K308" s="1009"/>
      <c r="L308" s="1009"/>
      <c r="M308" s="1009"/>
      <c r="N308" s="1009"/>
      <c r="O308" s="1009"/>
      <c r="P308" s="1009"/>
      <c r="Q308" s="1009"/>
      <c r="R308" s="1009"/>
      <c r="S308" s="1009"/>
      <c r="T308" s="1009"/>
      <c r="U308" s="1009"/>
      <c r="V308" s="1009"/>
      <c r="W308" s="1009"/>
      <c r="X308" s="1009"/>
      <c r="Y308" s="1009"/>
      <c r="Z308" s="365"/>
    </row>
    <row r="309" ht="15.0" customHeight="1">
      <c r="A309" s="1009"/>
      <c r="B309" s="1009"/>
      <c r="C309" s="1009"/>
      <c r="D309" s="1009"/>
      <c r="E309" s="1009"/>
      <c r="F309" s="1009"/>
      <c r="G309" s="1009"/>
      <c r="H309" s="1140"/>
      <c r="I309" s="1009"/>
      <c r="J309" s="1009"/>
      <c r="K309" s="1009"/>
      <c r="L309" s="1009"/>
      <c r="M309" s="1009"/>
      <c r="N309" s="1009"/>
      <c r="O309" s="1009"/>
      <c r="P309" s="1009"/>
      <c r="Q309" s="1009"/>
      <c r="R309" s="1009"/>
      <c r="S309" s="1009"/>
      <c r="T309" s="1009"/>
      <c r="U309" s="1009"/>
      <c r="V309" s="1009"/>
      <c r="W309" s="1009"/>
      <c r="X309" s="1009"/>
      <c r="Y309" s="1009"/>
      <c r="Z309" s="365"/>
    </row>
    <row r="310" ht="15.0" customHeight="1">
      <c r="A310" s="1009"/>
      <c r="B310" s="1009"/>
      <c r="C310" s="1009"/>
      <c r="D310" s="1009"/>
      <c r="E310" s="1009"/>
      <c r="F310" s="1009"/>
      <c r="G310" s="1009"/>
      <c r="H310" s="1140"/>
      <c r="I310" s="1009"/>
      <c r="J310" s="1009"/>
      <c r="K310" s="1009"/>
      <c r="L310" s="1009"/>
      <c r="M310" s="1009"/>
      <c r="N310" s="1009"/>
      <c r="O310" s="1009"/>
      <c r="P310" s="1009"/>
      <c r="Q310" s="1009"/>
      <c r="R310" s="1009"/>
      <c r="S310" s="1009"/>
      <c r="T310" s="1009"/>
      <c r="U310" s="1009"/>
      <c r="V310" s="1009"/>
      <c r="W310" s="1009"/>
      <c r="X310" s="1009"/>
      <c r="Y310" s="1009"/>
      <c r="Z310" s="365"/>
    </row>
    <row r="311" ht="15.0" customHeight="1">
      <c r="A311" s="1009"/>
      <c r="B311" s="1009"/>
      <c r="C311" s="1009"/>
      <c r="D311" s="1009"/>
      <c r="E311" s="1009"/>
      <c r="F311" s="1009"/>
      <c r="G311" s="1009"/>
      <c r="H311" s="1140"/>
      <c r="I311" s="1009"/>
      <c r="J311" s="1009"/>
      <c r="K311" s="1009"/>
      <c r="L311" s="1009"/>
      <c r="M311" s="1009"/>
      <c r="N311" s="1009"/>
      <c r="O311" s="1009"/>
      <c r="P311" s="1009"/>
      <c r="Q311" s="1009"/>
      <c r="R311" s="1009"/>
      <c r="S311" s="1009"/>
      <c r="T311" s="1009"/>
      <c r="U311" s="1009"/>
      <c r="V311" s="1009"/>
      <c r="W311" s="1009"/>
      <c r="X311" s="1009"/>
      <c r="Y311" s="1009"/>
      <c r="Z311" s="365"/>
    </row>
    <row r="312" ht="15.0" customHeight="1">
      <c r="A312" s="1009"/>
      <c r="B312" s="1009"/>
      <c r="C312" s="1009"/>
      <c r="D312" s="1009"/>
      <c r="E312" s="1009"/>
      <c r="F312" s="1009"/>
      <c r="G312" s="1009"/>
      <c r="H312" s="1140"/>
      <c r="I312" s="1009"/>
      <c r="J312" s="1009"/>
      <c r="K312" s="1009"/>
      <c r="L312" s="1009"/>
      <c r="M312" s="1009"/>
      <c r="N312" s="1009"/>
      <c r="O312" s="1009"/>
      <c r="P312" s="1009"/>
      <c r="Q312" s="1009"/>
      <c r="R312" s="1009"/>
      <c r="S312" s="1009"/>
      <c r="T312" s="1009"/>
      <c r="U312" s="1009"/>
      <c r="V312" s="1009"/>
      <c r="W312" s="1009"/>
      <c r="X312" s="1009"/>
      <c r="Y312" s="1009"/>
      <c r="Z312" s="365"/>
    </row>
    <row r="313" ht="15.0" customHeight="1">
      <c r="A313" s="1009"/>
      <c r="B313" s="1009"/>
      <c r="C313" s="1009"/>
      <c r="D313" s="1009"/>
      <c r="E313" s="1009"/>
      <c r="F313" s="1009"/>
      <c r="G313" s="1009"/>
      <c r="H313" s="1140"/>
      <c r="I313" s="1009"/>
      <c r="J313" s="1009"/>
      <c r="K313" s="1009"/>
      <c r="L313" s="1009"/>
      <c r="M313" s="1009"/>
      <c r="N313" s="1009"/>
      <c r="O313" s="1009"/>
      <c r="P313" s="1009"/>
      <c r="Q313" s="1009"/>
      <c r="R313" s="1009"/>
      <c r="S313" s="1009"/>
      <c r="T313" s="1009"/>
      <c r="U313" s="1009"/>
      <c r="V313" s="1009"/>
      <c r="W313" s="1009"/>
      <c r="X313" s="1009"/>
      <c r="Y313" s="1009"/>
      <c r="Z313" s="365"/>
    </row>
    <row r="314" ht="15.0" customHeight="1">
      <c r="A314" s="1009"/>
      <c r="B314" s="1009"/>
      <c r="C314" s="1009"/>
      <c r="D314" s="1009"/>
      <c r="E314" s="1009"/>
      <c r="F314" s="1009"/>
      <c r="G314" s="1009"/>
      <c r="H314" s="1140"/>
      <c r="I314" s="1009"/>
      <c r="J314" s="1009"/>
      <c r="K314" s="1009"/>
      <c r="L314" s="1009"/>
      <c r="M314" s="1009"/>
      <c r="N314" s="1009"/>
      <c r="O314" s="1009"/>
      <c r="P314" s="1009"/>
      <c r="Q314" s="1009"/>
      <c r="R314" s="1009"/>
      <c r="S314" s="1009"/>
      <c r="T314" s="1009"/>
      <c r="U314" s="1009"/>
      <c r="V314" s="1009"/>
      <c r="W314" s="1009"/>
      <c r="X314" s="1009"/>
      <c r="Y314" s="1009"/>
      <c r="Z314" s="365"/>
    </row>
    <row r="315" ht="15.0" customHeight="1">
      <c r="A315" s="1009"/>
      <c r="B315" s="1009"/>
      <c r="C315" s="1009"/>
      <c r="D315" s="1009"/>
      <c r="E315" s="1009"/>
      <c r="F315" s="1009"/>
      <c r="G315" s="1009"/>
      <c r="H315" s="1140"/>
      <c r="I315" s="1009"/>
      <c r="J315" s="1009"/>
      <c r="K315" s="1009"/>
      <c r="L315" s="1009"/>
      <c r="M315" s="1009"/>
      <c r="N315" s="1009"/>
      <c r="O315" s="1009"/>
      <c r="P315" s="1009"/>
      <c r="Q315" s="1009"/>
      <c r="R315" s="1009"/>
      <c r="S315" s="1009"/>
      <c r="T315" s="1009"/>
      <c r="U315" s="1009"/>
      <c r="V315" s="1009"/>
      <c r="W315" s="1009"/>
      <c r="X315" s="1009"/>
      <c r="Y315" s="1009"/>
      <c r="Z315" s="365"/>
    </row>
    <row r="316" ht="15.0" customHeight="1">
      <c r="A316" s="1009"/>
      <c r="B316" s="1009"/>
      <c r="C316" s="1009"/>
      <c r="D316" s="1009"/>
      <c r="E316" s="1009"/>
      <c r="F316" s="1009"/>
      <c r="G316" s="1009"/>
      <c r="H316" s="1140"/>
      <c r="I316" s="1009"/>
      <c r="J316" s="1009"/>
      <c r="K316" s="1009"/>
      <c r="L316" s="1009"/>
      <c r="M316" s="1009"/>
      <c r="N316" s="1009"/>
      <c r="O316" s="1009"/>
      <c r="P316" s="1009"/>
      <c r="Q316" s="1009"/>
      <c r="R316" s="1009"/>
      <c r="S316" s="1009"/>
      <c r="T316" s="1009"/>
      <c r="U316" s="1009"/>
      <c r="V316" s="1009"/>
      <c r="W316" s="1009"/>
      <c r="X316" s="1009"/>
      <c r="Y316" s="1009"/>
      <c r="Z316" s="365"/>
    </row>
    <row r="317" ht="15.0" customHeight="1">
      <c r="A317" s="1009"/>
      <c r="B317" s="1009"/>
      <c r="C317" s="1009"/>
      <c r="D317" s="1009"/>
      <c r="E317" s="1009"/>
      <c r="F317" s="1009"/>
      <c r="G317" s="1009"/>
      <c r="H317" s="1140"/>
      <c r="I317" s="1009"/>
      <c r="J317" s="1009"/>
      <c r="K317" s="1009"/>
      <c r="L317" s="1009"/>
      <c r="M317" s="1009"/>
      <c r="N317" s="1009"/>
      <c r="O317" s="1009"/>
      <c r="P317" s="1009"/>
      <c r="Q317" s="1009"/>
      <c r="R317" s="1009"/>
      <c r="S317" s="1009"/>
      <c r="T317" s="1009"/>
      <c r="U317" s="1009"/>
      <c r="V317" s="1009"/>
      <c r="W317" s="1009"/>
      <c r="X317" s="1009"/>
      <c r="Y317" s="1009"/>
      <c r="Z317" s="365"/>
    </row>
    <row r="318" ht="15.0" customHeight="1">
      <c r="A318" s="1009"/>
      <c r="B318" s="1009"/>
      <c r="C318" s="1009"/>
      <c r="D318" s="1009"/>
      <c r="E318" s="1009"/>
      <c r="F318" s="1009"/>
      <c r="G318" s="1009"/>
      <c r="H318" s="1140"/>
      <c r="I318" s="1009"/>
      <c r="J318" s="1009"/>
      <c r="K318" s="1009"/>
      <c r="L318" s="1009"/>
      <c r="M318" s="1009"/>
      <c r="N318" s="1009"/>
      <c r="O318" s="1009"/>
      <c r="P318" s="1009"/>
      <c r="Q318" s="1009"/>
      <c r="R318" s="1009"/>
      <c r="S318" s="1009"/>
      <c r="T318" s="1009"/>
      <c r="U318" s="1009"/>
      <c r="V318" s="1009"/>
      <c r="W318" s="1009"/>
      <c r="X318" s="1009"/>
      <c r="Y318" s="1009"/>
      <c r="Z318" s="365"/>
    </row>
    <row r="319" ht="15.0" customHeight="1">
      <c r="A319" s="1009"/>
      <c r="B319" s="1009"/>
      <c r="C319" s="1009"/>
      <c r="D319" s="1009"/>
      <c r="E319" s="1009"/>
      <c r="F319" s="1009"/>
      <c r="G319" s="1009"/>
      <c r="H319" s="1140"/>
      <c r="I319" s="1009"/>
      <c r="J319" s="1009"/>
      <c r="K319" s="1009"/>
      <c r="L319" s="1009"/>
      <c r="M319" s="1009"/>
      <c r="N319" s="1009"/>
      <c r="O319" s="1009"/>
      <c r="P319" s="1009"/>
      <c r="Q319" s="1009"/>
      <c r="R319" s="1009"/>
      <c r="S319" s="1009"/>
      <c r="T319" s="1009"/>
      <c r="U319" s="1009"/>
      <c r="V319" s="1009"/>
      <c r="W319" s="1009"/>
      <c r="X319" s="1009"/>
      <c r="Y319" s="1009"/>
      <c r="Z319" s="365"/>
    </row>
    <row r="320" ht="15.0" customHeight="1">
      <c r="A320" s="1009"/>
      <c r="B320" s="1009"/>
      <c r="C320" s="1009"/>
      <c r="D320" s="1009"/>
      <c r="E320" s="1009"/>
      <c r="F320" s="1009"/>
      <c r="G320" s="1009"/>
      <c r="H320" s="1140"/>
      <c r="I320" s="1009"/>
      <c r="J320" s="1009"/>
      <c r="K320" s="1009"/>
      <c r="L320" s="1009"/>
      <c r="M320" s="1009"/>
      <c r="N320" s="1009"/>
      <c r="O320" s="1009"/>
      <c r="P320" s="1009"/>
      <c r="Q320" s="1009"/>
      <c r="R320" s="1009"/>
      <c r="S320" s="1009"/>
      <c r="T320" s="1009"/>
      <c r="U320" s="1009"/>
      <c r="V320" s="1009"/>
      <c r="W320" s="1009"/>
      <c r="X320" s="1009"/>
      <c r="Y320" s="1009"/>
      <c r="Z320" s="365"/>
    </row>
    <row r="321" ht="15.0" customHeight="1">
      <c r="A321" s="1009"/>
      <c r="B321" s="1009"/>
      <c r="C321" s="1009"/>
      <c r="D321" s="1009"/>
      <c r="E321" s="1009"/>
      <c r="F321" s="1009"/>
      <c r="G321" s="1009"/>
      <c r="H321" s="1140"/>
      <c r="I321" s="1009"/>
      <c r="J321" s="1009"/>
      <c r="K321" s="1009"/>
      <c r="L321" s="1009"/>
      <c r="M321" s="1009"/>
      <c r="N321" s="1009"/>
      <c r="O321" s="1009"/>
      <c r="P321" s="1009"/>
      <c r="Q321" s="1009"/>
      <c r="R321" s="1009"/>
      <c r="S321" s="1009"/>
      <c r="T321" s="1009"/>
      <c r="U321" s="1009"/>
      <c r="V321" s="1009"/>
      <c r="W321" s="1009"/>
      <c r="X321" s="1009"/>
      <c r="Y321" s="1009"/>
      <c r="Z321" s="365"/>
    </row>
    <row r="322" ht="15.0" customHeight="1">
      <c r="A322" s="1009"/>
      <c r="B322" s="1009"/>
      <c r="C322" s="1009"/>
      <c r="D322" s="1009"/>
      <c r="E322" s="1009"/>
      <c r="F322" s="1009"/>
      <c r="G322" s="1009"/>
      <c r="H322" s="1140"/>
      <c r="I322" s="1009"/>
      <c r="J322" s="1009"/>
      <c r="K322" s="1009"/>
      <c r="L322" s="1009"/>
      <c r="M322" s="1009"/>
      <c r="N322" s="1009"/>
      <c r="O322" s="1009"/>
      <c r="P322" s="1009"/>
      <c r="Q322" s="1009"/>
      <c r="R322" s="1009"/>
      <c r="S322" s="1009"/>
      <c r="T322" s="1009"/>
      <c r="U322" s="1009"/>
      <c r="V322" s="1009"/>
      <c r="W322" s="1009"/>
      <c r="X322" s="1009"/>
      <c r="Y322" s="1009"/>
      <c r="Z322" s="365"/>
    </row>
    <row r="323" ht="15.0" customHeight="1">
      <c r="A323" s="1009"/>
      <c r="B323" s="1009"/>
      <c r="C323" s="1009"/>
      <c r="D323" s="1009"/>
      <c r="E323" s="1009"/>
      <c r="F323" s="1009"/>
      <c r="G323" s="1009"/>
      <c r="H323" s="1140"/>
      <c r="I323" s="1009"/>
      <c r="J323" s="1009"/>
      <c r="K323" s="1009"/>
      <c r="L323" s="1009"/>
      <c r="M323" s="1009"/>
      <c r="N323" s="1009"/>
      <c r="O323" s="1009"/>
      <c r="P323" s="1009"/>
      <c r="Q323" s="1009"/>
      <c r="R323" s="1009"/>
      <c r="S323" s="1009"/>
      <c r="T323" s="1009"/>
      <c r="U323" s="1009"/>
      <c r="V323" s="1009"/>
      <c r="W323" s="1009"/>
      <c r="X323" s="1009"/>
      <c r="Y323" s="1009"/>
      <c r="Z323" s="365"/>
    </row>
    <row r="324" ht="15.0" customHeight="1">
      <c r="A324" s="1009"/>
      <c r="B324" s="1009"/>
      <c r="C324" s="1009"/>
      <c r="D324" s="1009"/>
      <c r="E324" s="1009"/>
      <c r="F324" s="1009"/>
      <c r="G324" s="1009"/>
      <c r="H324" s="1140"/>
      <c r="I324" s="1009"/>
      <c r="J324" s="1009"/>
      <c r="K324" s="1009"/>
      <c r="L324" s="1009"/>
      <c r="M324" s="1009"/>
      <c r="N324" s="1009"/>
      <c r="O324" s="1009"/>
      <c r="P324" s="1009"/>
      <c r="Q324" s="1009"/>
      <c r="R324" s="1009"/>
      <c r="S324" s="1009"/>
      <c r="T324" s="1009"/>
      <c r="U324" s="1009"/>
      <c r="V324" s="1009"/>
      <c r="W324" s="1009"/>
      <c r="X324" s="1009"/>
      <c r="Y324" s="1009"/>
      <c r="Z324" s="365"/>
    </row>
    <row r="325" ht="15.0" customHeight="1">
      <c r="A325" s="1009"/>
      <c r="B325" s="1009"/>
      <c r="C325" s="1009"/>
      <c r="D325" s="1009"/>
      <c r="E325" s="1009"/>
      <c r="F325" s="1009"/>
      <c r="G325" s="1009"/>
      <c r="H325" s="1140"/>
      <c r="I325" s="1009"/>
      <c r="J325" s="1009"/>
      <c r="K325" s="1009"/>
      <c r="L325" s="1009"/>
      <c r="M325" s="1009"/>
      <c r="N325" s="1009"/>
      <c r="O325" s="1009"/>
      <c r="P325" s="1009"/>
      <c r="Q325" s="1009"/>
      <c r="R325" s="1009"/>
      <c r="S325" s="1009"/>
      <c r="T325" s="1009"/>
      <c r="U325" s="1009"/>
      <c r="V325" s="1009"/>
      <c r="W325" s="1009"/>
      <c r="X325" s="1009"/>
      <c r="Y325" s="1009"/>
      <c r="Z325" s="365"/>
    </row>
    <row r="326" ht="15.0" customHeight="1">
      <c r="A326" s="1009"/>
      <c r="B326" s="1009"/>
      <c r="C326" s="1009"/>
      <c r="D326" s="1009"/>
      <c r="E326" s="1009"/>
      <c r="F326" s="1009"/>
      <c r="G326" s="1009"/>
      <c r="H326" s="1140"/>
      <c r="I326" s="1009"/>
      <c r="J326" s="1009"/>
      <c r="K326" s="1009"/>
      <c r="L326" s="1009"/>
      <c r="M326" s="1009"/>
      <c r="N326" s="1009"/>
      <c r="O326" s="1009"/>
      <c r="P326" s="1009"/>
      <c r="Q326" s="1009"/>
      <c r="R326" s="1009"/>
      <c r="S326" s="1009"/>
      <c r="T326" s="1009"/>
      <c r="U326" s="1009"/>
      <c r="V326" s="1009"/>
      <c r="W326" s="1009"/>
      <c r="X326" s="1009"/>
      <c r="Y326" s="1009"/>
      <c r="Z326" s="365"/>
    </row>
    <row r="327" ht="15.0" customHeight="1">
      <c r="A327" s="1009"/>
      <c r="B327" s="1009"/>
      <c r="C327" s="1009"/>
      <c r="D327" s="1009"/>
      <c r="E327" s="1009"/>
      <c r="F327" s="1009"/>
      <c r="G327" s="1009"/>
      <c r="H327" s="1140"/>
      <c r="I327" s="1009"/>
      <c r="J327" s="1009"/>
      <c r="K327" s="1009"/>
      <c r="L327" s="1009"/>
      <c r="M327" s="1009"/>
      <c r="N327" s="1009"/>
      <c r="O327" s="1009"/>
      <c r="P327" s="1009"/>
      <c r="Q327" s="1009"/>
      <c r="R327" s="1009"/>
      <c r="S327" s="1009"/>
      <c r="T327" s="1009"/>
      <c r="U327" s="1009"/>
      <c r="V327" s="1009"/>
      <c r="W327" s="1009"/>
      <c r="X327" s="1009"/>
      <c r="Y327" s="1009"/>
      <c r="Z327" s="365"/>
    </row>
    <row r="328" ht="15.0" customHeight="1">
      <c r="A328" s="1009"/>
      <c r="B328" s="1009"/>
      <c r="C328" s="1009"/>
      <c r="D328" s="1009"/>
      <c r="E328" s="1009"/>
      <c r="F328" s="1009"/>
      <c r="G328" s="1009"/>
      <c r="H328" s="1140"/>
      <c r="I328" s="1009"/>
      <c r="J328" s="1009"/>
      <c r="K328" s="1009"/>
      <c r="L328" s="1009"/>
      <c r="M328" s="1009"/>
      <c r="N328" s="1009"/>
      <c r="O328" s="1009"/>
      <c r="P328" s="1009"/>
      <c r="Q328" s="1009"/>
      <c r="R328" s="1009"/>
      <c r="S328" s="1009"/>
      <c r="T328" s="1009"/>
      <c r="U328" s="1009"/>
      <c r="V328" s="1009"/>
      <c r="W328" s="1009"/>
      <c r="X328" s="1009"/>
      <c r="Y328" s="1009"/>
      <c r="Z328" s="365"/>
    </row>
    <row r="329" ht="15.0" customHeight="1">
      <c r="A329" s="1009"/>
      <c r="B329" s="1009"/>
      <c r="C329" s="1009"/>
      <c r="D329" s="1009"/>
      <c r="E329" s="1009"/>
      <c r="F329" s="1009"/>
      <c r="G329" s="1009"/>
      <c r="H329" s="1140"/>
      <c r="I329" s="1009"/>
      <c r="J329" s="1009"/>
      <c r="K329" s="1009"/>
      <c r="L329" s="1009"/>
      <c r="M329" s="1009"/>
      <c r="N329" s="1009"/>
      <c r="O329" s="1009"/>
      <c r="P329" s="1009"/>
      <c r="Q329" s="1009"/>
      <c r="R329" s="1009"/>
      <c r="S329" s="1009"/>
      <c r="T329" s="1009"/>
      <c r="U329" s="1009"/>
      <c r="V329" s="1009"/>
      <c r="W329" s="1009"/>
      <c r="X329" s="1009"/>
      <c r="Y329" s="1009"/>
      <c r="Z329" s="365"/>
    </row>
    <row r="330" ht="15.0" customHeight="1">
      <c r="A330" s="1009"/>
      <c r="B330" s="1009"/>
      <c r="C330" s="1009"/>
      <c r="D330" s="1009"/>
      <c r="E330" s="1009"/>
      <c r="F330" s="1009"/>
      <c r="G330" s="1009"/>
      <c r="H330" s="1140"/>
      <c r="I330" s="1009"/>
      <c r="J330" s="1009"/>
      <c r="K330" s="1009"/>
      <c r="L330" s="1009"/>
      <c r="M330" s="1009"/>
      <c r="N330" s="1009"/>
      <c r="O330" s="1009"/>
      <c r="P330" s="1009"/>
      <c r="Q330" s="1009"/>
      <c r="R330" s="1009"/>
      <c r="S330" s="1009"/>
      <c r="T330" s="1009"/>
      <c r="U330" s="1009"/>
      <c r="V330" s="1009"/>
      <c r="W330" s="1009"/>
      <c r="X330" s="1009"/>
      <c r="Y330" s="1009"/>
      <c r="Z330" s="365"/>
    </row>
    <row r="331" ht="15.0" customHeight="1">
      <c r="A331" s="1009"/>
      <c r="B331" s="1009"/>
      <c r="C331" s="1009"/>
      <c r="D331" s="1009"/>
      <c r="E331" s="1009"/>
      <c r="F331" s="1009"/>
      <c r="G331" s="1009"/>
      <c r="H331" s="1140"/>
      <c r="I331" s="1009"/>
      <c r="J331" s="1009"/>
      <c r="K331" s="1009"/>
      <c r="L331" s="1009"/>
      <c r="M331" s="1009"/>
      <c r="N331" s="1009"/>
      <c r="O331" s="1009"/>
      <c r="P331" s="1009"/>
      <c r="Q331" s="1009"/>
      <c r="R331" s="1009"/>
      <c r="S331" s="1009"/>
      <c r="T331" s="1009"/>
      <c r="U331" s="1009"/>
      <c r="V331" s="1009"/>
      <c r="W331" s="1009"/>
      <c r="X331" s="1009"/>
      <c r="Y331" s="1009"/>
      <c r="Z331" s="365"/>
    </row>
    <row r="332" ht="15.0" customHeight="1">
      <c r="A332" s="1009"/>
      <c r="B332" s="1009"/>
      <c r="C332" s="1009"/>
      <c r="D332" s="1009"/>
      <c r="E332" s="1009"/>
      <c r="F332" s="1009"/>
      <c r="G332" s="1009"/>
      <c r="H332" s="1140"/>
      <c r="I332" s="1009"/>
      <c r="J332" s="1009"/>
      <c r="K332" s="1009"/>
      <c r="L332" s="1009"/>
      <c r="M332" s="1009"/>
      <c r="N332" s="1009"/>
      <c r="O332" s="1009"/>
      <c r="P332" s="1009"/>
      <c r="Q332" s="1009"/>
      <c r="R332" s="1009"/>
      <c r="S332" s="1009"/>
      <c r="T332" s="1009"/>
      <c r="U332" s="1009"/>
      <c r="V332" s="1009"/>
      <c r="W332" s="1009"/>
      <c r="X332" s="1009"/>
      <c r="Y332" s="1009"/>
      <c r="Z332" s="365"/>
    </row>
    <row r="333" ht="15.0" customHeight="1">
      <c r="A333" s="1009"/>
      <c r="B333" s="1009"/>
      <c r="C333" s="1009"/>
      <c r="D333" s="1009"/>
      <c r="E333" s="1009"/>
      <c r="F333" s="1009"/>
      <c r="G333" s="1009"/>
      <c r="H333" s="1140"/>
      <c r="I333" s="1009"/>
      <c r="J333" s="1009"/>
      <c r="K333" s="1009"/>
      <c r="L333" s="1009"/>
      <c r="M333" s="1009"/>
      <c r="N333" s="1009"/>
      <c r="O333" s="1009"/>
      <c r="P333" s="1009"/>
      <c r="Q333" s="1009"/>
      <c r="R333" s="1009"/>
      <c r="S333" s="1009"/>
      <c r="T333" s="1009"/>
      <c r="U333" s="1009"/>
      <c r="V333" s="1009"/>
      <c r="W333" s="1009"/>
      <c r="X333" s="1009"/>
      <c r="Y333" s="1009"/>
      <c r="Z333" s="365"/>
    </row>
    <row r="334" ht="15.0" customHeight="1">
      <c r="A334" s="1009"/>
      <c r="B334" s="1009"/>
      <c r="C334" s="1009"/>
      <c r="D334" s="1009"/>
      <c r="E334" s="1009"/>
      <c r="F334" s="1009"/>
      <c r="G334" s="1009"/>
      <c r="H334" s="1140"/>
      <c r="I334" s="1009"/>
      <c r="J334" s="1009"/>
      <c r="K334" s="1009"/>
      <c r="L334" s="1009"/>
      <c r="M334" s="1009"/>
      <c r="N334" s="1009"/>
      <c r="O334" s="1009"/>
      <c r="P334" s="1009"/>
      <c r="Q334" s="1009"/>
      <c r="R334" s="1009"/>
      <c r="S334" s="1009"/>
      <c r="T334" s="1009"/>
      <c r="U334" s="1009"/>
      <c r="V334" s="1009"/>
      <c r="W334" s="1009"/>
      <c r="X334" s="1009"/>
      <c r="Y334" s="1009"/>
      <c r="Z334" s="365"/>
    </row>
    <row r="335" ht="15.0" customHeight="1">
      <c r="A335" s="1009"/>
      <c r="B335" s="1009"/>
      <c r="C335" s="1009"/>
      <c r="D335" s="1009"/>
      <c r="E335" s="1009"/>
      <c r="F335" s="1009"/>
      <c r="G335" s="1009"/>
      <c r="H335" s="1140"/>
      <c r="I335" s="1009"/>
      <c r="J335" s="1009"/>
      <c r="K335" s="1009"/>
      <c r="L335" s="1009"/>
      <c r="M335" s="1009"/>
      <c r="N335" s="1009"/>
      <c r="O335" s="1009"/>
      <c r="P335" s="1009"/>
      <c r="Q335" s="1009"/>
      <c r="R335" s="1009"/>
      <c r="S335" s="1009"/>
      <c r="T335" s="1009"/>
      <c r="U335" s="1009"/>
      <c r="V335" s="1009"/>
      <c r="W335" s="1009"/>
      <c r="X335" s="1009"/>
      <c r="Y335" s="1009"/>
      <c r="Z335" s="365"/>
    </row>
    <row r="336" ht="15.0" customHeight="1">
      <c r="A336" s="1009"/>
      <c r="B336" s="1009"/>
      <c r="C336" s="1009"/>
      <c r="D336" s="1009"/>
      <c r="E336" s="1009"/>
      <c r="F336" s="1009"/>
      <c r="G336" s="1009"/>
      <c r="H336" s="1140"/>
      <c r="I336" s="1009"/>
      <c r="J336" s="1009"/>
      <c r="K336" s="1009"/>
      <c r="L336" s="1009"/>
      <c r="M336" s="1009"/>
      <c r="N336" s="1009"/>
      <c r="O336" s="1009"/>
      <c r="P336" s="1009"/>
      <c r="Q336" s="1009"/>
      <c r="R336" s="1009"/>
      <c r="S336" s="1009"/>
      <c r="T336" s="1009"/>
      <c r="U336" s="1009"/>
      <c r="V336" s="1009"/>
      <c r="W336" s="1009"/>
      <c r="X336" s="1009"/>
      <c r="Y336" s="1009"/>
      <c r="Z336" s="365"/>
    </row>
    <row r="337" ht="15.0" customHeight="1">
      <c r="A337" s="1009"/>
      <c r="B337" s="1009"/>
      <c r="C337" s="1009"/>
      <c r="D337" s="1009"/>
      <c r="E337" s="1009"/>
      <c r="F337" s="1009"/>
      <c r="G337" s="1009"/>
      <c r="H337" s="1140"/>
      <c r="I337" s="1009"/>
      <c r="J337" s="1009"/>
      <c r="K337" s="1009"/>
      <c r="L337" s="1009"/>
      <c r="M337" s="1009"/>
      <c r="N337" s="1009"/>
      <c r="O337" s="1009"/>
      <c r="P337" s="1009"/>
      <c r="Q337" s="1009"/>
      <c r="R337" s="1009"/>
      <c r="S337" s="1009"/>
      <c r="T337" s="1009"/>
      <c r="U337" s="1009"/>
      <c r="V337" s="1009"/>
      <c r="W337" s="1009"/>
      <c r="X337" s="1009"/>
      <c r="Y337" s="1009"/>
      <c r="Z337" s="365"/>
    </row>
    <row r="338" ht="15.0" customHeight="1">
      <c r="A338" s="1009"/>
      <c r="B338" s="1009"/>
      <c r="C338" s="1009"/>
      <c r="D338" s="1009"/>
      <c r="E338" s="1009"/>
      <c r="F338" s="1009"/>
      <c r="G338" s="1009"/>
      <c r="H338" s="1140"/>
      <c r="I338" s="1009"/>
      <c r="J338" s="1009"/>
      <c r="K338" s="1009"/>
      <c r="L338" s="1009"/>
      <c r="M338" s="1009"/>
      <c r="N338" s="1009"/>
      <c r="O338" s="1009"/>
      <c r="P338" s="1009"/>
      <c r="Q338" s="1009"/>
      <c r="R338" s="1009"/>
      <c r="S338" s="1009"/>
      <c r="T338" s="1009"/>
      <c r="U338" s="1009"/>
      <c r="V338" s="1009"/>
      <c r="W338" s="1009"/>
      <c r="X338" s="1009"/>
      <c r="Y338" s="1009"/>
      <c r="Z338" s="365"/>
    </row>
    <row r="339" ht="15.0" customHeight="1">
      <c r="A339" s="1009"/>
      <c r="B339" s="1009"/>
      <c r="C339" s="1009"/>
      <c r="D339" s="1009"/>
      <c r="E339" s="1009"/>
      <c r="F339" s="1009"/>
      <c r="G339" s="1009"/>
      <c r="H339" s="1140"/>
      <c r="I339" s="1009"/>
      <c r="J339" s="1009"/>
      <c r="K339" s="1009"/>
      <c r="L339" s="1009"/>
      <c r="M339" s="1009"/>
      <c r="N339" s="1009"/>
      <c r="O339" s="1009"/>
      <c r="P339" s="1009"/>
      <c r="Q339" s="1009"/>
      <c r="R339" s="1009"/>
      <c r="S339" s="1009"/>
      <c r="T339" s="1009"/>
      <c r="U339" s="1009"/>
      <c r="V339" s="1009"/>
      <c r="W339" s="1009"/>
      <c r="X339" s="1009"/>
      <c r="Y339" s="1009"/>
      <c r="Z339" s="365"/>
    </row>
    <row r="340" ht="15.0" customHeight="1">
      <c r="A340" s="1009"/>
      <c r="B340" s="1009"/>
      <c r="C340" s="1009"/>
      <c r="D340" s="1009"/>
      <c r="E340" s="1009"/>
      <c r="F340" s="1009"/>
      <c r="G340" s="1009"/>
      <c r="H340" s="1140"/>
      <c r="I340" s="1009"/>
      <c r="J340" s="1009"/>
      <c r="K340" s="1009"/>
      <c r="L340" s="1009"/>
      <c r="M340" s="1009"/>
      <c r="N340" s="1009"/>
      <c r="O340" s="1009"/>
      <c r="P340" s="1009"/>
      <c r="Q340" s="1009"/>
      <c r="R340" s="1009"/>
      <c r="S340" s="1009"/>
      <c r="T340" s="1009"/>
      <c r="U340" s="1009"/>
      <c r="V340" s="1009"/>
      <c r="W340" s="1009"/>
      <c r="X340" s="1009"/>
      <c r="Y340" s="1009"/>
      <c r="Z340" s="365"/>
    </row>
    <row r="341" ht="15.0" customHeight="1">
      <c r="A341" s="1009"/>
      <c r="B341" s="1009"/>
      <c r="C341" s="1009"/>
      <c r="D341" s="1009"/>
      <c r="E341" s="1009"/>
      <c r="F341" s="1009"/>
      <c r="G341" s="1009"/>
      <c r="H341" s="1140"/>
      <c r="I341" s="1009"/>
      <c r="J341" s="1009"/>
      <c r="K341" s="1009"/>
      <c r="L341" s="1009"/>
      <c r="M341" s="1009"/>
      <c r="N341" s="1009"/>
      <c r="O341" s="1009"/>
      <c r="P341" s="1009"/>
      <c r="Q341" s="1009"/>
      <c r="R341" s="1009"/>
      <c r="S341" s="1009"/>
      <c r="T341" s="1009"/>
      <c r="U341" s="1009"/>
      <c r="V341" s="1009"/>
      <c r="W341" s="1009"/>
      <c r="X341" s="1009"/>
      <c r="Y341" s="1009"/>
      <c r="Z341" s="365"/>
    </row>
    <row r="342" ht="15.0" customHeight="1">
      <c r="A342" s="1009"/>
      <c r="B342" s="1009"/>
      <c r="C342" s="1009"/>
      <c r="D342" s="1009"/>
      <c r="E342" s="1009"/>
      <c r="F342" s="1009"/>
      <c r="G342" s="1009"/>
      <c r="H342" s="1140"/>
      <c r="I342" s="1009"/>
      <c r="J342" s="1009"/>
      <c r="K342" s="1009"/>
      <c r="L342" s="1009"/>
      <c r="M342" s="1009"/>
      <c r="N342" s="1009"/>
      <c r="O342" s="1009"/>
      <c r="P342" s="1009"/>
      <c r="Q342" s="1009"/>
      <c r="R342" s="1009"/>
      <c r="S342" s="1009"/>
      <c r="T342" s="1009"/>
      <c r="U342" s="1009"/>
      <c r="V342" s="1009"/>
      <c r="W342" s="1009"/>
      <c r="X342" s="1009"/>
      <c r="Y342" s="1009"/>
      <c r="Z342" s="365"/>
    </row>
    <row r="343" ht="15.0" customHeight="1">
      <c r="A343" s="1009"/>
      <c r="B343" s="1009"/>
      <c r="C343" s="1009"/>
      <c r="D343" s="1009"/>
      <c r="E343" s="1009"/>
      <c r="F343" s="1009"/>
      <c r="G343" s="1009"/>
      <c r="H343" s="1140"/>
      <c r="I343" s="1009"/>
      <c r="J343" s="1009"/>
      <c r="K343" s="1009"/>
      <c r="L343" s="1009"/>
      <c r="M343" s="1009"/>
      <c r="N343" s="1009"/>
      <c r="O343" s="1009"/>
      <c r="P343" s="1009"/>
      <c r="Q343" s="1009"/>
      <c r="R343" s="1009"/>
      <c r="S343" s="1009"/>
      <c r="T343" s="1009"/>
      <c r="U343" s="1009"/>
      <c r="V343" s="1009"/>
      <c r="W343" s="1009"/>
      <c r="X343" s="1009"/>
      <c r="Y343" s="1009"/>
      <c r="Z343" s="365"/>
    </row>
    <row r="344" ht="15.0" customHeight="1">
      <c r="A344" s="1009"/>
      <c r="B344" s="1009"/>
      <c r="C344" s="1009"/>
      <c r="D344" s="1009"/>
      <c r="E344" s="1009"/>
      <c r="F344" s="1009"/>
      <c r="G344" s="1009"/>
      <c r="H344" s="1140"/>
      <c r="I344" s="1009"/>
      <c r="J344" s="1009"/>
      <c r="K344" s="1009"/>
      <c r="L344" s="1009"/>
      <c r="M344" s="1009"/>
      <c r="N344" s="1009"/>
      <c r="O344" s="1009"/>
      <c r="P344" s="1009"/>
      <c r="Q344" s="1009"/>
      <c r="R344" s="1009"/>
      <c r="S344" s="1009"/>
      <c r="T344" s="1009"/>
      <c r="U344" s="1009"/>
      <c r="V344" s="1009"/>
      <c r="W344" s="1009"/>
      <c r="X344" s="1009"/>
      <c r="Y344" s="1009"/>
      <c r="Z344" s="365"/>
    </row>
    <row r="345" ht="15.0" customHeight="1">
      <c r="A345" s="1009"/>
      <c r="B345" s="1009"/>
      <c r="C345" s="1009"/>
      <c r="D345" s="1009"/>
      <c r="E345" s="1009"/>
      <c r="F345" s="1009"/>
      <c r="G345" s="1009"/>
      <c r="H345" s="1140"/>
      <c r="I345" s="1009"/>
      <c r="J345" s="1009"/>
      <c r="K345" s="1009"/>
      <c r="L345" s="1009"/>
      <c r="M345" s="1009"/>
      <c r="N345" s="1009"/>
      <c r="O345" s="1009"/>
      <c r="P345" s="1009"/>
      <c r="Q345" s="1009"/>
      <c r="R345" s="1009"/>
      <c r="S345" s="1009"/>
      <c r="T345" s="1009"/>
      <c r="U345" s="1009"/>
      <c r="V345" s="1009"/>
      <c r="W345" s="1009"/>
      <c r="X345" s="1009"/>
      <c r="Y345" s="1009"/>
      <c r="Z345" s="365"/>
    </row>
    <row r="346" ht="15.0" customHeight="1">
      <c r="A346" s="1009"/>
      <c r="B346" s="1009"/>
      <c r="C346" s="1009"/>
      <c r="D346" s="1009"/>
      <c r="E346" s="1009"/>
      <c r="F346" s="1009"/>
      <c r="G346" s="1009"/>
      <c r="H346" s="1140"/>
      <c r="I346" s="1009"/>
      <c r="J346" s="1009"/>
      <c r="K346" s="1009"/>
      <c r="L346" s="1009"/>
      <c r="M346" s="1009"/>
      <c r="N346" s="1009"/>
      <c r="O346" s="1009"/>
      <c r="P346" s="1009"/>
      <c r="Q346" s="1009"/>
      <c r="R346" s="1009"/>
      <c r="S346" s="1009"/>
      <c r="T346" s="1009"/>
      <c r="U346" s="1009"/>
      <c r="V346" s="1009"/>
      <c r="W346" s="1009"/>
      <c r="X346" s="1009"/>
      <c r="Y346" s="1009"/>
      <c r="Z346" s="365"/>
    </row>
    <row r="347" ht="15.0" customHeight="1">
      <c r="A347" s="1009"/>
      <c r="B347" s="1009"/>
      <c r="C347" s="1009"/>
      <c r="D347" s="1009"/>
      <c r="E347" s="1009"/>
      <c r="F347" s="1009"/>
      <c r="G347" s="1009"/>
      <c r="H347" s="1140"/>
      <c r="I347" s="1009"/>
      <c r="J347" s="1009"/>
      <c r="K347" s="1009"/>
      <c r="L347" s="1009"/>
      <c r="M347" s="1009"/>
      <c r="N347" s="1009"/>
      <c r="O347" s="1009"/>
      <c r="P347" s="1009"/>
      <c r="Q347" s="1009"/>
      <c r="R347" s="1009"/>
      <c r="S347" s="1009"/>
      <c r="T347" s="1009"/>
      <c r="U347" s="1009"/>
      <c r="V347" s="1009"/>
      <c r="W347" s="1009"/>
      <c r="X347" s="1009"/>
      <c r="Y347" s="1009"/>
      <c r="Z347" s="365"/>
    </row>
    <row r="348" ht="15.0" customHeight="1">
      <c r="A348" s="1009"/>
      <c r="B348" s="1009"/>
      <c r="C348" s="1009"/>
      <c r="D348" s="1009"/>
      <c r="E348" s="1009"/>
      <c r="F348" s="1009"/>
      <c r="G348" s="1009"/>
      <c r="H348" s="1140"/>
      <c r="I348" s="1009"/>
      <c r="J348" s="1009"/>
      <c r="K348" s="1009"/>
      <c r="L348" s="1009"/>
      <c r="M348" s="1009"/>
      <c r="N348" s="1009"/>
      <c r="O348" s="1009"/>
      <c r="P348" s="1009"/>
      <c r="Q348" s="1009"/>
      <c r="R348" s="1009"/>
      <c r="S348" s="1009"/>
      <c r="T348" s="1009"/>
      <c r="U348" s="1009"/>
      <c r="V348" s="1009"/>
      <c r="W348" s="1009"/>
      <c r="X348" s="1009"/>
      <c r="Y348" s="1009"/>
      <c r="Z348" s="365"/>
    </row>
    <row r="349" ht="15.0" customHeight="1">
      <c r="A349" s="1009"/>
      <c r="B349" s="1009"/>
      <c r="C349" s="1009"/>
      <c r="D349" s="1009"/>
      <c r="E349" s="1009"/>
      <c r="F349" s="1009"/>
      <c r="G349" s="1009"/>
      <c r="H349" s="1140"/>
      <c r="I349" s="1009"/>
      <c r="J349" s="1009"/>
      <c r="K349" s="1009"/>
      <c r="L349" s="1009"/>
      <c r="M349" s="1009"/>
      <c r="N349" s="1009"/>
      <c r="O349" s="1009"/>
      <c r="P349" s="1009"/>
      <c r="Q349" s="1009"/>
      <c r="R349" s="1009"/>
      <c r="S349" s="1009"/>
      <c r="T349" s="1009"/>
      <c r="U349" s="1009"/>
      <c r="V349" s="1009"/>
      <c r="W349" s="1009"/>
      <c r="X349" s="1009"/>
      <c r="Y349" s="1009"/>
      <c r="Z349" s="365"/>
    </row>
    <row r="350" ht="15.0" customHeight="1">
      <c r="A350" s="1009"/>
      <c r="B350" s="1009"/>
      <c r="C350" s="1009"/>
      <c r="D350" s="1009"/>
      <c r="E350" s="1009"/>
      <c r="F350" s="1009"/>
      <c r="G350" s="1009"/>
      <c r="H350" s="1140"/>
      <c r="I350" s="1009"/>
      <c r="J350" s="1009"/>
      <c r="K350" s="1009"/>
      <c r="L350" s="1009"/>
      <c r="M350" s="1009"/>
      <c r="N350" s="1009"/>
      <c r="O350" s="1009"/>
      <c r="P350" s="1009"/>
      <c r="Q350" s="1009"/>
      <c r="R350" s="1009"/>
      <c r="S350" s="1009"/>
      <c r="T350" s="1009"/>
      <c r="U350" s="1009"/>
      <c r="V350" s="1009"/>
      <c r="W350" s="1009"/>
      <c r="X350" s="1009"/>
      <c r="Y350" s="1009"/>
      <c r="Z350" s="365"/>
    </row>
    <row r="351" ht="15.0" customHeight="1">
      <c r="A351" s="1009"/>
      <c r="B351" s="1009"/>
      <c r="C351" s="1009"/>
      <c r="D351" s="1009"/>
      <c r="E351" s="1009"/>
      <c r="F351" s="1009"/>
      <c r="G351" s="1009"/>
      <c r="H351" s="1140"/>
      <c r="I351" s="1009"/>
      <c r="J351" s="1009"/>
      <c r="K351" s="1009"/>
      <c r="L351" s="1009"/>
      <c r="M351" s="1009"/>
      <c r="N351" s="1009"/>
      <c r="O351" s="1009"/>
      <c r="P351" s="1009"/>
      <c r="Q351" s="1009"/>
      <c r="R351" s="1009"/>
      <c r="S351" s="1009"/>
      <c r="T351" s="1009"/>
      <c r="U351" s="1009"/>
      <c r="V351" s="1009"/>
      <c r="W351" s="1009"/>
      <c r="X351" s="1009"/>
      <c r="Y351" s="1009"/>
      <c r="Z351" s="365"/>
    </row>
    <row r="352" ht="15.0" customHeight="1">
      <c r="A352" s="1009"/>
      <c r="B352" s="1009"/>
      <c r="C352" s="1009"/>
      <c r="D352" s="1009"/>
      <c r="E352" s="1009"/>
      <c r="F352" s="1009"/>
      <c r="G352" s="1009"/>
      <c r="H352" s="1140"/>
      <c r="I352" s="1009"/>
      <c r="J352" s="1009"/>
      <c r="K352" s="1009"/>
      <c r="L352" s="1009"/>
      <c r="M352" s="1009"/>
      <c r="N352" s="1009"/>
      <c r="O352" s="1009"/>
      <c r="P352" s="1009"/>
      <c r="Q352" s="1009"/>
      <c r="R352" s="1009"/>
      <c r="S352" s="1009"/>
      <c r="T352" s="1009"/>
      <c r="U352" s="1009"/>
      <c r="V352" s="1009"/>
      <c r="W352" s="1009"/>
      <c r="X352" s="1009"/>
      <c r="Y352" s="1009"/>
      <c r="Z352" s="365"/>
    </row>
    <row r="353" ht="15.0" customHeight="1">
      <c r="A353" s="1009"/>
      <c r="B353" s="1009"/>
      <c r="C353" s="1009"/>
      <c r="D353" s="1009"/>
      <c r="E353" s="1009"/>
      <c r="F353" s="1009"/>
      <c r="G353" s="1009"/>
      <c r="H353" s="1140"/>
      <c r="I353" s="1009"/>
      <c r="J353" s="1009"/>
      <c r="K353" s="1009"/>
      <c r="L353" s="1009"/>
      <c r="M353" s="1009"/>
      <c r="N353" s="1009"/>
      <c r="O353" s="1009"/>
      <c r="P353" s="1009"/>
      <c r="Q353" s="1009"/>
      <c r="R353" s="1009"/>
      <c r="S353" s="1009"/>
      <c r="T353" s="1009"/>
      <c r="U353" s="1009"/>
      <c r="V353" s="1009"/>
      <c r="W353" s="1009"/>
      <c r="X353" s="1009"/>
      <c r="Y353" s="1009"/>
      <c r="Z353" s="365"/>
    </row>
    <row r="354" ht="15.0" customHeight="1">
      <c r="A354" s="1009"/>
      <c r="B354" s="1009"/>
      <c r="C354" s="1009"/>
      <c r="D354" s="1009"/>
      <c r="E354" s="1009"/>
      <c r="F354" s="1009"/>
      <c r="G354" s="1009"/>
      <c r="H354" s="1140"/>
      <c r="I354" s="1009"/>
      <c r="J354" s="1009"/>
      <c r="K354" s="1009"/>
      <c r="L354" s="1009"/>
      <c r="M354" s="1009"/>
      <c r="N354" s="1009"/>
      <c r="O354" s="1009"/>
      <c r="P354" s="1009"/>
      <c r="Q354" s="1009"/>
      <c r="R354" s="1009"/>
      <c r="S354" s="1009"/>
      <c r="T354" s="1009"/>
      <c r="U354" s="1009"/>
      <c r="V354" s="1009"/>
      <c r="W354" s="1009"/>
      <c r="X354" s="1009"/>
      <c r="Y354" s="1009"/>
      <c r="Z354" s="365"/>
    </row>
    <row r="355" ht="15.0" customHeight="1">
      <c r="A355" s="1009"/>
      <c r="B355" s="1009"/>
      <c r="C355" s="1009"/>
      <c r="D355" s="1009"/>
      <c r="E355" s="1009"/>
      <c r="F355" s="1009"/>
      <c r="G355" s="1009"/>
      <c r="H355" s="1140"/>
      <c r="I355" s="1009"/>
      <c r="J355" s="1009"/>
      <c r="K355" s="1009"/>
      <c r="L355" s="1009"/>
      <c r="M355" s="1009"/>
      <c r="N355" s="1009"/>
      <c r="O355" s="1009"/>
      <c r="P355" s="1009"/>
      <c r="Q355" s="1009"/>
      <c r="R355" s="1009"/>
      <c r="S355" s="1009"/>
      <c r="T355" s="1009"/>
      <c r="U355" s="1009"/>
      <c r="V355" s="1009"/>
      <c r="W355" s="1009"/>
      <c r="X355" s="1009"/>
      <c r="Y355" s="1009"/>
      <c r="Z355" s="365"/>
    </row>
    <row r="356" ht="15.0" customHeight="1">
      <c r="A356" s="1009"/>
      <c r="B356" s="1009"/>
      <c r="C356" s="1009"/>
      <c r="D356" s="1009"/>
      <c r="E356" s="1009"/>
      <c r="F356" s="1009"/>
      <c r="G356" s="1009"/>
      <c r="H356" s="1140"/>
      <c r="I356" s="1009"/>
      <c r="J356" s="1009"/>
      <c r="K356" s="1009"/>
      <c r="L356" s="1009"/>
      <c r="M356" s="1009"/>
      <c r="N356" s="1009"/>
      <c r="O356" s="1009"/>
      <c r="P356" s="1009"/>
      <c r="Q356" s="1009"/>
      <c r="R356" s="1009"/>
      <c r="S356" s="1009"/>
      <c r="T356" s="1009"/>
      <c r="U356" s="1009"/>
      <c r="V356" s="1009"/>
      <c r="W356" s="1009"/>
      <c r="X356" s="1009"/>
      <c r="Y356" s="1009"/>
      <c r="Z356" s="365"/>
    </row>
    <row r="357" ht="15.0" customHeight="1">
      <c r="A357" s="1009"/>
      <c r="B357" s="1009"/>
      <c r="C357" s="1009"/>
      <c r="D357" s="1009"/>
      <c r="E357" s="1009"/>
      <c r="F357" s="1009"/>
      <c r="G357" s="1009"/>
      <c r="H357" s="1140"/>
      <c r="I357" s="1009"/>
      <c r="J357" s="1009"/>
      <c r="K357" s="1009"/>
      <c r="L357" s="1009"/>
      <c r="M357" s="1009"/>
      <c r="N357" s="1009"/>
      <c r="O357" s="1009"/>
      <c r="P357" s="1009"/>
      <c r="Q357" s="1009"/>
      <c r="R357" s="1009"/>
      <c r="S357" s="1009"/>
      <c r="T357" s="1009"/>
      <c r="U357" s="1009"/>
      <c r="V357" s="1009"/>
      <c r="W357" s="1009"/>
      <c r="X357" s="1009"/>
      <c r="Y357" s="1009"/>
      <c r="Z357" s="365"/>
    </row>
    <row r="358" ht="15.0" customHeight="1">
      <c r="A358" s="1009"/>
      <c r="B358" s="1009"/>
      <c r="C358" s="1009"/>
      <c r="D358" s="1009"/>
      <c r="E358" s="1009"/>
      <c r="F358" s="1009"/>
      <c r="G358" s="1009"/>
      <c r="H358" s="1140"/>
      <c r="I358" s="1009"/>
      <c r="J358" s="1009"/>
      <c r="K358" s="1009"/>
      <c r="L358" s="1009"/>
      <c r="M358" s="1009"/>
      <c r="N358" s="1009"/>
      <c r="O358" s="1009"/>
      <c r="P358" s="1009"/>
      <c r="Q358" s="1009"/>
      <c r="R358" s="1009"/>
      <c r="S358" s="1009"/>
      <c r="T358" s="1009"/>
      <c r="U358" s="1009"/>
      <c r="V358" s="1009"/>
      <c r="W358" s="1009"/>
      <c r="X358" s="1009"/>
      <c r="Y358" s="1009"/>
      <c r="Z358" s="365"/>
    </row>
    <row r="359" ht="15.0" customHeight="1">
      <c r="A359" s="1009"/>
      <c r="B359" s="1009"/>
      <c r="C359" s="1009"/>
      <c r="D359" s="1009"/>
      <c r="E359" s="1009"/>
      <c r="F359" s="1009"/>
      <c r="G359" s="1009"/>
      <c r="H359" s="1140"/>
      <c r="I359" s="1009"/>
      <c r="J359" s="1009"/>
      <c r="K359" s="1009"/>
      <c r="L359" s="1009"/>
      <c r="M359" s="1009"/>
      <c r="N359" s="1009"/>
      <c r="O359" s="1009"/>
      <c r="P359" s="1009"/>
      <c r="Q359" s="1009"/>
      <c r="R359" s="1009"/>
      <c r="S359" s="1009"/>
      <c r="T359" s="1009"/>
      <c r="U359" s="1009"/>
      <c r="V359" s="1009"/>
      <c r="W359" s="1009"/>
      <c r="X359" s="1009"/>
      <c r="Y359" s="1009"/>
      <c r="Z359" s="365"/>
    </row>
    <row r="360" ht="15.0" customHeight="1">
      <c r="A360" s="1009"/>
      <c r="B360" s="1009"/>
      <c r="C360" s="1009"/>
      <c r="D360" s="1009"/>
      <c r="E360" s="1009"/>
      <c r="F360" s="1009"/>
      <c r="G360" s="1009"/>
      <c r="H360" s="1140"/>
      <c r="I360" s="1009"/>
      <c r="J360" s="1009"/>
      <c r="K360" s="1009"/>
      <c r="L360" s="1009"/>
      <c r="M360" s="1009"/>
      <c r="N360" s="1009"/>
      <c r="O360" s="1009"/>
      <c r="P360" s="1009"/>
      <c r="Q360" s="1009"/>
      <c r="R360" s="1009"/>
      <c r="S360" s="1009"/>
      <c r="T360" s="1009"/>
      <c r="U360" s="1009"/>
      <c r="V360" s="1009"/>
      <c r="W360" s="1009"/>
      <c r="X360" s="1009"/>
      <c r="Y360" s="1009"/>
      <c r="Z360" s="365"/>
    </row>
    <row r="361" ht="15.0" customHeight="1">
      <c r="A361" s="1009"/>
      <c r="B361" s="1009"/>
      <c r="C361" s="1009"/>
      <c r="D361" s="1009"/>
      <c r="E361" s="1009"/>
      <c r="F361" s="1009"/>
      <c r="G361" s="1009"/>
      <c r="H361" s="1140"/>
      <c r="I361" s="1009"/>
      <c r="J361" s="1009"/>
      <c r="K361" s="1009"/>
      <c r="L361" s="1009"/>
      <c r="M361" s="1009"/>
      <c r="N361" s="1009"/>
      <c r="O361" s="1009"/>
      <c r="P361" s="1009"/>
      <c r="Q361" s="1009"/>
      <c r="R361" s="1009"/>
      <c r="S361" s="1009"/>
      <c r="T361" s="1009"/>
      <c r="U361" s="1009"/>
      <c r="V361" s="1009"/>
      <c r="W361" s="1009"/>
      <c r="X361" s="1009"/>
      <c r="Y361" s="1009"/>
      <c r="Z361" s="365"/>
    </row>
    <row r="362" ht="15.0" customHeight="1">
      <c r="A362" s="1009"/>
      <c r="B362" s="1009"/>
      <c r="C362" s="1009"/>
      <c r="D362" s="1009"/>
      <c r="E362" s="1009"/>
      <c r="F362" s="1009"/>
      <c r="G362" s="1009"/>
      <c r="H362" s="1140"/>
      <c r="I362" s="1009"/>
      <c r="J362" s="1009"/>
      <c r="K362" s="1009"/>
      <c r="L362" s="1009"/>
      <c r="M362" s="1009"/>
      <c r="N362" s="1009"/>
      <c r="O362" s="1009"/>
      <c r="P362" s="1009"/>
      <c r="Q362" s="1009"/>
      <c r="R362" s="1009"/>
      <c r="S362" s="1009"/>
      <c r="T362" s="1009"/>
      <c r="U362" s="1009"/>
      <c r="V362" s="1009"/>
      <c r="W362" s="1009"/>
      <c r="X362" s="1009"/>
      <c r="Y362" s="1009"/>
      <c r="Z362" s="365"/>
    </row>
    <row r="363" ht="15.0" customHeight="1">
      <c r="A363" s="1009"/>
      <c r="B363" s="1009"/>
      <c r="C363" s="1009"/>
      <c r="D363" s="1009"/>
      <c r="E363" s="1009"/>
      <c r="F363" s="1009"/>
      <c r="G363" s="1009"/>
      <c r="H363" s="1140"/>
      <c r="I363" s="1009"/>
      <c r="J363" s="1009"/>
      <c r="K363" s="1009"/>
      <c r="L363" s="1009"/>
      <c r="M363" s="1009"/>
      <c r="N363" s="1009"/>
      <c r="O363" s="1009"/>
      <c r="P363" s="1009"/>
      <c r="Q363" s="1009"/>
      <c r="R363" s="1009"/>
      <c r="S363" s="1009"/>
      <c r="T363" s="1009"/>
      <c r="U363" s="1009"/>
      <c r="V363" s="1009"/>
      <c r="W363" s="1009"/>
      <c r="X363" s="1009"/>
      <c r="Y363" s="1009"/>
      <c r="Z363" s="365"/>
    </row>
    <row r="364" ht="15.0" customHeight="1">
      <c r="A364" s="1009"/>
      <c r="B364" s="1009"/>
      <c r="C364" s="1009"/>
      <c r="D364" s="1009"/>
      <c r="E364" s="1009"/>
      <c r="F364" s="1009"/>
      <c r="G364" s="1009"/>
      <c r="H364" s="1140"/>
      <c r="I364" s="1009"/>
      <c r="J364" s="1009"/>
      <c r="K364" s="1009"/>
      <c r="L364" s="1009"/>
      <c r="M364" s="1009"/>
      <c r="N364" s="1009"/>
      <c r="O364" s="1009"/>
      <c r="P364" s="1009"/>
      <c r="Q364" s="1009"/>
      <c r="R364" s="1009"/>
      <c r="S364" s="1009"/>
      <c r="T364" s="1009"/>
      <c r="U364" s="1009"/>
      <c r="V364" s="1009"/>
      <c r="W364" s="1009"/>
      <c r="X364" s="1009"/>
      <c r="Y364" s="1009"/>
      <c r="Z364" s="365"/>
    </row>
    <row r="365" ht="15.0" customHeight="1">
      <c r="A365" s="1009"/>
      <c r="B365" s="1009"/>
      <c r="C365" s="1009"/>
      <c r="D365" s="1009"/>
      <c r="E365" s="1009"/>
      <c r="F365" s="1009"/>
      <c r="G365" s="1009"/>
      <c r="H365" s="1140"/>
      <c r="I365" s="1009"/>
      <c r="J365" s="1009"/>
      <c r="K365" s="1009"/>
      <c r="L365" s="1009"/>
      <c r="M365" s="1009"/>
      <c r="N365" s="1009"/>
      <c r="O365" s="1009"/>
      <c r="P365" s="1009"/>
      <c r="Q365" s="1009"/>
      <c r="R365" s="1009"/>
      <c r="S365" s="1009"/>
      <c r="T365" s="1009"/>
      <c r="U365" s="1009"/>
      <c r="V365" s="1009"/>
      <c r="W365" s="1009"/>
      <c r="X365" s="1009"/>
      <c r="Y365" s="1009"/>
      <c r="Z365" s="365"/>
    </row>
    <row r="366" ht="15.0" customHeight="1">
      <c r="A366" s="1009"/>
      <c r="B366" s="1009"/>
      <c r="C366" s="1009"/>
      <c r="D366" s="1009"/>
      <c r="E366" s="1009"/>
      <c r="F366" s="1009"/>
      <c r="G366" s="1009"/>
      <c r="H366" s="1140"/>
      <c r="I366" s="1009"/>
      <c r="J366" s="1009"/>
      <c r="K366" s="1009"/>
      <c r="L366" s="1009"/>
      <c r="M366" s="1009"/>
      <c r="N366" s="1009"/>
      <c r="O366" s="1009"/>
      <c r="P366" s="1009"/>
      <c r="Q366" s="1009"/>
      <c r="R366" s="1009"/>
      <c r="S366" s="1009"/>
      <c r="T366" s="1009"/>
      <c r="U366" s="1009"/>
      <c r="V366" s="1009"/>
      <c r="W366" s="1009"/>
      <c r="X366" s="1009"/>
      <c r="Y366" s="1009"/>
      <c r="Z366" s="365"/>
    </row>
    <row r="367" ht="15.0" customHeight="1">
      <c r="A367" s="1009"/>
      <c r="B367" s="1009"/>
      <c r="C367" s="1009"/>
      <c r="D367" s="1009"/>
      <c r="E367" s="1009"/>
      <c r="F367" s="1009"/>
      <c r="G367" s="1009"/>
      <c r="H367" s="1140"/>
      <c r="I367" s="1009"/>
      <c r="J367" s="1009"/>
      <c r="K367" s="1009"/>
      <c r="L367" s="1009"/>
      <c r="M367" s="1009"/>
      <c r="N367" s="1009"/>
      <c r="O367" s="1009"/>
      <c r="P367" s="1009"/>
      <c r="Q367" s="1009"/>
      <c r="R367" s="1009"/>
      <c r="S367" s="1009"/>
      <c r="T367" s="1009"/>
      <c r="U367" s="1009"/>
      <c r="V367" s="1009"/>
      <c r="W367" s="1009"/>
      <c r="X367" s="1009"/>
      <c r="Y367" s="1009"/>
      <c r="Z367" s="365"/>
    </row>
    <row r="368" ht="15.0" customHeight="1">
      <c r="A368" s="1009"/>
      <c r="B368" s="1009"/>
      <c r="C368" s="1009"/>
      <c r="D368" s="1009"/>
      <c r="E368" s="1009"/>
      <c r="F368" s="1009"/>
      <c r="G368" s="1009"/>
      <c r="H368" s="1140"/>
      <c r="I368" s="1009"/>
      <c r="J368" s="1009"/>
      <c r="K368" s="1009"/>
      <c r="L368" s="1009"/>
      <c r="M368" s="1009"/>
      <c r="N368" s="1009"/>
      <c r="O368" s="1009"/>
      <c r="P368" s="1009"/>
      <c r="Q368" s="1009"/>
      <c r="R368" s="1009"/>
      <c r="S368" s="1009"/>
      <c r="T368" s="1009"/>
      <c r="U368" s="1009"/>
      <c r="V368" s="1009"/>
      <c r="W368" s="1009"/>
      <c r="X368" s="1009"/>
      <c r="Y368" s="1009"/>
      <c r="Z368" s="365"/>
    </row>
    <row r="369" ht="15.0" customHeight="1">
      <c r="A369" s="1009"/>
      <c r="B369" s="1009"/>
      <c r="C369" s="1009"/>
      <c r="D369" s="1009"/>
      <c r="E369" s="1009"/>
      <c r="F369" s="1009"/>
      <c r="G369" s="1009"/>
      <c r="H369" s="1140"/>
      <c r="I369" s="1009"/>
      <c r="J369" s="1009"/>
      <c r="K369" s="1009"/>
      <c r="L369" s="1009"/>
      <c r="M369" s="1009"/>
      <c r="N369" s="1009"/>
      <c r="O369" s="1009"/>
      <c r="P369" s="1009"/>
      <c r="Q369" s="1009"/>
      <c r="R369" s="1009"/>
      <c r="S369" s="1009"/>
      <c r="T369" s="1009"/>
      <c r="U369" s="1009"/>
      <c r="V369" s="1009"/>
      <c r="W369" s="1009"/>
      <c r="X369" s="1009"/>
      <c r="Y369" s="1009"/>
      <c r="Z369" s="365"/>
    </row>
    <row r="370" ht="15.0" customHeight="1">
      <c r="A370" s="1009"/>
      <c r="B370" s="1009"/>
      <c r="C370" s="1009"/>
      <c r="D370" s="1009"/>
      <c r="E370" s="1009"/>
      <c r="F370" s="1009"/>
      <c r="G370" s="1009"/>
      <c r="H370" s="1140"/>
      <c r="I370" s="1009"/>
      <c r="J370" s="1009"/>
      <c r="K370" s="1009"/>
      <c r="L370" s="1009"/>
      <c r="M370" s="1009"/>
      <c r="N370" s="1009"/>
      <c r="O370" s="1009"/>
      <c r="P370" s="1009"/>
      <c r="Q370" s="1009"/>
      <c r="R370" s="1009"/>
      <c r="S370" s="1009"/>
      <c r="T370" s="1009"/>
      <c r="U370" s="1009"/>
      <c r="V370" s="1009"/>
      <c r="W370" s="1009"/>
      <c r="X370" s="1009"/>
      <c r="Y370" s="1009"/>
      <c r="Z370" s="365"/>
    </row>
    <row r="371" ht="15.0" customHeight="1">
      <c r="A371" s="1009"/>
      <c r="B371" s="1009"/>
      <c r="C371" s="1009"/>
      <c r="D371" s="1009"/>
      <c r="E371" s="1009"/>
      <c r="F371" s="1009"/>
      <c r="G371" s="1009"/>
      <c r="H371" s="1140"/>
      <c r="I371" s="1009"/>
      <c r="J371" s="1009"/>
      <c r="K371" s="1009"/>
      <c r="L371" s="1009"/>
      <c r="M371" s="1009"/>
      <c r="N371" s="1009"/>
      <c r="O371" s="1009"/>
      <c r="P371" s="1009"/>
      <c r="Q371" s="1009"/>
      <c r="R371" s="1009"/>
      <c r="S371" s="1009"/>
      <c r="T371" s="1009"/>
      <c r="U371" s="1009"/>
      <c r="V371" s="1009"/>
      <c r="W371" s="1009"/>
      <c r="X371" s="1009"/>
      <c r="Y371" s="1009"/>
      <c r="Z371" s="365"/>
    </row>
    <row r="372" ht="15.0" customHeight="1">
      <c r="A372" s="1009"/>
      <c r="B372" s="1009"/>
      <c r="C372" s="1009"/>
      <c r="D372" s="1009"/>
      <c r="E372" s="1009"/>
      <c r="F372" s="1009"/>
      <c r="G372" s="1009"/>
      <c r="H372" s="1140"/>
      <c r="I372" s="1009"/>
      <c r="J372" s="1009"/>
      <c r="K372" s="1009"/>
      <c r="L372" s="1009"/>
      <c r="M372" s="1009"/>
      <c r="N372" s="1009"/>
      <c r="O372" s="1009"/>
      <c r="P372" s="1009"/>
      <c r="Q372" s="1009"/>
      <c r="R372" s="1009"/>
      <c r="S372" s="1009"/>
      <c r="T372" s="1009"/>
      <c r="U372" s="1009"/>
      <c r="V372" s="1009"/>
      <c r="W372" s="1009"/>
      <c r="X372" s="1009"/>
      <c r="Y372" s="1009"/>
      <c r="Z372" s="365"/>
    </row>
    <row r="373" ht="15.0" customHeight="1">
      <c r="A373" s="1009"/>
      <c r="B373" s="1009"/>
      <c r="C373" s="1009"/>
      <c r="D373" s="1009"/>
      <c r="E373" s="1009"/>
      <c r="F373" s="1009"/>
      <c r="G373" s="1009"/>
      <c r="H373" s="1140"/>
      <c r="I373" s="1009"/>
      <c r="J373" s="1009"/>
      <c r="K373" s="1009"/>
      <c r="L373" s="1009"/>
      <c r="M373" s="1009"/>
      <c r="N373" s="1009"/>
      <c r="O373" s="1009"/>
      <c r="P373" s="1009"/>
      <c r="Q373" s="1009"/>
      <c r="R373" s="1009"/>
      <c r="S373" s="1009"/>
      <c r="T373" s="1009"/>
      <c r="U373" s="1009"/>
      <c r="V373" s="1009"/>
      <c r="W373" s="1009"/>
      <c r="X373" s="1009"/>
      <c r="Y373" s="1009"/>
      <c r="Z373" s="365"/>
    </row>
    <row r="374" ht="15.0" customHeight="1">
      <c r="A374" s="1009"/>
      <c r="B374" s="1009"/>
      <c r="C374" s="1009"/>
      <c r="D374" s="1009"/>
      <c r="E374" s="1009"/>
      <c r="F374" s="1009"/>
      <c r="G374" s="1009"/>
      <c r="H374" s="1140"/>
      <c r="I374" s="1009"/>
      <c r="J374" s="1009"/>
      <c r="K374" s="1009"/>
      <c r="L374" s="1009"/>
      <c r="M374" s="1009"/>
      <c r="N374" s="1009"/>
      <c r="O374" s="1009"/>
      <c r="P374" s="1009"/>
      <c r="Q374" s="1009"/>
      <c r="R374" s="1009"/>
      <c r="S374" s="1009"/>
      <c r="T374" s="1009"/>
      <c r="U374" s="1009"/>
      <c r="V374" s="1009"/>
      <c r="W374" s="1009"/>
      <c r="X374" s="1009"/>
      <c r="Y374" s="1009"/>
      <c r="Z374" s="365"/>
    </row>
    <row r="375" ht="15.0" customHeight="1">
      <c r="A375" s="1009"/>
      <c r="B375" s="1009"/>
      <c r="C375" s="1009"/>
      <c r="D375" s="1009"/>
      <c r="E375" s="1009"/>
      <c r="F375" s="1009"/>
      <c r="G375" s="1009"/>
      <c r="H375" s="1140"/>
      <c r="I375" s="1009"/>
      <c r="J375" s="1009"/>
      <c r="K375" s="1009"/>
      <c r="L375" s="1009"/>
      <c r="M375" s="1009"/>
      <c r="N375" s="1009"/>
      <c r="O375" s="1009"/>
      <c r="P375" s="1009"/>
      <c r="Q375" s="1009"/>
      <c r="R375" s="1009"/>
      <c r="S375" s="1009"/>
      <c r="T375" s="1009"/>
      <c r="U375" s="1009"/>
      <c r="V375" s="1009"/>
      <c r="W375" s="1009"/>
      <c r="X375" s="1009"/>
      <c r="Y375" s="1009"/>
      <c r="Z375" s="365"/>
    </row>
    <row r="376" ht="15.0" customHeight="1">
      <c r="A376" s="1009"/>
      <c r="B376" s="1009"/>
      <c r="C376" s="1009"/>
      <c r="D376" s="1009"/>
      <c r="E376" s="1009"/>
      <c r="F376" s="1009"/>
      <c r="G376" s="1009"/>
      <c r="H376" s="1140"/>
      <c r="I376" s="1009"/>
      <c r="J376" s="1009"/>
      <c r="K376" s="1009"/>
      <c r="L376" s="1009"/>
      <c r="M376" s="1009"/>
      <c r="N376" s="1009"/>
      <c r="O376" s="1009"/>
      <c r="P376" s="1009"/>
      <c r="Q376" s="1009"/>
      <c r="R376" s="1009"/>
      <c r="S376" s="1009"/>
      <c r="T376" s="1009"/>
      <c r="U376" s="1009"/>
      <c r="V376" s="1009"/>
      <c r="W376" s="1009"/>
      <c r="X376" s="1009"/>
      <c r="Y376" s="1009"/>
      <c r="Z376" s="365"/>
    </row>
    <row r="377" ht="15.0" customHeight="1">
      <c r="A377" s="1009"/>
      <c r="B377" s="1009"/>
      <c r="C377" s="1009"/>
      <c r="D377" s="1009"/>
      <c r="E377" s="1009"/>
      <c r="F377" s="1009"/>
      <c r="G377" s="1009"/>
      <c r="H377" s="1140"/>
      <c r="I377" s="1009"/>
      <c r="J377" s="1009"/>
      <c r="K377" s="1009"/>
      <c r="L377" s="1009"/>
      <c r="M377" s="1009"/>
      <c r="N377" s="1009"/>
      <c r="O377" s="1009"/>
      <c r="P377" s="1009"/>
      <c r="Q377" s="1009"/>
      <c r="R377" s="1009"/>
      <c r="S377" s="1009"/>
      <c r="T377" s="1009"/>
      <c r="U377" s="1009"/>
      <c r="V377" s="1009"/>
      <c r="W377" s="1009"/>
      <c r="X377" s="1009"/>
      <c r="Y377" s="1009"/>
      <c r="Z377" s="365"/>
    </row>
    <row r="378" ht="15.0" customHeight="1">
      <c r="A378" s="1009"/>
      <c r="B378" s="1009"/>
      <c r="C378" s="1009"/>
      <c r="D378" s="1009"/>
      <c r="E378" s="1009"/>
      <c r="F378" s="1009"/>
      <c r="G378" s="1009"/>
      <c r="H378" s="1140"/>
      <c r="I378" s="1009"/>
      <c r="J378" s="1009"/>
      <c r="K378" s="1009"/>
      <c r="L378" s="1009"/>
      <c r="M378" s="1009"/>
      <c r="N378" s="1009"/>
      <c r="O378" s="1009"/>
      <c r="P378" s="1009"/>
      <c r="Q378" s="1009"/>
      <c r="R378" s="1009"/>
      <c r="S378" s="1009"/>
      <c r="T378" s="1009"/>
      <c r="U378" s="1009"/>
      <c r="V378" s="1009"/>
      <c r="W378" s="1009"/>
      <c r="X378" s="1009"/>
      <c r="Y378" s="1009"/>
      <c r="Z378" s="365"/>
    </row>
    <row r="379" ht="15.0" customHeight="1">
      <c r="A379" s="1009"/>
      <c r="B379" s="1009"/>
      <c r="C379" s="1009"/>
      <c r="D379" s="1009"/>
      <c r="E379" s="1009"/>
      <c r="F379" s="1009"/>
      <c r="G379" s="1009"/>
      <c r="H379" s="1140"/>
      <c r="I379" s="1009"/>
      <c r="J379" s="1009"/>
      <c r="K379" s="1009"/>
      <c r="L379" s="1009"/>
      <c r="M379" s="1009"/>
      <c r="N379" s="1009"/>
      <c r="O379" s="1009"/>
      <c r="P379" s="1009"/>
      <c r="Q379" s="1009"/>
      <c r="R379" s="1009"/>
      <c r="S379" s="1009"/>
      <c r="T379" s="1009"/>
      <c r="U379" s="1009"/>
      <c r="V379" s="1009"/>
      <c r="W379" s="1009"/>
      <c r="X379" s="1009"/>
      <c r="Y379" s="1009"/>
      <c r="Z379" s="365"/>
    </row>
    <row r="380" ht="15.0" customHeight="1">
      <c r="A380" s="1009"/>
      <c r="B380" s="1009"/>
      <c r="C380" s="1009"/>
      <c r="D380" s="1009"/>
      <c r="E380" s="1009"/>
      <c r="F380" s="1009"/>
      <c r="G380" s="1009"/>
      <c r="H380" s="1140"/>
      <c r="I380" s="1009"/>
      <c r="J380" s="1009"/>
      <c r="K380" s="1009"/>
      <c r="L380" s="1009"/>
      <c r="M380" s="1009"/>
      <c r="N380" s="1009"/>
      <c r="O380" s="1009"/>
      <c r="P380" s="1009"/>
      <c r="Q380" s="1009"/>
      <c r="R380" s="1009"/>
      <c r="S380" s="1009"/>
      <c r="T380" s="1009"/>
      <c r="U380" s="1009"/>
      <c r="V380" s="1009"/>
      <c r="W380" s="1009"/>
      <c r="X380" s="1009"/>
      <c r="Y380" s="1009"/>
      <c r="Z380" s="365"/>
    </row>
    <row r="381" ht="15.0" customHeight="1">
      <c r="A381" s="1009"/>
      <c r="B381" s="1009"/>
      <c r="C381" s="1009"/>
      <c r="D381" s="1009"/>
      <c r="E381" s="1009"/>
      <c r="F381" s="1009"/>
      <c r="G381" s="1009"/>
      <c r="H381" s="1140"/>
      <c r="I381" s="1009"/>
      <c r="J381" s="1009"/>
      <c r="K381" s="1009"/>
      <c r="L381" s="1009"/>
      <c r="M381" s="1009"/>
      <c r="N381" s="1009"/>
      <c r="O381" s="1009"/>
      <c r="P381" s="1009"/>
      <c r="Q381" s="1009"/>
      <c r="R381" s="1009"/>
      <c r="S381" s="1009"/>
      <c r="T381" s="1009"/>
      <c r="U381" s="1009"/>
      <c r="V381" s="1009"/>
      <c r="W381" s="1009"/>
      <c r="X381" s="1009"/>
      <c r="Y381" s="1009"/>
      <c r="Z381" s="365"/>
    </row>
    <row r="382" ht="15.0" customHeight="1">
      <c r="A382" s="1009"/>
      <c r="B382" s="1009"/>
      <c r="C382" s="1009"/>
      <c r="D382" s="1009"/>
      <c r="E382" s="1009"/>
      <c r="F382" s="1009"/>
      <c r="G382" s="1009"/>
      <c r="H382" s="1140"/>
      <c r="I382" s="1009"/>
      <c r="J382" s="1009"/>
      <c r="K382" s="1009"/>
      <c r="L382" s="1009"/>
      <c r="M382" s="1009"/>
      <c r="N382" s="1009"/>
      <c r="O382" s="1009"/>
      <c r="P382" s="1009"/>
      <c r="Q382" s="1009"/>
      <c r="R382" s="1009"/>
      <c r="S382" s="1009"/>
      <c r="T382" s="1009"/>
      <c r="U382" s="1009"/>
      <c r="V382" s="1009"/>
      <c r="W382" s="1009"/>
      <c r="X382" s="1009"/>
      <c r="Y382" s="1009"/>
      <c r="Z382" s="365"/>
    </row>
    <row r="383" ht="15.0" customHeight="1">
      <c r="A383" s="1009"/>
      <c r="B383" s="1009"/>
      <c r="C383" s="1009"/>
      <c r="D383" s="1009"/>
      <c r="E383" s="1009"/>
      <c r="F383" s="1009"/>
      <c r="G383" s="1009"/>
      <c r="H383" s="1140"/>
      <c r="I383" s="1009"/>
      <c r="J383" s="1009"/>
      <c r="K383" s="1009"/>
      <c r="L383" s="1009"/>
      <c r="M383" s="1009"/>
      <c r="N383" s="1009"/>
      <c r="O383" s="1009"/>
      <c r="P383" s="1009"/>
      <c r="Q383" s="1009"/>
      <c r="R383" s="1009"/>
      <c r="S383" s="1009"/>
      <c r="T383" s="1009"/>
      <c r="U383" s="1009"/>
      <c r="V383" s="1009"/>
      <c r="W383" s="1009"/>
      <c r="X383" s="1009"/>
      <c r="Y383" s="1009"/>
      <c r="Z383" s="365"/>
    </row>
    <row r="384" ht="15.0" customHeight="1">
      <c r="A384" s="1009"/>
      <c r="B384" s="1009"/>
      <c r="C384" s="1009"/>
      <c r="D384" s="1009"/>
      <c r="E384" s="1009"/>
      <c r="F384" s="1009"/>
      <c r="G384" s="1009"/>
      <c r="H384" s="1140"/>
      <c r="I384" s="1009"/>
      <c r="J384" s="1009"/>
      <c r="K384" s="1009"/>
      <c r="L384" s="1009"/>
      <c r="M384" s="1009"/>
      <c r="N384" s="1009"/>
      <c r="O384" s="1009"/>
      <c r="P384" s="1009"/>
      <c r="Q384" s="1009"/>
      <c r="R384" s="1009"/>
      <c r="S384" s="1009"/>
      <c r="T384" s="1009"/>
      <c r="U384" s="1009"/>
      <c r="V384" s="1009"/>
      <c r="W384" s="1009"/>
      <c r="X384" s="1009"/>
      <c r="Y384" s="1009"/>
      <c r="Z384" s="365"/>
    </row>
    <row r="385" ht="15.0" customHeight="1">
      <c r="A385" s="1009"/>
      <c r="B385" s="1009"/>
      <c r="C385" s="1009"/>
      <c r="D385" s="1009"/>
      <c r="E385" s="1009"/>
      <c r="F385" s="1009"/>
      <c r="G385" s="1009"/>
      <c r="H385" s="1140"/>
      <c r="I385" s="1009"/>
      <c r="J385" s="1009"/>
      <c r="K385" s="1009"/>
      <c r="L385" s="1009"/>
      <c r="M385" s="1009"/>
      <c r="N385" s="1009"/>
      <c r="O385" s="1009"/>
      <c r="P385" s="1009"/>
      <c r="Q385" s="1009"/>
      <c r="R385" s="1009"/>
      <c r="S385" s="1009"/>
      <c r="T385" s="1009"/>
      <c r="U385" s="1009"/>
      <c r="V385" s="1009"/>
      <c r="W385" s="1009"/>
      <c r="X385" s="1009"/>
      <c r="Y385" s="1009"/>
      <c r="Z385" s="365"/>
    </row>
    <row r="386" ht="15.0" customHeight="1">
      <c r="A386" s="1009"/>
      <c r="B386" s="1009"/>
      <c r="C386" s="1009"/>
      <c r="D386" s="1009"/>
      <c r="E386" s="1009"/>
      <c r="F386" s="1009"/>
      <c r="G386" s="1009"/>
      <c r="H386" s="1140"/>
      <c r="I386" s="1009"/>
      <c r="J386" s="1009"/>
      <c r="K386" s="1009"/>
      <c r="L386" s="1009"/>
      <c r="M386" s="1009"/>
      <c r="N386" s="1009"/>
      <c r="O386" s="1009"/>
      <c r="P386" s="1009"/>
      <c r="Q386" s="1009"/>
      <c r="R386" s="1009"/>
      <c r="S386" s="1009"/>
      <c r="T386" s="1009"/>
      <c r="U386" s="1009"/>
      <c r="V386" s="1009"/>
      <c r="W386" s="1009"/>
      <c r="X386" s="1009"/>
      <c r="Y386" s="1009"/>
      <c r="Z386" s="365"/>
    </row>
    <row r="387" ht="15.0" customHeight="1">
      <c r="A387" s="1009"/>
      <c r="B387" s="1009"/>
      <c r="C387" s="1009"/>
      <c r="D387" s="1009"/>
      <c r="E387" s="1009"/>
      <c r="F387" s="1009"/>
      <c r="G387" s="1009"/>
      <c r="H387" s="1140"/>
      <c r="I387" s="1009"/>
      <c r="J387" s="1009"/>
      <c r="K387" s="1009"/>
      <c r="L387" s="1009"/>
      <c r="M387" s="1009"/>
      <c r="N387" s="1009"/>
      <c r="O387" s="1009"/>
      <c r="P387" s="1009"/>
      <c r="Q387" s="1009"/>
      <c r="R387" s="1009"/>
      <c r="S387" s="1009"/>
      <c r="T387" s="1009"/>
      <c r="U387" s="1009"/>
      <c r="V387" s="1009"/>
      <c r="W387" s="1009"/>
      <c r="X387" s="1009"/>
      <c r="Y387" s="1009"/>
      <c r="Z387" s="365"/>
    </row>
    <row r="388" ht="15.0" customHeight="1">
      <c r="A388" s="1009"/>
      <c r="B388" s="1009"/>
      <c r="C388" s="1009"/>
      <c r="D388" s="1009"/>
      <c r="E388" s="1009"/>
      <c r="F388" s="1009"/>
      <c r="G388" s="1009"/>
      <c r="H388" s="1140"/>
      <c r="I388" s="1009"/>
      <c r="J388" s="1009"/>
      <c r="K388" s="1009"/>
      <c r="L388" s="1009"/>
      <c r="M388" s="1009"/>
      <c r="N388" s="1009"/>
      <c r="O388" s="1009"/>
      <c r="P388" s="1009"/>
      <c r="Q388" s="1009"/>
      <c r="R388" s="1009"/>
      <c r="S388" s="1009"/>
      <c r="T388" s="1009"/>
      <c r="U388" s="1009"/>
      <c r="V388" s="1009"/>
      <c r="W388" s="1009"/>
      <c r="X388" s="1009"/>
      <c r="Y388" s="1009"/>
      <c r="Z388" s="365"/>
    </row>
    <row r="389" ht="15.0" customHeight="1">
      <c r="A389" s="1009"/>
      <c r="B389" s="1009"/>
      <c r="C389" s="1009"/>
      <c r="D389" s="1009"/>
      <c r="E389" s="1009"/>
      <c r="F389" s="1009"/>
      <c r="G389" s="1009"/>
      <c r="H389" s="1140"/>
      <c r="I389" s="1009"/>
      <c r="J389" s="1009"/>
      <c r="K389" s="1009"/>
      <c r="L389" s="1009"/>
      <c r="M389" s="1009"/>
      <c r="N389" s="1009"/>
      <c r="O389" s="1009"/>
      <c r="P389" s="1009"/>
      <c r="Q389" s="1009"/>
      <c r="R389" s="1009"/>
      <c r="S389" s="1009"/>
      <c r="T389" s="1009"/>
      <c r="U389" s="1009"/>
      <c r="V389" s="1009"/>
      <c r="W389" s="1009"/>
      <c r="X389" s="1009"/>
      <c r="Y389" s="1009"/>
      <c r="Z389" s="365"/>
    </row>
    <row r="390" ht="15.0" customHeight="1">
      <c r="A390" s="1009"/>
      <c r="B390" s="1009"/>
      <c r="C390" s="1009"/>
      <c r="D390" s="1009"/>
      <c r="E390" s="1009"/>
      <c r="F390" s="1009"/>
      <c r="G390" s="1009"/>
      <c r="H390" s="1140"/>
      <c r="I390" s="1009"/>
      <c r="J390" s="1009"/>
      <c r="K390" s="1009"/>
      <c r="L390" s="1009"/>
      <c r="M390" s="1009"/>
      <c r="N390" s="1009"/>
      <c r="O390" s="1009"/>
      <c r="P390" s="1009"/>
      <c r="Q390" s="1009"/>
      <c r="R390" s="1009"/>
      <c r="S390" s="1009"/>
      <c r="T390" s="1009"/>
      <c r="U390" s="1009"/>
      <c r="V390" s="1009"/>
      <c r="W390" s="1009"/>
      <c r="X390" s="1009"/>
      <c r="Y390" s="1009"/>
      <c r="Z390" s="365"/>
    </row>
    <row r="391" ht="15.0" customHeight="1">
      <c r="A391" s="1009"/>
      <c r="B391" s="1009"/>
      <c r="C391" s="1009"/>
      <c r="D391" s="1009"/>
      <c r="E391" s="1009"/>
      <c r="F391" s="1009"/>
      <c r="G391" s="1009"/>
      <c r="H391" s="1140"/>
      <c r="I391" s="1009"/>
      <c r="J391" s="1009"/>
      <c r="K391" s="1009"/>
      <c r="L391" s="1009"/>
      <c r="M391" s="1009"/>
      <c r="N391" s="1009"/>
      <c r="O391" s="1009"/>
      <c r="P391" s="1009"/>
      <c r="Q391" s="1009"/>
      <c r="R391" s="1009"/>
      <c r="S391" s="1009"/>
      <c r="T391" s="1009"/>
      <c r="U391" s="1009"/>
      <c r="V391" s="1009"/>
      <c r="W391" s="1009"/>
      <c r="X391" s="1009"/>
      <c r="Y391" s="1009"/>
      <c r="Z391" s="365"/>
    </row>
    <row r="392" ht="15.0" customHeight="1">
      <c r="A392" s="1009"/>
      <c r="B392" s="1009"/>
      <c r="C392" s="1009"/>
      <c r="D392" s="1009"/>
      <c r="E392" s="1009"/>
      <c r="F392" s="1009"/>
      <c r="G392" s="1009"/>
      <c r="H392" s="1140"/>
      <c r="I392" s="1009"/>
      <c r="J392" s="1009"/>
      <c r="K392" s="1009"/>
      <c r="L392" s="1009"/>
      <c r="M392" s="1009"/>
      <c r="N392" s="1009"/>
      <c r="O392" s="1009"/>
      <c r="P392" s="1009"/>
      <c r="Q392" s="1009"/>
      <c r="R392" s="1009"/>
      <c r="S392" s="1009"/>
      <c r="T392" s="1009"/>
      <c r="U392" s="1009"/>
      <c r="V392" s="1009"/>
      <c r="W392" s="1009"/>
      <c r="X392" s="1009"/>
      <c r="Y392" s="1009"/>
      <c r="Z392" s="365"/>
    </row>
    <row r="393" ht="15.0" customHeight="1">
      <c r="A393" s="1009"/>
      <c r="B393" s="1009"/>
      <c r="C393" s="1009"/>
      <c r="D393" s="1009"/>
      <c r="E393" s="1009"/>
      <c r="F393" s="1009"/>
      <c r="G393" s="1009"/>
      <c r="H393" s="1140"/>
      <c r="I393" s="1009"/>
      <c r="J393" s="1009"/>
      <c r="K393" s="1009"/>
      <c r="L393" s="1009"/>
      <c r="M393" s="1009"/>
      <c r="N393" s="1009"/>
      <c r="O393" s="1009"/>
      <c r="P393" s="1009"/>
      <c r="Q393" s="1009"/>
      <c r="R393" s="1009"/>
      <c r="S393" s="1009"/>
      <c r="T393" s="1009"/>
      <c r="U393" s="1009"/>
      <c r="V393" s="1009"/>
      <c r="W393" s="1009"/>
      <c r="X393" s="1009"/>
      <c r="Y393" s="1009"/>
      <c r="Z393" s="365"/>
    </row>
    <row r="394" ht="15.0" customHeight="1">
      <c r="A394" s="1009"/>
      <c r="B394" s="1009"/>
      <c r="C394" s="1009"/>
      <c r="D394" s="1009"/>
      <c r="E394" s="1009"/>
      <c r="F394" s="1009"/>
      <c r="G394" s="1009"/>
      <c r="H394" s="1140"/>
      <c r="I394" s="1009"/>
      <c r="J394" s="1009"/>
      <c r="K394" s="1009"/>
      <c r="L394" s="1009"/>
      <c r="M394" s="1009"/>
      <c r="N394" s="1009"/>
      <c r="O394" s="1009"/>
      <c r="P394" s="1009"/>
      <c r="Q394" s="1009"/>
      <c r="R394" s="1009"/>
      <c r="S394" s="1009"/>
      <c r="T394" s="1009"/>
      <c r="U394" s="1009"/>
      <c r="V394" s="1009"/>
      <c r="W394" s="1009"/>
      <c r="X394" s="1009"/>
      <c r="Y394" s="1009"/>
      <c r="Z394" s="365"/>
    </row>
    <row r="395" ht="15.0" customHeight="1">
      <c r="A395" s="1009"/>
      <c r="B395" s="1009"/>
      <c r="C395" s="1009"/>
      <c r="D395" s="1009"/>
      <c r="E395" s="1009"/>
      <c r="F395" s="1009"/>
      <c r="G395" s="1009"/>
      <c r="H395" s="1140"/>
      <c r="I395" s="1009"/>
      <c r="J395" s="1009"/>
      <c r="K395" s="1009"/>
      <c r="L395" s="1009"/>
      <c r="M395" s="1009"/>
      <c r="N395" s="1009"/>
      <c r="O395" s="1009"/>
      <c r="P395" s="1009"/>
      <c r="Q395" s="1009"/>
      <c r="R395" s="1009"/>
      <c r="S395" s="1009"/>
      <c r="T395" s="1009"/>
      <c r="U395" s="1009"/>
      <c r="V395" s="1009"/>
      <c r="W395" s="1009"/>
      <c r="X395" s="1009"/>
      <c r="Y395" s="1009"/>
      <c r="Z395" s="365"/>
    </row>
    <row r="396" ht="15.0" customHeight="1">
      <c r="A396" s="1009"/>
      <c r="B396" s="1009"/>
      <c r="C396" s="1009"/>
      <c r="D396" s="1009"/>
      <c r="E396" s="1009"/>
      <c r="F396" s="1009"/>
      <c r="G396" s="1009"/>
      <c r="H396" s="1140"/>
      <c r="I396" s="1009"/>
      <c r="J396" s="1009"/>
      <c r="K396" s="1009"/>
      <c r="L396" s="1009"/>
      <c r="M396" s="1009"/>
      <c r="N396" s="1009"/>
      <c r="O396" s="1009"/>
      <c r="P396" s="1009"/>
      <c r="Q396" s="1009"/>
      <c r="R396" s="1009"/>
      <c r="S396" s="1009"/>
      <c r="T396" s="1009"/>
      <c r="U396" s="1009"/>
      <c r="V396" s="1009"/>
      <c r="W396" s="1009"/>
      <c r="X396" s="1009"/>
      <c r="Y396" s="1009"/>
      <c r="Z396" s="365"/>
    </row>
    <row r="397" ht="15.0" customHeight="1">
      <c r="A397" s="1009"/>
      <c r="B397" s="1009"/>
      <c r="C397" s="1009"/>
      <c r="D397" s="1009"/>
      <c r="E397" s="1009"/>
      <c r="F397" s="1009"/>
      <c r="G397" s="1009"/>
      <c r="H397" s="1140"/>
      <c r="I397" s="1009"/>
      <c r="J397" s="1009"/>
      <c r="K397" s="1009"/>
      <c r="L397" s="1009"/>
      <c r="M397" s="1009"/>
      <c r="N397" s="1009"/>
      <c r="O397" s="1009"/>
      <c r="P397" s="1009"/>
      <c r="Q397" s="1009"/>
      <c r="R397" s="1009"/>
      <c r="S397" s="1009"/>
      <c r="T397" s="1009"/>
      <c r="U397" s="1009"/>
      <c r="V397" s="1009"/>
      <c r="W397" s="1009"/>
      <c r="X397" s="1009"/>
      <c r="Y397" s="1009"/>
      <c r="Z397" s="365"/>
    </row>
    <row r="398" ht="15.0" customHeight="1">
      <c r="A398" s="1009"/>
      <c r="B398" s="1009"/>
      <c r="C398" s="1009"/>
      <c r="D398" s="1009"/>
      <c r="E398" s="1009"/>
      <c r="F398" s="1009"/>
      <c r="G398" s="1009"/>
      <c r="H398" s="1140"/>
      <c r="I398" s="1009"/>
      <c r="J398" s="1009"/>
      <c r="K398" s="1009"/>
      <c r="L398" s="1009"/>
      <c r="M398" s="1009"/>
      <c r="N398" s="1009"/>
      <c r="O398" s="1009"/>
      <c r="P398" s="1009"/>
      <c r="Q398" s="1009"/>
      <c r="R398" s="1009"/>
      <c r="S398" s="1009"/>
      <c r="T398" s="1009"/>
      <c r="U398" s="1009"/>
      <c r="V398" s="1009"/>
      <c r="W398" s="1009"/>
      <c r="X398" s="1009"/>
      <c r="Y398" s="1009"/>
      <c r="Z398" s="365"/>
    </row>
    <row r="399" ht="15.0" customHeight="1">
      <c r="A399" s="1009"/>
      <c r="B399" s="1009"/>
      <c r="C399" s="1009"/>
      <c r="D399" s="1009"/>
      <c r="E399" s="1009"/>
      <c r="F399" s="1009"/>
      <c r="G399" s="1009"/>
      <c r="H399" s="1140"/>
      <c r="I399" s="1009"/>
      <c r="J399" s="1009"/>
      <c r="K399" s="1009"/>
      <c r="L399" s="1009"/>
      <c r="M399" s="1009"/>
      <c r="N399" s="1009"/>
      <c r="O399" s="1009"/>
      <c r="P399" s="1009"/>
      <c r="Q399" s="1009"/>
      <c r="R399" s="1009"/>
      <c r="S399" s="1009"/>
      <c r="T399" s="1009"/>
      <c r="U399" s="1009"/>
      <c r="V399" s="1009"/>
      <c r="W399" s="1009"/>
      <c r="X399" s="1009"/>
      <c r="Y399" s="1009"/>
      <c r="Z399" s="365"/>
    </row>
    <row r="400" ht="15.0" customHeight="1">
      <c r="A400" s="1009"/>
      <c r="B400" s="1009"/>
      <c r="C400" s="1009"/>
      <c r="D400" s="1009"/>
      <c r="E400" s="1009"/>
      <c r="F400" s="1009"/>
      <c r="G400" s="1009"/>
      <c r="H400" s="1140"/>
      <c r="I400" s="1009"/>
      <c r="J400" s="1009"/>
      <c r="K400" s="1009"/>
      <c r="L400" s="1009"/>
      <c r="M400" s="1009"/>
      <c r="N400" s="1009"/>
      <c r="O400" s="1009"/>
      <c r="P400" s="1009"/>
      <c r="Q400" s="1009"/>
      <c r="R400" s="1009"/>
      <c r="S400" s="1009"/>
      <c r="T400" s="1009"/>
      <c r="U400" s="1009"/>
      <c r="V400" s="1009"/>
      <c r="W400" s="1009"/>
      <c r="X400" s="1009"/>
      <c r="Y400" s="1009"/>
      <c r="Z400" s="365"/>
    </row>
    <row r="401" ht="15.0" customHeight="1">
      <c r="A401" s="1009"/>
      <c r="B401" s="1009"/>
      <c r="C401" s="1009"/>
      <c r="D401" s="1009"/>
      <c r="E401" s="1009"/>
      <c r="F401" s="1009"/>
      <c r="G401" s="1009"/>
      <c r="H401" s="1140"/>
      <c r="I401" s="1009"/>
      <c r="J401" s="1009"/>
      <c r="K401" s="1009"/>
      <c r="L401" s="1009"/>
      <c r="M401" s="1009"/>
      <c r="N401" s="1009"/>
      <c r="O401" s="1009"/>
      <c r="P401" s="1009"/>
      <c r="Q401" s="1009"/>
      <c r="R401" s="1009"/>
      <c r="S401" s="1009"/>
      <c r="T401" s="1009"/>
      <c r="U401" s="1009"/>
      <c r="V401" s="1009"/>
      <c r="W401" s="1009"/>
      <c r="X401" s="1009"/>
      <c r="Y401" s="1009"/>
      <c r="Z401" s="365"/>
    </row>
    <row r="402" ht="15.0" customHeight="1">
      <c r="A402" s="1009"/>
      <c r="B402" s="1009"/>
      <c r="C402" s="1009"/>
      <c r="D402" s="1009"/>
      <c r="E402" s="1009"/>
      <c r="F402" s="1009"/>
      <c r="G402" s="1009"/>
      <c r="H402" s="1140"/>
      <c r="I402" s="1009"/>
      <c r="J402" s="1009"/>
      <c r="K402" s="1009"/>
      <c r="L402" s="1009"/>
      <c r="M402" s="1009"/>
      <c r="N402" s="1009"/>
      <c r="O402" s="1009"/>
      <c r="P402" s="1009"/>
      <c r="Q402" s="1009"/>
      <c r="R402" s="1009"/>
      <c r="S402" s="1009"/>
      <c r="T402" s="1009"/>
      <c r="U402" s="1009"/>
      <c r="V402" s="1009"/>
      <c r="W402" s="1009"/>
      <c r="X402" s="1009"/>
      <c r="Y402" s="1009"/>
      <c r="Z402" s="365"/>
    </row>
    <row r="403" ht="15.0" customHeight="1">
      <c r="A403" s="1009"/>
      <c r="B403" s="1009"/>
      <c r="C403" s="1009"/>
      <c r="D403" s="1009"/>
      <c r="E403" s="1009"/>
      <c r="F403" s="1009"/>
      <c r="G403" s="1009"/>
      <c r="H403" s="1140"/>
      <c r="I403" s="1009"/>
      <c r="J403" s="1009"/>
      <c r="K403" s="1009"/>
      <c r="L403" s="1009"/>
      <c r="M403" s="1009"/>
      <c r="N403" s="1009"/>
      <c r="O403" s="1009"/>
      <c r="P403" s="1009"/>
      <c r="Q403" s="1009"/>
      <c r="R403" s="1009"/>
      <c r="S403" s="1009"/>
      <c r="T403" s="1009"/>
      <c r="U403" s="1009"/>
      <c r="V403" s="1009"/>
      <c r="W403" s="1009"/>
      <c r="X403" s="1009"/>
      <c r="Y403" s="1009"/>
      <c r="Z403" s="365"/>
    </row>
    <row r="404" ht="15.0" customHeight="1">
      <c r="A404" s="1009"/>
      <c r="B404" s="1009"/>
      <c r="C404" s="1009"/>
      <c r="D404" s="1009"/>
      <c r="E404" s="1009"/>
      <c r="F404" s="1009"/>
      <c r="G404" s="1009"/>
      <c r="H404" s="1140"/>
      <c r="I404" s="1009"/>
      <c r="J404" s="1009"/>
      <c r="K404" s="1009"/>
      <c r="L404" s="1009"/>
      <c r="M404" s="1009"/>
      <c r="N404" s="1009"/>
      <c r="O404" s="1009"/>
      <c r="P404" s="1009"/>
      <c r="Q404" s="1009"/>
      <c r="R404" s="1009"/>
      <c r="S404" s="1009"/>
      <c r="T404" s="1009"/>
      <c r="U404" s="1009"/>
      <c r="V404" s="1009"/>
      <c r="W404" s="1009"/>
      <c r="X404" s="1009"/>
      <c r="Y404" s="1009"/>
      <c r="Z404" s="365"/>
    </row>
    <row r="405" ht="15.0" customHeight="1">
      <c r="A405" s="1009"/>
      <c r="B405" s="1009"/>
      <c r="C405" s="1009"/>
      <c r="D405" s="1009"/>
      <c r="E405" s="1009"/>
      <c r="F405" s="1009"/>
      <c r="G405" s="1009"/>
      <c r="H405" s="1140"/>
      <c r="I405" s="1009"/>
      <c r="J405" s="1009"/>
      <c r="K405" s="1009"/>
      <c r="L405" s="1009"/>
      <c r="M405" s="1009"/>
      <c r="N405" s="1009"/>
      <c r="O405" s="1009"/>
      <c r="P405" s="1009"/>
      <c r="Q405" s="1009"/>
      <c r="R405" s="1009"/>
      <c r="S405" s="1009"/>
      <c r="T405" s="1009"/>
      <c r="U405" s="1009"/>
      <c r="V405" s="1009"/>
      <c r="W405" s="1009"/>
      <c r="X405" s="1009"/>
      <c r="Y405" s="1009"/>
      <c r="Z405" s="365"/>
    </row>
    <row r="406" ht="15.0" customHeight="1">
      <c r="A406" s="1009"/>
      <c r="B406" s="1009"/>
      <c r="C406" s="1009"/>
      <c r="D406" s="1009"/>
      <c r="E406" s="1009"/>
      <c r="F406" s="1009"/>
      <c r="G406" s="1009"/>
      <c r="H406" s="1140"/>
      <c r="I406" s="1009"/>
      <c r="J406" s="1009"/>
      <c r="K406" s="1009"/>
      <c r="L406" s="1009"/>
      <c r="M406" s="1009"/>
      <c r="N406" s="1009"/>
      <c r="O406" s="1009"/>
      <c r="P406" s="1009"/>
      <c r="Q406" s="1009"/>
      <c r="R406" s="1009"/>
      <c r="S406" s="1009"/>
      <c r="T406" s="1009"/>
      <c r="U406" s="1009"/>
      <c r="V406" s="1009"/>
      <c r="W406" s="1009"/>
      <c r="X406" s="1009"/>
      <c r="Y406" s="1009"/>
      <c r="Z406" s="365"/>
    </row>
    <row r="407" ht="15.0" customHeight="1">
      <c r="A407" s="1009"/>
      <c r="B407" s="1009"/>
      <c r="C407" s="1009"/>
      <c r="D407" s="1009"/>
      <c r="E407" s="1009"/>
      <c r="F407" s="1009"/>
      <c r="G407" s="1009"/>
      <c r="H407" s="1140"/>
      <c r="I407" s="1009"/>
      <c r="J407" s="1009"/>
      <c r="K407" s="1009"/>
      <c r="L407" s="1009"/>
      <c r="M407" s="1009"/>
      <c r="N407" s="1009"/>
      <c r="O407" s="1009"/>
      <c r="P407" s="1009"/>
      <c r="Q407" s="1009"/>
      <c r="R407" s="1009"/>
      <c r="S407" s="1009"/>
      <c r="T407" s="1009"/>
      <c r="U407" s="1009"/>
      <c r="V407" s="1009"/>
      <c r="W407" s="1009"/>
      <c r="X407" s="1009"/>
      <c r="Y407" s="1009"/>
      <c r="Z407" s="365"/>
    </row>
    <row r="408" ht="15.0" customHeight="1">
      <c r="A408" s="1009"/>
      <c r="B408" s="1009"/>
      <c r="C408" s="1009"/>
      <c r="D408" s="1009"/>
      <c r="E408" s="1009"/>
      <c r="F408" s="1009"/>
      <c r="G408" s="1009"/>
      <c r="H408" s="1140"/>
      <c r="I408" s="1009"/>
      <c r="J408" s="1009"/>
      <c r="K408" s="1009"/>
      <c r="L408" s="1009"/>
      <c r="M408" s="1009"/>
      <c r="N408" s="1009"/>
      <c r="O408" s="1009"/>
      <c r="P408" s="1009"/>
      <c r="Q408" s="1009"/>
      <c r="R408" s="1009"/>
      <c r="S408" s="1009"/>
      <c r="T408" s="1009"/>
      <c r="U408" s="1009"/>
      <c r="V408" s="1009"/>
      <c r="W408" s="1009"/>
      <c r="X408" s="1009"/>
      <c r="Y408" s="1009"/>
      <c r="Z408" s="365"/>
    </row>
    <row r="409" ht="15.0" customHeight="1">
      <c r="A409" s="1009"/>
      <c r="B409" s="1009"/>
      <c r="C409" s="1009"/>
      <c r="D409" s="1009"/>
      <c r="E409" s="1009"/>
      <c r="F409" s="1009"/>
      <c r="G409" s="1009"/>
      <c r="H409" s="1140"/>
      <c r="I409" s="1009"/>
      <c r="J409" s="1009"/>
      <c r="K409" s="1009"/>
      <c r="L409" s="1009"/>
      <c r="M409" s="1009"/>
      <c r="N409" s="1009"/>
      <c r="O409" s="1009"/>
      <c r="P409" s="1009"/>
      <c r="Q409" s="1009"/>
      <c r="R409" s="1009"/>
      <c r="S409" s="1009"/>
      <c r="T409" s="1009"/>
      <c r="U409" s="1009"/>
      <c r="V409" s="1009"/>
      <c r="W409" s="1009"/>
      <c r="X409" s="1009"/>
      <c r="Y409" s="1009"/>
      <c r="Z409" s="365"/>
    </row>
    <row r="410" ht="15.0" customHeight="1">
      <c r="A410" s="1009"/>
      <c r="B410" s="1009"/>
      <c r="C410" s="1009"/>
      <c r="D410" s="1009"/>
      <c r="E410" s="1009"/>
      <c r="F410" s="1009"/>
      <c r="G410" s="1009"/>
      <c r="H410" s="1140"/>
      <c r="I410" s="1009"/>
      <c r="J410" s="1009"/>
      <c r="K410" s="1009"/>
      <c r="L410" s="1009"/>
      <c r="M410" s="1009"/>
      <c r="N410" s="1009"/>
      <c r="O410" s="1009"/>
      <c r="P410" s="1009"/>
      <c r="Q410" s="1009"/>
      <c r="R410" s="1009"/>
      <c r="S410" s="1009"/>
      <c r="T410" s="1009"/>
      <c r="U410" s="1009"/>
      <c r="V410" s="1009"/>
      <c r="W410" s="1009"/>
      <c r="X410" s="1009"/>
      <c r="Y410" s="1009"/>
      <c r="Z410" s="365"/>
    </row>
    <row r="411" ht="15.0" customHeight="1">
      <c r="A411" s="1009"/>
      <c r="B411" s="1009"/>
      <c r="C411" s="1009"/>
      <c r="D411" s="1009"/>
      <c r="E411" s="1009"/>
      <c r="F411" s="1009"/>
      <c r="G411" s="1009"/>
      <c r="H411" s="1140"/>
      <c r="I411" s="1009"/>
      <c r="J411" s="1009"/>
      <c r="K411" s="1009"/>
      <c r="L411" s="1009"/>
      <c r="M411" s="1009"/>
      <c r="N411" s="1009"/>
      <c r="O411" s="1009"/>
      <c r="P411" s="1009"/>
      <c r="Q411" s="1009"/>
      <c r="R411" s="1009"/>
      <c r="S411" s="1009"/>
      <c r="T411" s="1009"/>
      <c r="U411" s="1009"/>
      <c r="V411" s="1009"/>
      <c r="W411" s="1009"/>
      <c r="X411" s="1009"/>
      <c r="Y411" s="1009"/>
      <c r="Z411" s="365"/>
    </row>
    <row r="412" ht="15.0" customHeight="1">
      <c r="A412" s="1009"/>
      <c r="B412" s="1009"/>
      <c r="C412" s="1009"/>
      <c r="D412" s="1009"/>
      <c r="E412" s="1009"/>
      <c r="F412" s="1009"/>
      <c r="G412" s="1009"/>
      <c r="H412" s="1140"/>
      <c r="I412" s="1009"/>
      <c r="J412" s="1009"/>
      <c r="K412" s="1009"/>
      <c r="L412" s="1009"/>
      <c r="M412" s="1009"/>
      <c r="N412" s="1009"/>
      <c r="O412" s="1009"/>
      <c r="P412" s="1009"/>
      <c r="Q412" s="1009"/>
      <c r="R412" s="1009"/>
      <c r="S412" s="1009"/>
      <c r="T412" s="1009"/>
      <c r="U412" s="1009"/>
      <c r="V412" s="1009"/>
      <c r="W412" s="1009"/>
      <c r="X412" s="1009"/>
      <c r="Y412" s="1009"/>
      <c r="Z412" s="365"/>
    </row>
    <row r="413" ht="15.0" customHeight="1">
      <c r="A413" s="1009"/>
      <c r="B413" s="1009"/>
      <c r="C413" s="1009"/>
      <c r="D413" s="1009"/>
      <c r="E413" s="1009"/>
      <c r="F413" s="1009"/>
      <c r="G413" s="1009"/>
      <c r="H413" s="1140"/>
      <c r="I413" s="1009"/>
      <c r="J413" s="1009"/>
      <c r="K413" s="1009"/>
      <c r="L413" s="1009"/>
      <c r="M413" s="1009"/>
      <c r="N413" s="1009"/>
      <c r="O413" s="1009"/>
      <c r="P413" s="1009"/>
      <c r="Q413" s="1009"/>
      <c r="R413" s="1009"/>
      <c r="S413" s="1009"/>
      <c r="T413" s="1009"/>
      <c r="U413" s="1009"/>
      <c r="V413" s="1009"/>
      <c r="W413" s="1009"/>
      <c r="X413" s="1009"/>
      <c r="Y413" s="1009"/>
      <c r="Z413" s="365"/>
    </row>
    <row r="414" ht="15.0" customHeight="1">
      <c r="A414" s="1009"/>
      <c r="B414" s="1009"/>
      <c r="C414" s="1009"/>
      <c r="D414" s="1009"/>
      <c r="E414" s="1009"/>
      <c r="F414" s="1009"/>
      <c r="G414" s="1009"/>
      <c r="H414" s="1140"/>
      <c r="I414" s="1009"/>
      <c r="J414" s="1009"/>
      <c r="K414" s="1009"/>
      <c r="L414" s="1009"/>
      <c r="M414" s="1009"/>
      <c r="N414" s="1009"/>
      <c r="O414" s="1009"/>
      <c r="P414" s="1009"/>
      <c r="Q414" s="1009"/>
      <c r="R414" s="1009"/>
      <c r="S414" s="1009"/>
      <c r="T414" s="1009"/>
      <c r="U414" s="1009"/>
      <c r="V414" s="1009"/>
      <c r="W414" s="1009"/>
      <c r="X414" s="1009"/>
      <c r="Y414" s="1009"/>
      <c r="Z414" s="365"/>
    </row>
    <row r="415" ht="15.0" customHeight="1">
      <c r="A415" s="1009"/>
      <c r="B415" s="1009"/>
      <c r="C415" s="1009"/>
      <c r="D415" s="1009"/>
      <c r="E415" s="1009"/>
      <c r="F415" s="1009"/>
      <c r="G415" s="1009"/>
      <c r="H415" s="1140"/>
      <c r="I415" s="1009"/>
      <c r="J415" s="1009"/>
      <c r="K415" s="1009"/>
      <c r="L415" s="1009"/>
      <c r="M415" s="1009"/>
      <c r="N415" s="1009"/>
      <c r="O415" s="1009"/>
      <c r="P415" s="1009"/>
      <c r="Q415" s="1009"/>
      <c r="R415" s="1009"/>
      <c r="S415" s="1009"/>
      <c r="T415" s="1009"/>
      <c r="U415" s="1009"/>
      <c r="V415" s="1009"/>
      <c r="W415" s="1009"/>
      <c r="X415" s="1009"/>
      <c r="Y415" s="1009"/>
      <c r="Z415" s="365"/>
    </row>
    <row r="416" ht="15.0" customHeight="1">
      <c r="A416" s="1009"/>
      <c r="B416" s="1009"/>
      <c r="C416" s="1009"/>
      <c r="D416" s="1009"/>
      <c r="E416" s="1009"/>
      <c r="F416" s="1009"/>
      <c r="G416" s="1009"/>
      <c r="H416" s="1140"/>
      <c r="I416" s="1009"/>
      <c r="J416" s="1009"/>
      <c r="K416" s="1009"/>
      <c r="L416" s="1009"/>
      <c r="M416" s="1009"/>
      <c r="N416" s="1009"/>
      <c r="O416" s="1009"/>
      <c r="P416" s="1009"/>
      <c r="Q416" s="1009"/>
      <c r="R416" s="1009"/>
      <c r="S416" s="1009"/>
      <c r="T416" s="1009"/>
      <c r="U416" s="1009"/>
      <c r="V416" s="1009"/>
      <c r="W416" s="1009"/>
      <c r="X416" s="1009"/>
      <c r="Y416" s="1009"/>
      <c r="Z416" s="365"/>
    </row>
    <row r="417" ht="15.0" customHeight="1">
      <c r="A417" s="1009"/>
      <c r="B417" s="1009"/>
      <c r="C417" s="1009"/>
      <c r="D417" s="1009"/>
      <c r="E417" s="1009"/>
      <c r="F417" s="1009"/>
      <c r="G417" s="1009"/>
      <c r="H417" s="1140"/>
      <c r="I417" s="1009"/>
      <c r="J417" s="1009"/>
      <c r="K417" s="1009"/>
      <c r="L417" s="1009"/>
      <c r="M417" s="1009"/>
      <c r="N417" s="1009"/>
      <c r="O417" s="1009"/>
      <c r="P417" s="1009"/>
      <c r="Q417" s="1009"/>
      <c r="R417" s="1009"/>
      <c r="S417" s="1009"/>
      <c r="T417" s="1009"/>
      <c r="U417" s="1009"/>
      <c r="V417" s="1009"/>
      <c r="W417" s="1009"/>
      <c r="X417" s="1009"/>
      <c r="Y417" s="1009"/>
      <c r="Z417" s="365"/>
    </row>
    <row r="418" ht="15.0" customHeight="1">
      <c r="A418" s="1009"/>
      <c r="B418" s="1009"/>
      <c r="C418" s="1009"/>
      <c r="D418" s="1009"/>
      <c r="E418" s="1009"/>
      <c r="F418" s="1009"/>
      <c r="G418" s="1009"/>
      <c r="H418" s="1140"/>
      <c r="I418" s="1009"/>
      <c r="J418" s="1009"/>
      <c r="K418" s="1009"/>
      <c r="L418" s="1009"/>
      <c r="M418" s="1009"/>
      <c r="N418" s="1009"/>
      <c r="O418" s="1009"/>
      <c r="P418" s="1009"/>
      <c r="Q418" s="1009"/>
      <c r="R418" s="1009"/>
      <c r="S418" s="1009"/>
      <c r="T418" s="1009"/>
      <c r="U418" s="1009"/>
      <c r="V418" s="1009"/>
      <c r="W418" s="1009"/>
      <c r="X418" s="1009"/>
      <c r="Y418" s="1009"/>
      <c r="Z418" s="365"/>
    </row>
    <row r="419" ht="15.0" customHeight="1">
      <c r="A419" s="1009"/>
      <c r="B419" s="1009"/>
      <c r="C419" s="1009"/>
      <c r="D419" s="1009"/>
      <c r="E419" s="1009"/>
      <c r="F419" s="1009"/>
      <c r="G419" s="1009"/>
      <c r="H419" s="1140"/>
      <c r="I419" s="1009"/>
      <c r="J419" s="1009"/>
      <c r="K419" s="1009"/>
      <c r="L419" s="1009"/>
      <c r="M419" s="1009"/>
      <c r="N419" s="1009"/>
      <c r="O419" s="1009"/>
      <c r="P419" s="1009"/>
      <c r="Q419" s="1009"/>
      <c r="R419" s="1009"/>
      <c r="S419" s="1009"/>
      <c r="T419" s="1009"/>
      <c r="U419" s="1009"/>
      <c r="V419" s="1009"/>
      <c r="W419" s="1009"/>
      <c r="X419" s="1009"/>
      <c r="Y419" s="1009"/>
      <c r="Z419" s="365"/>
    </row>
    <row r="420" ht="15.0" customHeight="1">
      <c r="A420" s="1009"/>
      <c r="B420" s="1009"/>
      <c r="C420" s="1009"/>
      <c r="D420" s="1009"/>
      <c r="E420" s="1009"/>
      <c r="F420" s="1009"/>
      <c r="G420" s="1009"/>
      <c r="H420" s="1140"/>
      <c r="I420" s="1009"/>
      <c r="J420" s="1009"/>
      <c r="K420" s="1009"/>
      <c r="L420" s="1009"/>
      <c r="M420" s="1009"/>
      <c r="N420" s="1009"/>
      <c r="O420" s="1009"/>
      <c r="P420" s="1009"/>
      <c r="Q420" s="1009"/>
      <c r="R420" s="1009"/>
      <c r="S420" s="1009"/>
      <c r="T420" s="1009"/>
      <c r="U420" s="1009"/>
      <c r="V420" s="1009"/>
      <c r="W420" s="1009"/>
      <c r="X420" s="1009"/>
      <c r="Y420" s="1009"/>
      <c r="Z420" s="365"/>
    </row>
    <row r="421" ht="15.0" customHeight="1">
      <c r="A421" s="1009"/>
      <c r="B421" s="1009"/>
      <c r="C421" s="1009"/>
      <c r="D421" s="1009"/>
      <c r="E421" s="1009"/>
      <c r="F421" s="1009"/>
      <c r="G421" s="1009"/>
      <c r="H421" s="1140"/>
      <c r="I421" s="1009"/>
      <c r="J421" s="1009"/>
      <c r="K421" s="1009"/>
      <c r="L421" s="1009"/>
      <c r="M421" s="1009"/>
      <c r="N421" s="1009"/>
      <c r="O421" s="1009"/>
      <c r="P421" s="1009"/>
      <c r="Q421" s="1009"/>
      <c r="R421" s="1009"/>
      <c r="S421" s="1009"/>
      <c r="T421" s="1009"/>
      <c r="U421" s="1009"/>
      <c r="V421" s="1009"/>
      <c r="W421" s="1009"/>
      <c r="X421" s="1009"/>
      <c r="Y421" s="1009"/>
      <c r="Z421" s="365"/>
    </row>
    <row r="422" ht="15.0" customHeight="1">
      <c r="A422" s="1009"/>
      <c r="B422" s="1009"/>
      <c r="C422" s="1009"/>
      <c r="D422" s="1009"/>
      <c r="E422" s="1009"/>
      <c r="F422" s="1009"/>
      <c r="G422" s="1009"/>
      <c r="H422" s="1140"/>
      <c r="I422" s="1009"/>
      <c r="J422" s="1009"/>
      <c r="K422" s="1009"/>
      <c r="L422" s="1009"/>
      <c r="M422" s="1009"/>
      <c r="N422" s="1009"/>
      <c r="O422" s="1009"/>
      <c r="P422" s="1009"/>
      <c r="Q422" s="1009"/>
      <c r="R422" s="1009"/>
      <c r="S422" s="1009"/>
      <c r="T422" s="1009"/>
      <c r="U422" s="1009"/>
      <c r="V422" s="1009"/>
      <c r="W422" s="1009"/>
      <c r="X422" s="1009"/>
      <c r="Y422" s="1009"/>
      <c r="Z422" s="365"/>
    </row>
    <row r="423" ht="15.0" customHeight="1">
      <c r="A423" s="1009"/>
      <c r="B423" s="1009"/>
      <c r="C423" s="1009"/>
      <c r="D423" s="1009"/>
      <c r="E423" s="1009"/>
      <c r="F423" s="1009"/>
      <c r="G423" s="1009"/>
      <c r="H423" s="1140"/>
      <c r="I423" s="1009"/>
      <c r="J423" s="1009"/>
      <c r="K423" s="1009"/>
      <c r="L423" s="1009"/>
      <c r="M423" s="1009"/>
      <c r="N423" s="1009"/>
      <c r="O423" s="1009"/>
      <c r="P423" s="1009"/>
      <c r="Q423" s="1009"/>
      <c r="R423" s="1009"/>
      <c r="S423" s="1009"/>
      <c r="T423" s="1009"/>
      <c r="U423" s="1009"/>
      <c r="V423" s="1009"/>
      <c r="W423" s="1009"/>
      <c r="X423" s="1009"/>
      <c r="Y423" s="1009"/>
      <c r="Z423" s="365"/>
    </row>
    <row r="424" ht="15.0" customHeight="1">
      <c r="A424" s="1009"/>
      <c r="B424" s="1009"/>
      <c r="C424" s="1009"/>
      <c r="D424" s="1009"/>
      <c r="E424" s="1009"/>
      <c r="F424" s="1009"/>
      <c r="G424" s="1009"/>
      <c r="H424" s="1140"/>
      <c r="I424" s="1009"/>
      <c r="J424" s="1009"/>
      <c r="K424" s="1009"/>
      <c r="L424" s="1009"/>
      <c r="M424" s="1009"/>
      <c r="N424" s="1009"/>
      <c r="O424" s="1009"/>
      <c r="P424" s="1009"/>
      <c r="Q424" s="1009"/>
      <c r="R424" s="1009"/>
      <c r="S424" s="1009"/>
      <c r="T424" s="1009"/>
      <c r="U424" s="1009"/>
      <c r="V424" s="1009"/>
      <c r="W424" s="1009"/>
      <c r="X424" s="1009"/>
      <c r="Y424" s="1009"/>
      <c r="Z424" s="365"/>
    </row>
    <row r="425" ht="15.0" customHeight="1">
      <c r="A425" s="1009"/>
      <c r="B425" s="1009"/>
      <c r="C425" s="1009"/>
      <c r="D425" s="1009"/>
      <c r="E425" s="1009"/>
      <c r="F425" s="1009"/>
      <c r="G425" s="1009"/>
      <c r="H425" s="1140"/>
      <c r="I425" s="1009"/>
      <c r="J425" s="1009"/>
      <c r="K425" s="1009"/>
      <c r="L425" s="1009"/>
      <c r="M425" s="1009"/>
      <c r="N425" s="1009"/>
      <c r="O425" s="1009"/>
      <c r="P425" s="1009"/>
      <c r="Q425" s="1009"/>
      <c r="R425" s="1009"/>
      <c r="S425" s="1009"/>
      <c r="T425" s="1009"/>
      <c r="U425" s="1009"/>
      <c r="V425" s="1009"/>
      <c r="W425" s="1009"/>
      <c r="X425" s="1009"/>
      <c r="Y425" s="1009"/>
      <c r="Z425" s="365"/>
    </row>
    <row r="426" ht="15.0" customHeight="1">
      <c r="A426" s="1009"/>
      <c r="B426" s="1009"/>
      <c r="C426" s="1009"/>
      <c r="D426" s="1009"/>
      <c r="E426" s="1009"/>
      <c r="F426" s="1009"/>
      <c r="G426" s="1009"/>
      <c r="H426" s="1140"/>
      <c r="I426" s="1009"/>
      <c r="J426" s="1009"/>
      <c r="K426" s="1009"/>
      <c r="L426" s="1009"/>
      <c r="M426" s="1009"/>
      <c r="N426" s="1009"/>
      <c r="O426" s="1009"/>
      <c r="P426" s="1009"/>
      <c r="Q426" s="1009"/>
      <c r="R426" s="1009"/>
      <c r="S426" s="1009"/>
      <c r="T426" s="1009"/>
      <c r="U426" s="1009"/>
      <c r="V426" s="1009"/>
      <c r="W426" s="1009"/>
      <c r="X426" s="1009"/>
      <c r="Y426" s="1009"/>
      <c r="Z426" s="365"/>
    </row>
    <row r="427" ht="15.0" customHeight="1">
      <c r="A427" s="1009"/>
      <c r="B427" s="1009"/>
      <c r="C427" s="1009"/>
      <c r="D427" s="1009"/>
      <c r="E427" s="1009"/>
      <c r="F427" s="1009"/>
      <c r="G427" s="1009"/>
      <c r="H427" s="1140"/>
      <c r="I427" s="1009"/>
      <c r="J427" s="1009"/>
      <c r="K427" s="1009"/>
      <c r="L427" s="1009"/>
      <c r="M427" s="1009"/>
      <c r="N427" s="1009"/>
      <c r="O427" s="1009"/>
      <c r="P427" s="1009"/>
      <c r="Q427" s="1009"/>
      <c r="R427" s="1009"/>
      <c r="S427" s="1009"/>
      <c r="T427" s="1009"/>
      <c r="U427" s="1009"/>
      <c r="V427" s="1009"/>
      <c r="W427" s="1009"/>
      <c r="X427" s="1009"/>
      <c r="Y427" s="1009"/>
      <c r="Z427" s="365"/>
    </row>
    <row r="428" ht="15.0" customHeight="1">
      <c r="A428" s="1009"/>
      <c r="B428" s="1009"/>
      <c r="C428" s="1009"/>
      <c r="D428" s="1009"/>
      <c r="E428" s="1009"/>
      <c r="F428" s="1009"/>
      <c r="G428" s="1009"/>
      <c r="H428" s="1140"/>
      <c r="I428" s="1009"/>
      <c r="J428" s="1009"/>
      <c r="K428" s="1009"/>
      <c r="L428" s="1009"/>
      <c r="M428" s="1009"/>
      <c r="N428" s="1009"/>
      <c r="O428" s="1009"/>
      <c r="P428" s="1009"/>
      <c r="Q428" s="1009"/>
      <c r="R428" s="1009"/>
      <c r="S428" s="1009"/>
      <c r="T428" s="1009"/>
      <c r="U428" s="1009"/>
      <c r="V428" s="1009"/>
      <c r="W428" s="1009"/>
      <c r="X428" s="1009"/>
      <c r="Y428" s="1009"/>
      <c r="Z428" s="365"/>
    </row>
    <row r="429" ht="15.0" customHeight="1">
      <c r="A429" s="1009"/>
      <c r="B429" s="1009"/>
      <c r="C429" s="1009"/>
      <c r="D429" s="1009"/>
      <c r="E429" s="1009"/>
      <c r="F429" s="1009"/>
      <c r="G429" s="1009"/>
      <c r="H429" s="1140"/>
      <c r="I429" s="1009"/>
      <c r="J429" s="1009"/>
      <c r="K429" s="1009"/>
      <c r="L429" s="1009"/>
      <c r="M429" s="1009"/>
      <c r="N429" s="1009"/>
      <c r="O429" s="1009"/>
      <c r="P429" s="1009"/>
      <c r="Q429" s="1009"/>
      <c r="R429" s="1009"/>
      <c r="S429" s="1009"/>
      <c r="T429" s="1009"/>
      <c r="U429" s="1009"/>
      <c r="V429" s="1009"/>
      <c r="W429" s="1009"/>
      <c r="X429" s="1009"/>
      <c r="Y429" s="1009"/>
      <c r="Z429" s="365"/>
    </row>
    <row r="430" ht="15.0" customHeight="1">
      <c r="A430" s="1009"/>
      <c r="B430" s="1009"/>
      <c r="C430" s="1009"/>
      <c r="D430" s="1009"/>
      <c r="E430" s="1009"/>
      <c r="F430" s="1009"/>
      <c r="G430" s="1009"/>
      <c r="H430" s="1140"/>
      <c r="I430" s="1009"/>
      <c r="J430" s="1009"/>
      <c r="K430" s="1009"/>
      <c r="L430" s="1009"/>
      <c r="M430" s="1009"/>
      <c r="N430" s="1009"/>
      <c r="O430" s="1009"/>
      <c r="P430" s="1009"/>
      <c r="Q430" s="1009"/>
      <c r="R430" s="1009"/>
      <c r="S430" s="1009"/>
      <c r="T430" s="1009"/>
      <c r="U430" s="1009"/>
      <c r="V430" s="1009"/>
      <c r="W430" s="1009"/>
      <c r="X430" s="1009"/>
      <c r="Y430" s="1009"/>
      <c r="Z430" s="365"/>
    </row>
    <row r="431" ht="15.0" customHeight="1">
      <c r="A431" s="1009"/>
      <c r="B431" s="1009"/>
      <c r="C431" s="1009"/>
      <c r="D431" s="1009"/>
      <c r="E431" s="1009"/>
      <c r="F431" s="1009"/>
      <c r="G431" s="1009"/>
      <c r="H431" s="1140"/>
      <c r="I431" s="1009"/>
      <c r="J431" s="1009"/>
      <c r="K431" s="1009"/>
      <c r="L431" s="1009"/>
      <c r="M431" s="1009"/>
      <c r="N431" s="1009"/>
      <c r="O431" s="1009"/>
      <c r="P431" s="1009"/>
      <c r="Q431" s="1009"/>
      <c r="R431" s="1009"/>
      <c r="S431" s="1009"/>
      <c r="T431" s="1009"/>
      <c r="U431" s="1009"/>
      <c r="V431" s="1009"/>
      <c r="W431" s="1009"/>
      <c r="X431" s="1009"/>
      <c r="Y431" s="1009"/>
      <c r="Z431" s="365"/>
    </row>
    <row r="432" ht="15.0" customHeight="1">
      <c r="A432" s="1009"/>
      <c r="B432" s="1009"/>
      <c r="C432" s="1009"/>
      <c r="D432" s="1009"/>
      <c r="E432" s="1009"/>
      <c r="F432" s="1009"/>
      <c r="G432" s="1009"/>
      <c r="H432" s="1140"/>
      <c r="I432" s="1009"/>
      <c r="J432" s="1009"/>
      <c r="K432" s="1009"/>
      <c r="L432" s="1009"/>
      <c r="M432" s="1009"/>
      <c r="N432" s="1009"/>
      <c r="O432" s="1009"/>
      <c r="P432" s="1009"/>
      <c r="Q432" s="1009"/>
      <c r="R432" s="1009"/>
      <c r="S432" s="1009"/>
      <c r="T432" s="1009"/>
      <c r="U432" s="1009"/>
      <c r="V432" s="1009"/>
      <c r="W432" s="1009"/>
      <c r="X432" s="1009"/>
      <c r="Y432" s="1009"/>
      <c r="Z432" s="365"/>
    </row>
    <row r="433" ht="15.0" customHeight="1">
      <c r="A433" s="1009"/>
      <c r="B433" s="1009"/>
      <c r="C433" s="1009"/>
      <c r="D433" s="1009"/>
      <c r="E433" s="1009"/>
      <c r="F433" s="1009"/>
      <c r="G433" s="1009"/>
      <c r="H433" s="1140"/>
      <c r="I433" s="1009"/>
      <c r="J433" s="1009"/>
      <c r="K433" s="1009"/>
      <c r="L433" s="1009"/>
      <c r="M433" s="1009"/>
      <c r="N433" s="1009"/>
      <c r="O433" s="1009"/>
      <c r="P433" s="1009"/>
      <c r="Q433" s="1009"/>
      <c r="R433" s="1009"/>
      <c r="S433" s="1009"/>
      <c r="T433" s="1009"/>
      <c r="U433" s="1009"/>
      <c r="V433" s="1009"/>
      <c r="W433" s="1009"/>
      <c r="X433" s="1009"/>
      <c r="Y433" s="1009"/>
      <c r="Z433" s="365"/>
    </row>
    <row r="434" ht="15.0" customHeight="1">
      <c r="A434" s="1009"/>
      <c r="B434" s="1009"/>
      <c r="C434" s="1009"/>
      <c r="D434" s="1009"/>
      <c r="E434" s="1009"/>
      <c r="F434" s="1009"/>
      <c r="G434" s="1009"/>
      <c r="H434" s="1140"/>
      <c r="I434" s="1009"/>
      <c r="J434" s="1009"/>
      <c r="K434" s="1009"/>
      <c r="L434" s="1009"/>
      <c r="M434" s="1009"/>
      <c r="N434" s="1009"/>
      <c r="O434" s="1009"/>
      <c r="P434" s="1009"/>
      <c r="Q434" s="1009"/>
      <c r="R434" s="1009"/>
      <c r="S434" s="1009"/>
      <c r="T434" s="1009"/>
      <c r="U434" s="1009"/>
      <c r="V434" s="1009"/>
      <c r="W434" s="1009"/>
      <c r="X434" s="1009"/>
      <c r="Y434" s="1009"/>
      <c r="Z434" s="365"/>
    </row>
    <row r="435" ht="15.0" customHeight="1">
      <c r="A435" s="1009"/>
      <c r="B435" s="1009"/>
      <c r="C435" s="1009"/>
      <c r="D435" s="1009"/>
      <c r="E435" s="1009"/>
      <c r="F435" s="1009"/>
      <c r="G435" s="1009"/>
      <c r="H435" s="1140"/>
      <c r="I435" s="1009"/>
      <c r="J435" s="1009"/>
      <c r="K435" s="1009"/>
      <c r="L435" s="1009"/>
      <c r="M435" s="1009"/>
      <c r="N435" s="1009"/>
      <c r="O435" s="1009"/>
      <c r="P435" s="1009"/>
      <c r="Q435" s="1009"/>
      <c r="R435" s="1009"/>
      <c r="S435" s="1009"/>
      <c r="T435" s="1009"/>
      <c r="U435" s="1009"/>
      <c r="V435" s="1009"/>
      <c r="W435" s="1009"/>
      <c r="X435" s="1009"/>
      <c r="Y435" s="1009"/>
      <c r="Z435" s="365"/>
    </row>
    <row r="436" ht="15.0" customHeight="1">
      <c r="A436" s="1009"/>
      <c r="B436" s="1009"/>
      <c r="C436" s="1009"/>
      <c r="D436" s="1009"/>
      <c r="E436" s="1009"/>
      <c r="F436" s="1009"/>
      <c r="G436" s="1009"/>
      <c r="H436" s="1140"/>
      <c r="I436" s="1009"/>
      <c r="J436" s="1009"/>
      <c r="K436" s="1009"/>
      <c r="L436" s="1009"/>
      <c r="M436" s="1009"/>
      <c r="N436" s="1009"/>
      <c r="O436" s="1009"/>
      <c r="P436" s="1009"/>
      <c r="Q436" s="1009"/>
      <c r="R436" s="1009"/>
      <c r="S436" s="1009"/>
      <c r="T436" s="1009"/>
      <c r="U436" s="1009"/>
      <c r="V436" s="1009"/>
      <c r="W436" s="1009"/>
      <c r="X436" s="1009"/>
      <c r="Y436" s="1009"/>
      <c r="Z436" s="365"/>
    </row>
    <row r="437" ht="15.0" customHeight="1">
      <c r="A437" s="1009"/>
      <c r="B437" s="1009"/>
      <c r="C437" s="1009"/>
      <c r="D437" s="1009"/>
      <c r="E437" s="1009"/>
      <c r="F437" s="1009"/>
      <c r="G437" s="1009"/>
      <c r="H437" s="1140"/>
      <c r="I437" s="1009"/>
      <c r="J437" s="1009"/>
      <c r="K437" s="1009"/>
      <c r="L437" s="1009"/>
      <c r="M437" s="1009"/>
      <c r="N437" s="1009"/>
      <c r="O437" s="1009"/>
      <c r="P437" s="1009"/>
      <c r="Q437" s="1009"/>
      <c r="R437" s="1009"/>
      <c r="S437" s="1009"/>
      <c r="T437" s="1009"/>
      <c r="U437" s="1009"/>
      <c r="V437" s="1009"/>
      <c r="W437" s="1009"/>
      <c r="X437" s="1009"/>
      <c r="Y437" s="1009"/>
      <c r="Z437" s="365"/>
    </row>
    <row r="438" ht="15.0" customHeight="1">
      <c r="A438" s="1009"/>
      <c r="B438" s="1009"/>
      <c r="C438" s="1009"/>
      <c r="D438" s="1009"/>
      <c r="E438" s="1009"/>
      <c r="F438" s="1009"/>
      <c r="G438" s="1009"/>
      <c r="H438" s="1140"/>
      <c r="I438" s="1009"/>
      <c r="J438" s="1009"/>
      <c r="K438" s="1009"/>
      <c r="L438" s="1009"/>
      <c r="M438" s="1009"/>
      <c r="N438" s="1009"/>
      <c r="O438" s="1009"/>
      <c r="P438" s="1009"/>
      <c r="Q438" s="1009"/>
      <c r="R438" s="1009"/>
      <c r="S438" s="1009"/>
      <c r="T438" s="1009"/>
      <c r="U438" s="1009"/>
      <c r="V438" s="1009"/>
      <c r="W438" s="1009"/>
      <c r="X438" s="1009"/>
      <c r="Y438" s="1009"/>
      <c r="Z438" s="365"/>
    </row>
    <row r="439" ht="15.0" customHeight="1">
      <c r="A439" s="1009"/>
      <c r="B439" s="1009"/>
      <c r="C439" s="1009"/>
      <c r="D439" s="1009"/>
      <c r="E439" s="1009"/>
      <c r="F439" s="1009"/>
      <c r="G439" s="1009"/>
      <c r="H439" s="1140"/>
      <c r="I439" s="1009"/>
      <c r="J439" s="1009"/>
      <c r="K439" s="1009"/>
      <c r="L439" s="1009"/>
      <c r="M439" s="1009"/>
      <c r="N439" s="1009"/>
      <c r="O439" s="1009"/>
      <c r="P439" s="1009"/>
      <c r="Q439" s="1009"/>
      <c r="R439" s="1009"/>
      <c r="S439" s="1009"/>
      <c r="T439" s="1009"/>
      <c r="U439" s="1009"/>
      <c r="V439" s="1009"/>
      <c r="W439" s="1009"/>
      <c r="X439" s="1009"/>
      <c r="Y439" s="1009"/>
      <c r="Z439" s="365"/>
    </row>
    <row r="440" ht="15.0" customHeight="1">
      <c r="A440" s="1009"/>
      <c r="B440" s="1009"/>
      <c r="C440" s="1009"/>
      <c r="D440" s="1009"/>
      <c r="E440" s="1009"/>
      <c r="F440" s="1009"/>
      <c r="G440" s="1009"/>
      <c r="H440" s="1140"/>
      <c r="I440" s="1009"/>
      <c r="J440" s="1009"/>
      <c r="K440" s="1009"/>
      <c r="L440" s="1009"/>
      <c r="M440" s="1009"/>
      <c r="N440" s="1009"/>
      <c r="O440" s="1009"/>
      <c r="P440" s="1009"/>
      <c r="Q440" s="1009"/>
      <c r="R440" s="1009"/>
      <c r="S440" s="1009"/>
      <c r="T440" s="1009"/>
      <c r="U440" s="1009"/>
      <c r="V440" s="1009"/>
      <c r="W440" s="1009"/>
      <c r="X440" s="1009"/>
      <c r="Y440" s="1009"/>
      <c r="Z440" s="365"/>
    </row>
    <row r="441" ht="15.0" customHeight="1">
      <c r="A441" s="1009"/>
      <c r="B441" s="1009"/>
      <c r="C441" s="1009"/>
      <c r="D441" s="1009"/>
      <c r="E441" s="1009"/>
      <c r="F441" s="1009"/>
      <c r="G441" s="1009"/>
      <c r="H441" s="1140"/>
      <c r="I441" s="1009"/>
      <c r="J441" s="1009"/>
      <c r="K441" s="1009"/>
      <c r="L441" s="1009"/>
      <c r="M441" s="1009"/>
      <c r="N441" s="1009"/>
      <c r="O441" s="1009"/>
      <c r="P441" s="1009"/>
      <c r="Q441" s="1009"/>
      <c r="R441" s="1009"/>
      <c r="S441" s="1009"/>
      <c r="T441" s="1009"/>
      <c r="U441" s="1009"/>
      <c r="V441" s="1009"/>
      <c r="W441" s="1009"/>
      <c r="X441" s="1009"/>
      <c r="Y441" s="1009"/>
      <c r="Z441" s="365"/>
    </row>
    <row r="442" ht="15.0" customHeight="1">
      <c r="A442" s="1009"/>
      <c r="B442" s="1009"/>
      <c r="C442" s="1009"/>
      <c r="D442" s="1009"/>
      <c r="E442" s="1009"/>
      <c r="F442" s="1009"/>
      <c r="G442" s="1009"/>
      <c r="H442" s="1140"/>
      <c r="I442" s="1009"/>
      <c r="J442" s="1009"/>
      <c r="K442" s="1009"/>
      <c r="L442" s="1009"/>
      <c r="M442" s="1009"/>
      <c r="N442" s="1009"/>
      <c r="O442" s="1009"/>
      <c r="P442" s="1009"/>
      <c r="Q442" s="1009"/>
      <c r="R442" s="1009"/>
      <c r="S442" s="1009"/>
      <c r="T442" s="1009"/>
      <c r="U442" s="1009"/>
      <c r="V442" s="1009"/>
      <c r="W442" s="1009"/>
      <c r="X442" s="1009"/>
      <c r="Y442" s="1009"/>
      <c r="Z442" s="365"/>
    </row>
    <row r="443" ht="15.0" customHeight="1">
      <c r="A443" s="1009"/>
      <c r="B443" s="1009"/>
      <c r="C443" s="1009"/>
      <c r="D443" s="1009"/>
      <c r="E443" s="1009"/>
      <c r="F443" s="1009"/>
      <c r="G443" s="1009"/>
      <c r="H443" s="1140"/>
      <c r="I443" s="1009"/>
      <c r="J443" s="1009"/>
      <c r="K443" s="1009"/>
      <c r="L443" s="1009"/>
      <c r="M443" s="1009"/>
      <c r="N443" s="1009"/>
      <c r="O443" s="1009"/>
      <c r="P443" s="1009"/>
      <c r="Q443" s="1009"/>
      <c r="R443" s="1009"/>
      <c r="S443" s="1009"/>
      <c r="T443" s="1009"/>
      <c r="U443" s="1009"/>
      <c r="V443" s="1009"/>
      <c r="W443" s="1009"/>
      <c r="X443" s="1009"/>
      <c r="Y443" s="1009"/>
      <c r="Z443" s="365"/>
    </row>
    <row r="444" ht="15.0" customHeight="1">
      <c r="A444" s="1009"/>
      <c r="B444" s="1009"/>
      <c r="C444" s="1009"/>
      <c r="D444" s="1009"/>
      <c r="E444" s="1009"/>
      <c r="F444" s="1009"/>
      <c r="G444" s="1009"/>
      <c r="H444" s="1140"/>
      <c r="I444" s="1009"/>
      <c r="J444" s="1009"/>
      <c r="K444" s="1009"/>
      <c r="L444" s="1009"/>
      <c r="M444" s="1009"/>
      <c r="N444" s="1009"/>
      <c r="O444" s="1009"/>
      <c r="P444" s="1009"/>
      <c r="Q444" s="1009"/>
      <c r="R444" s="1009"/>
      <c r="S444" s="1009"/>
      <c r="T444" s="1009"/>
      <c r="U444" s="1009"/>
      <c r="V444" s="1009"/>
      <c r="W444" s="1009"/>
      <c r="X444" s="1009"/>
      <c r="Y444" s="1009"/>
      <c r="Z444" s="365"/>
    </row>
    <row r="445" ht="15.0" customHeight="1">
      <c r="A445" s="1009"/>
      <c r="B445" s="1009"/>
      <c r="C445" s="1009"/>
      <c r="D445" s="1009"/>
      <c r="E445" s="1009"/>
      <c r="F445" s="1009"/>
      <c r="G445" s="1009"/>
      <c r="H445" s="1140"/>
      <c r="I445" s="1009"/>
      <c r="J445" s="1009"/>
      <c r="K445" s="1009"/>
      <c r="L445" s="1009"/>
      <c r="M445" s="1009"/>
      <c r="N445" s="1009"/>
      <c r="O445" s="1009"/>
      <c r="P445" s="1009"/>
      <c r="Q445" s="1009"/>
      <c r="R445" s="1009"/>
      <c r="S445" s="1009"/>
      <c r="T445" s="1009"/>
      <c r="U445" s="1009"/>
      <c r="V445" s="1009"/>
      <c r="W445" s="1009"/>
      <c r="X445" s="1009"/>
      <c r="Y445" s="1009"/>
      <c r="Z445" s="365"/>
    </row>
    <row r="446" ht="15.0" customHeight="1">
      <c r="A446" s="1009"/>
      <c r="B446" s="1009"/>
      <c r="C446" s="1009"/>
      <c r="D446" s="1009"/>
      <c r="E446" s="1009"/>
      <c r="F446" s="1009"/>
      <c r="G446" s="1009"/>
      <c r="H446" s="1140"/>
      <c r="I446" s="1009"/>
      <c r="J446" s="1009"/>
      <c r="K446" s="1009"/>
      <c r="L446" s="1009"/>
      <c r="M446" s="1009"/>
      <c r="N446" s="1009"/>
      <c r="O446" s="1009"/>
      <c r="P446" s="1009"/>
      <c r="Q446" s="1009"/>
      <c r="R446" s="1009"/>
      <c r="S446" s="1009"/>
      <c r="T446" s="1009"/>
      <c r="U446" s="1009"/>
      <c r="V446" s="1009"/>
      <c r="W446" s="1009"/>
      <c r="X446" s="1009"/>
      <c r="Y446" s="1009"/>
      <c r="Z446" s="365"/>
    </row>
    <row r="447" ht="15.0" customHeight="1">
      <c r="A447" s="1009"/>
      <c r="B447" s="1009"/>
      <c r="C447" s="1009"/>
      <c r="D447" s="1009"/>
      <c r="E447" s="1009"/>
      <c r="F447" s="1009"/>
      <c r="G447" s="1009"/>
      <c r="H447" s="1140"/>
      <c r="I447" s="1009"/>
      <c r="J447" s="1009"/>
      <c r="K447" s="1009"/>
      <c r="L447" s="1009"/>
      <c r="M447" s="1009"/>
      <c r="N447" s="1009"/>
      <c r="O447" s="1009"/>
      <c r="P447" s="1009"/>
      <c r="Q447" s="1009"/>
      <c r="R447" s="1009"/>
      <c r="S447" s="1009"/>
      <c r="T447" s="1009"/>
      <c r="U447" s="1009"/>
      <c r="V447" s="1009"/>
      <c r="W447" s="1009"/>
      <c r="X447" s="1009"/>
      <c r="Y447" s="1009"/>
      <c r="Z447" s="365"/>
    </row>
    <row r="448" ht="15.0" customHeight="1">
      <c r="A448" s="1009"/>
      <c r="B448" s="1009"/>
      <c r="C448" s="1009"/>
      <c r="D448" s="1009"/>
      <c r="E448" s="1009"/>
      <c r="F448" s="1009"/>
      <c r="G448" s="1009"/>
      <c r="H448" s="1140"/>
      <c r="I448" s="1009"/>
      <c r="J448" s="1009"/>
      <c r="K448" s="1009"/>
      <c r="L448" s="1009"/>
      <c r="M448" s="1009"/>
      <c r="N448" s="1009"/>
      <c r="O448" s="1009"/>
      <c r="P448" s="1009"/>
      <c r="Q448" s="1009"/>
      <c r="R448" s="1009"/>
      <c r="S448" s="1009"/>
      <c r="T448" s="1009"/>
      <c r="U448" s="1009"/>
      <c r="V448" s="1009"/>
      <c r="W448" s="1009"/>
      <c r="X448" s="1009"/>
      <c r="Y448" s="1009"/>
      <c r="Z448" s="365"/>
    </row>
    <row r="449" ht="15.0" customHeight="1">
      <c r="A449" s="1009"/>
      <c r="B449" s="1009"/>
      <c r="C449" s="1009"/>
      <c r="D449" s="1009"/>
      <c r="E449" s="1009"/>
      <c r="F449" s="1009"/>
      <c r="G449" s="1009"/>
      <c r="H449" s="1140"/>
      <c r="I449" s="1009"/>
      <c r="J449" s="1009"/>
      <c r="K449" s="1009"/>
      <c r="L449" s="1009"/>
      <c r="M449" s="1009"/>
      <c r="N449" s="1009"/>
      <c r="O449" s="1009"/>
      <c r="P449" s="1009"/>
      <c r="Q449" s="1009"/>
      <c r="R449" s="1009"/>
      <c r="S449" s="1009"/>
      <c r="T449" s="1009"/>
      <c r="U449" s="1009"/>
      <c r="V449" s="1009"/>
      <c r="W449" s="1009"/>
      <c r="X449" s="1009"/>
      <c r="Y449" s="1009"/>
      <c r="Z449" s="365"/>
    </row>
    <row r="450" ht="15.0" customHeight="1">
      <c r="A450" s="1009"/>
      <c r="B450" s="1009"/>
      <c r="C450" s="1009"/>
      <c r="D450" s="1009"/>
      <c r="E450" s="1009"/>
      <c r="F450" s="1009"/>
      <c r="G450" s="1009"/>
      <c r="H450" s="1140"/>
      <c r="I450" s="1009"/>
      <c r="J450" s="1009"/>
      <c r="K450" s="1009"/>
      <c r="L450" s="1009"/>
      <c r="M450" s="1009"/>
      <c r="N450" s="1009"/>
      <c r="O450" s="1009"/>
      <c r="P450" s="1009"/>
      <c r="Q450" s="1009"/>
      <c r="R450" s="1009"/>
      <c r="S450" s="1009"/>
      <c r="T450" s="1009"/>
      <c r="U450" s="1009"/>
      <c r="V450" s="1009"/>
      <c r="W450" s="1009"/>
      <c r="X450" s="1009"/>
      <c r="Y450" s="1009"/>
      <c r="Z450" s="365"/>
    </row>
    <row r="451" ht="15.0" customHeight="1">
      <c r="A451" s="1009"/>
      <c r="B451" s="1009"/>
      <c r="C451" s="1009"/>
      <c r="D451" s="1009"/>
      <c r="E451" s="1009"/>
      <c r="F451" s="1009"/>
      <c r="G451" s="1009"/>
      <c r="H451" s="1140"/>
      <c r="I451" s="1009"/>
      <c r="J451" s="1009"/>
      <c r="K451" s="1009"/>
      <c r="L451" s="1009"/>
      <c r="M451" s="1009"/>
      <c r="N451" s="1009"/>
      <c r="O451" s="1009"/>
      <c r="P451" s="1009"/>
      <c r="Q451" s="1009"/>
      <c r="R451" s="1009"/>
      <c r="S451" s="1009"/>
      <c r="T451" s="1009"/>
      <c r="U451" s="1009"/>
      <c r="V451" s="1009"/>
      <c r="W451" s="1009"/>
      <c r="X451" s="1009"/>
      <c r="Y451" s="1009"/>
      <c r="Z451" s="365"/>
    </row>
    <row r="452" ht="15.0" customHeight="1">
      <c r="A452" s="1009"/>
      <c r="B452" s="1009"/>
      <c r="C452" s="1009"/>
      <c r="D452" s="1009"/>
      <c r="E452" s="1009"/>
      <c r="F452" s="1009"/>
      <c r="G452" s="1009"/>
      <c r="H452" s="1140"/>
      <c r="I452" s="1009"/>
      <c r="J452" s="1009"/>
      <c r="K452" s="1009"/>
      <c r="L452" s="1009"/>
      <c r="M452" s="1009"/>
      <c r="N452" s="1009"/>
      <c r="O452" s="1009"/>
      <c r="P452" s="1009"/>
      <c r="Q452" s="1009"/>
      <c r="R452" s="1009"/>
      <c r="S452" s="1009"/>
      <c r="T452" s="1009"/>
      <c r="U452" s="1009"/>
      <c r="V452" s="1009"/>
      <c r="W452" s="1009"/>
      <c r="X452" s="1009"/>
      <c r="Y452" s="1009"/>
      <c r="Z452" s="365"/>
    </row>
    <row r="453" ht="15.0" customHeight="1">
      <c r="A453" s="1009"/>
      <c r="B453" s="1009"/>
      <c r="C453" s="1009"/>
      <c r="D453" s="1009"/>
      <c r="E453" s="1009"/>
      <c r="F453" s="1009"/>
      <c r="G453" s="1009"/>
      <c r="H453" s="1140"/>
      <c r="I453" s="1009"/>
      <c r="J453" s="1009"/>
      <c r="K453" s="1009"/>
      <c r="L453" s="1009"/>
      <c r="M453" s="1009"/>
      <c r="N453" s="1009"/>
      <c r="O453" s="1009"/>
      <c r="P453" s="1009"/>
      <c r="Q453" s="1009"/>
      <c r="R453" s="1009"/>
      <c r="S453" s="1009"/>
      <c r="T453" s="1009"/>
      <c r="U453" s="1009"/>
      <c r="V453" s="1009"/>
      <c r="W453" s="1009"/>
      <c r="X453" s="1009"/>
      <c r="Y453" s="1009"/>
      <c r="Z453" s="365"/>
    </row>
    <row r="454" ht="15.0" customHeight="1">
      <c r="A454" s="1009"/>
      <c r="B454" s="1009"/>
      <c r="C454" s="1009"/>
      <c r="D454" s="1009"/>
      <c r="E454" s="1009"/>
      <c r="F454" s="1009"/>
      <c r="G454" s="1009"/>
      <c r="H454" s="1140"/>
      <c r="I454" s="1009"/>
      <c r="J454" s="1009"/>
      <c r="K454" s="1009"/>
      <c r="L454" s="1009"/>
      <c r="M454" s="1009"/>
      <c r="N454" s="1009"/>
      <c r="O454" s="1009"/>
      <c r="P454" s="1009"/>
      <c r="Q454" s="1009"/>
      <c r="R454" s="1009"/>
      <c r="S454" s="1009"/>
      <c r="T454" s="1009"/>
      <c r="U454" s="1009"/>
      <c r="V454" s="1009"/>
      <c r="W454" s="1009"/>
      <c r="X454" s="1009"/>
      <c r="Y454" s="1009"/>
      <c r="Z454" s="365"/>
    </row>
    <row r="455" ht="15.0" customHeight="1">
      <c r="A455" s="1009"/>
      <c r="B455" s="1009"/>
      <c r="C455" s="1009"/>
      <c r="D455" s="1009"/>
      <c r="E455" s="1009"/>
      <c r="F455" s="1009"/>
      <c r="G455" s="1009"/>
      <c r="H455" s="1140"/>
      <c r="I455" s="1009"/>
      <c r="J455" s="1009"/>
      <c r="K455" s="1009"/>
      <c r="L455" s="1009"/>
      <c r="M455" s="1009"/>
      <c r="N455" s="1009"/>
      <c r="O455" s="1009"/>
      <c r="P455" s="1009"/>
      <c r="Q455" s="1009"/>
      <c r="R455" s="1009"/>
      <c r="S455" s="1009"/>
      <c r="T455" s="1009"/>
      <c r="U455" s="1009"/>
      <c r="V455" s="1009"/>
      <c r="W455" s="1009"/>
      <c r="X455" s="1009"/>
      <c r="Y455" s="1009"/>
      <c r="Z455" s="365"/>
    </row>
    <row r="456" ht="15.0" customHeight="1">
      <c r="A456" s="1009"/>
      <c r="B456" s="1009"/>
      <c r="C456" s="1009"/>
      <c r="D456" s="1009"/>
      <c r="E456" s="1009"/>
      <c r="F456" s="1009"/>
      <c r="G456" s="1009"/>
      <c r="H456" s="1140"/>
      <c r="I456" s="1009"/>
      <c r="J456" s="1009"/>
      <c r="K456" s="1009"/>
      <c r="L456" s="1009"/>
      <c r="M456" s="1009"/>
      <c r="N456" s="1009"/>
      <c r="O456" s="1009"/>
      <c r="P456" s="1009"/>
      <c r="Q456" s="1009"/>
      <c r="R456" s="1009"/>
      <c r="S456" s="1009"/>
      <c r="T456" s="1009"/>
      <c r="U456" s="1009"/>
      <c r="V456" s="1009"/>
      <c r="W456" s="1009"/>
      <c r="X456" s="1009"/>
      <c r="Y456" s="1009"/>
      <c r="Z456" s="365"/>
    </row>
    <row r="457" ht="15.0" customHeight="1">
      <c r="A457" s="1009"/>
      <c r="B457" s="1009"/>
      <c r="C457" s="1009"/>
      <c r="D457" s="1009"/>
      <c r="E457" s="1009"/>
      <c r="F457" s="1009"/>
      <c r="G457" s="1009"/>
      <c r="H457" s="1140"/>
      <c r="I457" s="1009"/>
      <c r="J457" s="1009"/>
      <c r="K457" s="1009"/>
      <c r="L457" s="1009"/>
      <c r="M457" s="1009"/>
      <c r="N457" s="1009"/>
      <c r="O457" s="1009"/>
      <c r="P457" s="1009"/>
      <c r="Q457" s="1009"/>
      <c r="R457" s="1009"/>
      <c r="S457" s="1009"/>
      <c r="T457" s="1009"/>
      <c r="U457" s="1009"/>
      <c r="V457" s="1009"/>
      <c r="W457" s="1009"/>
      <c r="X457" s="1009"/>
      <c r="Y457" s="1009"/>
      <c r="Z457" s="365"/>
    </row>
    <row r="458" ht="15.0" customHeight="1">
      <c r="A458" s="1009"/>
      <c r="B458" s="1009"/>
      <c r="C458" s="1009"/>
      <c r="D458" s="1009"/>
      <c r="E458" s="1009"/>
      <c r="F458" s="1009"/>
      <c r="G458" s="1009"/>
      <c r="H458" s="1140"/>
      <c r="I458" s="1009"/>
      <c r="J458" s="1009"/>
      <c r="K458" s="1009"/>
      <c r="L458" s="1009"/>
      <c r="M458" s="1009"/>
      <c r="N458" s="1009"/>
      <c r="O458" s="1009"/>
      <c r="P458" s="1009"/>
      <c r="Q458" s="1009"/>
      <c r="R458" s="1009"/>
      <c r="S458" s="1009"/>
      <c r="T458" s="1009"/>
      <c r="U458" s="1009"/>
      <c r="V458" s="1009"/>
      <c r="W458" s="1009"/>
      <c r="X458" s="1009"/>
      <c r="Y458" s="1009"/>
      <c r="Z458" s="365"/>
    </row>
    <row r="459" ht="15.0" customHeight="1">
      <c r="A459" s="1009"/>
      <c r="B459" s="1009"/>
      <c r="C459" s="1009"/>
      <c r="D459" s="1009"/>
      <c r="E459" s="1009"/>
      <c r="F459" s="1009"/>
      <c r="G459" s="1009"/>
      <c r="H459" s="1140"/>
      <c r="I459" s="1009"/>
      <c r="J459" s="1009"/>
      <c r="K459" s="1009"/>
      <c r="L459" s="1009"/>
      <c r="M459" s="1009"/>
      <c r="N459" s="1009"/>
      <c r="O459" s="1009"/>
      <c r="P459" s="1009"/>
      <c r="Q459" s="1009"/>
      <c r="R459" s="1009"/>
      <c r="S459" s="1009"/>
      <c r="T459" s="1009"/>
      <c r="U459" s="1009"/>
      <c r="V459" s="1009"/>
      <c r="W459" s="1009"/>
      <c r="X459" s="1009"/>
      <c r="Y459" s="1009"/>
      <c r="Z459" s="365"/>
    </row>
    <row r="460" ht="15.0" customHeight="1">
      <c r="A460" s="1009"/>
      <c r="B460" s="1009"/>
      <c r="C460" s="1009"/>
      <c r="D460" s="1009"/>
      <c r="E460" s="1009"/>
      <c r="F460" s="1009"/>
      <c r="G460" s="1009"/>
      <c r="H460" s="1140"/>
      <c r="I460" s="1009"/>
      <c r="J460" s="1009"/>
      <c r="K460" s="1009"/>
      <c r="L460" s="1009"/>
      <c r="M460" s="1009"/>
      <c r="N460" s="1009"/>
      <c r="O460" s="1009"/>
      <c r="P460" s="1009"/>
      <c r="Q460" s="1009"/>
      <c r="R460" s="1009"/>
      <c r="S460" s="1009"/>
      <c r="T460" s="1009"/>
      <c r="U460" s="1009"/>
      <c r="V460" s="1009"/>
      <c r="W460" s="1009"/>
      <c r="X460" s="1009"/>
      <c r="Y460" s="1009"/>
      <c r="Z460" s="365"/>
    </row>
    <row r="461" ht="15.0" customHeight="1">
      <c r="A461" s="1009"/>
      <c r="B461" s="1009"/>
      <c r="C461" s="1009"/>
      <c r="D461" s="1009"/>
      <c r="E461" s="1009"/>
      <c r="F461" s="1009"/>
      <c r="G461" s="1009"/>
      <c r="H461" s="1140"/>
      <c r="I461" s="1009"/>
      <c r="J461" s="1009"/>
      <c r="K461" s="1009"/>
      <c r="L461" s="1009"/>
      <c r="M461" s="1009"/>
      <c r="N461" s="1009"/>
      <c r="O461" s="1009"/>
      <c r="P461" s="1009"/>
      <c r="Q461" s="1009"/>
      <c r="R461" s="1009"/>
      <c r="S461" s="1009"/>
      <c r="T461" s="1009"/>
      <c r="U461" s="1009"/>
      <c r="V461" s="1009"/>
      <c r="W461" s="1009"/>
      <c r="X461" s="1009"/>
      <c r="Y461" s="1009"/>
      <c r="Z461" s="365"/>
    </row>
    <row r="462" ht="15.0" customHeight="1">
      <c r="A462" s="1009"/>
      <c r="B462" s="1009"/>
      <c r="C462" s="1009"/>
      <c r="D462" s="1009"/>
      <c r="E462" s="1009"/>
      <c r="F462" s="1009"/>
      <c r="G462" s="1009"/>
      <c r="H462" s="1140"/>
      <c r="I462" s="1009"/>
      <c r="J462" s="1009"/>
      <c r="K462" s="1009"/>
      <c r="L462" s="1009"/>
      <c r="M462" s="1009"/>
      <c r="N462" s="1009"/>
      <c r="O462" s="1009"/>
      <c r="P462" s="1009"/>
      <c r="Q462" s="1009"/>
      <c r="R462" s="1009"/>
      <c r="S462" s="1009"/>
      <c r="T462" s="1009"/>
      <c r="U462" s="1009"/>
      <c r="V462" s="1009"/>
      <c r="W462" s="1009"/>
      <c r="X462" s="1009"/>
      <c r="Y462" s="1009"/>
      <c r="Z462" s="365"/>
    </row>
    <row r="463" ht="15.0" customHeight="1">
      <c r="A463" s="1009"/>
      <c r="B463" s="1009"/>
      <c r="C463" s="1009"/>
      <c r="D463" s="1009"/>
      <c r="E463" s="1009"/>
      <c r="F463" s="1009"/>
      <c r="G463" s="1009"/>
      <c r="H463" s="1140"/>
      <c r="I463" s="1009"/>
      <c r="J463" s="1009"/>
      <c r="K463" s="1009"/>
      <c r="L463" s="1009"/>
      <c r="M463" s="1009"/>
      <c r="N463" s="1009"/>
      <c r="O463" s="1009"/>
      <c r="P463" s="1009"/>
      <c r="Q463" s="1009"/>
      <c r="R463" s="1009"/>
      <c r="S463" s="1009"/>
      <c r="T463" s="1009"/>
      <c r="U463" s="1009"/>
      <c r="V463" s="1009"/>
      <c r="W463" s="1009"/>
      <c r="X463" s="1009"/>
      <c r="Y463" s="1009"/>
      <c r="Z463" s="365"/>
    </row>
    <row r="464" ht="15.0" customHeight="1">
      <c r="A464" s="1009"/>
      <c r="B464" s="1009"/>
      <c r="C464" s="1009"/>
      <c r="D464" s="1009"/>
      <c r="E464" s="1009"/>
      <c r="F464" s="1009"/>
      <c r="G464" s="1009"/>
      <c r="H464" s="1140"/>
      <c r="I464" s="1009"/>
      <c r="J464" s="1009"/>
      <c r="K464" s="1009"/>
      <c r="L464" s="1009"/>
      <c r="M464" s="1009"/>
      <c r="N464" s="1009"/>
      <c r="O464" s="1009"/>
      <c r="P464" s="1009"/>
      <c r="Q464" s="1009"/>
      <c r="R464" s="1009"/>
      <c r="S464" s="1009"/>
      <c r="T464" s="1009"/>
      <c r="U464" s="1009"/>
      <c r="V464" s="1009"/>
      <c r="W464" s="1009"/>
      <c r="X464" s="1009"/>
      <c r="Y464" s="1009"/>
      <c r="Z464" s="365"/>
    </row>
    <row r="465" ht="15.0" customHeight="1">
      <c r="A465" s="1009"/>
      <c r="B465" s="1009"/>
      <c r="C465" s="1009"/>
      <c r="D465" s="1009"/>
      <c r="E465" s="1009"/>
      <c r="F465" s="1009"/>
      <c r="G465" s="1009"/>
      <c r="H465" s="1140"/>
      <c r="I465" s="1009"/>
      <c r="J465" s="1009"/>
      <c r="K465" s="1009"/>
      <c r="L465" s="1009"/>
      <c r="M465" s="1009"/>
      <c r="N465" s="1009"/>
      <c r="O465" s="1009"/>
      <c r="P465" s="1009"/>
      <c r="Q465" s="1009"/>
      <c r="R465" s="1009"/>
      <c r="S465" s="1009"/>
      <c r="T465" s="1009"/>
      <c r="U465" s="1009"/>
      <c r="V465" s="1009"/>
      <c r="W465" s="1009"/>
      <c r="X465" s="1009"/>
      <c r="Y465" s="1009"/>
      <c r="Z465" s="365"/>
    </row>
    <row r="466" ht="15.0" customHeight="1">
      <c r="A466" s="1009"/>
      <c r="B466" s="1009"/>
      <c r="C466" s="1009"/>
      <c r="D466" s="1009"/>
      <c r="E466" s="1009"/>
      <c r="F466" s="1009"/>
      <c r="G466" s="1009"/>
      <c r="H466" s="1140"/>
      <c r="I466" s="1009"/>
      <c r="J466" s="1009"/>
      <c r="K466" s="1009"/>
      <c r="L466" s="1009"/>
      <c r="M466" s="1009"/>
      <c r="N466" s="1009"/>
      <c r="O466" s="1009"/>
      <c r="P466" s="1009"/>
      <c r="Q466" s="1009"/>
      <c r="R466" s="1009"/>
      <c r="S466" s="1009"/>
      <c r="T466" s="1009"/>
      <c r="U466" s="1009"/>
      <c r="V466" s="1009"/>
      <c r="W466" s="1009"/>
      <c r="X466" s="1009"/>
      <c r="Y466" s="1009"/>
      <c r="Z466" s="365"/>
    </row>
    <row r="467" ht="15.0" customHeight="1">
      <c r="A467" s="1009"/>
      <c r="B467" s="1009"/>
      <c r="C467" s="1009"/>
      <c r="D467" s="1009"/>
      <c r="E467" s="1009"/>
      <c r="F467" s="1009"/>
      <c r="G467" s="1009"/>
      <c r="H467" s="1140"/>
      <c r="I467" s="1009"/>
      <c r="J467" s="1009"/>
      <c r="K467" s="1009"/>
      <c r="L467" s="1009"/>
      <c r="M467" s="1009"/>
      <c r="N467" s="1009"/>
      <c r="O467" s="1009"/>
      <c r="P467" s="1009"/>
      <c r="Q467" s="1009"/>
      <c r="R467" s="1009"/>
      <c r="S467" s="1009"/>
      <c r="T467" s="1009"/>
      <c r="U467" s="1009"/>
      <c r="V467" s="1009"/>
      <c r="W467" s="1009"/>
      <c r="X467" s="1009"/>
      <c r="Y467" s="1009"/>
      <c r="Z467" s="365"/>
    </row>
    <row r="468" ht="15.0" customHeight="1">
      <c r="A468" s="1009"/>
      <c r="B468" s="1009"/>
      <c r="C468" s="1009"/>
      <c r="D468" s="1009"/>
      <c r="E468" s="1009"/>
      <c r="F468" s="1009"/>
      <c r="G468" s="1009"/>
      <c r="H468" s="1140"/>
      <c r="I468" s="1009"/>
      <c r="J468" s="1009"/>
      <c r="K468" s="1009"/>
      <c r="L468" s="1009"/>
      <c r="M468" s="1009"/>
      <c r="N468" s="1009"/>
      <c r="O468" s="1009"/>
      <c r="P468" s="1009"/>
      <c r="Q468" s="1009"/>
      <c r="R468" s="1009"/>
      <c r="S468" s="1009"/>
      <c r="T468" s="1009"/>
      <c r="U468" s="1009"/>
      <c r="V468" s="1009"/>
      <c r="W468" s="1009"/>
      <c r="X468" s="1009"/>
      <c r="Y468" s="1009"/>
      <c r="Z468" s="365"/>
    </row>
    <row r="469" ht="15.0" customHeight="1">
      <c r="A469" s="1009"/>
      <c r="B469" s="1009"/>
      <c r="C469" s="1009"/>
      <c r="D469" s="1009"/>
      <c r="E469" s="1009"/>
      <c r="F469" s="1009"/>
      <c r="G469" s="1009"/>
      <c r="H469" s="1140"/>
      <c r="I469" s="1009"/>
      <c r="J469" s="1009"/>
      <c r="K469" s="1009"/>
      <c r="L469" s="1009"/>
      <c r="M469" s="1009"/>
      <c r="N469" s="1009"/>
      <c r="O469" s="1009"/>
      <c r="P469" s="1009"/>
      <c r="Q469" s="1009"/>
      <c r="R469" s="1009"/>
      <c r="S469" s="1009"/>
      <c r="T469" s="1009"/>
      <c r="U469" s="1009"/>
      <c r="V469" s="1009"/>
      <c r="W469" s="1009"/>
      <c r="X469" s="1009"/>
      <c r="Y469" s="1009"/>
      <c r="Z469" s="365"/>
    </row>
    <row r="470" ht="15.0" customHeight="1">
      <c r="A470" s="1009"/>
      <c r="B470" s="1009"/>
      <c r="C470" s="1009"/>
      <c r="D470" s="1009"/>
      <c r="E470" s="1009"/>
      <c r="F470" s="1009"/>
      <c r="G470" s="1009"/>
      <c r="H470" s="1140"/>
      <c r="I470" s="1009"/>
      <c r="J470" s="1009"/>
      <c r="K470" s="1009"/>
      <c r="L470" s="1009"/>
      <c r="M470" s="1009"/>
      <c r="N470" s="1009"/>
      <c r="O470" s="1009"/>
      <c r="P470" s="1009"/>
      <c r="Q470" s="1009"/>
      <c r="R470" s="1009"/>
      <c r="S470" s="1009"/>
      <c r="T470" s="1009"/>
      <c r="U470" s="1009"/>
      <c r="V470" s="1009"/>
      <c r="W470" s="1009"/>
      <c r="X470" s="1009"/>
      <c r="Y470" s="1009"/>
      <c r="Z470" s="365"/>
    </row>
    <row r="471" ht="15.0" customHeight="1">
      <c r="A471" s="1009"/>
      <c r="B471" s="1009"/>
      <c r="C471" s="1009"/>
      <c r="D471" s="1009"/>
      <c r="E471" s="1009"/>
      <c r="F471" s="1009"/>
      <c r="G471" s="1009"/>
      <c r="H471" s="1140"/>
      <c r="I471" s="1009"/>
      <c r="J471" s="1009"/>
      <c r="K471" s="1009"/>
      <c r="L471" s="1009"/>
      <c r="M471" s="1009"/>
      <c r="N471" s="1009"/>
      <c r="O471" s="1009"/>
      <c r="P471" s="1009"/>
      <c r="Q471" s="1009"/>
      <c r="R471" s="1009"/>
      <c r="S471" s="1009"/>
      <c r="T471" s="1009"/>
      <c r="U471" s="1009"/>
      <c r="V471" s="1009"/>
      <c r="W471" s="1009"/>
      <c r="X471" s="1009"/>
      <c r="Y471" s="1009"/>
      <c r="Z471" s="365"/>
    </row>
    <row r="472" ht="15.0" customHeight="1">
      <c r="A472" s="1009"/>
      <c r="B472" s="1009"/>
      <c r="C472" s="1009"/>
      <c r="D472" s="1009"/>
      <c r="E472" s="1009"/>
      <c r="F472" s="1009"/>
      <c r="G472" s="1009"/>
      <c r="H472" s="1140"/>
      <c r="I472" s="1009"/>
      <c r="J472" s="1009"/>
      <c r="K472" s="1009"/>
      <c r="L472" s="1009"/>
      <c r="M472" s="1009"/>
      <c r="N472" s="1009"/>
      <c r="O472" s="1009"/>
      <c r="P472" s="1009"/>
      <c r="Q472" s="1009"/>
      <c r="R472" s="1009"/>
      <c r="S472" s="1009"/>
      <c r="T472" s="1009"/>
      <c r="U472" s="1009"/>
      <c r="V472" s="1009"/>
      <c r="W472" s="1009"/>
      <c r="X472" s="1009"/>
      <c r="Y472" s="1009"/>
      <c r="Z472" s="365"/>
    </row>
    <row r="473" ht="15.0" customHeight="1">
      <c r="A473" s="1009"/>
      <c r="B473" s="1009"/>
      <c r="C473" s="1009"/>
      <c r="D473" s="1009"/>
      <c r="E473" s="1009"/>
      <c r="F473" s="1009"/>
      <c r="G473" s="1009"/>
      <c r="H473" s="1140"/>
      <c r="I473" s="1009"/>
      <c r="J473" s="1009"/>
      <c r="K473" s="1009"/>
      <c r="L473" s="1009"/>
      <c r="M473" s="1009"/>
      <c r="N473" s="1009"/>
      <c r="O473" s="1009"/>
      <c r="P473" s="1009"/>
      <c r="Q473" s="1009"/>
      <c r="R473" s="1009"/>
      <c r="S473" s="1009"/>
      <c r="T473" s="1009"/>
      <c r="U473" s="1009"/>
      <c r="V473" s="1009"/>
      <c r="W473" s="1009"/>
      <c r="X473" s="1009"/>
      <c r="Y473" s="1009"/>
      <c r="Z473" s="365"/>
    </row>
    <row r="474" ht="15.0" customHeight="1">
      <c r="A474" s="1009"/>
      <c r="B474" s="1009"/>
      <c r="C474" s="1009"/>
      <c r="D474" s="1009"/>
      <c r="E474" s="1009"/>
      <c r="F474" s="1009"/>
      <c r="G474" s="1009"/>
      <c r="H474" s="1140"/>
      <c r="I474" s="1009"/>
      <c r="J474" s="1009"/>
      <c r="K474" s="1009"/>
      <c r="L474" s="1009"/>
      <c r="M474" s="1009"/>
      <c r="N474" s="1009"/>
      <c r="O474" s="1009"/>
      <c r="P474" s="1009"/>
      <c r="Q474" s="1009"/>
      <c r="R474" s="1009"/>
      <c r="S474" s="1009"/>
      <c r="T474" s="1009"/>
      <c r="U474" s="1009"/>
      <c r="V474" s="1009"/>
      <c r="W474" s="1009"/>
      <c r="X474" s="1009"/>
      <c r="Y474" s="1009"/>
      <c r="Z474" s="365"/>
    </row>
    <row r="475" ht="15.0" customHeight="1">
      <c r="A475" s="1009"/>
      <c r="B475" s="1009"/>
      <c r="C475" s="1009"/>
      <c r="D475" s="1009"/>
      <c r="E475" s="1009"/>
      <c r="F475" s="1009"/>
      <c r="G475" s="1009"/>
      <c r="H475" s="1140"/>
      <c r="I475" s="1009"/>
      <c r="J475" s="1009"/>
      <c r="K475" s="1009"/>
      <c r="L475" s="1009"/>
      <c r="M475" s="1009"/>
      <c r="N475" s="1009"/>
      <c r="O475" s="1009"/>
      <c r="P475" s="1009"/>
      <c r="Q475" s="1009"/>
      <c r="R475" s="1009"/>
      <c r="S475" s="1009"/>
      <c r="T475" s="1009"/>
      <c r="U475" s="1009"/>
      <c r="V475" s="1009"/>
      <c r="W475" s="1009"/>
      <c r="X475" s="1009"/>
      <c r="Y475" s="1009"/>
      <c r="Z475" s="365"/>
    </row>
    <row r="476" ht="15.0" customHeight="1">
      <c r="A476" s="1009"/>
      <c r="B476" s="1009"/>
      <c r="C476" s="1009"/>
      <c r="D476" s="1009"/>
      <c r="E476" s="1009"/>
      <c r="F476" s="1009"/>
      <c r="G476" s="1009"/>
      <c r="H476" s="1140"/>
      <c r="I476" s="1009"/>
      <c r="J476" s="1009"/>
      <c r="K476" s="1009"/>
      <c r="L476" s="1009"/>
      <c r="M476" s="1009"/>
      <c r="N476" s="1009"/>
      <c r="O476" s="1009"/>
      <c r="P476" s="1009"/>
      <c r="Q476" s="1009"/>
      <c r="R476" s="1009"/>
      <c r="S476" s="1009"/>
      <c r="T476" s="1009"/>
      <c r="U476" s="1009"/>
      <c r="V476" s="1009"/>
      <c r="W476" s="1009"/>
      <c r="X476" s="1009"/>
      <c r="Y476" s="1009"/>
      <c r="Z476" s="365"/>
    </row>
    <row r="477" ht="15.0" customHeight="1">
      <c r="A477" s="1009"/>
      <c r="B477" s="1009"/>
      <c r="C477" s="1009"/>
      <c r="D477" s="1009"/>
      <c r="E477" s="1009"/>
      <c r="F477" s="1009"/>
      <c r="G477" s="1009"/>
      <c r="H477" s="1140"/>
      <c r="I477" s="1009"/>
      <c r="J477" s="1009"/>
      <c r="K477" s="1009"/>
      <c r="L477" s="1009"/>
      <c r="M477" s="1009"/>
      <c r="N477" s="1009"/>
      <c r="O477" s="1009"/>
      <c r="P477" s="1009"/>
      <c r="Q477" s="1009"/>
      <c r="R477" s="1009"/>
      <c r="S477" s="1009"/>
      <c r="T477" s="1009"/>
      <c r="U477" s="1009"/>
      <c r="V477" s="1009"/>
      <c r="W477" s="1009"/>
      <c r="X477" s="1009"/>
      <c r="Y477" s="1009"/>
      <c r="Z477" s="365"/>
    </row>
    <row r="478" ht="15.0" customHeight="1">
      <c r="A478" s="1009"/>
      <c r="B478" s="1009"/>
      <c r="C478" s="1009"/>
      <c r="D478" s="1009"/>
      <c r="E478" s="1009"/>
      <c r="F478" s="1009"/>
      <c r="G478" s="1009"/>
      <c r="H478" s="1140"/>
      <c r="I478" s="1009"/>
      <c r="J478" s="1009"/>
      <c r="K478" s="1009"/>
      <c r="L478" s="1009"/>
      <c r="M478" s="1009"/>
      <c r="N478" s="1009"/>
      <c r="O478" s="1009"/>
      <c r="P478" s="1009"/>
      <c r="Q478" s="1009"/>
      <c r="R478" s="1009"/>
      <c r="S478" s="1009"/>
      <c r="T478" s="1009"/>
      <c r="U478" s="1009"/>
      <c r="V478" s="1009"/>
      <c r="W478" s="1009"/>
      <c r="X478" s="1009"/>
      <c r="Y478" s="1009"/>
      <c r="Z478" s="365"/>
    </row>
    <row r="479" ht="15.0" customHeight="1">
      <c r="A479" s="1009"/>
      <c r="B479" s="1009"/>
      <c r="C479" s="1009"/>
      <c r="D479" s="1009"/>
      <c r="E479" s="1009"/>
      <c r="F479" s="1009"/>
      <c r="G479" s="1009"/>
      <c r="H479" s="1140"/>
      <c r="I479" s="1009"/>
      <c r="J479" s="1009"/>
      <c r="K479" s="1009"/>
      <c r="L479" s="1009"/>
      <c r="M479" s="1009"/>
      <c r="N479" s="1009"/>
      <c r="O479" s="1009"/>
      <c r="P479" s="1009"/>
      <c r="Q479" s="1009"/>
      <c r="R479" s="1009"/>
      <c r="S479" s="1009"/>
      <c r="T479" s="1009"/>
      <c r="U479" s="1009"/>
      <c r="V479" s="1009"/>
      <c r="W479" s="1009"/>
      <c r="X479" s="1009"/>
      <c r="Y479" s="1009"/>
      <c r="Z479" s="365"/>
    </row>
    <row r="480" ht="15.0" customHeight="1">
      <c r="A480" s="1009"/>
      <c r="B480" s="1009"/>
      <c r="C480" s="1009"/>
      <c r="D480" s="1009"/>
      <c r="E480" s="1009"/>
      <c r="F480" s="1009"/>
      <c r="G480" s="1009"/>
      <c r="H480" s="1140"/>
      <c r="I480" s="1009"/>
      <c r="J480" s="1009"/>
      <c r="K480" s="1009"/>
      <c r="L480" s="1009"/>
      <c r="M480" s="1009"/>
      <c r="N480" s="1009"/>
      <c r="O480" s="1009"/>
      <c r="P480" s="1009"/>
      <c r="Q480" s="1009"/>
      <c r="R480" s="1009"/>
      <c r="S480" s="1009"/>
      <c r="T480" s="1009"/>
      <c r="U480" s="1009"/>
      <c r="V480" s="1009"/>
      <c r="W480" s="1009"/>
      <c r="X480" s="1009"/>
      <c r="Y480" s="1009"/>
      <c r="Z480" s="365"/>
    </row>
    <row r="481" ht="15.0" customHeight="1">
      <c r="A481" s="1009"/>
      <c r="B481" s="1009"/>
      <c r="C481" s="1009"/>
      <c r="D481" s="1009"/>
      <c r="E481" s="1009"/>
      <c r="F481" s="1009"/>
      <c r="G481" s="1009"/>
      <c r="H481" s="1140"/>
      <c r="I481" s="1009"/>
      <c r="J481" s="1009"/>
      <c r="K481" s="1009"/>
      <c r="L481" s="1009"/>
      <c r="M481" s="1009"/>
      <c r="N481" s="1009"/>
      <c r="O481" s="1009"/>
      <c r="P481" s="1009"/>
      <c r="Q481" s="1009"/>
      <c r="R481" s="1009"/>
      <c r="S481" s="1009"/>
      <c r="T481" s="1009"/>
      <c r="U481" s="1009"/>
      <c r="V481" s="1009"/>
      <c r="W481" s="1009"/>
      <c r="X481" s="1009"/>
      <c r="Y481" s="1009"/>
      <c r="Z481" s="365"/>
    </row>
    <row r="482" ht="15.0" customHeight="1">
      <c r="A482" s="1009"/>
      <c r="B482" s="1009"/>
      <c r="C482" s="1009"/>
      <c r="D482" s="1009"/>
      <c r="E482" s="1009"/>
      <c r="F482" s="1009"/>
      <c r="G482" s="1009"/>
      <c r="H482" s="1140"/>
      <c r="I482" s="1009"/>
      <c r="J482" s="1009"/>
      <c r="K482" s="1009"/>
      <c r="L482" s="1009"/>
      <c r="M482" s="1009"/>
      <c r="N482" s="1009"/>
      <c r="O482" s="1009"/>
      <c r="P482" s="1009"/>
      <c r="Q482" s="1009"/>
      <c r="R482" s="1009"/>
      <c r="S482" s="1009"/>
      <c r="T482" s="1009"/>
      <c r="U482" s="1009"/>
      <c r="V482" s="1009"/>
      <c r="W482" s="1009"/>
      <c r="X482" s="1009"/>
      <c r="Y482" s="1009"/>
      <c r="Z482" s="365"/>
    </row>
    <row r="483" ht="15.0" customHeight="1">
      <c r="A483" s="1009"/>
      <c r="B483" s="1009"/>
      <c r="C483" s="1009"/>
      <c r="D483" s="1009"/>
      <c r="E483" s="1009"/>
      <c r="F483" s="1009"/>
      <c r="G483" s="1009"/>
      <c r="H483" s="1140"/>
      <c r="I483" s="1009"/>
      <c r="J483" s="1009"/>
      <c r="K483" s="1009"/>
      <c r="L483" s="1009"/>
      <c r="M483" s="1009"/>
      <c r="N483" s="1009"/>
      <c r="O483" s="1009"/>
      <c r="P483" s="1009"/>
      <c r="Q483" s="1009"/>
      <c r="R483" s="1009"/>
      <c r="S483" s="1009"/>
      <c r="T483" s="1009"/>
      <c r="U483" s="1009"/>
      <c r="V483" s="1009"/>
      <c r="W483" s="1009"/>
      <c r="X483" s="1009"/>
      <c r="Y483" s="1009"/>
      <c r="Z483" s="365"/>
    </row>
    <row r="484" ht="15.0" customHeight="1">
      <c r="A484" s="1009"/>
      <c r="B484" s="1009"/>
      <c r="C484" s="1009"/>
      <c r="D484" s="1009"/>
      <c r="E484" s="1009"/>
      <c r="F484" s="1009"/>
      <c r="G484" s="1009"/>
      <c r="H484" s="1140"/>
      <c r="I484" s="1009"/>
      <c r="J484" s="1009"/>
      <c r="K484" s="1009"/>
      <c r="L484" s="1009"/>
      <c r="M484" s="1009"/>
      <c r="N484" s="1009"/>
      <c r="O484" s="1009"/>
      <c r="P484" s="1009"/>
      <c r="Q484" s="1009"/>
      <c r="R484" s="1009"/>
      <c r="S484" s="1009"/>
      <c r="T484" s="1009"/>
      <c r="U484" s="1009"/>
      <c r="V484" s="1009"/>
      <c r="W484" s="1009"/>
      <c r="X484" s="1009"/>
      <c r="Y484" s="1009"/>
      <c r="Z484" s="365"/>
    </row>
    <row r="485" ht="15.0" customHeight="1">
      <c r="A485" s="1009"/>
      <c r="B485" s="1009"/>
      <c r="C485" s="1009"/>
      <c r="D485" s="1009"/>
      <c r="E485" s="1009"/>
      <c r="F485" s="1009"/>
      <c r="G485" s="1009"/>
      <c r="H485" s="1140"/>
      <c r="I485" s="1009"/>
      <c r="J485" s="1009"/>
      <c r="K485" s="1009"/>
      <c r="L485" s="1009"/>
      <c r="M485" s="1009"/>
      <c r="N485" s="1009"/>
      <c r="O485" s="1009"/>
      <c r="P485" s="1009"/>
      <c r="Q485" s="1009"/>
      <c r="R485" s="1009"/>
      <c r="S485" s="1009"/>
      <c r="T485" s="1009"/>
      <c r="U485" s="1009"/>
      <c r="V485" s="1009"/>
      <c r="W485" s="1009"/>
      <c r="X485" s="1009"/>
      <c r="Y485" s="1009"/>
      <c r="Z485" s="365"/>
    </row>
    <row r="486" ht="15.0" customHeight="1">
      <c r="A486" s="1009"/>
      <c r="B486" s="1009"/>
      <c r="C486" s="1009"/>
      <c r="D486" s="1009"/>
      <c r="E486" s="1009"/>
      <c r="F486" s="1009"/>
      <c r="G486" s="1009"/>
      <c r="H486" s="1140"/>
      <c r="I486" s="1009"/>
      <c r="J486" s="1009"/>
      <c r="K486" s="1009"/>
      <c r="L486" s="1009"/>
      <c r="M486" s="1009"/>
      <c r="N486" s="1009"/>
      <c r="O486" s="1009"/>
      <c r="P486" s="1009"/>
      <c r="Q486" s="1009"/>
      <c r="R486" s="1009"/>
      <c r="S486" s="1009"/>
      <c r="T486" s="1009"/>
      <c r="U486" s="1009"/>
      <c r="V486" s="1009"/>
      <c r="W486" s="1009"/>
      <c r="X486" s="1009"/>
      <c r="Y486" s="1009"/>
      <c r="Z486" s="365"/>
    </row>
    <row r="487" ht="15.0" customHeight="1">
      <c r="A487" s="1009"/>
      <c r="B487" s="1009"/>
      <c r="C487" s="1009"/>
      <c r="D487" s="1009"/>
      <c r="E487" s="1009"/>
      <c r="F487" s="1009"/>
      <c r="G487" s="1009"/>
      <c r="H487" s="1140"/>
      <c r="I487" s="1009"/>
      <c r="J487" s="1009"/>
      <c r="K487" s="1009"/>
      <c r="L487" s="1009"/>
      <c r="M487" s="1009"/>
      <c r="N487" s="1009"/>
      <c r="O487" s="1009"/>
      <c r="P487" s="1009"/>
      <c r="Q487" s="1009"/>
      <c r="R487" s="1009"/>
      <c r="S487" s="1009"/>
      <c r="T487" s="1009"/>
      <c r="U487" s="1009"/>
      <c r="V487" s="1009"/>
      <c r="W487" s="1009"/>
      <c r="X487" s="1009"/>
      <c r="Y487" s="1009"/>
      <c r="Z487" s="365"/>
    </row>
    <row r="488" ht="15.0" customHeight="1">
      <c r="A488" s="1009"/>
      <c r="B488" s="1009"/>
      <c r="C488" s="1009"/>
      <c r="D488" s="1009"/>
      <c r="E488" s="1009"/>
      <c r="F488" s="1009"/>
      <c r="G488" s="1009"/>
      <c r="H488" s="1140"/>
      <c r="I488" s="1009"/>
      <c r="J488" s="1009"/>
      <c r="K488" s="1009"/>
      <c r="L488" s="1009"/>
      <c r="M488" s="1009"/>
      <c r="N488" s="1009"/>
      <c r="O488" s="1009"/>
      <c r="P488" s="1009"/>
      <c r="Q488" s="1009"/>
      <c r="R488" s="1009"/>
      <c r="S488" s="1009"/>
      <c r="T488" s="1009"/>
      <c r="U488" s="1009"/>
      <c r="V488" s="1009"/>
      <c r="W488" s="1009"/>
      <c r="X488" s="1009"/>
      <c r="Y488" s="1009"/>
      <c r="Z488" s="365"/>
    </row>
    <row r="489" ht="15.0" customHeight="1">
      <c r="A489" s="1009"/>
      <c r="B489" s="1009"/>
      <c r="C489" s="1009"/>
      <c r="D489" s="1009"/>
      <c r="E489" s="1009"/>
      <c r="F489" s="1009"/>
      <c r="G489" s="1009"/>
      <c r="H489" s="1140"/>
      <c r="I489" s="1009"/>
      <c r="J489" s="1009"/>
      <c r="K489" s="1009"/>
      <c r="L489" s="1009"/>
      <c r="M489" s="1009"/>
      <c r="N489" s="1009"/>
      <c r="O489" s="1009"/>
      <c r="P489" s="1009"/>
      <c r="Q489" s="1009"/>
      <c r="R489" s="1009"/>
      <c r="S489" s="1009"/>
      <c r="T489" s="1009"/>
      <c r="U489" s="1009"/>
      <c r="V489" s="1009"/>
      <c r="W489" s="1009"/>
      <c r="X489" s="1009"/>
      <c r="Y489" s="1009"/>
      <c r="Z489" s="365"/>
    </row>
    <row r="490" ht="15.0" customHeight="1">
      <c r="A490" s="1009"/>
      <c r="B490" s="1009"/>
      <c r="C490" s="1009"/>
      <c r="D490" s="1009"/>
      <c r="E490" s="1009"/>
      <c r="F490" s="1009"/>
      <c r="G490" s="1009"/>
      <c r="H490" s="1140"/>
      <c r="I490" s="1009"/>
      <c r="J490" s="1009"/>
      <c r="K490" s="1009"/>
      <c r="L490" s="1009"/>
      <c r="M490" s="1009"/>
      <c r="N490" s="1009"/>
      <c r="O490" s="1009"/>
      <c r="P490" s="1009"/>
      <c r="Q490" s="1009"/>
      <c r="R490" s="1009"/>
      <c r="S490" s="1009"/>
      <c r="T490" s="1009"/>
      <c r="U490" s="1009"/>
      <c r="V490" s="1009"/>
      <c r="W490" s="1009"/>
      <c r="X490" s="1009"/>
      <c r="Y490" s="1009"/>
      <c r="Z490" s="365"/>
    </row>
    <row r="491" ht="15.0" customHeight="1">
      <c r="A491" s="1009"/>
      <c r="B491" s="1009"/>
      <c r="C491" s="1009"/>
      <c r="D491" s="1009"/>
      <c r="E491" s="1009"/>
      <c r="F491" s="1009"/>
      <c r="G491" s="1009"/>
      <c r="H491" s="1140"/>
      <c r="I491" s="1009"/>
      <c r="J491" s="1009"/>
      <c r="K491" s="1009"/>
      <c r="L491" s="1009"/>
      <c r="M491" s="1009"/>
      <c r="N491" s="1009"/>
      <c r="O491" s="1009"/>
      <c r="P491" s="1009"/>
      <c r="Q491" s="1009"/>
      <c r="R491" s="1009"/>
      <c r="S491" s="1009"/>
      <c r="T491" s="1009"/>
      <c r="U491" s="1009"/>
      <c r="V491" s="1009"/>
      <c r="W491" s="1009"/>
      <c r="X491" s="1009"/>
      <c r="Y491" s="1009"/>
      <c r="Z491" s="365"/>
    </row>
    <row r="492" ht="15.0" customHeight="1">
      <c r="A492" s="1009"/>
      <c r="B492" s="1009"/>
      <c r="C492" s="1009"/>
      <c r="D492" s="1009"/>
      <c r="E492" s="1009"/>
      <c r="F492" s="1009"/>
      <c r="G492" s="1009"/>
      <c r="H492" s="1140"/>
      <c r="I492" s="1009"/>
      <c r="J492" s="1009"/>
      <c r="K492" s="1009"/>
      <c r="L492" s="1009"/>
      <c r="M492" s="1009"/>
      <c r="N492" s="1009"/>
      <c r="O492" s="1009"/>
      <c r="P492" s="1009"/>
      <c r="Q492" s="1009"/>
      <c r="R492" s="1009"/>
      <c r="S492" s="1009"/>
      <c r="T492" s="1009"/>
      <c r="U492" s="1009"/>
      <c r="V492" s="1009"/>
      <c r="W492" s="1009"/>
      <c r="X492" s="1009"/>
      <c r="Y492" s="1009"/>
      <c r="Z492" s="365"/>
    </row>
    <row r="493" ht="15.0" customHeight="1">
      <c r="A493" s="1009"/>
      <c r="B493" s="1009"/>
      <c r="C493" s="1009"/>
      <c r="D493" s="1009"/>
      <c r="E493" s="1009"/>
      <c r="F493" s="1009"/>
      <c r="G493" s="1009"/>
      <c r="H493" s="1140"/>
      <c r="I493" s="1009"/>
      <c r="J493" s="1009"/>
      <c r="K493" s="1009"/>
      <c r="L493" s="1009"/>
      <c r="M493" s="1009"/>
      <c r="N493" s="1009"/>
      <c r="O493" s="1009"/>
      <c r="P493" s="1009"/>
      <c r="Q493" s="1009"/>
      <c r="R493" s="1009"/>
      <c r="S493" s="1009"/>
      <c r="T493" s="1009"/>
      <c r="U493" s="1009"/>
      <c r="V493" s="1009"/>
      <c r="W493" s="1009"/>
      <c r="X493" s="1009"/>
      <c r="Y493" s="1009"/>
      <c r="Z493" s="365"/>
    </row>
    <row r="494" ht="15.0" customHeight="1">
      <c r="A494" s="1009"/>
      <c r="B494" s="1009"/>
      <c r="C494" s="1009"/>
      <c r="D494" s="1009"/>
      <c r="E494" s="1009"/>
      <c r="F494" s="1009"/>
      <c r="G494" s="1009"/>
      <c r="H494" s="1140"/>
      <c r="I494" s="1009"/>
      <c r="J494" s="1009"/>
      <c r="K494" s="1009"/>
      <c r="L494" s="1009"/>
      <c r="M494" s="1009"/>
      <c r="N494" s="1009"/>
      <c r="O494" s="1009"/>
      <c r="P494" s="1009"/>
      <c r="Q494" s="1009"/>
      <c r="R494" s="1009"/>
      <c r="S494" s="1009"/>
      <c r="T494" s="1009"/>
      <c r="U494" s="1009"/>
      <c r="V494" s="1009"/>
      <c r="W494" s="1009"/>
      <c r="X494" s="1009"/>
      <c r="Y494" s="1009"/>
      <c r="Z494" s="365"/>
    </row>
    <row r="495" ht="15.0" customHeight="1">
      <c r="A495" s="1009"/>
      <c r="B495" s="1009"/>
      <c r="C495" s="1009"/>
      <c r="D495" s="1009"/>
      <c r="E495" s="1009"/>
      <c r="F495" s="1009"/>
      <c r="G495" s="1009"/>
      <c r="H495" s="1140"/>
      <c r="I495" s="1009"/>
      <c r="J495" s="1009"/>
      <c r="K495" s="1009"/>
      <c r="L495" s="1009"/>
      <c r="M495" s="1009"/>
      <c r="N495" s="1009"/>
      <c r="O495" s="1009"/>
      <c r="P495" s="1009"/>
      <c r="Q495" s="1009"/>
      <c r="R495" s="1009"/>
      <c r="S495" s="1009"/>
      <c r="T495" s="1009"/>
      <c r="U495" s="1009"/>
      <c r="V495" s="1009"/>
      <c r="W495" s="1009"/>
      <c r="X495" s="1009"/>
      <c r="Y495" s="1009"/>
      <c r="Z495" s="365"/>
    </row>
    <row r="496" ht="15.0" customHeight="1">
      <c r="A496" s="1009"/>
      <c r="B496" s="1009"/>
      <c r="C496" s="1009"/>
      <c r="D496" s="1009"/>
      <c r="E496" s="1009"/>
      <c r="F496" s="1009"/>
      <c r="G496" s="1009"/>
      <c r="H496" s="1140"/>
      <c r="I496" s="1009"/>
      <c r="J496" s="1009"/>
      <c r="K496" s="1009"/>
      <c r="L496" s="1009"/>
      <c r="M496" s="1009"/>
      <c r="N496" s="1009"/>
      <c r="O496" s="1009"/>
      <c r="P496" s="1009"/>
      <c r="Q496" s="1009"/>
      <c r="R496" s="1009"/>
      <c r="S496" s="1009"/>
      <c r="T496" s="1009"/>
      <c r="U496" s="1009"/>
      <c r="V496" s="1009"/>
      <c r="W496" s="1009"/>
      <c r="X496" s="1009"/>
      <c r="Y496" s="1009"/>
      <c r="Z496" s="365"/>
    </row>
    <row r="497" ht="15.0" customHeight="1">
      <c r="A497" s="1009"/>
      <c r="B497" s="1009"/>
      <c r="C497" s="1009"/>
      <c r="D497" s="1009"/>
      <c r="E497" s="1009"/>
      <c r="F497" s="1009"/>
      <c r="G497" s="1009"/>
      <c r="H497" s="1140"/>
      <c r="I497" s="1009"/>
      <c r="J497" s="1009"/>
      <c r="K497" s="1009"/>
      <c r="L497" s="1009"/>
      <c r="M497" s="1009"/>
      <c r="N497" s="1009"/>
      <c r="O497" s="1009"/>
      <c r="P497" s="1009"/>
      <c r="Q497" s="1009"/>
      <c r="R497" s="1009"/>
      <c r="S497" s="1009"/>
      <c r="T497" s="1009"/>
      <c r="U497" s="1009"/>
      <c r="V497" s="1009"/>
      <c r="W497" s="1009"/>
      <c r="X497" s="1009"/>
      <c r="Y497" s="1009"/>
      <c r="Z497" s="365"/>
    </row>
    <row r="498" ht="15.0" customHeight="1">
      <c r="A498" s="1009"/>
      <c r="B498" s="1009"/>
      <c r="C498" s="1009"/>
      <c r="D498" s="1009"/>
      <c r="E498" s="1009"/>
      <c r="F498" s="1009"/>
      <c r="G498" s="1009"/>
      <c r="H498" s="1140"/>
      <c r="I498" s="1009"/>
      <c r="J498" s="1009"/>
      <c r="K498" s="1009"/>
      <c r="L498" s="1009"/>
      <c r="M498" s="1009"/>
      <c r="N498" s="1009"/>
      <c r="O498" s="1009"/>
      <c r="P498" s="1009"/>
      <c r="Q498" s="1009"/>
      <c r="R498" s="1009"/>
      <c r="S498" s="1009"/>
      <c r="T498" s="1009"/>
      <c r="U498" s="1009"/>
      <c r="V498" s="1009"/>
      <c r="W498" s="1009"/>
      <c r="X498" s="1009"/>
      <c r="Y498" s="1009"/>
      <c r="Z498" s="365"/>
    </row>
    <row r="499" ht="15.0" customHeight="1">
      <c r="A499" s="1009"/>
      <c r="B499" s="1009"/>
      <c r="C499" s="1009"/>
      <c r="D499" s="1009"/>
      <c r="E499" s="1009"/>
      <c r="F499" s="1009"/>
      <c r="G499" s="1009"/>
      <c r="H499" s="1140"/>
      <c r="I499" s="1009"/>
      <c r="J499" s="1009"/>
      <c r="K499" s="1009"/>
      <c r="L499" s="1009"/>
      <c r="M499" s="1009"/>
      <c r="N499" s="1009"/>
      <c r="O499" s="1009"/>
      <c r="P499" s="1009"/>
      <c r="Q499" s="1009"/>
      <c r="R499" s="1009"/>
      <c r="S499" s="1009"/>
      <c r="T499" s="1009"/>
      <c r="U499" s="1009"/>
      <c r="V499" s="1009"/>
      <c r="W499" s="1009"/>
      <c r="X499" s="1009"/>
      <c r="Y499" s="1009"/>
      <c r="Z499" s="365"/>
    </row>
    <row r="500" ht="15.0" customHeight="1">
      <c r="A500" s="1152" t="s">
        <v>1790</v>
      </c>
      <c r="E500" s="1009"/>
      <c r="F500" s="1009"/>
      <c r="G500" s="1009"/>
      <c r="H500" s="1140"/>
      <c r="I500" s="1009"/>
      <c r="J500" s="1009"/>
      <c r="K500" s="1009"/>
      <c r="L500" s="1009"/>
      <c r="M500" s="1009"/>
      <c r="N500" s="1009"/>
      <c r="O500" s="1009"/>
      <c r="P500" s="1009"/>
      <c r="Q500" s="1009"/>
      <c r="R500" s="1009"/>
      <c r="S500" s="1009"/>
      <c r="T500" s="1009"/>
      <c r="U500" s="1009"/>
      <c r="V500" s="1009"/>
      <c r="W500" s="1009"/>
      <c r="X500" s="1009"/>
      <c r="Y500" s="1009"/>
      <c r="Z500" s="365"/>
    </row>
    <row r="501" ht="15.75" customHeight="1">
      <c r="A501" s="365"/>
      <c r="B501" s="365"/>
      <c r="C501" s="365"/>
      <c r="D501" s="365"/>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5.75" customHeight="1">
      <c r="A502" s="365"/>
      <c r="B502" s="365"/>
      <c r="C502" s="365"/>
      <c r="D502" s="365"/>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5.75" customHeight="1">
      <c r="A503" s="365"/>
      <c r="B503" s="365"/>
      <c r="C503" s="365"/>
      <c r="D503" s="365"/>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5.75" customHeight="1">
      <c r="A504" s="365"/>
      <c r="B504" s="365"/>
      <c r="C504" s="365"/>
      <c r="D504" s="365"/>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5.75" customHeight="1">
      <c r="A505" s="365"/>
      <c r="B505" s="365"/>
      <c r="C505" s="365"/>
      <c r="D505" s="365"/>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5.75" customHeight="1">
      <c r="A506" s="365"/>
      <c r="B506" s="365"/>
      <c r="C506" s="365"/>
      <c r="D506" s="365"/>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5.75" customHeight="1">
      <c r="A507" s="365"/>
      <c r="B507" s="365"/>
      <c r="C507" s="365"/>
      <c r="D507" s="365"/>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5.75" customHeight="1">
      <c r="A508" s="365"/>
      <c r="B508" s="365"/>
      <c r="C508" s="365"/>
      <c r="D508" s="365"/>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5.75" customHeight="1">
      <c r="A509" s="365"/>
      <c r="B509" s="365"/>
      <c r="C509" s="365"/>
      <c r="D509" s="365"/>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5.75" customHeight="1">
      <c r="A510" s="365"/>
      <c r="B510" s="365"/>
      <c r="C510" s="365"/>
      <c r="D510" s="365"/>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5.75" customHeight="1">
      <c r="A511" s="365"/>
      <c r="B511" s="365"/>
      <c r="C511" s="365"/>
      <c r="D511" s="365"/>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5.75" customHeight="1">
      <c r="A512" s="365"/>
      <c r="B512" s="365"/>
      <c r="C512" s="365"/>
      <c r="D512" s="365"/>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5.75" customHeight="1">
      <c r="A513" s="365"/>
      <c r="B513" s="365"/>
      <c r="C513" s="365"/>
      <c r="D513" s="365"/>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5.75" customHeight="1">
      <c r="A514" s="365"/>
      <c r="B514" s="365"/>
      <c r="C514" s="365"/>
      <c r="D514" s="365"/>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5.75" customHeight="1">
      <c r="A515" s="365"/>
      <c r="B515" s="365"/>
      <c r="C515" s="365"/>
      <c r="D515" s="365"/>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5.75" customHeight="1">
      <c r="A516" s="365"/>
      <c r="B516" s="365"/>
      <c r="C516" s="365"/>
      <c r="D516" s="365"/>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5.75" customHeight="1">
      <c r="A517" s="365"/>
      <c r="B517" s="365"/>
      <c r="C517" s="365"/>
      <c r="D517" s="365"/>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5.75" customHeight="1">
      <c r="A518" s="365"/>
      <c r="B518" s="365"/>
      <c r="C518" s="365"/>
      <c r="D518" s="365"/>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5.75" customHeight="1">
      <c r="A519" s="365"/>
      <c r="B519" s="365"/>
      <c r="C519" s="365"/>
      <c r="D519" s="365"/>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5.75" customHeight="1">
      <c r="A520" s="365"/>
      <c r="B520" s="365"/>
      <c r="C520" s="365"/>
      <c r="D520" s="365"/>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5.75" customHeight="1">
      <c r="A521" s="365"/>
      <c r="B521" s="365"/>
      <c r="C521" s="365"/>
      <c r="D521" s="365"/>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5.75" customHeight="1">
      <c r="A522" s="365"/>
      <c r="B522" s="365"/>
      <c r="C522" s="365"/>
      <c r="D522" s="365"/>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5.75" customHeight="1">
      <c r="A523" s="365"/>
      <c r="B523" s="365"/>
      <c r="C523" s="365"/>
      <c r="D523" s="365"/>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5.75" customHeight="1">
      <c r="A524" s="365"/>
      <c r="B524" s="365"/>
      <c r="C524" s="365"/>
      <c r="D524" s="365"/>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5.75" customHeight="1">
      <c r="A525" s="365"/>
      <c r="B525" s="365"/>
      <c r="C525" s="365"/>
      <c r="D525" s="365"/>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5.75" customHeight="1">
      <c r="A526" s="365"/>
      <c r="B526" s="365"/>
      <c r="C526" s="365"/>
      <c r="D526" s="365"/>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5.75" customHeight="1">
      <c r="A527" s="365"/>
      <c r="B527" s="365"/>
      <c r="C527" s="365"/>
      <c r="D527" s="365"/>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5.75" customHeight="1">
      <c r="A528" s="365"/>
      <c r="B528" s="365"/>
      <c r="C528" s="365"/>
      <c r="D528" s="365"/>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5.75" customHeight="1">
      <c r="A529" s="365"/>
      <c r="B529" s="365"/>
      <c r="C529" s="365"/>
      <c r="D529" s="365"/>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5.75" customHeight="1">
      <c r="A530" s="365"/>
      <c r="B530" s="365"/>
      <c r="C530" s="365"/>
      <c r="D530" s="365"/>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5.75" customHeight="1">
      <c r="A531" s="365"/>
      <c r="B531" s="365"/>
      <c r="C531" s="365"/>
      <c r="D531" s="365"/>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5.75" customHeight="1">
      <c r="A532" s="365"/>
      <c r="B532" s="365"/>
      <c r="C532" s="365"/>
      <c r="D532" s="365"/>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5.75" customHeight="1">
      <c r="A533" s="365"/>
      <c r="B533" s="365"/>
      <c r="C533" s="365"/>
      <c r="D533" s="365"/>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5.75" customHeight="1">
      <c r="A534" s="365"/>
      <c r="B534" s="365"/>
      <c r="C534" s="365"/>
      <c r="D534" s="365"/>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5.75" customHeight="1">
      <c r="A535" s="365"/>
      <c r="B535" s="365"/>
      <c r="C535" s="365"/>
      <c r="D535" s="365"/>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5.75" customHeight="1">
      <c r="A536" s="365"/>
      <c r="B536" s="365"/>
      <c r="C536" s="365"/>
      <c r="D536" s="365"/>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5.75" customHeight="1">
      <c r="A537" s="365"/>
      <c r="B537" s="365"/>
      <c r="C537" s="365"/>
      <c r="D537" s="365"/>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5.75" customHeight="1">
      <c r="A538" s="365"/>
      <c r="B538" s="365"/>
      <c r="C538" s="365"/>
      <c r="D538" s="365"/>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5.75" customHeight="1">
      <c r="A539" s="365"/>
      <c r="B539" s="365"/>
      <c r="C539" s="365"/>
      <c r="D539" s="365"/>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5.75" customHeight="1">
      <c r="A540" s="365"/>
      <c r="B540" s="365"/>
      <c r="C540" s="365"/>
      <c r="D540" s="365"/>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5.75" customHeight="1">
      <c r="A541" s="365"/>
      <c r="B541" s="365"/>
      <c r="C541" s="365"/>
      <c r="D541" s="365"/>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5.75" customHeight="1">
      <c r="A542" s="365"/>
      <c r="B542" s="365"/>
      <c r="C542" s="365"/>
      <c r="D542" s="365"/>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5.75" customHeight="1">
      <c r="A543" s="365"/>
      <c r="B543" s="365"/>
      <c r="C543" s="365"/>
      <c r="D543" s="365"/>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5.75" customHeight="1">
      <c r="A544" s="365"/>
      <c r="B544" s="365"/>
      <c r="C544" s="365"/>
      <c r="D544" s="365"/>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5.75" customHeight="1">
      <c r="A545" s="365"/>
      <c r="B545" s="365"/>
      <c r="C545" s="365"/>
      <c r="D545" s="365"/>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5.75" customHeight="1">
      <c r="A546" s="365"/>
      <c r="B546" s="365"/>
      <c r="C546" s="365"/>
      <c r="D546" s="365"/>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5.75" customHeight="1">
      <c r="A547" s="365"/>
      <c r="B547" s="365"/>
      <c r="C547" s="365"/>
      <c r="D547" s="365"/>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5.75" customHeight="1">
      <c r="A548" s="365"/>
      <c r="B548" s="365"/>
      <c r="C548" s="365"/>
      <c r="D548" s="365"/>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5.75" customHeight="1">
      <c r="A549" s="365"/>
      <c r="B549" s="365"/>
      <c r="C549" s="365"/>
      <c r="D549" s="365"/>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5.75" customHeight="1">
      <c r="A550" s="365"/>
      <c r="B550" s="365"/>
      <c r="C550" s="365"/>
      <c r="D550" s="365"/>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5.75" customHeight="1">
      <c r="A551" s="365"/>
      <c r="B551" s="365"/>
      <c r="C551" s="365"/>
      <c r="D551" s="365"/>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5.75" customHeight="1">
      <c r="A552" s="365"/>
      <c r="B552" s="365"/>
      <c r="C552" s="365"/>
      <c r="D552" s="365"/>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5.75" customHeight="1">
      <c r="A553" s="365"/>
      <c r="B553" s="365"/>
      <c r="C553" s="365"/>
      <c r="D553" s="365"/>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5.75" customHeight="1">
      <c r="A554" s="365"/>
      <c r="B554" s="365"/>
      <c r="C554" s="365"/>
      <c r="D554" s="365"/>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5.75" customHeight="1">
      <c r="A555" s="365"/>
      <c r="B555" s="365"/>
      <c r="C555" s="365"/>
      <c r="D555" s="365"/>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5.75" customHeight="1">
      <c r="A556" s="365"/>
      <c r="B556" s="365"/>
      <c r="C556" s="365"/>
      <c r="D556" s="365"/>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5.75" customHeight="1">
      <c r="A557" s="365"/>
      <c r="B557" s="365"/>
      <c r="C557" s="365"/>
      <c r="D557" s="365"/>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5.75" customHeight="1">
      <c r="A558" s="365"/>
      <c r="B558" s="365"/>
      <c r="C558" s="365"/>
      <c r="D558" s="365"/>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5.75" customHeight="1">
      <c r="A559" s="365"/>
      <c r="B559" s="365"/>
      <c r="C559" s="365"/>
      <c r="D559" s="365"/>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5.75" customHeight="1">
      <c r="A560" s="365"/>
      <c r="B560" s="365"/>
      <c r="C560" s="365"/>
      <c r="D560" s="365"/>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5.75" customHeight="1">
      <c r="A561" s="365"/>
      <c r="B561" s="365"/>
      <c r="C561" s="365"/>
      <c r="D561" s="365"/>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5.75" customHeight="1">
      <c r="A562" s="365"/>
      <c r="B562" s="365"/>
      <c r="C562" s="365"/>
      <c r="D562" s="365"/>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5.75" customHeight="1">
      <c r="A563" s="365"/>
      <c r="B563" s="365"/>
      <c r="C563" s="365"/>
      <c r="D563" s="365"/>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5.75" customHeight="1">
      <c r="A564" s="365"/>
      <c r="B564" s="365"/>
      <c r="C564" s="365"/>
      <c r="D564" s="365"/>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5.75" customHeight="1">
      <c r="A565" s="365"/>
      <c r="B565" s="365"/>
      <c r="C565" s="365"/>
      <c r="D565" s="365"/>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5.75" customHeight="1">
      <c r="A566" s="365"/>
      <c r="B566" s="365"/>
      <c r="C566" s="365"/>
      <c r="D566" s="365"/>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5.75" customHeight="1">
      <c r="A567" s="365"/>
      <c r="B567" s="365"/>
      <c r="C567" s="365"/>
      <c r="D567" s="365"/>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5.75" customHeight="1">
      <c r="A568" s="365"/>
      <c r="B568" s="365"/>
      <c r="C568" s="365"/>
      <c r="D568" s="365"/>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5.75" customHeight="1">
      <c r="A569" s="365"/>
      <c r="B569" s="365"/>
      <c r="C569" s="365"/>
      <c r="D569" s="365"/>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5.75" customHeight="1">
      <c r="A570" s="365"/>
      <c r="B570" s="365"/>
      <c r="C570" s="365"/>
      <c r="D570" s="365"/>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5.75" customHeight="1">
      <c r="A571" s="365"/>
      <c r="B571" s="365"/>
      <c r="C571" s="365"/>
      <c r="D571" s="365"/>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5.75" customHeight="1">
      <c r="A572" s="365"/>
      <c r="B572" s="365"/>
      <c r="C572" s="365"/>
      <c r="D572" s="365"/>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5.75" customHeight="1">
      <c r="A573" s="365"/>
      <c r="B573" s="365"/>
      <c r="C573" s="365"/>
      <c r="D573" s="365"/>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5.75" customHeight="1">
      <c r="A574" s="365"/>
      <c r="B574" s="365"/>
      <c r="C574" s="365"/>
      <c r="D574" s="365"/>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5.75" customHeight="1">
      <c r="A575" s="365"/>
      <c r="B575" s="365"/>
      <c r="C575" s="365"/>
      <c r="D575" s="365"/>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5.75" customHeight="1">
      <c r="A576" s="365"/>
      <c r="B576" s="365"/>
      <c r="C576" s="365"/>
      <c r="D576" s="365"/>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5.75" customHeight="1">
      <c r="A577" s="365"/>
      <c r="B577" s="365"/>
      <c r="C577" s="365"/>
      <c r="D577" s="365"/>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5.75" customHeight="1">
      <c r="A578" s="365"/>
      <c r="B578" s="365"/>
      <c r="C578" s="365"/>
      <c r="D578" s="365"/>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5.75" customHeight="1">
      <c r="A579" s="365"/>
      <c r="B579" s="365"/>
      <c r="C579" s="365"/>
      <c r="D579" s="365"/>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5.75" customHeight="1">
      <c r="A580" s="365"/>
      <c r="B580" s="365"/>
      <c r="C580" s="365"/>
      <c r="D580" s="365"/>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5.75" customHeight="1">
      <c r="A581" s="365"/>
      <c r="B581" s="365"/>
      <c r="C581" s="365"/>
      <c r="D581" s="365"/>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5.75" customHeight="1">
      <c r="A582" s="365"/>
      <c r="B582" s="365"/>
      <c r="C582" s="365"/>
      <c r="D582" s="365"/>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5.75" customHeight="1">
      <c r="A583" s="365"/>
      <c r="B583" s="365"/>
      <c r="C583" s="365"/>
      <c r="D583" s="365"/>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5.75" customHeight="1">
      <c r="A584" s="365"/>
      <c r="B584" s="365"/>
      <c r="C584" s="365"/>
      <c r="D584" s="365"/>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5.75" customHeight="1">
      <c r="A585" s="365"/>
      <c r="B585" s="365"/>
      <c r="C585" s="365"/>
      <c r="D585" s="365"/>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5.75" customHeight="1">
      <c r="A586" s="365"/>
      <c r="B586" s="365"/>
      <c r="C586" s="365"/>
      <c r="D586" s="365"/>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5.75" customHeight="1">
      <c r="A587" s="365"/>
      <c r="B587" s="365"/>
      <c r="C587" s="365"/>
      <c r="D587" s="365"/>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5.75" customHeight="1">
      <c r="A588" s="365"/>
      <c r="B588" s="365"/>
      <c r="C588" s="365"/>
      <c r="D588" s="365"/>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5.75" customHeight="1">
      <c r="A589" s="365"/>
      <c r="B589" s="365"/>
      <c r="C589" s="365"/>
      <c r="D589" s="365"/>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5.75" customHeight="1">
      <c r="A590" s="365"/>
      <c r="B590" s="365"/>
      <c r="C590" s="365"/>
      <c r="D590" s="365"/>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5.75" customHeight="1">
      <c r="A591" s="365"/>
      <c r="B591" s="365"/>
      <c r="C591" s="365"/>
      <c r="D591" s="365"/>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5.75" customHeight="1">
      <c r="A592" s="365"/>
      <c r="B592" s="365"/>
      <c r="C592" s="365"/>
      <c r="D592" s="365"/>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5.75" customHeight="1">
      <c r="A593" s="365"/>
      <c r="B593" s="365"/>
      <c r="C593" s="365"/>
      <c r="D593" s="365"/>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5.75" customHeight="1">
      <c r="A594" s="365"/>
      <c r="B594" s="365"/>
      <c r="C594" s="365"/>
      <c r="D594" s="365"/>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5.75" customHeight="1">
      <c r="A595" s="365"/>
      <c r="B595" s="365"/>
      <c r="C595" s="365"/>
      <c r="D595" s="365"/>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5.75" customHeight="1">
      <c r="A596" s="365"/>
      <c r="B596" s="365"/>
      <c r="C596" s="365"/>
      <c r="D596" s="365"/>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5.75" customHeight="1">
      <c r="A597" s="365"/>
      <c r="B597" s="365"/>
      <c r="C597" s="365"/>
      <c r="D597" s="365"/>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5.75" customHeight="1">
      <c r="A598" s="365"/>
      <c r="B598" s="365"/>
      <c r="C598" s="365"/>
      <c r="D598" s="365"/>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5.75" customHeight="1">
      <c r="A599" s="365"/>
      <c r="B599" s="365"/>
      <c r="C599" s="365"/>
      <c r="D599" s="365"/>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5.75" customHeight="1">
      <c r="A600" s="365"/>
      <c r="B600" s="365"/>
      <c r="C600" s="365"/>
      <c r="D600" s="365"/>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5.75" customHeight="1">
      <c r="A601" s="365"/>
      <c r="B601" s="365"/>
      <c r="C601" s="365"/>
      <c r="D601" s="365"/>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5.75" customHeight="1">
      <c r="A602" s="365"/>
      <c r="B602" s="365"/>
      <c r="C602" s="365"/>
      <c r="D602" s="365"/>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5.75" customHeight="1">
      <c r="A603" s="365"/>
      <c r="B603" s="365"/>
      <c r="C603" s="365"/>
      <c r="D603" s="365"/>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5.75" customHeight="1">
      <c r="A604" s="365"/>
      <c r="B604" s="365"/>
      <c r="C604" s="365"/>
      <c r="D604" s="365"/>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5.75" customHeight="1">
      <c r="A605" s="365"/>
      <c r="B605" s="365"/>
      <c r="C605" s="365"/>
      <c r="D605" s="365"/>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5.75" customHeight="1">
      <c r="A606" s="365"/>
      <c r="B606" s="365"/>
      <c r="C606" s="365"/>
      <c r="D606" s="365"/>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5.75" customHeight="1">
      <c r="A607" s="365"/>
      <c r="B607" s="365"/>
      <c r="C607" s="365"/>
      <c r="D607" s="365"/>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5.75" customHeight="1">
      <c r="A608" s="365"/>
      <c r="B608" s="365"/>
      <c r="C608" s="365"/>
      <c r="D608" s="365"/>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5.75" customHeight="1">
      <c r="A609" s="365"/>
      <c r="B609" s="365"/>
      <c r="C609" s="365"/>
      <c r="D609" s="365"/>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5.75" customHeight="1">
      <c r="A610" s="365"/>
      <c r="B610" s="365"/>
      <c r="C610" s="365"/>
      <c r="D610" s="365"/>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5.75" customHeight="1">
      <c r="A611" s="365"/>
      <c r="B611" s="365"/>
      <c r="C611" s="365"/>
      <c r="D611" s="365"/>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5.75" customHeight="1">
      <c r="A612" s="365"/>
      <c r="B612" s="365"/>
      <c r="C612" s="365"/>
      <c r="D612" s="365"/>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5.75" customHeight="1">
      <c r="A613" s="365"/>
      <c r="B613" s="365"/>
      <c r="C613" s="365"/>
      <c r="D613" s="365"/>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5.75" customHeight="1">
      <c r="A614" s="365"/>
      <c r="B614" s="365"/>
      <c r="C614" s="365"/>
      <c r="D614" s="365"/>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5.75" customHeight="1">
      <c r="A615" s="365"/>
      <c r="B615" s="365"/>
      <c r="C615" s="365"/>
      <c r="D615" s="365"/>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5.75" customHeight="1">
      <c r="A616" s="365"/>
      <c r="B616" s="365"/>
      <c r="C616" s="365"/>
      <c r="D616" s="365"/>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5.75" customHeight="1">
      <c r="A617" s="365"/>
      <c r="B617" s="365"/>
      <c r="C617" s="365"/>
      <c r="D617" s="365"/>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5.75" customHeight="1">
      <c r="A618" s="365"/>
      <c r="B618" s="365"/>
      <c r="C618" s="365"/>
      <c r="D618" s="365"/>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5.75" customHeight="1">
      <c r="A619" s="365"/>
      <c r="B619" s="365"/>
      <c r="C619" s="365"/>
      <c r="D619" s="365"/>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5.75" customHeight="1">
      <c r="A620" s="365"/>
      <c r="B620" s="365"/>
      <c r="C620" s="365"/>
      <c r="D620" s="365"/>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5.75" customHeight="1">
      <c r="A621" s="365"/>
      <c r="B621" s="365"/>
      <c r="C621" s="365"/>
      <c r="D621" s="365"/>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5.75" customHeight="1">
      <c r="A622" s="365"/>
      <c r="B622" s="365"/>
      <c r="C622" s="365"/>
      <c r="D622" s="365"/>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5.75" customHeight="1">
      <c r="A623" s="365"/>
      <c r="B623" s="365"/>
      <c r="C623" s="365"/>
      <c r="D623" s="365"/>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5.75" customHeight="1">
      <c r="A624" s="365"/>
      <c r="B624" s="365"/>
      <c r="C624" s="365"/>
      <c r="D624" s="365"/>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5.75" customHeight="1">
      <c r="A625" s="365"/>
      <c r="B625" s="365"/>
      <c r="C625" s="365"/>
      <c r="D625" s="365"/>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5.75" customHeight="1">
      <c r="A626" s="365"/>
      <c r="B626" s="365"/>
      <c r="C626" s="365"/>
      <c r="D626" s="365"/>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5.75" customHeight="1">
      <c r="A627" s="365"/>
      <c r="B627" s="365"/>
      <c r="C627" s="365"/>
      <c r="D627" s="365"/>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5.75" customHeight="1">
      <c r="A628" s="365"/>
      <c r="B628" s="365"/>
      <c r="C628" s="365"/>
      <c r="D628" s="365"/>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5.75" customHeight="1">
      <c r="A629" s="365"/>
      <c r="B629" s="365"/>
      <c r="C629" s="365"/>
      <c r="D629" s="365"/>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5.75" customHeight="1">
      <c r="A630" s="365"/>
      <c r="B630" s="365"/>
      <c r="C630" s="365"/>
      <c r="D630" s="365"/>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5.75" customHeight="1">
      <c r="A631" s="365"/>
      <c r="B631" s="365"/>
      <c r="C631" s="365"/>
      <c r="D631" s="365"/>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5.75" customHeight="1">
      <c r="A632" s="365"/>
      <c r="B632" s="365"/>
      <c r="C632" s="365"/>
      <c r="D632" s="365"/>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5.75" customHeight="1">
      <c r="A633" s="365"/>
      <c r="B633" s="365"/>
      <c r="C633" s="365"/>
      <c r="D633" s="365"/>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5.75" customHeight="1">
      <c r="A634" s="365"/>
      <c r="B634" s="365"/>
      <c r="C634" s="365"/>
      <c r="D634" s="365"/>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5.75" customHeight="1">
      <c r="A635" s="365"/>
      <c r="B635" s="365"/>
      <c r="C635" s="365"/>
      <c r="D635" s="365"/>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5.75" customHeight="1">
      <c r="A636" s="365"/>
      <c r="B636" s="365"/>
      <c r="C636" s="365"/>
      <c r="D636" s="365"/>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5.75" customHeight="1">
      <c r="A637" s="365"/>
      <c r="B637" s="365"/>
      <c r="C637" s="365"/>
      <c r="D637" s="365"/>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5.75" customHeight="1">
      <c r="A638" s="365"/>
      <c r="B638" s="365"/>
      <c r="C638" s="365"/>
      <c r="D638" s="365"/>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5.75" customHeight="1">
      <c r="A639" s="365"/>
      <c r="B639" s="365"/>
      <c r="C639" s="365"/>
      <c r="D639" s="365"/>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5.75" customHeight="1">
      <c r="A640" s="365"/>
      <c r="B640" s="365"/>
      <c r="C640" s="365"/>
      <c r="D640" s="365"/>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5.75" customHeight="1">
      <c r="A641" s="365"/>
      <c r="B641" s="365"/>
      <c r="C641" s="365"/>
      <c r="D641" s="365"/>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5.75" customHeight="1">
      <c r="A642" s="365"/>
      <c r="B642" s="365"/>
      <c r="C642" s="365"/>
      <c r="D642" s="365"/>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5.75" customHeight="1">
      <c r="A643" s="365"/>
      <c r="B643" s="365"/>
      <c r="C643" s="365"/>
      <c r="D643" s="365"/>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5.75" customHeight="1">
      <c r="A644" s="365"/>
      <c r="B644" s="365"/>
      <c r="C644" s="365"/>
      <c r="D644" s="365"/>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5.75" customHeight="1">
      <c r="A645" s="365"/>
      <c r="B645" s="365"/>
      <c r="C645" s="365"/>
      <c r="D645" s="365"/>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5.75" customHeight="1">
      <c r="A646" s="365"/>
      <c r="B646" s="365"/>
      <c r="C646" s="365"/>
      <c r="D646" s="365"/>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5.75" customHeight="1">
      <c r="A647" s="365"/>
      <c r="B647" s="365"/>
      <c r="C647" s="365"/>
      <c r="D647" s="365"/>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5.75" customHeight="1">
      <c r="A648" s="365"/>
      <c r="B648" s="365"/>
      <c r="C648" s="365"/>
      <c r="D648" s="365"/>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5.75" customHeight="1">
      <c r="A649" s="365"/>
      <c r="B649" s="365"/>
      <c r="C649" s="365"/>
      <c r="D649" s="365"/>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5.75" customHeight="1">
      <c r="A650" s="365"/>
      <c r="B650" s="365"/>
      <c r="C650" s="365"/>
      <c r="D650" s="365"/>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5.75" customHeight="1">
      <c r="A651" s="365"/>
      <c r="B651" s="365"/>
      <c r="C651" s="365"/>
      <c r="D651" s="365"/>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5.75" customHeight="1">
      <c r="A652" s="365"/>
      <c r="B652" s="365"/>
      <c r="C652" s="365"/>
      <c r="D652" s="365"/>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5.75" customHeight="1">
      <c r="A653" s="365"/>
      <c r="B653" s="365"/>
      <c r="C653" s="365"/>
      <c r="D653" s="365"/>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5.75" customHeight="1">
      <c r="A654" s="365"/>
      <c r="B654" s="365"/>
      <c r="C654" s="365"/>
      <c r="D654" s="365"/>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5.75" customHeight="1">
      <c r="A655" s="365"/>
      <c r="B655" s="365"/>
      <c r="C655" s="365"/>
      <c r="D655" s="365"/>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5.75" customHeight="1">
      <c r="A656" s="365"/>
      <c r="B656" s="365"/>
      <c r="C656" s="365"/>
      <c r="D656" s="365"/>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5.75" customHeight="1">
      <c r="A657" s="365"/>
      <c r="B657" s="365"/>
      <c r="C657" s="365"/>
      <c r="D657" s="365"/>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5.75" customHeight="1">
      <c r="A658" s="365"/>
      <c r="B658" s="365"/>
      <c r="C658" s="365"/>
      <c r="D658" s="365"/>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5.75" customHeight="1">
      <c r="A659" s="365"/>
      <c r="B659" s="365"/>
      <c r="C659" s="365"/>
      <c r="D659" s="365"/>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5.75" customHeight="1">
      <c r="A660" s="365"/>
      <c r="B660" s="365"/>
      <c r="C660" s="365"/>
      <c r="D660" s="365"/>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5.75" customHeight="1">
      <c r="A661" s="365"/>
      <c r="B661" s="365"/>
      <c r="C661" s="365"/>
      <c r="D661" s="365"/>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5.75" customHeight="1">
      <c r="A662" s="365"/>
      <c r="B662" s="365"/>
      <c r="C662" s="365"/>
      <c r="D662" s="365"/>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5.75" customHeight="1">
      <c r="A663" s="365"/>
      <c r="B663" s="365"/>
      <c r="C663" s="365"/>
      <c r="D663" s="365"/>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5.75" customHeight="1">
      <c r="A664" s="365"/>
      <c r="B664" s="365"/>
      <c r="C664" s="365"/>
      <c r="D664" s="365"/>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5.75" customHeight="1">
      <c r="A665" s="365"/>
      <c r="B665" s="365"/>
      <c r="C665" s="365"/>
      <c r="D665" s="365"/>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5.75" customHeight="1">
      <c r="A666" s="365"/>
      <c r="B666" s="365"/>
      <c r="C666" s="365"/>
      <c r="D666" s="365"/>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5.75" customHeight="1">
      <c r="A667" s="365"/>
      <c r="B667" s="365"/>
      <c r="C667" s="365"/>
      <c r="D667" s="365"/>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5.75" customHeight="1">
      <c r="A668" s="365"/>
      <c r="B668" s="365"/>
      <c r="C668" s="365"/>
      <c r="D668" s="365"/>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5.75" customHeight="1">
      <c r="A669" s="365"/>
      <c r="B669" s="365"/>
      <c r="C669" s="365"/>
      <c r="D669" s="365"/>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5.75" customHeight="1">
      <c r="A670" s="365"/>
      <c r="B670" s="365"/>
      <c r="C670" s="365"/>
      <c r="D670" s="365"/>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5.75" customHeight="1">
      <c r="A671" s="365"/>
      <c r="B671" s="365"/>
      <c r="C671" s="365"/>
      <c r="D671" s="365"/>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5.75" customHeight="1">
      <c r="A672" s="365"/>
      <c r="B672" s="365"/>
      <c r="C672" s="365"/>
      <c r="D672" s="365"/>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5.75" customHeight="1">
      <c r="A673" s="365"/>
      <c r="B673" s="365"/>
      <c r="C673" s="365"/>
      <c r="D673" s="365"/>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5.75" customHeight="1">
      <c r="A674" s="365"/>
      <c r="B674" s="365"/>
      <c r="C674" s="365"/>
      <c r="D674" s="365"/>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5.75" customHeight="1">
      <c r="A675" s="365"/>
      <c r="B675" s="365"/>
      <c r="C675" s="365"/>
      <c r="D675" s="365"/>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5.75" customHeight="1">
      <c r="A676" s="365"/>
      <c r="B676" s="365"/>
      <c r="C676" s="365"/>
      <c r="D676" s="365"/>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5.75" customHeight="1">
      <c r="A677" s="365"/>
      <c r="B677" s="365"/>
      <c r="C677" s="365"/>
      <c r="D677" s="365"/>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5.75" customHeight="1">
      <c r="A678" s="365"/>
      <c r="B678" s="365"/>
      <c r="C678" s="365"/>
      <c r="D678" s="365"/>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5.75" customHeight="1">
      <c r="A679" s="365"/>
      <c r="B679" s="365"/>
      <c r="C679" s="365"/>
      <c r="D679" s="365"/>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5.75" customHeight="1">
      <c r="A680" s="365"/>
      <c r="B680" s="365"/>
      <c r="C680" s="365"/>
      <c r="D680" s="365"/>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5.75" customHeight="1">
      <c r="A681" s="365"/>
      <c r="B681" s="365"/>
      <c r="C681" s="365"/>
      <c r="D681" s="365"/>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5.75" customHeight="1">
      <c r="A682" s="365"/>
      <c r="B682" s="365"/>
      <c r="C682" s="365"/>
      <c r="D682" s="365"/>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5.75" customHeight="1">
      <c r="A683" s="365"/>
      <c r="B683" s="365"/>
      <c r="C683" s="365"/>
      <c r="D683" s="365"/>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5.75" customHeight="1">
      <c r="A684" s="365"/>
      <c r="B684" s="365"/>
      <c r="C684" s="365"/>
      <c r="D684" s="365"/>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5.75" customHeight="1">
      <c r="A685" s="365"/>
      <c r="B685" s="365"/>
      <c r="C685" s="365"/>
      <c r="D685" s="365"/>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5.75" customHeight="1">
      <c r="A686" s="365"/>
      <c r="B686" s="365"/>
      <c r="C686" s="365"/>
      <c r="D686" s="365"/>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5.75" customHeight="1">
      <c r="A687" s="365"/>
      <c r="B687" s="365"/>
      <c r="C687" s="365"/>
      <c r="D687" s="365"/>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5.75" customHeight="1">
      <c r="A688" s="365"/>
      <c r="B688" s="365"/>
      <c r="C688" s="365"/>
      <c r="D688" s="365"/>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5.75" customHeight="1">
      <c r="A689" s="365"/>
      <c r="B689" s="365"/>
      <c r="C689" s="365"/>
      <c r="D689" s="365"/>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5.75" customHeight="1">
      <c r="A690" s="365"/>
      <c r="B690" s="365"/>
      <c r="C690" s="365"/>
      <c r="D690" s="365"/>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5.75" customHeight="1">
      <c r="A691" s="365"/>
      <c r="B691" s="365"/>
      <c r="C691" s="365"/>
      <c r="D691" s="365"/>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5.75" customHeight="1">
      <c r="A692" s="365"/>
      <c r="B692" s="365"/>
      <c r="C692" s="365"/>
      <c r="D692" s="365"/>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5.75" customHeight="1">
      <c r="A693" s="365"/>
      <c r="B693" s="365"/>
      <c r="C693" s="365"/>
      <c r="D693" s="365"/>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5.75" customHeight="1">
      <c r="A694" s="365"/>
      <c r="B694" s="365"/>
      <c r="C694" s="365"/>
      <c r="D694" s="365"/>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5.75" customHeight="1">
      <c r="A695" s="365"/>
      <c r="B695" s="365"/>
      <c r="C695" s="365"/>
      <c r="D695" s="365"/>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5.75" customHeight="1">
      <c r="A696" s="365"/>
      <c r="B696" s="365"/>
      <c r="C696" s="365"/>
      <c r="D696" s="365"/>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5.75" customHeight="1">
      <c r="A697" s="365"/>
      <c r="B697" s="365"/>
      <c r="C697" s="365"/>
      <c r="D697" s="365"/>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5.75" customHeight="1">
      <c r="A698" s="365"/>
      <c r="B698" s="365"/>
      <c r="C698" s="365"/>
      <c r="D698" s="365"/>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5.75" customHeight="1">
      <c r="A699" s="365"/>
      <c r="B699" s="365"/>
      <c r="C699" s="365"/>
      <c r="D699" s="365"/>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5.75" customHeight="1">
      <c r="A700" s="365"/>
      <c r="B700" s="365"/>
      <c r="C700" s="365"/>
      <c r="D700" s="365"/>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5.75" customHeight="1">
      <c r="A701" s="365"/>
      <c r="B701" s="365"/>
      <c r="C701" s="365"/>
      <c r="D701" s="365"/>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5.75" customHeight="1">
      <c r="A702" s="365"/>
      <c r="B702" s="365"/>
      <c r="C702" s="365"/>
      <c r="D702" s="365"/>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5.75" customHeight="1">
      <c r="A703" s="365"/>
      <c r="B703" s="365"/>
      <c r="C703" s="365"/>
      <c r="D703" s="365"/>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5.75" customHeight="1">
      <c r="A704" s="365"/>
      <c r="B704" s="365"/>
      <c r="C704" s="365"/>
      <c r="D704" s="365"/>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5.75" customHeight="1">
      <c r="A705" s="365"/>
      <c r="B705" s="365"/>
      <c r="C705" s="365"/>
      <c r="D705" s="365"/>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5.75" customHeight="1">
      <c r="A706" s="365"/>
      <c r="B706" s="365"/>
      <c r="C706" s="365"/>
      <c r="D706" s="365"/>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5.75" customHeight="1">
      <c r="A707" s="365"/>
      <c r="B707" s="365"/>
      <c r="C707" s="365"/>
      <c r="D707" s="365"/>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5.75" customHeight="1">
      <c r="A708" s="365"/>
      <c r="B708" s="365"/>
      <c r="C708" s="365"/>
      <c r="D708" s="365"/>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5.75" customHeight="1">
      <c r="A709" s="365"/>
      <c r="B709" s="365"/>
      <c r="C709" s="365"/>
      <c r="D709" s="365"/>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5.75" customHeight="1">
      <c r="A710" s="365"/>
      <c r="B710" s="365"/>
      <c r="C710" s="365"/>
      <c r="D710" s="365"/>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5.75" customHeight="1">
      <c r="A711" s="365"/>
      <c r="B711" s="365"/>
      <c r="C711" s="365"/>
      <c r="D711" s="365"/>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5.75" customHeight="1">
      <c r="A712" s="365"/>
      <c r="B712" s="365"/>
      <c r="C712" s="365"/>
      <c r="D712" s="365"/>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5.75" customHeight="1">
      <c r="A713" s="365"/>
      <c r="B713" s="365"/>
      <c r="C713" s="365"/>
      <c r="D713" s="365"/>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5.75" customHeight="1">
      <c r="A714" s="365"/>
      <c r="B714" s="365"/>
      <c r="C714" s="365"/>
      <c r="D714" s="365"/>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5.75" customHeight="1">
      <c r="A715" s="365"/>
      <c r="B715" s="365"/>
      <c r="C715" s="365"/>
      <c r="D715" s="365"/>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5.75" customHeight="1">
      <c r="A716" s="365"/>
      <c r="B716" s="365"/>
      <c r="C716" s="365"/>
      <c r="D716" s="365"/>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5.75" customHeight="1">
      <c r="A717" s="365"/>
      <c r="B717" s="365"/>
      <c r="C717" s="365"/>
      <c r="D717" s="365"/>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5.75" customHeight="1">
      <c r="A718" s="365"/>
      <c r="B718" s="365"/>
      <c r="C718" s="365"/>
      <c r="D718" s="365"/>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5.75" customHeight="1">
      <c r="A719" s="365"/>
      <c r="B719" s="365"/>
      <c r="C719" s="365"/>
      <c r="D719" s="365"/>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5.75" customHeight="1">
      <c r="A720" s="365"/>
      <c r="B720" s="365"/>
      <c r="C720" s="365"/>
      <c r="D720" s="365"/>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5.75" customHeight="1">
      <c r="A721" s="365"/>
      <c r="B721" s="365"/>
      <c r="C721" s="365"/>
      <c r="D721" s="365"/>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5.75" customHeight="1">
      <c r="A722" s="365"/>
      <c r="B722" s="365"/>
      <c r="C722" s="365"/>
      <c r="D722" s="365"/>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5.75" customHeight="1">
      <c r="A723" s="365"/>
      <c r="B723" s="365"/>
      <c r="C723" s="365"/>
      <c r="D723" s="365"/>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5.75" customHeight="1">
      <c r="A724" s="365"/>
      <c r="B724" s="365"/>
      <c r="C724" s="365"/>
      <c r="D724" s="365"/>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5.75" customHeight="1">
      <c r="A725" s="365"/>
      <c r="B725" s="365"/>
      <c r="C725" s="365"/>
      <c r="D725" s="365"/>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5.75" customHeight="1">
      <c r="A726" s="365"/>
      <c r="B726" s="365"/>
      <c r="C726" s="365"/>
      <c r="D726" s="365"/>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5.75" customHeight="1">
      <c r="A727" s="365"/>
      <c r="B727" s="365"/>
      <c r="C727" s="365"/>
      <c r="D727" s="365"/>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5.75" customHeight="1">
      <c r="A728" s="365"/>
      <c r="B728" s="365"/>
      <c r="C728" s="365"/>
      <c r="D728" s="365"/>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5.75" customHeight="1">
      <c r="A729" s="365"/>
      <c r="B729" s="365"/>
      <c r="C729" s="365"/>
      <c r="D729" s="365"/>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5.75" customHeight="1">
      <c r="A730" s="365"/>
      <c r="B730" s="365"/>
      <c r="C730" s="365"/>
      <c r="D730" s="365"/>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5.75" customHeight="1">
      <c r="A731" s="365"/>
      <c r="B731" s="365"/>
      <c r="C731" s="365"/>
      <c r="D731" s="365"/>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5.75" customHeight="1">
      <c r="A732" s="365"/>
      <c r="B732" s="365"/>
      <c r="C732" s="365"/>
      <c r="D732" s="365"/>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5.75" customHeight="1">
      <c r="A733" s="365"/>
      <c r="B733" s="365"/>
      <c r="C733" s="365"/>
      <c r="D733" s="365"/>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5.75" customHeight="1">
      <c r="A734" s="365"/>
      <c r="B734" s="365"/>
      <c r="C734" s="365"/>
      <c r="D734" s="365"/>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5.75" customHeight="1">
      <c r="A735" s="365"/>
      <c r="B735" s="365"/>
      <c r="C735" s="365"/>
      <c r="D735" s="365"/>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5.75" customHeight="1">
      <c r="A736" s="365"/>
      <c r="B736" s="365"/>
      <c r="C736" s="365"/>
      <c r="D736" s="365"/>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5.75" customHeight="1">
      <c r="A737" s="365"/>
      <c r="B737" s="365"/>
      <c r="C737" s="365"/>
      <c r="D737" s="365"/>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5.75" customHeight="1">
      <c r="A738" s="365"/>
      <c r="B738" s="365"/>
      <c r="C738" s="365"/>
      <c r="D738" s="365"/>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5.75" customHeight="1">
      <c r="A739" s="365"/>
      <c r="B739" s="365"/>
      <c r="C739" s="365"/>
      <c r="D739" s="365"/>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5.75" customHeight="1">
      <c r="A740" s="365"/>
      <c r="B740" s="365"/>
      <c r="C740" s="365"/>
      <c r="D740" s="365"/>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5.75" customHeight="1">
      <c r="A741" s="365"/>
      <c r="B741" s="365"/>
      <c r="C741" s="365"/>
      <c r="D741" s="365"/>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5.75" customHeight="1">
      <c r="A742" s="365"/>
      <c r="B742" s="365"/>
      <c r="C742" s="365"/>
      <c r="D742" s="365"/>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5.75" customHeight="1">
      <c r="A743" s="365"/>
      <c r="B743" s="365"/>
      <c r="C743" s="365"/>
      <c r="D743" s="365"/>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5.75" customHeight="1">
      <c r="A744" s="365"/>
      <c r="B744" s="365"/>
      <c r="C744" s="365"/>
      <c r="D744" s="365"/>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5.75" customHeight="1">
      <c r="A745" s="365"/>
      <c r="B745" s="365"/>
      <c r="C745" s="365"/>
      <c r="D745" s="365"/>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5.75" customHeight="1">
      <c r="A746" s="365"/>
      <c r="B746" s="365"/>
      <c r="C746" s="365"/>
      <c r="D746" s="365"/>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5.75" customHeight="1">
      <c r="A747" s="365"/>
      <c r="B747" s="365"/>
      <c r="C747" s="365"/>
      <c r="D747" s="365"/>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5.75" customHeight="1">
      <c r="A748" s="365"/>
      <c r="B748" s="365"/>
      <c r="C748" s="365"/>
      <c r="D748" s="365"/>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5.75" customHeight="1">
      <c r="A749" s="365"/>
      <c r="B749" s="365"/>
      <c r="C749" s="365"/>
      <c r="D749" s="365"/>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5.75" customHeight="1">
      <c r="A750" s="365"/>
      <c r="B750" s="365"/>
      <c r="C750" s="365"/>
      <c r="D750" s="365"/>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5.75" customHeight="1">
      <c r="A751" s="365"/>
      <c r="B751" s="365"/>
      <c r="C751" s="365"/>
      <c r="D751" s="365"/>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5.75" customHeight="1">
      <c r="A752" s="365"/>
      <c r="B752" s="365"/>
      <c r="C752" s="365"/>
      <c r="D752" s="365"/>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5.75" customHeight="1">
      <c r="A753" s="365"/>
      <c r="B753" s="365"/>
      <c r="C753" s="365"/>
      <c r="D753" s="365"/>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5.75" customHeight="1">
      <c r="A754" s="365"/>
      <c r="B754" s="365"/>
      <c r="C754" s="365"/>
      <c r="D754" s="365"/>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5.75" customHeight="1">
      <c r="A755" s="365"/>
      <c r="B755" s="365"/>
      <c r="C755" s="365"/>
      <c r="D755" s="365"/>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5.75" customHeight="1">
      <c r="A756" s="365"/>
      <c r="B756" s="365"/>
      <c r="C756" s="365"/>
      <c r="D756" s="365"/>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5.75" customHeight="1">
      <c r="A757" s="365"/>
      <c r="B757" s="365"/>
      <c r="C757" s="365"/>
      <c r="D757" s="365"/>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5.75" customHeight="1">
      <c r="A758" s="365"/>
      <c r="B758" s="365"/>
      <c r="C758" s="365"/>
      <c r="D758" s="365"/>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5.75" customHeight="1">
      <c r="A759" s="365"/>
      <c r="B759" s="365"/>
      <c r="C759" s="365"/>
      <c r="D759" s="365"/>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5.75" customHeight="1">
      <c r="A760" s="365"/>
      <c r="B760" s="365"/>
      <c r="C760" s="365"/>
      <c r="D760" s="365"/>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5.75" customHeight="1">
      <c r="A761" s="365"/>
      <c r="B761" s="365"/>
      <c r="C761" s="365"/>
      <c r="D761" s="365"/>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5.75" customHeight="1">
      <c r="A762" s="365"/>
      <c r="B762" s="365"/>
      <c r="C762" s="365"/>
      <c r="D762" s="365"/>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5.75" customHeight="1">
      <c r="A763" s="365"/>
      <c r="B763" s="365"/>
      <c r="C763" s="365"/>
      <c r="D763" s="365"/>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5.75" customHeight="1">
      <c r="A764" s="365"/>
      <c r="B764" s="365"/>
      <c r="C764" s="365"/>
      <c r="D764" s="365"/>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5.75" customHeight="1">
      <c r="A765" s="365"/>
      <c r="B765" s="365"/>
      <c r="C765" s="365"/>
      <c r="D765" s="365"/>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5.75" customHeight="1">
      <c r="A766" s="365"/>
      <c r="B766" s="365"/>
      <c r="C766" s="365"/>
      <c r="D766" s="365"/>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5.75" customHeight="1">
      <c r="A767" s="365"/>
      <c r="B767" s="365"/>
      <c r="C767" s="365"/>
      <c r="D767" s="365"/>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5.75" customHeight="1">
      <c r="A768" s="365"/>
      <c r="B768" s="365"/>
      <c r="C768" s="365"/>
      <c r="D768" s="365"/>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5.75" customHeight="1">
      <c r="A769" s="365"/>
      <c r="B769" s="365"/>
      <c r="C769" s="365"/>
      <c r="D769" s="365"/>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5.75" customHeight="1">
      <c r="A770" s="365"/>
      <c r="B770" s="365"/>
      <c r="C770" s="365"/>
      <c r="D770" s="365"/>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5.75" customHeight="1">
      <c r="A771" s="365"/>
      <c r="B771" s="365"/>
      <c r="C771" s="365"/>
      <c r="D771" s="365"/>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5.75" customHeight="1">
      <c r="A772" s="365"/>
      <c r="B772" s="365"/>
      <c r="C772" s="365"/>
      <c r="D772" s="365"/>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5.75" customHeight="1">
      <c r="A773" s="365"/>
      <c r="B773" s="365"/>
      <c r="C773" s="365"/>
      <c r="D773" s="365"/>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5.75" customHeight="1">
      <c r="A774" s="365"/>
      <c r="B774" s="365"/>
      <c r="C774" s="365"/>
      <c r="D774" s="365"/>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5.75" customHeight="1">
      <c r="A775" s="365"/>
      <c r="B775" s="365"/>
      <c r="C775" s="365"/>
      <c r="D775" s="365"/>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5.75" customHeight="1">
      <c r="A776" s="365"/>
      <c r="B776" s="365"/>
      <c r="C776" s="365"/>
      <c r="D776" s="365"/>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5.75" customHeight="1">
      <c r="A777" s="365"/>
      <c r="B777" s="365"/>
      <c r="C777" s="365"/>
      <c r="D777" s="365"/>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5.75" customHeight="1">
      <c r="A778" s="365"/>
      <c r="B778" s="365"/>
      <c r="C778" s="365"/>
      <c r="D778" s="365"/>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5.75" customHeight="1">
      <c r="A779" s="365"/>
      <c r="B779" s="365"/>
      <c r="C779" s="365"/>
      <c r="D779" s="365"/>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5.75" customHeight="1">
      <c r="A780" s="365"/>
      <c r="B780" s="365"/>
      <c r="C780" s="365"/>
      <c r="D780" s="365"/>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5.75" customHeight="1">
      <c r="A781" s="365"/>
      <c r="B781" s="365"/>
      <c r="C781" s="365"/>
      <c r="D781" s="365"/>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5.75" customHeight="1">
      <c r="A782" s="365"/>
      <c r="B782" s="365"/>
      <c r="C782" s="365"/>
      <c r="D782" s="365"/>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5.75" customHeight="1">
      <c r="A783" s="365"/>
      <c r="B783" s="365"/>
      <c r="C783" s="365"/>
      <c r="D783" s="365"/>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5.75" customHeight="1">
      <c r="A784" s="365"/>
      <c r="B784" s="365"/>
      <c r="C784" s="365"/>
      <c r="D784" s="365"/>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5.75" customHeight="1">
      <c r="A785" s="365"/>
      <c r="B785" s="365"/>
      <c r="C785" s="365"/>
      <c r="D785" s="365"/>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5.75" customHeight="1">
      <c r="A786" s="365"/>
      <c r="B786" s="365"/>
      <c r="C786" s="365"/>
      <c r="D786" s="365"/>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5.75" customHeight="1">
      <c r="A787" s="365"/>
      <c r="B787" s="365"/>
      <c r="C787" s="365"/>
      <c r="D787" s="365"/>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5.75" customHeight="1">
      <c r="A788" s="365"/>
      <c r="B788" s="365"/>
      <c r="C788" s="365"/>
      <c r="D788" s="365"/>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5.75" customHeight="1">
      <c r="A789" s="365"/>
      <c r="B789" s="365"/>
      <c r="C789" s="365"/>
      <c r="D789" s="365"/>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5.75" customHeight="1">
      <c r="A790" s="365"/>
      <c r="B790" s="365"/>
      <c r="C790" s="365"/>
      <c r="D790" s="365"/>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5.75" customHeight="1">
      <c r="A791" s="365"/>
      <c r="B791" s="365"/>
      <c r="C791" s="365"/>
      <c r="D791" s="365"/>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5.75" customHeight="1">
      <c r="A792" s="365"/>
      <c r="B792" s="365"/>
      <c r="C792" s="365"/>
      <c r="D792" s="365"/>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5.75" customHeight="1">
      <c r="A793" s="365"/>
      <c r="B793" s="365"/>
      <c r="C793" s="365"/>
      <c r="D793" s="365"/>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5.75" customHeight="1">
      <c r="A794" s="365"/>
      <c r="B794" s="365"/>
      <c r="C794" s="365"/>
      <c r="D794" s="365"/>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5.75" customHeight="1">
      <c r="A795" s="365"/>
      <c r="B795" s="365"/>
      <c r="C795" s="365"/>
      <c r="D795" s="365"/>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5.75" customHeight="1">
      <c r="A796" s="365"/>
      <c r="B796" s="365"/>
      <c r="C796" s="365"/>
      <c r="D796" s="365"/>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5.75" customHeight="1">
      <c r="A797" s="365"/>
      <c r="B797" s="365"/>
      <c r="C797" s="365"/>
      <c r="D797" s="365"/>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5.75" customHeight="1">
      <c r="A798" s="365"/>
      <c r="B798" s="365"/>
      <c r="C798" s="365"/>
      <c r="D798" s="365"/>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5.75" customHeight="1">
      <c r="A799" s="365"/>
      <c r="B799" s="365"/>
      <c r="C799" s="365"/>
      <c r="D799" s="365"/>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5.75" customHeight="1">
      <c r="A800" s="365"/>
      <c r="B800" s="365"/>
      <c r="C800" s="365"/>
      <c r="D800" s="365"/>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5.75" customHeight="1">
      <c r="A801" s="365"/>
      <c r="B801" s="365"/>
      <c r="C801" s="365"/>
      <c r="D801" s="365"/>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5.75" customHeight="1">
      <c r="A802" s="365"/>
      <c r="B802" s="365"/>
      <c r="C802" s="365"/>
      <c r="D802" s="365"/>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5.75" customHeight="1">
      <c r="A803" s="365"/>
      <c r="B803" s="365"/>
      <c r="C803" s="365"/>
      <c r="D803" s="365"/>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5.75" customHeight="1">
      <c r="A804" s="365"/>
      <c r="B804" s="365"/>
      <c r="C804" s="365"/>
      <c r="D804" s="365"/>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5.75" customHeight="1">
      <c r="A805" s="365"/>
      <c r="B805" s="365"/>
      <c r="C805" s="365"/>
      <c r="D805" s="365"/>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5.75" customHeight="1">
      <c r="A806" s="365"/>
      <c r="B806" s="365"/>
      <c r="C806" s="365"/>
      <c r="D806" s="365"/>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5.75" customHeight="1">
      <c r="A807" s="365"/>
      <c r="B807" s="365"/>
      <c r="C807" s="365"/>
      <c r="D807" s="365"/>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5.75" customHeight="1">
      <c r="A808" s="365"/>
      <c r="B808" s="365"/>
      <c r="C808" s="365"/>
      <c r="D808" s="365"/>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5.75" customHeight="1">
      <c r="A809" s="365"/>
      <c r="B809" s="365"/>
      <c r="C809" s="365"/>
      <c r="D809" s="365"/>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5.75" customHeight="1">
      <c r="A810" s="365"/>
      <c r="B810" s="365"/>
      <c r="C810" s="365"/>
      <c r="D810" s="365"/>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5.75" customHeight="1">
      <c r="A811" s="365"/>
      <c r="B811" s="365"/>
      <c r="C811" s="365"/>
      <c r="D811" s="365"/>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5.75" customHeight="1">
      <c r="A812" s="365"/>
      <c r="B812" s="365"/>
      <c r="C812" s="365"/>
      <c r="D812" s="365"/>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5.75" customHeight="1">
      <c r="A813" s="365"/>
      <c r="B813" s="365"/>
      <c r="C813" s="365"/>
      <c r="D813" s="365"/>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5.75" customHeight="1">
      <c r="A814" s="365"/>
      <c r="B814" s="365"/>
      <c r="C814" s="365"/>
      <c r="D814" s="365"/>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5.75" customHeight="1">
      <c r="A815" s="365"/>
      <c r="B815" s="365"/>
      <c r="C815" s="365"/>
      <c r="D815" s="365"/>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5.75" customHeight="1">
      <c r="A816" s="365"/>
      <c r="B816" s="365"/>
      <c r="C816" s="365"/>
      <c r="D816" s="365"/>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5.75" customHeight="1">
      <c r="A817" s="365"/>
      <c r="B817" s="365"/>
      <c r="C817" s="365"/>
      <c r="D817" s="365"/>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5.75" customHeight="1">
      <c r="A818" s="365"/>
      <c r="B818" s="365"/>
      <c r="C818" s="365"/>
      <c r="D818" s="365"/>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5.75" customHeight="1">
      <c r="A819" s="365"/>
      <c r="B819" s="365"/>
      <c r="C819" s="365"/>
      <c r="D819" s="365"/>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5.75" customHeight="1">
      <c r="A820" s="365"/>
      <c r="B820" s="365"/>
      <c r="C820" s="365"/>
      <c r="D820" s="365"/>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5.75" customHeight="1">
      <c r="A821" s="365"/>
      <c r="B821" s="365"/>
      <c r="C821" s="365"/>
      <c r="D821" s="365"/>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5.75" customHeight="1">
      <c r="A822" s="365"/>
      <c r="B822" s="365"/>
      <c r="C822" s="365"/>
      <c r="D822" s="365"/>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5.75" customHeight="1">
      <c r="A823" s="365"/>
      <c r="B823" s="365"/>
      <c r="C823" s="365"/>
      <c r="D823" s="365"/>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5.75" customHeight="1">
      <c r="A824" s="365"/>
      <c r="B824" s="365"/>
      <c r="C824" s="365"/>
      <c r="D824" s="365"/>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5.75" customHeight="1">
      <c r="A825" s="365"/>
      <c r="B825" s="365"/>
      <c r="C825" s="365"/>
      <c r="D825" s="365"/>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5.75" customHeight="1">
      <c r="A826" s="365"/>
      <c r="B826" s="365"/>
      <c r="C826" s="365"/>
      <c r="D826" s="365"/>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5.75" customHeight="1">
      <c r="A827" s="365"/>
      <c r="B827" s="365"/>
      <c r="C827" s="365"/>
      <c r="D827" s="365"/>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5.75" customHeight="1">
      <c r="A828" s="365"/>
      <c r="B828" s="365"/>
      <c r="C828" s="365"/>
      <c r="D828" s="365"/>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5.75" customHeight="1">
      <c r="A829" s="365"/>
      <c r="B829" s="365"/>
      <c r="C829" s="365"/>
      <c r="D829" s="365"/>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5.75" customHeight="1">
      <c r="A830" s="365"/>
      <c r="B830" s="365"/>
      <c r="C830" s="365"/>
      <c r="D830" s="365"/>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5.75" customHeight="1">
      <c r="A831" s="365"/>
      <c r="B831" s="365"/>
      <c r="C831" s="365"/>
      <c r="D831" s="365"/>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5.75" customHeight="1">
      <c r="A832" s="365"/>
      <c r="B832" s="365"/>
      <c r="C832" s="365"/>
      <c r="D832" s="365"/>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5.75" customHeight="1">
      <c r="A833" s="365"/>
      <c r="B833" s="365"/>
      <c r="C833" s="365"/>
      <c r="D833" s="365"/>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5.75" customHeight="1">
      <c r="A834" s="365"/>
      <c r="B834" s="365"/>
      <c r="C834" s="365"/>
      <c r="D834" s="365"/>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5.75" customHeight="1">
      <c r="A835" s="365"/>
      <c r="B835" s="365"/>
      <c r="C835" s="365"/>
      <c r="D835" s="365"/>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5.75" customHeight="1">
      <c r="A836" s="365"/>
      <c r="B836" s="365"/>
      <c r="C836" s="365"/>
      <c r="D836" s="365"/>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5.75" customHeight="1">
      <c r="A837" s="365"/>
      <c r="B837" s="365"/>
      <c r="C837" s="365"/>
      <c r="D837" s="365"/>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5.75" customHeight="1">
      <c r="A838" s="365"/>
      <c r="B838" s="365"/>
      <c r="C838" s="365"/>
      <c r="D838" s="365"/>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5.75" customHeight="1">
      <c r="A839" s="365"/>
      <c r="B839" s="365"/>
      <c r="C839" s="365"/>
      <c r="D839" s="365"/>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5.75" customHeight="1">
      <c r="A840" s="365"/>
      <c r="B840" s="365"/>
      <c r="C840" s="365"/>
      <c r="D840" s="365"/>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5.75" customHeight="1">
      <c r="A841" s="365"/>
      <c r="B841" s="365"/>
      <c r="C841" s="365"/>
      <c r="D841" s="365"/>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5.75" customHeight="1">
      <c r="A842" s="365"/>
      <c r="B842" s="365"/>
      <c r="C842" s="365"/>
      <c r="D842" s="365"/>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5.75" customHeight="1">
      <c r="A843" s="365"/>
      <c r="B843" s="365"/>
      <c r="C843" s="365"/>
      <c r="D843" s="365"/>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5.75" customHeight="1">
      <c r="A844" s="365"/>
      <c r="B844" s="365"/>
      <c r="C844" s="365"/>
      <c r="D844" s="365"/>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5.75" customHeight="1">
      <c r="A845" s="365"/>
      <c r="B845" s="365"/>
      <c r="C845" s="365"/>
      <c r="D845" s="365"/>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5.75" customHeight="1">
      <c r="A846" s="365"/>
      <c r="B846" s="365"/>
      <c r="C846" s="365"/>
      <c r="D846" s="365"/>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5.75" customHeight="1">
      <c r="A847" s="365"/>
      <c r="B847" s="365"/>
      <c r="C847" s="365"/>
      <c r="D847" s="365"/>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5.75" customHeight="1">
      <c r="A848" s="365"/>
      <c r="B848" s="365"/>
      <c r="C848" s="365"/>
      <c r="D848" s="365"/>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5.75" customHeight="1">
      <c r="A849" s="365"/>
      <c r="B849" s="365"/>
      <c r="C849" s="365"/>
      <c r="D849" s="365"/>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5.75" customHeight="1">
      <c r="A850" s="365"/>
      <c r="B850" s="365"/>
      <c r="C850" s="365"/>
      <c r="D850" s="365"/>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5.75" customHeight="1">
      <c r="A851" s="365"/>
      <c r="B851" s="365"/>
      <c r="C851" s="365"/>
      <c r="D851" s="365"/>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5.75" customHeight="1">
      <c r="A852" s="365"/>
      <c r="B852" s="365"/>
      <c r="C852" s="365"/>
      <c r="D852" s="365"/>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5.75" customHeight="1">
      <c r="A853" s="365"/>
      <c r="B853" s="365"/>
      <c r="C853" s="365"/>
      <c r="D853" s="365"/>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5.75" customHeight="1">
      <c r="A854" s="365"/>
      <c r="B854" s="365"/>
      <c r="C854" s="365"/>
      <c r="D854" s="365"/>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5.75" customHeight="1">
      <c r="A855" s="365"/>
      <c r="B855" s="365"/>
      <c r="C855" s="365"/>
      <c r="D855" s="365"/>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5.75" customHeight="1">
      <c r="A856" s="365"/>
      <c r="B856" s="365"/>
      <c r="C856" s="365"/>
      <c r="D856" s="365"/>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5.75" customHeight="1">
      <c r="A857" s="365"/>
      <c r="B857" s="365"/>
      <c r="C857" s="365"/>
      <c r="D857" s="365"/>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5.75" customHeight="1">
      <c r="A858" s="365"/>
      <c r="B858" s="365"/>
      <c r="C858" s="365"/>
      <c r="D858" s="365"/>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5.75" customHeight="1">
      <c r="A859" s="365"/>
      <c r="B859" s="365"/>
      <c r="C859" s="365"/>
      <c r="D859" s="365"/>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5.75" customHeight="1">
      <c r="A860" s="365"/>
      <c r="B860" s="365"/>
      <c r="C860" s="365"/>
      <c r="D860" s="365"/>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5.75" customHeight="1">
      <c r="A861" s="365"/>
      <c r="B861" s="365"/>
      <c r="C861" s="365"/>
      <c r="D861" s="365"/>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5.75" customHeight="1">
      <c r="A862" s="365"/>
      <c r="B862" s="365"/>
      <c r="C862" s="365"/>
      <c r="D862" s="365"/>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5.75" customHeight="1">
      <c r="A863" s="365"/>
      <c r="B863" s="365"/>
      <c r="C863" s="365"/>
      <c r="D863" s="365"/>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5.75" customHeight="1">
      <c r="A864" s="365"/>
      <c r="B864" s="365"/>
      <c r="C864" s="365"/>
      <c r="D864" s="365"/>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5.75" customHeight="1">
      <c r="A865" s="365"/>
      <c r="B865" s="365"/>
      <c r="C865" s="365"/>
      <c r="D865" s="365"/>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5.75" customHeight="1">
      <c r="A866" s="365"/>
      <c r="B866" s="365"/>
      <c r="C866" s="365"/>
      <c r="D866" s="365"/>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5.75" customHeight="1">
      <c r="A867" s="365"/>
      <c r="B867" s="365"/>
      <c r="C867" s="365"/>
      <c r="D867" s="365"/>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5.75" customHeight="1">
      <c r="A868" s="365"/>
      <c r="B868" s="365"/>
      <c r="C868" s="365"/>
      <c r="D868" s="365"/>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5.75" customHeight="1">
      <c r="A869" s="365"/>
      <c r="B869" s="365"/>
      <c r="C869" s="365"/>
      <c r="D869" s="365"/>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5.75" customHeight="1">
      <c r="A870" s="365"/>
      <c r="B870" s="365"/>
      <c r="C870" s="365"/>
      <c r="D870" s="365"/>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5.75" customHeight="1">
      <c r="A871" s="365"/>
      <c r="B871" s="365"/>
      <c r="C871" s="365"/>
      <c r="D871" s="365"/>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5.75" customHeight="1">
      <c r="A872" s="365"/>
      <c r="B872" s="365"/>
      <c r="C872" s="365"/>
      <c r="D872" s="365"/>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5.75" customHeight="1">
      <c r="A873" s="365"/>
      <c r="B873" s="365"/>
      <c r="C873" s="365"/>
      <c r="D873" s="365"/>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5.75" customHeight="1">
      <c r="A874" s="365"/>
      <c r="B874" s="365"/>
      <c r="C874" s="365"/>
      <c r="D874" s="365"/>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5.75" customHeight="1">
      <c r="A875" s="365"/>
      <c r="B875" s="365"/>
      <c r="C875" s="365"/>
      <c r="D875" s="365"/>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5.75" customHeight="1">
      <c r="A876" s="365"/>
      <c r="B876" s="365"/>
      <c r="C876" s="365"/>
      <c r="D876" s="365"/>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5.75" customHeight="1">
      <c r="A877" s="365"/>
      <c r="B877" s="365"/>
      <c r="C877" s="365"/>
      <c r="D877" s="365"/>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5.75" customHeight="1">
      <c r="A878" s="365"/>
      <c r="B878" s="365"/>
      <c r="C878" s="365"/>
      <c r="D878" s="365"/>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5.75" customHeight="1">
      <c r="A879" s="365"/>
      <c r="B879" s="365"/>
      <c r="C879" s="365"/>
      <c r="D879" s="365"/>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5.75" customHeight="1">
      <c r="A880" s="365"/>
      <c r="B880" s="365"/>
      <c r="C880" s="365"/>
      <c r="D880" s="365"/>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5.75" customHeight="1">
      <c r="A881" s="365"/>
      <c r="B881" s="365"/>
      <c r="C881" s="365"/>
      <c r="D881" s="365"/>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5.75" customHeight="1">
      <c r="A882" s="365"/>
      <c r="B882" s="365"/>
      <c r="C882" s="365"/>
      <c r="D882" s="365"/>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5.75" customHeight="1">
      <c r="A883" s="365"/>
      <c r="B883" s="365"/>
      <c r="C883" s="365"/>
      <c r="D883" s="365"/>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5.75" customHeight="1">
      <c r="A884" s="365"/>
      <c r="B884" s="365"/>
      <c r="C884" s="365"/>
      <c r="D884" s="365"/>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5.75" customHeight="1">
      <c r="A885" s="365"/>
      <c r="B885" s="365"/>
      <c r="C885" s="365"/>
      <c r="D885" s="365"/>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5.75" customHeight="1">
      <c r="A886" s="365"/>
      <c r="B886" s="365"/>
      <c r="C886" s="365"/>
      <c r="D886" s="365"/>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5.75" customHeight="1">
      <c r="A887" s="365"/>
      <c r="B887" s="365"/>
      <c r="C887" s="365"/>
      <c r="D887" s="365"/>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5.75" customHeight="1">
      <c r="A888" s="365"/>
      <c r="B888" s="365"/>
      <c r="C888" s="365"/>
      <c r="D888" s="365"/>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5.75" customHeight="1">
      <c r="A889" s="365"/>
      <c r="B889" s="365"/>
      <c r="C889" s="365"/>
      <c r="D889" s="365"/>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5.75" customHeight="1">
      <c r="A890" s="365"/>
      <c r="B890" s="365"/>
      <c r="C890" s="365"/>
      <c r="D890" s="365"/>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5.75" customHeight="1">
      <c r="A891" s="365"/>
      <c r="B891" s="365"/>
      <c r="C891" s="365"/>
      <c r="D891" s="365"/>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5.75" customHeight="1">
      <c r="A892" s="365"/>
      <c r="B892" s="365"/>
      <c r="C892" s="365"/>
      <c r="D892" s="365"/>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5.75" customHeight="1">
      <c r="A893" s="365"/>
      <c r="B893" s="365"/>
      <c r="C893" s="365"/>
      <c r="D893" s="365"/>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5.75" customHeight="1">
      <c r="A894" s="365"/>
      <c r="B894" s="365"/>
      <c r="C894" s="365"/>
      <c r="D894" s="365"/>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5.75" customHeight="1">
      <c r="A895" s="365"/>
      <c r="B895" s="365"/>
      <c r="C895" s="365"/>
      <c r="D895" s="365"/>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5.75" customHeight="1">
      <c r="A896" s="365"/>
      <c r="B896" s="365"/>
      <c r="C896" s="365"/>
      <c r="D896" s="365"/>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5.75" customHeight="1">
      <c r="A897" s="365"/>
      <c r="B897" s="365"/>
      <c r="C897" s="365"/>
      <c r="D897" s="365"/>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5.75" customHeight="1">
      <c r="A898" s="365"/>
      <c r="B898" s="365"/>
      <c r="C898" s="365"/>
      <c r="D898" s="365"/>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5.75" customHeight="1">
      <c r="A899" s="365"/>
      <c r="B899" s="365"/>
      <c r="C899" s="365"/>
      <c r="D899" s="365"/>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5.75" customHeight="1">
      <c r="A900" s="365"/>
      <c r="B900" s="365"/>
      <c r="C900" s="365"/>
      <c r="D900" s="365"/>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5.75" customHeight="1">
      <c r="A901" s="365"/>
      <c r="B901" s="365"/>
      <c r="C901" s="365"/>
      <c r="D901" s="365"/>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5.75" customHeight="1">
      <c r="A902" s="365"/>
      <c r="B902" s="365"/>
      <c r="C902" s="365"/>
      <c r="D902" s="365"/>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5.75" customHeight="1">
      <c r="A903" s="365"/>
      <c r="B903" s="365"/>
      <c r="C903" s="365"/>
      <c r="D903" s="365"/>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5.75" customHeight="1">
      <c r="A904" s="365"/>
      <c r="B904" s="365"/>
      <c r="C904" s="365"/>
      <c r="D904" s="365"/>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5.75" customHeight="1">
      <c r="A905" s="365"/>
      <c r="B905" s="365"/>
      <c r="C905" s="365"/>
      <c r="D905" s="365"/>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5.75" customHeight="1">
      <c r="A906" s="365"/>
      <c r="B906" s="365"/>
      <c r="C906" s="365"/>
      <c r="D906" s="365"/>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5.75" customHeight="1">
      <c r="A907" s="365"/>
      <c r="B907" s="365"/>
      <c r="C907" s="365"/>
      <c r="D907" s="365"/>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5.75" customHeight="1">
      <c r="A908" s="365"/>
      <c r="B908" s="365"/>
      <c r="C908" s="365"/>
      <c r="D908" s="365"/>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5.75" customHeight="1">
      <c r="A909" s="365"/>
      <c r="B909" s="365"/>
      <c r="C909" s="365"/>
      <c r="D909" s="365"/>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5.75" customHeight="1">
      <c r="A910" s="365"/>
      <c r="B910" s="365"/>
      <c r="C910" s="365"/>
      <c r="D910" s="365"/>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5.75" customHeight="1">
      <c r="A911" s="365"/>
      <c r="B911" s="365"/>
      <c r="C911" s="365"/>
      <c r="D911" s="365"/>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5.75" customHeight="1">
      <c r="A912" s="365"/>
      <c r="B912" s="365"/>
      <c r="C912" s="365"/>
      <c r="D912" s="365"/>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5.75" customHeight="1">
      <c r="A913" s="365"/>
      <c r="B913" s="365"/>
      <c r="C913" s="365"/>
      <c r="D913" s="365"/>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5.75" customHeight="1">
      <c r="A914" s="365"/>
      <c r="B914" s="365"/>
      <c r="C914" s="365"/>
      <c r="D914" s="365"/>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5.75" customHeight="1">
      <c r="A915" s="365"/>
      <c r="B915" s="365"/>
      <c r="C915" s="365"/>
      <c r="D915" s="365"/>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5.75" customHeight="1">
      <c r="A916" s="365"/>
      <c r="B916" s="365"/>
      <c r="C916" s="365"/>
      <c r="D916" s="365"/>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5.75" customHeight="1">
      <c r="A917" s="365"/>
      <c r="B917" s="365"/>
      <c r="C917" s="365"/>
      <c r="D917" s="365"/>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5.75" customHeight="1">
      <c r="A918" s="365"/>
      <c r="B918" s="365"/>
      <c r="C918" s="365"/>
      <c r="D918" s="365"/>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5.75" customHeight="1">
      <c r="A919" s="365"/>
      <c r="B919" s="365"/>
      <c r="C919" s="365"/>
      <c r="D919" s="365"/>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5.75" customHeight="1">
      <c r="A920" s="365"/>
      <c r="B920" s="365"/>
      <c r="C920" s="365"/>
      <c r="D920" s="365"/>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5.75" customHeight="1">
      <c r="A921" s="365"/>
      <c r="B921" s="365"/>
      <c r="C921" s="365"/>
      <c r="D921" s="365"/>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5.75" customHeight="1">
      <c r="A922" s="365"/>
      <c r="B922" s="365"/>
      <c r="C922" s="365"/>
      <c r="D922" s="365"/>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5.75" customHeight="1">
      <c r="A923" s="365"/>
      <c r="B923" s="365"/>
      <c r="C923" s="365"/>
      <c r="D923" s="365"/>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5.75" customHeight="1">
      <c r="A924" s="365"/>
      <c r="B924" s="365"/>
      <c r="C924" s="365"/>
      <c r="D924" s="365"/>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5.75" customHeight="1">
      <c r="A925" s="365"/>
      <c r="B925" s="365"/>
      <c r="C925" s="365"/>
      <c r="D925" s="365"/>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5.75" customHeight="1">
      <c r="A926" s="365"/>
      <c r="B926" s="365"/>
      <c r="C926" s="365"/>
      <c r="D926" s="365"/>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5.75" customHeight="1">
      <c r="A927" s="365"/>
      <c r="B927" s="365"/>
      <c r="C927" s="365"/>
      <c r="D927" s="365"/>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5.75" customHeight="1">
      <c r="A928" s="365"/>
      <c r="B928" s="365"/>
      <c r="C928" s="365"/>
      <c r="D928" s="365"/>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5.75" customHeight="1">
      <c r="A929" s="365"/>
      <c r="B929" s="365"/>
      <c r="C929" s="365"/>
      <c r="D929" s="365"/>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5.75" customHeight="1">
      <c r="A930" s="365"/>
      <c r="B930" s="365"/>
      <c r="C930" s="365"/>
      <c r="D930" s="365"/>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5.75" customHeight="1">
      <c r="A931" s="365"/>
      <c r="B931" s="365"/>
      <c r="C931" s="365"/>
      <c r="D931" s="365"/>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5.75" customHeight="1">
      <c r="A932" s="365"/>
      <c r="B932" s="365"/>
      <c r="C932" s="365"/>
      <c r="D932" s="365"/>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5.75" customHeight="1">
      <c r="A933" s="365"/>
      <c r="B933" s="365"/>
      <c r="C933" s="365"/>
      <c r="D933" s="365"/>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5.75" customHeight="1">
      <c r="A934" s="365"/>
      <c r="B934" s="365"/>
      <c r="C934" s="365"/>
      <c r="D934" s="365"/>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5.75" customHeight="1">
      <c r="A935" s="365"/>
      <c r="B935" s="365"/>
      <c r="C935" s="365"/>
      <c r="D935" s="365"/>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5.75" customHeight="1">
      <c r="A936" s="365"/>
      <c r="B936" s="365"/>
      <c r="C936" s="365"/>
      <c r="D936" s="365"/>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5.75" customHeight="1">
      <c r="A937" s="365"/>
      <c r="B937" s="365"/>
      <c r="C937" s="365"/>
      <c r="D937" s="365"/>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5.75" customHeight="1">
      <c r="A938" s="365"/>
      <c r="B938" s="365"/>
      <c r="C938" s="365"/>
      <c r="D938" s="365"/>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5.75" customHeight="1">
      <c r="A939" s="365"/>
      <c r="B939" s="365"/>
      <c r="C939" s="365"/>
      <c r="D939" s="365"/>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5.75" customHeight="1">
      <c r="A940" s="365"/>
      <c r="B940" s="365"/>
      <c r="C940" s="365"/>
      <c r="D940" s="365"/>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5.75" customHeight="1">
      <c r="A941" s="365"/>
      <c r="B941" s="365"/>
      <c r="C941" s="365"/>
      <c r="D941" s="365"/>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5.75" customHeight="1">
      <c r="A942" s="365"/>
      <c r="B942" s="365"/>
      <c r="C942" s="365"/>
      <c r="D942" s="365"/>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5.75" customHeight="1">
      <c r="A943" s="365"/>
      <c r="B943" s="365"/>
      <c r="C943" s="365"/>
      <c r="D943" s="365"/>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5.75" customHeight="1">
      <c r="A944" s="365"/>
      <c r="B944" s="365"/>
      <c r="C944" s="365"/>
      <c r="D944" s="365"/>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5.75" customHeight="1">
      <c r="A945" s="365"/>
      <c r="B945" s="365"/>
      <c r="C945" s="365"/>
      <c r="D945" s="365"/>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5.75" customHeight="1">
      <c r="A946" s="365"/>
      <c r="B946" s="365"/>
      <c r="C946" s="365"/>
      <c r="D946" s="365"/>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5.75" customHeight="1">
      <c r="A947" s="365"/>
      <c r="B947" s="365"/>
      <c r="C947" s="365"/>
      <c r="D947" s="365"/>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5.75" customHeight="1">
      <c r="A948" s="365"/>
      <c r="B948" s="365"/>
      <c r="C948" s="365"/>
      <c r="D948" s="365"/>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5.75" customHeight="1">
      <c r="A949" s="365"/>
      <c r="B949" s="365"/>
      <c r="C949" s="365"/>
      <c r="D949" s="365"/>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5.75" customHeight="1">
      <c r="A950" s="365"/>
      <c r="B950" s="365"/>
      <c r="C950" s="365"/>
      <c r="D950" s="365"/>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5.75" customHeight="1">
      <c r="A951" s="365"/>
      <c r="B951" s="365"/>
      <c r="C951" s="365"/>
      <c r="D951" s="365"/>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5.75" customHeight="1">
      <c r="A952" s="365"/>
      <c r="B952" s="365"/>
      <c r="C952" s="365"/>
      <c r="D952" s="365"/>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5.75" customHeight="1">
      <c r="A953" s="365"/>
      <c r="B953" s="365"/>
      <c r="C953" s="365"/>
      <c r="D953" s="365"/>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5.75" customHeight="1">
      <c r="A954" s="365"/>
      <c r="B954" s="365"/>
      <c r="C954" s="365"/>
      <c r="D954" s="365"/>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5.75" customHeight="1">
      <c r="A955" s="365"/>
      <c r="B955" s="365"/>
      <c r="C955" s="365"/>
      <c r="D955" s="365"/>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5.75" customHeight="1">
      <c r="A956" s="365"/>
      <c r="B956" s="365"/>
      <c r="C956" s="365"/>
      <c r="D956" s="365"/>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5.75" customHeight="1">
      <c r="A957" s="365"/>
      <c r="B957" s="365"/>
      <c r="C957" s="365"/>
      <c r="D957" s="365"/>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5.75" customHeight="1">
      <c r="A958" s="365"/>
      <c r="B958" s="365"/>
      <c r="C958" s="365"/>
      <c r="D958" s="365"/>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5.75" customHeight="1">
      <c r="A959" s="365"/>
      <c r="B959" s="365"/>
      <c r="C959" s="365"/>
      <c r="D959" s="365"/>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5.75" customHeight="1">
      <c r="A960" s="365"/>
      <c r="B960" s="365"/>
      <c r="C960" s="365"/>
      <c r="D960" s="365"/>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5.75" customHeight="1">
      <c r="A961" s="365"/>
      <c r="B961" s="365"/>
      <c r="C961" s="365"/>
      <c r="D961" s="365"/>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5.75" customHeight="1">
      <c r="A962" s="365"/>
      <c r="B962" s="365"/>
      <c r="C962" s="365"/>
      <c r="D962" s="365"/>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5.75" customHeight="1">
      <c r="A963" s="365"/>
      <c r="B963" s="365"/>
      <c r="C963" s="365"/>
      <c r="D963" s="365"/>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5.75" customHeight="1">
      <c r="A964" s="365"/>
      <c r="B964" s="365"/>
      <c r="C964" s="365"/>
      <c r="D964" s="365"/>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5.75" customHeight="1">
      <c r="A965" s="365"/>
      <c r="B965" s="365"/>
      <c r="C965" s="365"/>
      <c r="D965" s="365"/>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5.75" customHeight="1">
      <c r="A966" s="365"/>
      <c r="B966" s="365"/>
      <c r="C966" s="365"/>
      <c r="D966" s="365"/>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5.75" customHeight="1">
      <c r="A967" s="365"/>
      <c r="B967" s="365"/>
      <c r="C967" s="365"/>
      <c r="D967" s="365"/>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5.75" customHeight="1">
      <c r="A968" s="365"/>
      <c r="B968" s="365"/>
      <c r="C968" s="365"/>
      <c r="D968" s="365"/>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5.75" customHeight="1">
      <c r="A969" s="365"/>
      <c r="B969" s="365"/>
      <c r="C969" s="365"/>
      <c r="D969" s="365"/>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5.75" customHeight="1">
      <c r="A970" s="365"/>
      <c r="B970" s="365"/>
      <c r="C970" s="365"/>
      <c r="D970" s="365"/>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5.75" customHeight="1">
      <c r="A971" s="365"/>
      <c r="B971" s="365"/>
      <c r="C971" s="365"/>
      <c r="D971" s="365"/>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5.75" customHeight="1">
      <c r="A972" s="365"/>
      <c r="B972" s="365"/>
      <c r="C972" s="365"/>
      <c r="D972" s="365"/>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5.75" customHeight="1">
      <c r="A973" s="365"/>
      <c r="B973" s="365"/>
      <c r="C973" s="365"/>
      <c r="D973" s="365"/>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5.75" customHeight="1">
      <c r="A974" s="365"/>
      <c r="B974" s="365"/>
      <c r="C974" s="365"/>
      <c r="D974" s="365"/>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5.75" customHeight="1">
      <c r="A975" s="365"/>
      <c r="B975" s="365"/>
      <c r="C975" s="365"/>
      <c r="D975" s="365"/>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5.75" customHeight="1">
      <c r="A976" s="365"/>
      <c r="B976" s="365"/>
      <c r="C976" s="365"/>
      <c r="D976" s="365"/>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5.75" customHeight="1">
      <c r="A977" s="365"/>
      <c r="B977" s="365"/>
      <c r="C977" s="365"/>
      <c r="D977" s="365"/>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5.75" customHeight="1">
      <c r="A978" s="365"/>
      <c r="B978" s="365"/>
      <c r="C978" s="365"/>
      <c r="D978" s="365"/>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5.75" customHeight="1">
      <c r="A979" s="365"/>
      <c r="B979" s="365"/>
      <c r="C979" s="365"/>
      <c r="D979" s="365"/>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5.75" customHeight="1">
      <c r="A980" s="365"/>
      <c r="B980" s="365"/>
      <c r="C980" s="365"/>
      <c r="D980" s="365"/>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5.75" customHeight="1">
      <c r="A981" s="365"/>
      <c r="B981" s="365"/>
      <c r="C981" s="365"/>
      <c r="D981" s="365"/>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5.75" customHeight="1">
      <c r="A982" s="365"/>
      <c r="B982" s="365"/>
      <c r="C982" s="365"/>
      <c r="D982" s="365"/>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5.75" customHeight="1">
      <c r="A983" s="365"/>
      <c r="B983" s="365"/>
      <c r="C983" s="365"/>
      <c r="D983" s="365"/>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5.75" customHeight="1">
      <c r="A984" s="365"/>
      <c r="B984" s="365"/>
      <c r="C984" s="365"/>
      <c r="D984" s="365"/>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5.75" customHeight="1">
      <c r="A985" s="365"/>
      <c r="B985" s="365"/>
      <c r="C985" s="365"/>
      <c r="D985" s="365"/>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5.75" customHeight="1">
      <c r="A986" s="365"/>
      <c r="B986" s="365"/>
      <c r="C986" s="365"/>
      <c r="D986" s="365"/>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5.75" customHeight="1">
      <c r="A987" s="365"/>
      <c r="B987" s="365"/>
      <c r="C987" s="365"/>
      <c r="D987" s="365"/>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5.75" customHeight="1">
      <c r="A988" s="365"/>
      <c r="B988" s="365"/>
      <c r="C988" s="365"/>
      <c r="D988" s="365"/>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5.75" customHeight="1">
      <c r="A989" s="365"/>
      <c r="B989" s="365"/>
      <c r="C989" s="365"/>
      <c r="D989" s="365"/>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5.75" customHeight="1">
      <c r="A990" s="365"/>
      <c r="B990" s="365"/>
      <c r="C990" s="365"/>
      <c r="D990" s="365"/>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5.75" customHeight="1">
      <c r="A991" s="365"/>
      <c r="B991" s="365"/>
      <c r="C991" s="365"/>
      <c r="D991" s="365"/>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5.75" customHeight="1">
      <c r="A992" s="365"/>
      <c r="B992" s="365"/>
      <c r="C992" s="365"/>
      <c r="D992" s="365"/>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5.75" customHeight="1">
      <c r="A993" s="365"/>
      <c r="B993" s="365"/>
      <c r="C993" s="365"/>
      <c r="D993" s="365"/>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row r="994" ht="15.75" customHeight="1">
      <c r="A994" s="365"/>
      <c r="B994" s="365"/>
      <c r="C994" s="365"/>
      <c r="D994" s="365"/>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row>
    <row r="995" ht="15.75" customHeight="1">
      <c r="A995" s="365"/>
      <c r="B995" s="365"/>
      <c r="C995" s="365"/>
      <c r="D995" s="365"/>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row>
    <row r="996" ht="15.75" customHeight="1">
      <c r="A996" s="365"/>
      <c r="B996" s="365"/>
      <c r="C996" s="365"/>
      <c r="D996" s="365"/>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row>
    <row r="997" ht="15.75" customHeight="1">
      <c r="A997" s="365"/>
      <c r="B997" s="365"/>
      <c r="C997" s="365"/>
      <c r="D997" s="365"/>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row>
    <row r="998" ht="15.75" customHeight="1">
      <c r="A998" s="365"/>
      <c r="B998" s="365"/>
      <c r="C998" s="365"/>
      <c r="D998" s="365"/>
      <c r="E998" s="365"/>
      <c r="F998" s="365"/>
      <c r="G998" s="365"/>
      <c r="H998" s="365"/>
      <c r="I998" s="365"/>
      <c r="J998" s="365"/>
      <c r="K998" s="365"/>
      <c r="L998" s="365"/>
      <c r="M998" s="365"/>
      <c r="N998" s="365"/>
      <c r="O998" s="365"/>
      <c r="P998" s="365"/>
      <c r="Q998" s="365"/>
      <c r="R998" s="365"/>
      <c r="S998" s="365"/>
      <c r="T998" s="365"/>
      <c r="U998" s="365"/>
      <c r="V998" s="365"/>
      <c r="W998" s="365"/>
      <c r="X998" s="365"/>
      <c r="Y998" s="365"/>
      <c r="Z998" s="365"/>
    </row>
    <row r="999" ht="15.75" customHeight="1">
      <c r="A999" s="365"/>
      <c r="B999" s="365"/>
      <c r="C999" s="365"/>
      <c r="D999" s="365"/>
      <c r="E999" s="365"/>
      <c r="F999" s="365"/>
      <c r="G999" s="365"/>
      <c r="H999" s="365"/>
      <c r="I999" s="365"/>
      <c r="J999" s="365"/>
      <c r="K999" s="365"/>
      <c r="L999" s="365"/>
      <c r="M999" s="365"/>
      <c r="N999" s="365"/>
      <c r="O999" s="365"/>
      <c r="P999" s="365"/>
      <c r="Q999" s="365"/>
      <c r="R999" s="365"/>
      <c r="S999" s="365"/>
      <c r="T999" s="365"/>
      <c r="U999" s="365"/>
      <c r="V999" s="365"/>
      <c r="W999" s="365"/>
      <c r="X999" s="365"/>
      <c r="Y999" s="365"/>
      <c r="Z999" s="365"/>
    </row>
    <row r="1000" ht="15.75" customHeight="1">
      <c r="A1000" s="365"/>
      <c r="B1000" s="365"/>
      <c r="C1000" s="365"/>
      <c r="D1000" s="365"/>
      <c r="E1000" s="365"/>
      <c r="F1000" s="365"/>
      <c r="G1000" s="365"/>
      <c r="H1000" s="365"/>
      <c r="I1000" s="365"/>
      <c r="J1000" s="365"/>
      <c r="K1000" s="365"/>
      <c r="L1000" s="365"/>
      <c r="M1000" s="365"/>
      <c r="N1000" s="365"/>
      <c r="O1000" s="365"/>
      <c r="P1000" s="365"/>
      <c r="Q1000" s="365"/>
      <c r="R1000" s="365"/>
      <c r="S1000" s="365"/>
      <c r="T1000" s="365"/>
      <c r="U1000" s="365"/>
      <c r="V1000" s="365"/>
      <c r="W1000" s="365"/>
      <c r="X1000" s="365"/>
      <c r="Y1000" s="365"/>
      <c r="Z1000" s="365"/>
    </row>
  </sheetData>
  <mergeCells count="32">
    <mergeCell ref="W6:Y6"/>
    <mergeCell ref="W7:Y7"/>
    <mergeCell ref="W32:Y32"/>
    <mergeCell ref="W39:W40"/>
    <mergeCell ref="B1:D1"/>
    <mergeCell ref="G1:J1"/>
    <mergeCell ref="N1:Q1"/>
    <mergeCell ref="B6:D6"/>
    <mergeCell ref="M6:M40"/>
    <mergeCell ref="N6:N40"/>
    <mergeCell ref="B7:D7"/>
    <mergeCell ref="A23:B23"/>
    <mergeCell ref="A24:B24"/>
    <mergeCell ref="W24:Y24"/>
    <mergeCell ref="A16:D16"/>
    <mergeCell ref="A17:D17"/>
    <mergeCell ref="A18:B18"/>
    <mergeCell ref="A19:B19"/>
    <mergeCell ref="A20:B20"/>
    <mergeCell ref="A21:B21"/>
    <mergeCell ref="A22:B22"/>
    <mergeCell ref="A32:B32"/>
    <mergeCell ref="A33:B33"/>
    <mergeCell ref="A34:B34"/>
    <mergeCell ref="A500:D500"/>
    <mergeCell ref="A25:B25"/>
    <mergeCell ref="A26:B26"/>
    <mergeCell ref="A27:B27"/>
    <mergeCell ref="A28:B28"/>
    <mergeCell ref="A29:B29"/>
    <mergeCell ref="A30:B30"/>
    <mergeCell ref="A31:B31"/>
  </mergeCells>
  <dataValidations>
    <dataValidation type="list" allowBlank="1" showErrorMessage="1" sqref="A17">
      <formula1>'Інвертор'!$B$3:$B$1004</formula1>
    </dataValidation>
    <dataValidation type="list" allowBlank="1" showErrorMessage="1" sqref="W7">
      <formula1>'АКБ'!$B$3:$B$499</formula1>
    </dataValidation>
    <dataValidation type="list" allowBlank="1" showErrorMessage="1" sqref="B7">
      <formula1>'ФЕМ'!$B$3:$B$904</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9.71"/>
    <col customWidth="1" min="2" max="2" width="58.86"/>
    <col customWidth="1" min="3" max="6" width="14.43"/>
  </cols>
  <sheetData>
    <row r="1" ht="39.75" customHeight="1">
      <c r="A1" s="1153" t="s">
        <v>1791</v>
      </c>
      <c r="B1" s="1154" t="s">
        <v>1792</v>
      </c>
      <c r="C1" s="1154" t="s">
        <v>1793</v>
      </c>
      <c r="D1" s="1154" t="s">
        <v>1794</v>
      </c>
      <c r="E1" s="1154"/>
      <c r="F1" s="1154" t="s">
        <v>1730</v>
      </c>
      <c r="G1" s="1154" t="s">
        <v>1795</v>
      </c>
      <c r="H1" s="1154" t="s">
        <v>1732</v>
      </c>
      <c r="I1" s="1154" t="s">
        <v>1796</v>
      </c>
      <c r="J1" s="433" t="s">
        <v>1797</v>
      </c>
      <c r="K1" s="1155" t="s">
        <v>1798</v>
      </c>
      <c r="L1" s="1155" t="s">
        <v>1799</v>
      </c>
      <c r="M1" s="1155" t="s">
        <v>1800</v>
      </c>
      <c r="N1" s="1155" t="s">
        <v>1723</v>
      </c>
      <c r="O1" s="1155" t="s">
        <v>1728</v>
      </c>
      <c r="P1" s="463" t="s">
        <v>1725</v>
      </c>
      <c r="Q1" s="463" t="s">
        <v>1720</v>
      </c>
      <c r="R1" s="463" t="s">
        <v>1801</v>
      </c>
      <c r="S1" s="463" t="s">
        <v>1802</v>
      </c>
      <c r="T1" s="463" t="s">
        <v>1803</v>
      </c>
      <c r="U1" s="463" t="s">
        <v>1804</v>
      </c>
      <c r="V1" s="463" t="s">
        <v>1805</v>
      </c>
      <c r="W1" s="463" t="s">
        <v>1806</v>
      </c>
      <c r="X1" s="463" t="s">
        <v>1807</v>
      </c>
      <c r="Y1" s="463" t="s">
        <v>1808</v>
      </c>
      <c r="Z1" s="463"/>
      <c r="AA1" s="463"/>
      <c r="AB1" s="463"/>
      <c r="AC1" s="463"/>
      <c r="AD1" s="463"/>
      <c r="AE1" s="463"/>
    </row>
    <row r="2" ht="15.0" customHeight="1">
      <c r="A2" s="999"/>
      <c r="B2" s="999"/>
      <c r="C2" s="999"/>
      <c r="D2" s="999"/>
      <c r="E2" s="999"/>
      <c r="F2" s="999"/>
      <c r="G2" s="999"/>
      <c r="H2" s="999"/>
      <c r="I2" s="999"/>
      <c r="J2" s="999"/>
      <c r="K2" s="999"/>
      <c r="L2" s="999"/>
      <c r="M2" s="999"/>
      <c r="N2" s="999"/>
      <c r="O2" s="999"/>
      <c r="P2" s="999"/>
      <c r="Q2" s="999"/>
      <c r="R2" s="1156">
        <v>-25.0</v>
      </c>
      <c r="S2" s="1157">
        <v>70.0</v>
      </c>
      <c r="T2" s="999"/>
      <c r="U2" s="999"/>
      <c r="V2" s="999"/>
      <c r="W2" s="999"/>
      <c r="X2" s="999"/>
      <c r="Y2" s="999"/>
      <c r="Z2" s="999"/>
      <c r="AA2" s="999"/>
      <c r="AB2" s="999"/>
      <c r="AC2" s="999"/>
      <c r="AD2" s="999"/>
      <c r="AE2" s="999"/>
    </row>
    <row r="3" ht="15.0" customHeight="1">
      <c r="A3" s="1158"/>
      <c r="B3" s="1158"/>
      <c r="C3" s="1159"/>
      <c r="D3" s="1159"/>
      <c r="E3" s="1159"/>
      <c r="F3" s="1159"/>
      <c r="G3" s="1159"/>
      <c r="H3" s="1159"/>
      <c r="I3" s="1159"/>
      <c r="J3" s="1159"/>
      <c r="K3" s="1159"/>
      <c r="L3" s="1159"/>
      <c r="M3" s="1159"/>
      <c r="N3" s="1159"/>
      <c r="O3" s="1159"/>
      <c r="P3" s="1159"/>
      <c r="Q3" s="1159"/>
      <c r="R3" s="1159"/>
      <c r="S3" s="1159"/>
      <c r="T3" s="1159"/>
      <c r="U3" s="1159"/>
      <c r="V3" s="1159"/>
      <c r="W3" s="1159"/>
      <c r="X3" s="1159"/>
      <c r="Y3" s="1159"/>
      <c r="Z3" s="1159"/>
      <c r="AA3" s="1159"/>
      <c r="AB3" s="1160"/>
      <c r="AC3" s="1160"/>
      <c r="AD3" s="1160"/>
      <c r="AE3" s="1160"/>
    </row>
    <row r="4" ht="15.0" customHeight="1">
      <c r="A4" s="1158"/>
      <c r="B4" s="1158"/>
      <c r="C4" s="1159"/>
      <c r="D4" s="1159"/>
      <c r="E4" s="1159"/>
      <c r="F4" s="1159"/>
      <c r="G4" s="1159"/>
      <c r="H4" s="1159"/>
      <c r="I4" s="1159"/>
      <c r="J4" s="1159"/>
      <c r="K4" s="1159"/>
      <c r="L4" s="1159"/>
      <c r="M4" s="1159"/>
      <c r="N4" s="1159"/>
      <c r="O4" s="1159"/>
      <c r="P4" s="1159"/>
      <c r="Q4" s="1159"/>
      <c r="R4" s="1159"/>
      <c r="S4" s="1159"/>
      <c r="T4" s="1159"/>
      <c r="U4" s="1159"/>
      <c r="V4" s="1159"/>
      <c r="W4" s="1159"/>
      <c r="X4" s="1159"/>
      <c r="Y4" s="1159"/>
      <c r="Z4" s="1159"/>
      <c r="AA4" s="1159"/>
      <c r="AB4" s="1160"/>
      <c r="AC4" s="1160"/>
      <c r="AD4" s="1160"/>
      <c r="AE4" s="1160"/>
    </row>
    <row r="5" ht="15.0" customHeight="1">
      <c r="A5" s="1161" t="s">
        <v>1809</v>
      </c>
      <c r="B5" s="1161" t="s">
        <v>1810</v>
      </c>
      <c r="C5" s="1162"/>
      <c r="D5" s="1163">
        <v>0.0</v>
      </c>
      <c r="E5" s="1162"/>
      <c r="F5" s="1164">
        <v>415.0</v>
      </c>
      <c r="G5" s="1164">
        <v>32.12</v>
      </c>
      <c r="H5" s="1164">
        <v>12.92</v>
      </c>
      <c r="I5" s="1164">
        <v>38.67</v>
      </c>
      <c r="J5" s="1164">
        <v>13.67</v>
      </c>
      <c r="K5" s="1164">
        <v>-0.275</v>
      </c>
      <c r="L5" s="1164">
        <v>0.045</v>
      </c>
      <c r="M5" s="1164">
        <v>25.0</v>
      </c>
      <c r="N5" s="1165">
        <f t="shared" ref="N5:N15" si="1">(1+($S$2-25)*(K5/100))*G5</f>
        <v>28.14515</v>
      </c>
      <c r="O5" s="1165">
        <f t="shared" ref="O5:O15" si="2">(1+($R$2-25)*(K5/100))*I5</f>
        <v>43.987125</v>
      </c>
      <c r="P5" s="1165">
        <f t="shared" ref="P5:P15" si="3">G5</f>
        <v>32.12</v>
      </c>
      <c r="Q5" s="1165">
        <f t="shared" ref="Q5:Q15" si="4">J5*(1+($S$2-25)*(L5/100))</f>
        <v>13.9468175</v>
      </c>
      <c r="R5" s="1162"/>
      <c r="S5" s="1162"/>
      <c r="T5" s="1164">
        <v>21.25</v>
      </c>
      <c r="U5" s="1164">
        <v>1.724</v>
      </c>
      <c r="V5" s="1164">
        <v>1.133</v>
      </c>
      <c r="W5" s="1164">
        <v>0.035</v>
      </c>
      <c r="X5" s="1166">
        <f t="shared" ref="X5:X12" si="5">U5*V5</f>
        <v>1.953292</v>
      </c>
      <c r="Y5" s="1162"/>
      <c r="Z5" s="1162"/>
      <c r="AA5" s="1162"/>
      <c r="AB5" s="1167"/>
      <c r="AC5" s="1167"/>
      <c r="AD5" s="1167"/>
      <c r="AE5" s="1167"/>
    </row>
    <row r="6" ht="15.0" customHeight="1">
      <c r="A6" s="1161" t="s">
        <v>1809</v>
      </c>
      <c r="B6" s="1161" t="s">
        <v>1811</v>
      </c>
      <c r="C6" s="1162"/>
      <c r="D6" s="1163">
        <v>0.0</v>
      </c>
      <c r="E6" s="1162"/>
      <c r="F6" s="1164">
        <v>430.0</v>
      </c>
      <c r="G6" s="1164">
        <v>32.43</v>
      </c>
      <c r="H6" s="1164">
        <v>13.26</v>
      </c>
      <c r="I6" s="1164">
        <v>38.26</v>
      </c>
      <c r="J6" s="1164">
        <v>14.17</v>
      </c>
      <c r="K6" s="1164">
        <v>-0.25</v>
      </c>
      <c r="L6" s="1164">
        <v>0.046</v>
      </c>
      <c r="M6" s="1164">
        <v>25.0</v>
      </c>
      <c r="N6" s="1165">
        <f t="shared" si="1"/>
        <v>28.781625</v>
      </c>
      <c r="O6" s="1165">
        <f t="shared" si="2"/>
        <v>43.0425</v>
      </c>
      <c r="P6" s="1165">
        <f t="shared" si="3"/>
        <v>32.43</v>
      </c>
      <c r="Q6" s="1165">
        <f t="shared" si="4"/>
        <v>14.463319</v>
      </c>
      <c r="R6" s="1162"/>
      <c r="S6" s="1162"/>
      <c r="T6" s="1164">
        <v>22.01</v>
      </c>
      <c r="U6" s="1164">
        <v>1.724</v>
      </c>
      <c r="V6" s="1164">
        <v>1.133</v>
      </c>
      <c r="W6" s="1164">
        <v>0.03</v>
      </c>
      <c r="X6" s="1166">
        <f t="shared" si="5"/>
        <v>1.953292</v>
      </c>
      <c r="Y6" s="1162"/>
      <c r="Z6" s="1162"/>
      <c r="AA6" s="1162"/>
      <c r="AB6" s="1167"/>
      <c r="AC6" s="1167"/>
      <c r="AD6" s="1167"/>
      <c r="AE6" s="1167"/>
    </row>
    <row r="7" ht="15.0" customHeight="1">
      <c r="A7" s="1161" t="s">
        <v>1809</v>
      </c>
      <c r="B7" s="1161" t="s">
        <v>1812</v>
      </c>
      <c r="C7" s="1162"/>
      <c r="D7" s="1163">
        <v>0.0</v>
      </c>
      <c r="E7" s="1162"/>
      <c r="F7" s="1164">
        <v>430.0</v>
      </c>
      <c r="G7" s="1164">
        <v>32.43</v>
      </c>
      <c r="H7" s="1164">
        <v>13.26</v>
      </c>
      <c r="I7" s="1164">
        <v>38.26</v>
      </c>
      <c r="J7" s="1164">
        <v>14.17</v>
      </c>
      <c r="K7" s="1164">
        <v>-0.25</v>
      </c>
      <c r="L7" s="1164">
        <v>0.046</v>
      </c>
      <c r="M7" s="1164">
        <v>25.0</v>
      </c>
      <c r="N7" s="1165">
        <f t="shared" si="1"/>
        <v>28.781625</v>
      </c>
      <c r="O7" s="1165">
        <f t="shared" si="2"/>
        <v>43.0425</v>
      </c>
      <c r="P7" s="1165">
        <f t="shared" si="3"/>
        <v>32.43</v>
      </c>
      <c r="Q7" s="1165">
        <f t="shared" si="4"/>
        <v>14.463319</v>
      </c>
      <c r="R7" s="1162"/>
      <c r="S7" s="1162"/>
      <c r="T7" s="1164">
        <v>22.05</v>
      </c>
      <c r="U7" s="1164">
        <v>1.722</v>
      </c>
      <c r="V7" s="1164">
        <v>1.134</v>
      </c>
      <c r="W7" s="1164">
        <v>0.03</v>
      </c>
      <c r="X7" s="1166">
        <f t="shared" si="5"/>
        <v>1.952748</v>
      </c>
      <c r="Y7" s="1162"/>
      <c r="Z7" s="1162"/>
      <c r="AA7" s="1162"/>
      <c r="AB7" s="1167"/>
      <c r="AC7" s="1167"/>
      <c r="AD7" s="1167"/>
      <c r="AE7" s="1167"/>
    </row>
    <row r="8" ht="15.0" customHeight="1">
      <c r="A8" s="1161" t="s">
        <v>1809</v>
      </c>
      <c r="B8" s="1161" t="s">
        <v>1813</v>
      </c>
      <c r="C8" s="1162"/>
      <c r="D8" s="1163">
        <v>0.0</v>
      </c>
      <c r="E8" s="1162"/>
      <c r="F8" s="1164">
        <v>435.0</v>
      </c>
      <c r="G8" s="1164">
        <v>32.64</v>
      </c>
      <c r="H8" s="1164">
        <v>13.33</v>
      </c>
      <c r="I8" s="1164">
        <v>38.46</v>
      </c>
      <c r="J8" s="1164">
        <v>14.23</v>
      </c>
      <c r="K8" s="1164">
        <v>-0.25</v>
      </c>
      <c r="L8" s="1164">
        <v>0.046</v>
      </c>
      <c r="M8" s="1164">
        <v>25.0</v>
      </c>
      <c r="N8" s="1165">
        <f t="shared" si="1"/>
        <v>28.968</v>
      </c>
      <c r="O8" s="1165">
        <f t="shared" si="2"/>
        <v>43.2675</v>
      </c>
      <c r="P8" s="1165">
        <f t="shared" si="3"/>
        <v>32.64</v>
      </c>
      <c r="Q8" s="1165">
        <f t="shared" si="4"/>
        <v>14.524561</v>
      </c>
      <c r="R8" s="1162"/>
      <c r="S8" s="1162"/>
      <c r="T8" s="1164">
        <v>22.31</v>
      </c>
      <c r="U8" s="1164">
        <v>1.721</v>
      </c>
      <c r="V8" s="1164">
        <v>1.133</v>
      </c>
      <c r="W8" s="1164">
        <v>0.03</v>
      </c>
      <c r="X8" s="1166">
        <f t="shared" si="5"/>
        <v>1.949893</v>
      </c>
      <c r="Y8" s="1162"/>
      <c r="Z8" s="1162"/>
      <c r="AA8" s="1162"/>
      <c r="AB8" s="1167"/>
      <c r="AC8" s="1167"/>
      <c r="AD8" s="1167"/>
      <c r="AE8" s="1167"/>
    </row>
    <row r="9" ht="15.0" customHeight="1">
      <c r="A9" s="1161" t="s">
        <v>1809</v>
      </c>
      <c r="B9" s="1161" t="s">
        <v>1814</v>
      </c>
      <c r="C9" s="1162"/>
      <c r="D9" s="1163">
        <v>0.0</v>
      </c>
      <c r="E9" s="1162"/>
      <c r="F9" s="1164">
        <v>450.0</v>
      </c>
      <c r="G9" s="1164">
        <v>41.4</v>
      </c>
      <c r="H9" s="1164">
        <v>10.87</v>
      </c>
      <c r="I9" s="1164">
        <v>50.0</v>
      </c>
      <c r="J9" s="1164">
        <v>11.54</v>
      </c>
      <c r="K9" s="1164">
        <v>-0.286</v>
      </c>
      <c r="L9" s="1164">
        <v>0.057</v>
      </c>
      <c r="M9" s="1164">
        <v>20.0</v>
      </c>
      <c r="N9" s="1165">
        <f t="shared" si="1"/>
        <v>36.07182</v>
      </c>
      <c r="O9" s="1165">
        <f t="shared" si="2"/>
        <v>57.15</v>
      </c>
      <c r="P9" s="1165">
        <f t="shared" si="3"/>
        <v>41.4</v>
      </c>
      <c r="Q9" s="1165">
        <f t="shared" si="4"/>
        <v>11.836001</v>
      </c>
      <c r="R9" s="1162"/>
      <c r="S9" s="1162"/>
      <c r="T9" s="1164">
        <v>20.7</v>
      </c>
      <c r="U9" s="1164">
        <v>2.094</v>
      </c>
      <c r="V9" s="1164">
        <v>1.038</v>
      </c>
      <c r="W9" s="1164">
        <v>0.035</v>
      </c>
      <c r="X9" s="1166">
        <f t="shared" si="5"/>
        <v>2.173572</v>
      </c>
      <c r="Y9" s="1162"/>
      <c r="Z9" s="1162"/>
      <c r="AA9" s="1162"/>
      <c r="AB9" s="1167"/>
      <c r="AC9" s="1167"/>
      <c r="AD9" s="1167"/>
      <c r="AE9" s="1167"/>
    </row>
    <row r="10" ht="15.0" customHeight="1">
      <c r="A10" s="1161" t="s">
        <v>1809</v>
      </c>
      <c r="B10" s="1161" t="s">
        <v>1815</v>
      </c>
      <c r="C10" s="1162"/>
      <c r="D10" s="1163">
        <v>0.0</v>
      </c>
      <c r="E10" s="1162"/>
      <c r="F10" s="1164">
        <v>480.0</v>
      </c>
      <c r="G10" s="1164">
        <v>35.38</v>
      </c>
      <c r="H10" s="1164">
        <v>13.57</v>
      </c>
      <c r="I10" s="1164">
        <v>42.71</v>
      </c>
      <c r="J10" s="1164">
        <v>14.31</v>
      </c>
      <c r="K10" s="1164">
        <v>-0.25</v>
      </c>
      <c r="L10" s="1164">
        <v>0.046</v>
      </c>
      <c r="M10" s="1164">
        <v>25.0</v>
      </c>
      <c r="N10" s="1165">
        <f t="shared" si="1"/>
        <v>31.39975</v>
      </c>
      <c r="O10" s="1165">
        <f t="shared" si="2"/>
        <v>48.04875</v>
      </c>
      <c r="P10" s="1165">
        <f t="shared" si="3"/>
        <v>35.38</v>
      </c>
      <c r="Q10" s="1165">
        <f t="shared" si="4"/>
        <v>14.606217</v>
      </c>
      <c r="R10" s="1162"/>
      <c r="S10" s="1162"/>
      <c r="T10" s="1164">
        <v>22.18</v>
      </c>
      <c r="U10" s="1164">
        <v>1.91</v>
      </c>
      <c r="V10" s="1164">
        <v>1.133</v>
      </c>
      <c r="W10" s="1164">
        <v>0.03</v>
      </c>
      <c r="X10" s="1166">
        <f t="shared" si="5"/>
        <v>2.16403</v>
      </c>
      <c r="Y10" s="1162"/>
      <c r="Z10" s="1162"/>
      <c r="AA10" s="1162"/>
      <c r="AB10" s="1167"/>
      <c r="AC10" s="1167"/>
      <c r="AD10" s="1167"/>
      <c r="AE10" s="1167"/>
    </row>
    <row r="11" ht="15.0" customHeight="1">
      <c r="A11" s="1161" t="s">
        <v>1809</v>
      </c>
      <c r="B11" s="1161" t="s">
        <v>1816</v>
      </c>
      <c r="C11" s="1162"/>
      <c r="D11" s="1163">
        <v>0.0</v>
      </c>
      <c r="E11" s="1162"/>
      <c r="F11" s="1164">
        <v>505.0</v>
      </c>
      <c r="G11" s="1164">
        <v>39.27</v>
      </c>
      <c r="H11" s="1164">
        <v>12.86</v>
      </c>
      <c r="I11" s="1164">
        <v>46.93</v>
      </c>
      <c r="J11" s="1164">
        <v>13.62</v>
      </c>
      <c r="K11" s="1164">
        <v>-0.275</v>
      </c>
      <c r="L11" s="1164">
        <v>0.045</v>
      </c>
      <c r="M11" s="1164">
        <v>25.0</v>
      </c>
      <c r="N11" s="1165">
        <f t="shared" si="1"/>
        <v>34.4103375</v>
      </c>
      <c r="O11" s="1165">
        <f t="shared" si="2"/>
        <v>53.382875</v>
      </c>
      <c r="P11" s="1165">
        <f t="shared" si="3"/>
        <v>39.27</v>
      </c>
      <c r="Q11" s="1165">
        <f t="shared" si="4"/>
        <v>13.895805</v>
      </c>
      <c r="R11" s="1162"/>
      <c r="S11" s="1162"/>
      <c r="T11" s="1164">
        <v>21.29</v>
      </c>
      <c r="U11" s="1164">
        <v>2.094</v>
      </c>
      <c r="V11" s="1164">
        <v>1.133</v>
      </c>
      <c r="W11" s="1164">
        <v>0.035</v>
      </c>
      <c r="X11" s="1166">
        <f t="shared" si="5"/>
        <v>2.372502</v>
      </c>
      <c r="Y11" s="1162"/>
      <c r="Z11" s="1162"/>
      <c r="AA11" s="1162"/>
      <c r="AB11" s="1167"/>
      <c r="AC11" s="1167"/>
      <c r="AD11" s="1167"/>
      <c r="AE11" s="1167"/>
    </row>
    <row r="12" ht="15.0" customHeight="1">
      <c r="A12" s="1161" t="s">
        <v>1809</v>
      </c>
      <c r="B12" s="1161" t="s">
        <v>1817</v>
      </c>
      <c r="C12" s="1162"/>
      <c r="D12" s="1163">
        <v>0.0</v>
      </c>
      <c r="E12" s="1162"/>
      <c r="F12" s="1164">
        <v>550.0</v>
      </c>
      <c r="G12" s="1164">
        <v>42.57</v>
      </c>
      <c r="H12" s="1164">
        <v>12.92</v>
      </c>
      <c r="I12" s="1164">
        <v>51.44</v>
      </c>
      <c r="J12" s="1164">
        <v>13.67</v>
      </c>
      <c r="K12" s="1164">
        <v>-0.275</v>
      </c>
      <c r="L12" s="1164">
        <v>0.045</v>
      </c>
      <c r="M12" s="1164">
        <v>25.0</v>
      </c>
      <c r="N12" s="1165">
        <f t="shared" si="1"/>
        <v>37.3019625</v>
      </c>
      <c r="O12" s="1165">
        <f t="shared" si="2"/>
        <v>58.513</v>
      </c>
      <c r="P12" s="1165">
        <f t="shared" si="3"/>
        <v>42.57</v>
      </c>
      <c r="Q12" s="1165">
        <f t="shared" si="4"/>
        <v>13.9468175</v>
      </c>
      <c r="R12" s="1162"/>
      <c r="S12" s="1162"/>
      <c r="T12" s="1164">
        <v>21.31</v>
      </c>
      <c r="U12" s="1164">
        <v>2.278</v>
      </c>
      <c r="V12" s="1164">
        <v>1.133</v>
      </c>
      <c r="W12" s="1164">
        <v>0.035</v>
      </c>
      <c r="X12" s="1166">
        <f t="shared" si="5"/>
        <v>2.580974</v>
      </c>
      <c r="Y12" s="1162"/>
      <c r="Z12" s="1162"/>
      <c r="AA12" s="1162"/>
      <c r="AB12" s="1167"/>
      <c r="AC12" s="1167"/>
      <c r="AD12" s="1167"/>
      <c r="AE12" s="1167"/>
    </row>
    <row r="13" ht="15.0" customHeight="1">
      <c r="A13" s="1161" t="s">
        <v>1809</v>
      </c>
      <c r="B13" s="1161" t="s">
        <v>1818</v>
      </c>
      <c r="C13" s="1162"/>
      <c r="D13" s="1163">
        <v>0.0</v>
      </c>
      <c r="E13" s="1162"/>
      <c r="F13" s="1164">
        <v>580.0</v>
      </c>
      <c r="G13" s="1164">
        <v>43.04</v>
      </c>
      <c r="H13" s="1164">
        <v>13.49</v>
      </c>
      <c r="I13" s="1164">
        <v>50.86</v>
      </c>
      <c r="J13" s="1164">
        <v>14.4</v>
      </c>
      <c r="K13" s="1164">
        <v>-0.25</v>
      </c>
      <c r="L13" s="1164">
        <v>0.045</v>
      </c>
      <c r="M13" s="1164">
        <v>25.0</v>
      </c>
      <c r="N13" s="1165">
        <f t="shared" si="1"/>
        <v>38.198</v>
      </c>
      <c r="O13" s="1165">
        <f t="shared" si="2"/>
        <v>57.2175</v>
      </c>
      <c r="P13" s="1165">
        <f t="shared" si="3"/>
        <v>43.04</v>
      </c>
      <c r="Q13" s="1165">
        <f t="shared" si="4"/>
        <v>14.6916</v>
      </c>
      <c r="R13" s="1162"/>
      <c r="S13" s="1162"/>
      <c r="T13" s="1164">
        <v>22.47</v>
      </c>
      <c r="U13" s="1168">
        <v>2278.0</v>
      </c>
      <c r="V13" s="1168">
        <v>1133.0</v>
      </c>
      <c r="W13" s="1168">
        <v>30.0</v>
      </c>
      <c r="X13" s="1169">
        <f t="shared" ref="X13:X15" si="6">U13*V13/1000000</f>
        <v>2.580974</v>
      </c>
      <c r="Y13" s="1164">
        <v>26.5</v>
      </c>
      <c r="Z13" s="1162"/>
      <c r="AA13" s="1162"/>
      <c r="AB13" s="1167"/>
      <c r="AC13" s="1167"/>
      <c r="AD13" s="1167"/>
      <c r="AE13" s="1167"/>
    </row>
    <row r="14" ht="15.0" customHeight="1">
      <c r="A14" s="1161" t="s">
        <v>1809</v>
      </c>
      <c r="B14" s="1170" t="s">
        <v>1819</v>
      </c>
      <c r="C14" s="1162"/>
      <c r="D14" s="1163">
        <v>0.0</v>
      </c>
      <c r="E14" s="1162"/>
      <c r="F14" s="1171">
        <v>585.0</v>
      </c>
      <c r="G14" s="1171">
        <v>43.14</v>
      </c>
      <c r="H14" s="1171">
        <v>13.56</v>
      </c>
      <c r="I14" s="1171">
        <v>51.83</v>
      </c>
      <c r="J14" s="1171">
        <v>14.47</v>
      </c>
      <c r="K14" s="1164">
        <v>-0.25</v>
      </c>
      <c r="L14" s="1171">
        <v>0.046</v>
      </c>
      <c r="M14" s="1164">
        <v>25.0</v>
      </c>
      <c r="N14" s="1165">
        <f t="shared" si="1"/>
        <v>38.28675</v>
      </c>
      <c r="O14" s="1165">
        <f t="shared" si="2"/>
        <v>58.30875</v>
      </c>
      <c r="P14" s="1165">
        <f t="shared" si="3"/>
        <v>43.14</v>
      </c>
      <c r="Q14" s="1165">
        <f t="shared" si="4"/>
        <v>14.769529</v>
      </c>
      <c r="R14" s="1162"/>
      <c r="S14" s="1162"/>
      <c r="T14" s="1171">
        <v>22.67</v>
      </c>
      <c r="U14" s="1168">
        <v>2278.0</v>
      </c>
      <c r="V14" s="1168">
        <v>1133.0</v>
      </c>
      <c r="W14" s="1168">
        <v>30.0</v>
      </c>
      <c r="X14" s="1169">
        <f t="shared" si="6"/>
        <v>2.580974</v>
      </c>
      <c r="Y14" s="1164">
        <v>26.5</v>
      </c>
      <c r="Z14" s="1162"/>
      <c r="AA14" s="1162"/>
      <c r="AB14" s="1167"/>
      <c r="AC14" s="1167"/>
      <c r="AD14" s="1167"/>
      <c r="AE14" s="1167"/>
    </row>
    <row r="15" ht="15.0" customHeight="1">
      <c r="A15" s="1172" t="s">
        <v>1809</v>
      </c>
      <c r="B15" s="1173" t="s">
        <v>1820</v>
      </c>
      <c r="C15" s="1174"/>
      <c r="D15" s="1175">
        <v>0.0</v>
      </c>
      <c r="E15" s="1174"/>
      <c r="F15" s="1176">
        <v>615.0</v>
      </c>
      <c r="G15" s="1176">
        <v>41.1</v>
      </c>
      <c r="H15" s="1176">
        <v>14.96</v>
      </c>
      <c r="I15" s="1176">
        <v>49.3</v>
      </c>
      <c r="J15" s="1176">
        <v>15.99</v>
      </c>
      <c r="K15" s="1176">
        <v>-0.24</v>
      </c>
      <c r="L15" s="1176">
        <v>0.04</v>
      </c>
      <c r="M15" s="1176">
        <v>30.0</v>
      </c>
      <c r="N15" s="1177">
        <f t="shared" si="1"/>
        <v>36.6612</v>
      </c>
      <c r="O15" s="1177">
        <f t="shared" si="2"/>
        <v>55.216</v>
      </c>
      <c r="P15" s="1177">
        <f t="shared" si="3"/>
        <v>41.1</v>
      </c>
      <c r="Q15" s="1177">
        <f t="shared" si="4"/>
        <v>16.27782</v>
      </c>
      <c r="R15" s="1174"/>
      <c r="S15" s="1174"/>
      <c r="T15" s="1176">
        <v>22.79</v>
      </c>
      <c r="U15" s="1178">
        <v>2382.0</v>
      </c>
      <c r="V15" s="1179">
        <v>1133.0</v>
      </c>
      <c r="W15" s="1179">
        <v>30.0</v>
      </c>
      <c r="X15" s="1180">
        <f t="shared" si="6"/>
        <v>2.698806</v>
      </c>
      <c r="Y15" s="1176">
        <v>33.7</v>
      </c>
      <c r="Z15" s="1174"/>
      <c r="AA15" s="1174"/>
      <c r="AB15" s="1181"/>
      <c r="AC15" s="1181"/>
      <c r="AD15" s="1181"/>
      <c r="AE15" s="1181"/>
    </row>
    <row r="16" ht="15.0" customHeight="1">
      <c r="A16" s="1161"/>
      <c r="B16" s="1161"/>
      <c r="C16" s="1162"/>
      <c r="D16" s="1163"/>
      <c r="E16" s="1162"/>
      <c r="F16" s="1164"/>
      <c r="G16" s="1164"/>
      <c r="H16" s="1164"/>
      <c r="I16" s="1164"/>
      <c r="J16" s="1164"/>
      <c r="K16" s="1164"/>
      <c r="L16" s="1164"/>
      <c r="M16" s="1164"/>
      <c r="N16" s="1165"/>
      <c r="O16" s="1165"/>
      <c r="P16" s="1165"/>
      <c r="Q16" s="1165"/>
      <c r="R16" s="1162"/>
      <c r="S16" s="1162"/>
      <c r="T16" s="1164"/>
      <c r="U16" s="1164"/>
      <c r="V16" s="1164"/>
      <c r="W16" s="1164"/>
      <c r="X16" s="1166"/>
      <c r="Y16" s="1162"/>
      <c r="Z16" s="1162"/>
      <c r="AA16" s="1162"/>
      <c r="AB16" s="1167"/>
      <c r="AC16" s="1167"/>
      <c r="AD16" s="1167"/>
      <c r="AE16" s="1167"/>
    </row>
    <row r="17" ht="15.0" customHeight="1">
      <c r="A17" s="1161" t="s">
        <v>1809</v>
      </c>
      <c r="B17" s="1161" t="s">
        <v>1821</v>
      </c>
      <c r="C17" s="1162"/>
      <c r="D17" s="1163">
        <v>0.0</v>
      </c>
      <c r="E17" s="1162"/>
      <c r="F17" s="1164">
        <v>365.0</v>
      </c>
      <c r="G17" s="1164">
        <v>34.7</v>
      </c>
      <c r="H17" s="1164">
        <v>10.53</v>
      </c>
      <c r="I17" s="1164">
        <v>41.8</v>
      </c>
      <c r="J17" s="1164">
        <v>11.22</v>
      </c>
      <c r="K17" s="1164">
        <v>-0.28</v>
      </c>
      <c r="L17" s="1164">
        <v>0.06</v>
      </c>
      <c r="M17" s="1164">
        <v>20.0</v>
      </c>
      <c r="N17" s="1165">
        <f t="shared" ref="N17:N26" si="7">(1+($S$2-25)*(K17/100))*G17</f>
        <v>30.3278</v>
      </c>
      <c r="O17" s="1165">
        <f t="shared" ref="O17:O26" si="8">(1+($R$2-25)*(K17/100))*I17</f>
        <v>47.652</v>
      </c>
      <c r="P17" s="1165">
        <f t="shared" ref="P17:P26" si="9">G17</f>
        <v>34.7</v>
      </c>
      <c r="Q17" s="1165">
        <f t="shared" ref="Q17:Q26" si="10">J17*(1+($S$2-25)*(L17/100))</f>
        <v>11.52294</v>
      </c>
      <c r="R17" s="1162"/>
      <c r="S17" s="1162"/>
      <c r="T17" s="1164">
        <v>18.6</v>
      </c>
      <c r="U17" s="1164">
        <v>1.69</v>
      </c>
      <c r="V17" s="1164">
        <v>1.16</v>
      </c>
      <c r="W17" s="1164">
        <v>0.035</v>
      </c>
      <c r="X17" s="1166">
        <f t="shared" ref="X17:X26" si="11">U17*V17</f>
        <v>1.9604</v>
      </c>
      <c r="Y17" s="1162"/>
      <c r="Z17" s="1162"/>
      <c r="AA17" s="1162"/>
      <c r="AB17" s="1167"/>
      <c r="AC17" s="1167"/>
      <c r="AD17" s="1167"/>
      <c r="AE17" s="1167"/>
    </row>
    <row r="18" ht="15.0" customHeight="1">
      <c r="A18" s="1161" t="s">
        <v>1809</v>
      </c>
      <c r="B18" s="1161" t="s">
        <v>1822</v>
      </c>
      <c r="C18" s="1162"/>
      <c r="D18" s="1163">
        <v>0.0</v>
      </c>
      <c r="E18" s="1162"/>
      <c r="F18" s="1164">
        <v>370.0</v>
      </c>
      <c r="G18" s="1164">
        <v>35.1</v>
      </c>
      <c r="H18" s="1164">
        <v>10.55</v>
      </c>
      <c r="I18" s="1164">
        <v>42.6</v>
      </c>
      <c r="J18" s="1164">
        <v>11.24</v>
      </c>
      <c r="K18" s="1164">
        <v>-0.28</v>
      </c>
      <c r="L18" s="1164">
        <v>0.06</v>
      </c>
      <c r="M18" s="1164">
        <v>20.0</v>
      </c>
      <c r="N18" s="1165">
        <f t="shared" si="7"/>
        <v>30.6774</v>
      </c>
      <c r="O18" s="1165">
        <f t="shared" si="8"/>
        <v>48.564</v>
      </c>
      <c r="P18" s="1165">
        <f t="shared" si="9"/>
        <v>35.1</v>
      </c>
      <c r="Q18" s="1165">
        <f t="shared" si="10"/>
        <v>11.54348</v>
      </c>
      <c r="R18" s="1162"/>
      <c r="S18" s="1162"/>
      <c r="T18" s="1162"/>
      <c r="U18" s="1164">
        <v>1.69</v>
      </c>
      <c r="V18" s="1164">
        <v>1.16</v>
      </c>
      <c r="W18" s="1164">
        <v>0.035</v>
      </c>
      <c r="X18" s="1166">
        <f t="shared" si="11"/>
        <v>1.9604</v>
      </c>
      <c r="Y18" s="1162"/>
      <c r="Z18" s="1162"/>
      <c r="AA18" s="1162"/>
      <c r="AB18" s="1167"/>
      <c r="AC18" s="1167"/>
      <c r="AD18" s="1167"/>
      <c r="AE18" s="1167"/>
    </row>
    <row r="19" ht="15.0" customHeight="1">
      <c r="A19" s="1161" t="s">
        <v>1809</v>
      </c>
      <c r="B19" s="1161" t="s">
        <v>1823</v>
      </c>
      <c r="C19" s="1162"/>
      <c r="D19" s="1163">
        <v>0.0</v>
      </c>
      <c r="E19" s="1162"/>
      <c r="F19" s="1164">
        <v>375.0</v>
      </c>
      <c r="G19" s="1164">
        <v>62.5</v>
      </c>
      <c r="H19" s="1164">
        <v>6.0</v>
      </c>
      <c r="I19" s="1164">
        <v>74.9</v>
      </c>
      <c r="J19" s="1164">
        <v>6.52</v>
      </c>
      <c r="K19" s="1164">
        <v>-0.236</v>
      </c>
      <c r="L19" s="1164">
        <v>0.058</v>
      </c>
      <c r="M19" s="1164">
        <v>20.0</v>
      </c>
      <c r="N19" s="1165">
        <f t="shared" si="7"/>
        <v>55.8625</v>
      </c>
      <c r="O19" s="1165">
        <f t="shared" si="8"/>
        <v>83.7382</v>
      </c>
      <c r="P19" s="1165">
        <f t="shared" si="9"/>
        <v>62.5</v>
      </c>
      <c r="Q19" s="1165">
        <f t="shared" si="10"/>
        <v>6.690172</v>
      </c>
      <c r="R19" s="1162"/>
      <c r="S19" s="1162"/>
      <c r="T19" s="1164">
        <v>21.2</v>
      </c>
      <c r="U19" s="1164">
        <v>1.69</v>
      </c>
      <c r="V19" s="1164">
        <v>1.046</v>
      </c>
      <c r="W19" s="1164">
        <v>0.04</v>
      </c>
      <c r="X19" s="1166">
        <f t="shared" si="11"/>
        <v>1.76774</v>
      </c>
      <c r="Y19" s="1162"/>
      <c r="Z19" s="1162"/>
      <c r="AA19" s="1162"/>
      <c r="AB19" s="1167"/>
      <c r="AC19" s="1167"/>
      <c r="AD19" s="1167"/>
      <c r="AE19" s="1167"/>
    </row>
    <row r="20" ht="15.0" customHeight="1">
      <c r="A20" s="1161" t="s">
        <v>1809</v>
      </c>
      <c r="B20" s="1161" t="s">
        <v>1824</v>
      </c>
      <c r="C20" s="1162"/>
      <c r="D20" s="1163">
        <v>0.0</v>
      </c>
      <c r="E20" s="1162"/>
      <c r="F20" s="1164">
        <v>400.0</v>
      </c>
      <c r="G20" s="1164">
        <v>66.0</v>
      </c>
      <c r="H20" s="1164">
        <v>6.07</v>
      </c>
      <c r="I20" s="1164">
        <v>75.4</v>
      </c>
      <c r="J20" s="1164">
        <v>6.57</v>
      </c>
      <c r="K20" s="1164">
        <v>-0.236</v>
      </c>
      <c r="L20" s="1164">
        <v>0.058</v>
      </c>
      <c r="M20" s="1164">
        <v>20.0</v>
      </c>
      <c r="N20" s="1165">
        <f t="shared" si="7"/>
        <v>58.9908</v>
      </c>
      <c r="O20" s="1165">
        <f t="shared" si="8"/>
        <v>84.2972</v>
      </c>
      <c r="P20" s="1165">
        <f t="shared" si="9"/>
        <v>66</v>
      </c>
      <c r="Q20" s="1165">
        <f t="shared" si="10"/>
        <v>6.741477</v>
      </c>
      <c r="R20" s="1162"/>
      <c r="S20" s="1162"/>
      <c r="T20" s="1164">
        <v>22.6</v>
      </c>
      <c r="U20" s="1164">
        <v>1.69</v>
      </c>
      <c r="V20" s="1164">
        <v>1.046</v>
      </c>
      <c r="W20" s="1164">
        <v>0.04</v>
      </c>
      <c r="X20" s="1166">
        <f t="shared" si="11"/>
        <v>1.76774</v>
      </c>
      <c r="Y20" s="1162"/>
      <c r="Z20" s="1162"/>
      <c r="AA20" s="1162"/>
      <c r="AB20" s="1167"/>
      <c r="AC20" s="1167"/>
      <c r="AD20" s="1167"/>
      <c r="AE20" s="1167"/>
    </row>
    <row r="21" ht="15.0" customHeight="1">
      <c r="A21" s="1161" t="s">
        <v>1809</v>
      </c>
      <c r="B21" s="1161" t="s">
        <v>1825</v>
      </c>
      <c r="C21" s="1162"/>
      <c r="D21" s="1163">
        <v>0.0</v>
      </c>
      <c r="E21" s="1162"/>
      <c r="F21" s="1164">
        <v>405.0</v>
      </c>
      <c r="G21" s="1164">
        <v>29.6</v>
      </c>
      <c r="H21" s="1164">
        <v>13.7</v>
      </c>
      <c r="I21" s="1164">
        <v>35.7</v>
      </c>
      <c r="J21" s="1164">
        <v>14.6</v>
      </c>
      <c r="K21" s="1164">
        <v>-0.27</v>
      </c>
      <c r="L21" s="1164">
        <v>0.04</v>
      </c>
      <c r="M21" s="1164">
        <v>25.0</v>
      </c>
      <c r="N21" s="1165">
        <f t="shared" si="7"/>
        <v>26.0036</v>
      </c>
      <c r="O21" s="1165">
        <f t="shared" si="8"/>
        <v>40.5195</v>
      </c>
      <c r="P21" s="1165">
        <f t="shared" si="9"/>
        <v>29.6</v>
      </c>
      <c r="Q21" s="1165">
        <f t="shared" si="10"/>
        <v>14.8628</v>
      </c>
      <c r="R21" s="1162"/>
      <c r="S21" s="1162"/>
      <c r="T21" s="1164">
        <v>20.6</v>
      </c>
      <c r="U21" s="1164">
        <v>1.808</v>
      </c>
      <c r="V21" s="1164">
        <v>1.086</v>
      </c>
      <c r="W21" s="1164">
        <v>0.03</v>
      </c>
      <c r="X21" s="1166">
        <f t="shared" si="11"/>
        <v>1.963488</v>
      </c>
      <c r="Y21" s="1162"/>
      <c r="Z21" s="1162"/>
      <c r="AA21" s="1162"/>
      <c r="AB21" s="1167"/>
      <c r="AC21" s="1167"/>
      <c r="AD21" s="1167"/>
      <c r="AE21" s="1167"/>
    </row>
    <row r="22" ht="15.0" customHeight="1">
      <c r="A22" s="1161" t="s">
        <v>1809</v>
      </c>
      <c r="B22" s="1161" t="s">
        <v>1826</v>
      </c>
      <c r="C22" s="1162"/>
      <c r="D22" s="1163">
        <v>0.0</v>
      </c>
      <c r="E22" s="1162"/>
      <c r="F22" s="1164">
        <v>415.0</v>
      </c>
      <c r="G22" s="1164">
        <v>45.0</v>
      </c>
      <c r="H22" s="1164">
        <v>9.22</v>
      </c>
      <c r="I22" s="1164">
        <v>54.1</v>
      </c>
      <c r="J22" s="1164">
        <v>9.9</v>
      </c>
      <c r="K22" s="1164">
        <v>-0.29</v>
      </c>
      <c r="L22" s="1164">
        <v>0.05</v>
      </c>
      <c r="M22" s="1164">
        <v>18.0</v>
      </c>
      <c r="N22" s="1165">
        <f t="shared" si="7"/>
        <v>39.1275</v>
      </c>
      <c r="O22" s="1165">
        <f t="shared" si="8"/>
        <v>61.9445</v>
      </c>
      <c r="P22" s="1165">
        <f t="shared" si="9"/>
        <v>45</v>
      </c>
      <c r="Q22" s="1165">
        <f t="shared" si="10"/>
        <v>10.12275</v>
      </c>
      <c r="R22" s="1162"/>
      <c r="S22" s="1162"/>
      <c r="T22" s="1164">
        <v>20.1</v>
      </c>
      <c r="U22" s="1164">
        <v>2.066</v>
      </c>
      <c r="V22" s="1164">
        <v>0.998</v>
      </c>
      <c r="W22" s="1164">
        <v>0.04</v>
      </c>
      <c r="X22" s="1166">
        <f t="shared" si="11"/>
        <v>2.061868</v>
      </c>
      <c r="Y22" s="1162"/>
      <c r="Z22" s="1162"/>
      <c r="AA22" s="1162"/>
      <c r="AB22" s="1167"/>
      <c r="AC22" s="1167"/>
      <c r="AD22" s="1167"/>
      <c r="AE22" s="1167"/>
    </row>
    <row r="23" ht="15.0" customHeight="1">
      <c r="A23" s="1161" t="s">
        <v>1809</v>
      </c>
      <c r="B23" s="1161" t="s">
        <v>1827</v>
      </c>
      <c r="C23" s="1162"/>
      <c r="D23" s="1163">
        <v>0.0</v>
      </c>
      <c r="E23" s="1162"/>
      <c r="F23" s="1164">
        <v>450.0</v>
      </c>
      <c r="G23" s="1164">
        <v>42.8</v>
      </c>
      <c r="H23" s="1164">
        <v>10.52</v>
      </c>
      <c r="I23" s="1164">
        <v>52.4</v>
      </c>
      <c r="J23" s="1164">
        <v>11.51</v>
      </c>
      <c r="K23" s="1164">
        <v>-0.239</v>
      </c>
      <c r="L23" s="1164">
        <v>0.057</v>
      </c>
      <c r="M23" s="1164">
        <v>20.0</v>
      </c>
      <c r="N23" s="1165">
        <f t="shared" si="7"/>
        <v>38.19686</v>
      </c>
      <c r="O23" s="1165">
        <f t="shared" si="8"/>
        <v>58.6618</v>
      </c>
      <c r="P23" s="1165">
        <f t="shared" si="9"/>
        <v>42.8</v>
      </c>
      <c r="Q23" s="1165">
        <f t="shared" si="10"/>
        <v>11.8052315</v>
      </c>
      <c r="R23" s="1162"/>
      <c r="S23" s="1162"/>
      <c r="T23" s="1164">
        <v>21.2</v>
      </c>
      <c r="U23" s="1164">
        <v>2.047</v>
      </c>
      <c r="V23" s="1164">
        <v>1.039</v>
      </c>
      <c r="W23" s="1164">
        <v>0.035</v>
      </c>
      <c r="X23" s="1166">
        <f t="shared" si="11"/>
        <v>2.126833</v>
      </c>
      <c r="Y23" s="1162"/>
      <c r="Z23" s="1162"/>
      <c r="AA23" s="1162"/>
      <c r="AB23" s="1167"/>
      <c r="AC23" s="1167"/>
      <c r="AD23" s="1167"/>
      <c r="AE23" s="1167"/>
    </row>
    <row r="24" ht="15.0" customHeight="1">
      <c r="A24" s="1161" t="s">
        <v>1809</v>
      </c>
      <c r="B24" s="1161" t="s">
        <v>1828</v>
      </c>
      <c r="C24" s="1162"/>
      <c r="D24" s="1163">
        <v>0.0</v>
      </c>
      <c r="E24" s="1162"/>
      <c r="F24" s="1164">
        <v>475.0</v>
      </c>
      <c r="G24" s="1164">
        <v>44.4</v>
      </c>
      <c r="H24" s="1164">
        <v>10.71</v>
      </c>
      <c r="I24" s="1164">
        <v>53.6</v>
      </c>
      <c r="J24" s="1164">
        <v>11.45</v>
      </c>
      <c r="K24" s="1164">
        <v>-0.28</v>
      </c>
      <c r="L24" s="1164">
        <v>0.06</v>
      </c>
      <c r="M24" s="1164">
        <v>20.0</v>
      </c>
      <c r="N24" s="1165">
        <f t="shared" si="7"/>
        <v>38.8056</v>
      </c>
      <c r="O24" s="1165">
        <f t="shared" si="8"/>
        <v>61.104</v>
      </c>
      <c r="P24" s="1165">
        <f t="shared" si="9"/>
        <v>44.4</v>
      </c>
      <c r="Q24" s="1165">
        <f t="shared" si="10"/>
        <v>11.75915</v>
      </c>
      <c r="R24" s="1162"/>
      <c r="S24" s="1162"/>
      <c r="T24" s="1164">
        <v>19.8</v>
      </c>
      <c r="U24" s="1164">
        <v>2.066</v>
      </c>
      <c r="V24" s="1164">
        <v>1.16</v>
      </c>
      <c r="W24" s="1164">
        <v>0.035</v>
      </c>
      <c r="X24" s="1166">
        <f t="shared" si="11"/>
        <v>2.39656</v>
      </c>
      <c r="Y24" s="1162"/>
      <c r="Z24" s="1162"/>
      <c r="AA24" s="1162"/>
      <c r="AB24" s="1167"/>
      <c r="AC24" s="1167"/>
      <c r="AD24" s="1167"/>
      <c r="AE24" s="1167"/>
    </row>
    <row r="25" ht="15.0" customHeight="1">
      <c r="A25" s="1161" t="s">
        <v>1809</v>
      </c>
      <c r="B25" s="1161" t="s">
        <v>1829</v>
      </c>
      <c r="C25" s="1162"/>
      <c r="D25" s="1163">
        <v>0.0</v>
      </c>
      <c r="E25" s="1162"/>
      <c r="F25" s="1164">
        <v>505.0</v>
      </c>
      <c r="G25" s="1164">
        <v>36.4</v>
      </c>
      <c r="H25" s="1164">
        <v>13.88</v>
      </c>
      <c r="I25" s="1164">
        <v>43.3</v>
      </c>
      <c r="J25" s="1164">
        <v>15.5</v>
      </c>
      <c r="K25" s="1164">
        <v>-0.26</v>
      </c>
      <c r="L25" s="1164">
        <v>0.05</v>
      </c>
      <c r="M25" s="1164">
        <v>25.0</v>
      </c>
      <c r="N25" s="1165">
        <f t="shared" si="7"/>
        <v>32.1412</v>
      </c>
      <c r="O25" s="1165">
        <f t="shared" si="8"/>
        <v>48.929</v>
      </c>
      <c r="P25" s="1165">
        <f t="shared" si="9"/>
        <v>36.4</v>
      </c>
      <c r="Q25" s="1165">
        <f t="shared" si="10"/>
        <v>15.84875</v>
      </c>
      <c r="R25" s="1162"/>
      <c r="S25" s="1162"/>
      <c r="T25" s="1164">
        <v>21.2</v>
      </c>
      <c r="U25" s="1164">
        <v>2.185</v>
      </c>
      <c r="V25" s="1164">
        <v>1.092</v>
      </c>
      <c r="W25" s="1164">
        <v>0.035</v>
      </c>
      <c r="X25" s="1166">
        <f t="shared" si="11"/>
        <v>2.38602</v>
      </c>
      <c r="Y25" s="1162"/>
      <c r="Z25" s="1162"/>
      <c r="AA25" s="1162"/>
      <c r="AB25" s="1167"/>
      <c r="AC25" s="1167"/>
      <c r="AD25" s="1167"/>
      <c r="AE25" s="1167"/>
    </row>
    <row r="26" ht="15.0" customHeight="1">
      <c r="A26" s="1161" t="s">
        <v>1809</v>
      </c>
      <c r="B26" s="1161" t="s">
        <v>1830</v>
      </c>
      <c r="C26" s="1162"/>
      <c r="D26" s="1163">
        <v>0.0</v>
      </c>
      <c r="E26" s="1162"/>
      <c r="F26" s="1164">
        <v>545.0</v>
      </c>
      <c r="G26" s="1164">
        <v>39.3</v>
      </c>
      <c r="H26" s="1164">
        <v>13.87</v>
      </c>
      <c r="I26" s="1164">
        <v>47.4</v>
      </c>
      <c r="J26" s="1164">
        <v>14.81</v>
      </c>
      <c r="K26" s="1164">
        <v>-0.26</v>
      </c>
      <c r="L26" s="1164">
        <v>0.05</v>
      </c>
      <c r="M26" s="1164">
        <v>25.0</v>
      </c>
      <c r="N26" s="1165">
        <f t="shared" si="7"/>
        <v>34.7019</v>
      </c>
      <c r="O26" s="1165">
        <f t="shared" si="8"/>
        <v>53.562</v>
      </c>
      <c r="P26" s="1165">
        <f t="shared" si="9"/>
        <v>39.3</v>
      </c>
      <c r="Q26" s="1165">
        <f t="shared" si="10"/>
        <v>15.143225</v>
      </c>
      <c r="R26" s="1162"/>
      <c r="S26" s="1162"/>
      <c r="T26" s="1164">
        <v>20.9</v>
      </c>
      <c r="U26" s="1164">
        <v>2.384</v>
      </c>
      <c r="V26" s="1164">
        <v>1.092</v>
      </c>
      <c r="W26" s="1164">
        <v>0.035</v>
      </c>
      <c r="X26" s="1166">
        <f t="shared" si="11"/>
        <v>2.603328</v>
      </c>
      <c r="Y26" s="1162"/>
      <c r="Z26" s="1162"/>
      <c r="AA26" s="1162"/>
      <c r="AB26" s="1167"/>
      <c r="AC26" s="1167"/>
      <c r="AD26" s="1167"/>
      <c r="AE26" s="1167"/>
    </row>
    <row r="27" ht="15.0" customHeight="1">
      <c r="A27" s="1162"/>
      <c r="B27" s="1162"/>
      <c r="C27" s="1162"/>
      <c r="D27" s="1182"/>
      <c r="E27" s="1162"/>
      <c r="F27" s="1162"/>
      <c r="G27" s="1162"/>
      <c r="H27" s="1162"/>
      <c r="I27" s="1162"/>
      <c r="J27" s="1162"/>
      <c r="K27" s="1162"/>
      <c r="L27" s="1162"/>
      <c r="M27" s="1162"/>
      <c r="N27" s="1183"/>
      <c r="O27" s="1183"/>
      <c r="P27" s="1183"/>
      <c r="Q27" s="1183"/>
      <c r="R27" s="1162"/>
      <c r="S27" s="1162"/>
      <c r="T27" s="1162"/>
      <c r="U27" s="1162"/>
      <c r="V27" s="1162"/>
      <c r="W27" s="1162"/>
      <c r="X27" s="1162"/>
      <c r="Y27" s="1162"/>
      <c r="Z27" s="1162"/>
      <c r="AA27" s="1162"/>
      <c r="AB27" s="1167"/>
      <c r="AC27" s="1167"/>
      <c r="AD27" s="1167"/>
      <c r="AE27" s="1167"/>
    </row>
    <row r="28" ht="15.0" customHeight="1">
      <c r="A28" s="1161" t="s">
        <v>1809</v>
      </c>
      <c r="B28" s="1161" t="s">
        <v>1831</v>
      </c>
      <c r="C28" s="1162"/>
      <c r="D28" s="1163">
        <v>0.0</v>
      </c>
      <c r="E28" s="1162"/>
      <c r="F28" s="1164">
        <v>580.0</v>
      </c>
      <c r="G28" s="1164">
        <v>43.88</v>
      </c>
      <c r="H28" s="1164">
        <v>13.38</v>
      </c>
      <c r="I28" s="1164">
        <v>52.31</v>
      </c>
      <c r="J28" s="1164">
        <v>14.01</v>
      </c>
      <c r="K28" s="1164">
        <v>-0.25</v>
      </c>
      <c r="L28" s="1164">
        <v>0.045</v>
      </c>
      <c r="M28" s="1164">
        <v>30.0</v>
      </c>
      <c r="N28" s="1165">
        <f>(1+($S$2-25)*(K28/100))*G28</f>
        <v>38.9435</v>
      </c>
      <c r="O28" s="1165">
        <f>(1+($R$2-25)*(K28/100))*I28</f>
        <v>58.84875</v>
      </c>
      <c r="P28" s="1165">
        <f>G28</f>
        <v>43.88</v>
      </c>
      <c r="Q28" s="1165">
        <f>J28*(1+($S$2-25)*(L28/100))</f>
        <v>14.2937025</v>
      </c>
      <c r="R28" s="1162"/>
      <c r="S28" s="1162"/>
      <c r="T28" s="1164">
        <v>22.45</v>
      </c>
      <c r="U28" s="1168">
        <v>2278.0</v>
      </c>
      <c r="V28" s="1168">
        <v>1134.0</v>
      </c>
      <c r="W28" s="1168">
        <v>30.0</v>
      </c>
      <c r="X28" s="1169">
        <f>U28*V28/1000000</f>
        <v>2.583252</v>
      </c>
      <c r="Y28" s="1164">
        <v>31.0</v>
      </c>
      <c r="Z28" s="1162"/>
      <c r="AA28" s="1162"/>
      <c r="AB28" s="1167"/>
      <c r="AC28" s="1167"/>
      <c r="AD28" s="1167"/>
      <c r="AE28" s="1167"/>
    </row>
    <row r="29" ht="15.0" customHeight="1">
      <c r="A29" s="1158"/>
      <c r="B29" s="1158"/>
      <c r="C29" s="1159"/>
      <c r="D29" s="1159"/>
      <c r="E29" s="1159"/>
      <c r="F29" s="1159"/>
      <c r="G29" s="1159"/>
      <c r="H29" s="1159"/>
      <c r="I29" s="1159"/>
      <c r="J29" s="1159"/>
      <c r="K29" s="1159"/>
      <c r="L29" s="1159"/>
      <c r="M29" s="1159"/>
      <c r="N29" s="1159"/>
      <c r="O29" s="1159"/>
      <c r="P29" s="1159"/>
      <c r="Q29" s="1159"/>
      <c r="R29" s="1159"/>
      <c r="S29" s="1159"/>
      <c r="T29" s="1159"/>
      <c r="U29" s="1159"/>
      <c r="V29" s="1159"/>
      <c r="W29" s="1159"/>
      <c r="X29" s="1159"/>
      <c r="Y29" s="1159"/>
      <c r="Z29" s="1159"/>
      <c r="AA29" s="1159"/>
      <c r="AB29" s="1160"/>
      <c r="AC29" s="1160"/>
      <c r="AD29" s="1160"/>
      <c r="AE29" s="1160"/>
    </row>
    <row r="30" ht="15.0" customHeight="1">
      <c r="A30" s="1161" t="s">
        <v>1809</v>
      </c>
      <c r="B30" s="1161" t="s">
        <v>1832</v>
      </c>
      <c r="C30" s="1162"/>
      <c r="D30" s="1163">
        <v>0.0</v>
      </c>
      <c r="E30" s="1162"/>
      <c r="F30" s="1164">
        <v>250.0</v>
      </c>
      <c r="G30" s="1164">
        <v>31.73</v>
      </c>
      <c r="H30" s="1164">
        <v>7.88</v>
      </c>
      <c r="I30" s="1164">
        <v>37.58</v>
      </c>
      <c r="J30" s="1164">
        <v>8.49</v>
      </c>
      <c r="K30" s="1164">
        <v>-0.35</v>
      </c>
      <c r="L30" s="1164">
        <v>0.06</v>
      </c>
      <c r="M30" s="1164">
        <v>10.0</v>
      </c>
      <c r="N30" s="1165">
        <f>(1+($S$2-25)*(K30/100))*G30</f>
        <v>26.732525</v>
      </c>
      <c r="O30" s="1165">
        <f>(1+($R$2-25)*(K30/100))*I30</f>
        <v>44.1565</v>
      </c>
      <c r="P30" s="1165">
        <f>G30</f>
        <v>31.73</v>
      </c>
      <c r="Q30" s="1165">
        <f>J30*(1+($S$2-25)*(L30/100))</f>
        <v>8.71923</v>
      </c>
      <c r="R30" s="1162"/>
      <c r="S30" s="1162"/>
      <c r="T30" s="1164">
        <v>19.0</v>
      </c>
      <c r="U30" s="1164">
        <v>1.65</v>
      </c>
      <c r="V30" s="1164">
        <v>0.992</v>
      </c>
      <c r="W30" s="1164">
        <v>0.04</v>
      </c>
      <c r="X30" s="1166">
        <f>U30*V30</f>
        <v>1.6368</v>
      </c>
      <c r="Y30" s="1162"/>
      <c r="Z30" s="1162"/>
      <c r="AA30" s="1162"/>
      <c r="AB30" s="1167"/>
      <c r="AC30" s="1167"/>
      <c r="AD30" s="1167"/>
      <c r="AE30" s="1167"/>
    </row>
    <row r="31" ht="15.0" customHeight="1">
      <c r="A31" s="1162"/>
      <c r="B31" s="1184"/>
      <c r="C31" s="1162"/>
      <c r="D31" s="1162"/>
      <c r="E31" s="1162"/>
      <c r="F31" s="1162"/>
      <c r="G31" s="1162"/>
      <c r="H31" s="1162"/>
      <c r="I31" s="1162"/>
      <c r="J31" s="1162"/>
      <c r="K31" s="1162"/>
      <c r="L31" s="1162"/>
      <c r="M31" s="1162"/>
      <c r="N31" s="1162"/>
      <c r="O31" s="1162"/>
      <c r="P31" s="1162"/>
      <c r="Q31" s="1162"/>
      <c r="R31" s="1162"/>
      <c r="S31" s="1162"/>
      <c r="T31" s="1162"/>
      <c r="U31" s="1162"/>
      <c r="V31" s="1162"/>
      <c r="W31" s="1162"/>
      <c r="X31" s="1162"/>
      <c r="Y31" s="1162"/>
      <c r="Z31" s="1162"/>
      <c r="AA31" s="1162"/>
      <c r="AB31" s="1167"/>
      <c r="AC31" s="1167"/>
      <c r="AD31" s="1167"/>
      <c r="AE31" s="1167"/>
    </row>
    <row r="32" ht="15.0" customHeight="1">
      <c r="A32" s="1161" t="s">
        <v>1809</v>
      </c>
      <c r="B32" s="1161" t="s">
        <v>1833</v>
      </c>
      <c r="C32" s="1162"/>
      <c r="D32" s="1163">
        <v>0.0</v>
      </c>
      <c r="E32" s="1162"/>
      <c r="F32" s="1164">
        <v>325.0</v>
      </c>
      <c r="G32" s="1164">
        <v>33.97</v>
      </c>
      <c r="H32" s="1164">
        <v>9.57</v>
      </c>
      <c r="I32" s="1164">
        <v>40.58</v>
      </c>
      <c r="J32" s="1164">
        <v>10.03</v>
      </c>
      <c r="K32" s="1164">
        <v>-0.32</v>
      </c>
      <c r="L32" s="1164">
        <v>0.039</v>
      </c>
      <c r="M32" s="1164">
        <v>15.0</v>
      </c>
      <c r="N32" s="1165">
        <f>(1+($S$2-25)*(K32/100))*G32</f>
        <v>29.07832</v>
      </c>
      <c r="O32" s="1165">
        <f>(1+($R$2-25)*(K32/100))*I32</f>
        <v>47.0728</v>
      </c>
      <c r="P32" s="1165">
        <f>G32</f>
        <v>33.97</v>
      </c>
      <c r="Q32" s="1165">
        <f>J32*(1+($S$2-25)*(L32/100))</f>
        <v>10.2060265</v>
      </c>
      <c r="R32" s="1162"/>
      <c r="S32" s="1162"/>
      <c r="T32" s="1164">
        <v>19.26</v>
      </c>
      <c r="U32" s="1164">
        <v>1.674</v>
      </c>
      <c r="V32" s="1164">
        <v>0.99</v>
      </c>
      <c r="W32" s="1164">
        <v>0.035</v>
      </c>
      <c r="X32" s="1166">
        <f>U32*V32</f>
        <v>1.65726</v>
      </c>
      <c r="Y32" s="1162"/>
      <c r="Z32" s="1162"/>
      <c r="AA32" s="1162"/>
      <c r="AB32" s="1167"/>
      <c r="AC32" s="1167"/>
      <c r="AD32" s="1167"/>
      <c r="AE32" s="1167"/>
    </row>
    <row r="33" ht="15.0" customHeight="1">
      <c r="A33" s="1162"/>
      <c r="B33" s="1162"/>
      <c r="C33" s="1162"/>
      <c r="D33" s="1182"/>
      <c r="E33" s="1162"/>
      <c r="F33" s="1162"/>
      <c r="G33" s="1162"/>
      <c r="H33" s="1162"/>
      <c r="I33" s="1162"/>
      <c r="J33" s="1162"/>
      <c r="K33" s="1162"/>
      <c r="L33" s="1162"/>
      <c r="M33" s="1162"/>
      <c r="N33" s="1183"/>
      <c r="O33" s="1183"/>
      <c r="P33" s="1183"/>
      <c r="Q33" s="1183"/>
      <c r="R33" s="1162"/>
      <c r="S33" s="1162"/>
      <c r="T33" s="1162"/>
      <c r="U33" s="1162"/>
      <c r="V33" s="1162"/>
      <c r="W33" s="1162"/>
      <c r="X33" s="1185"/>
      <c r="Y33" s="1162"/>
      <c r="Z33" s="1162"/>
      <c r="AA33" s="1162"/>
      <c r="AB33" s="1167"/>
      <c r="AC33" s="1167"/>
      <c r="AD33" s="1167"/>
      <c r="AE33" s="1167"/>
    </row>
    <row r="34" ht="15.0" customHeight="1">
      <c r="A34" s="1161" t="s">
        <v>1809</v>
      </c>
      <c r="B34" s="1161" t="s">
        <v>1834</v>
      </c>
      <c r="C34" s="1162"/>
      <c r="D34" s="1163">
        <v>0.0</v>
      </c>
      <c r="E34" s="1162"/>
      <c r="F34" s="1164">
        <v>71.0</v>
      </c>
      <c r="G34" s="1164">
        <v>65.75</v>
      </c>
      <c r="H34" s="1164">
        <v>1.08</v>
      </c>
      <c r="I34" s="1164">
        <v>93.96</v>
      </c>
      <c r="J34" s="1164">
        <v>1.41</v>
      </c>
      <c r="K34" s="1164">
        <v>-0.25</v>
      </c>
      <c r="L34" s="1164">
        <v>0.05</v>
      </c>
      <c r="M34" s="1164">
        <v>3.0</v>
      </c>
      <c r="N34" s="1165">
        <f>(1+($S$2-25)*(K34/100))*G34</f>
        <v>58.353125</v>
      </c>
      <c r="O34" s="1165">
        <f>(1+($R$2-25)*(K34/100))*I34</f>
        <v>105.705</v>
      </c>
      <c r="P34" s="1165">
        <f>G34</f>
        <v>65.75</v>
      </c>
      <c r="Q34" s="1165">
        <f>J34*(1+($S$2-25)*(L34/100))</f>
        <v>1.441725</v>
      </c>
      <c r="R34" s="1162"/>
      <c r="S34" s="1162"/>
      <c r="T34" s="1164">
        <v>8.8</v>
      </c>
      <c r="U34" s="1164">
        <v>1.1</v>
      </c>
      <c r="V34" s="1164">
        <v>1.3</v>
      </c>
      <c r="W34" s="1164">
        <v>0.035</v>
      </c>
      <c r="X34" s="1166">
        <f>U34*V34</f>
        <v>1.43</v>
      </c>
      <c r="Y34" s="1164">
        <v>26.0</v>
      </c>
      <c r="Z34" s="1162"/>
      <c r="AA34" s="1162"/>
      <c r="AB34" s="1167"/>
      <c r="AC34" s="1167"/>
      <c r="AD34" s="1167"/>
      <c r="AE34" s="1167"/>
    </row>
    <row r="35" ht="15.0" customHeight="1">
      <c r="A35" s="1162"/>
      <c r="B35" s="1184"/>
      <c r="C35" s="1162"/>
      <c r="D35" s="1182"/>
      <c r="E35" s="1162"/>
      <c r="F35" s="1162"/>
      <c r="G35" s="1162"/>
      <c r="H35" s="1162"/>
      <c r="I35" s="1162"/>
      <c r="J35" s="1162"/>
      <c r="K35" s="1162"/>
      <c r="L35" s="1162"/>
      <c r="M35" s="1162"/>
      <c r="N35" s="1183"/>
      <c r="O35" s="1183"/>
      <c r="P35" s="1183"/>
      <c r="Q35" s="1183"/>
      <c r="R35" s="1162"/>
      <c r="S35" s="1162"/>
      <c r="T35" s="1162"/>
      <c r="U35" s="1162"/>
      <c r="V35" s="1162"/>
      <c r="W35" s="1162"/>
      <c r="X35" s="1185"/>
      <c r="Y35" s="1162"/>
      <c r="Z35" s="1162"/>
      <c r="AA35" s="1162"/>
      <c r="AB35" s="1167"/>
      <c r="AC35" s="1167"/>
      <c r="AD35" s="1167"/>
      <c r="AE35" s="1167"/>
    </row>
    <row r="36" ht="15.0" customHeight="1">
      <c r="A36" s="1161" t="s">
        <v>1809</v>
      </c>
      <c r="B36" s="1161" t="s">
        <v>1835</v>
      </c>
      <c r="C36" s="1162"/>
      <c r="D36" s="1163">
        <v>0.0</v>
      </c>
      <c r="E36" s="1162"/>
      <c r="F36" s="1164">
        <v>550.0</v>
      </c>
      <c r="G36" s="1164">
        <v>40.83</v>
      </c>
      <c r="H36" s="1164">
        <v>13.48</v>
      </c>
      <c r="I36" s="1164">
        <v>49.6</v>
      </c>
      <c r="J36" s="1164">
        <v>14.04</v>
      </c>
      <c r="K36" s="1164">
        <v>-0.28</v>
      </c>
      <c r="L36" s="1164">
        <v>0.048</v>
      </c>
      <c r="M36" s="1164">
        <v>25.0</v>
      </c>
      <c r="N36" s="1165">
        <f>(1+($S$2-25)*(K36/100))*G36</f>
        <v>35.68542</v>
      </c>
      <c r="O36" s="1165">
        <f>(1+($R$2-25)*(K36/100))*I36</f>
        <v>56.544</v>
      </c>
      <c r="P36" s="1165">
        <f>G36</f>
        <v>40.83</v>
      </c>
      <c r="Q36" s="1165">
        <f>J36*(1+($S$2-25)*(L36/100))</f>
        <v>14.343264</v>
      </c>
      <c r="R36" s="1162"/>
      <c r="S36" s="1162"/>
      <c r="T36" s="1164">
        <v>21.28</v>
      </c>
      <c r="U36" s="1164">
        <v>2.279</v>
      </c>
      <c r="V36" s="1164">
        <v>1.134</v>
      </c>
      <c r="W36" s="1164">
        <v>0.035</v>
      </c>
      <c r="X36" s="1166">
        <f>U36*V36</f>
        <v>2.584386</v>
      </c>
      <c r="Y36" s="1162"/>
      <c r="Z36" s="1162"/>
      <c r="AA36" s="1162"/>
      <c r="AB36" s="1167"/>
      <c r="AC36" s="1167"/>
      <c r="AD36" s="1167"/>
      <c r="AE36" s="1167"/>
    </row>
    <row r="37" ht="15.0" customHeight="1">
      <c r="A37" s="1162"/>
      <c r="B37" s="1184"/>
      <c r="C37" s="1162"/>
      <c r="D37" s="1182"/>
      <c r="E37" s="1162"/>
      <c r="F37" s="1162"/>
      <c r="G37" s="1162"/>
      <c r="H37" s="1162"/>
      <c r="I37" s="1162"/>
      <c r="J37" s="1162"/>
      <c r="K37" s="1162"/>
      <c r="L37" s="1162"/>
      <c r="M37" s="1162"/>
      <c r="N37" s="1183"/>
      <c r="O37" s="1183"/>
      <c r="P37" s="1183"/>
      <c r="Q37" s="1183"/>
      <c r="R37" s="1162"/>
      <c r="S37" s="1162"/>
      <c r="T37" s="1162"/>
      <c r="U37" s="1162"/>
      <c r="V37" s="1162"/>
      <c r="W37" s="1162"/>
      <c r="X37" s="1185"/>
      <c r="Y37" s="1162"/>
      <c r="Z37" s="1162"/>
      <c r="AA37" s="1162"/>
      <c r="AB37" s="1167"/>
      <c r="AC37" s="1167"/>
      <c r="AD37" s="1167"/>
      <c r="AE37" s="1167"/>
    </row>
    <row r="38" ht="15.0" customHeight="1">
      <c r="A38" s="1161" t="s">
        <v>1809</v>
      </c>
      <c r="B38" s="1161" t="s">
        <v>1836</v>
      </c>
      <c r="C38" s="1162"/>
      <c r="D38" s="1163">
        <v>0.0</v>
      </c>
      <c r="E38" s="1162"/>
      <c r="F38" s="1164">
        <v>310.0</v>
      </c>
      <c r="G38" s="1164">
        <v>32.9</v>
      </c>
      <c r="H38" s="1164">
        <v>9.42</v>
      </c>
      <c r="I38" s="1164">
        <v>40.4</v>
      </c>
      <c r="J38" s="1164">
        <v>9.83</v>
      </c>
      <c r="K38" s="1164">
        <v>-0.29</v>
      </c>
      <c r="L38" s="1164">
        <v>0.049</v>
      </c>
      <c r="M38" s="1164">
        <v>15.0</v>
      </c>
      <c r="N38" s="1165">
        <f>(1+($S$2-25)*(K38/100))*G38</f>
        <v>28.60655</v>
      </c>
      <c r="O38" s="1165">
        <f>(1+($R$2-25)*(K38/100))*I38</f>
        <v>46.258</v>
      </c>
      <c r="P38" s="1165">
        <f>G38</f>
        <v>32.9</v>
      </c>
      <c r="Q38" s="1165">
        <f>J38*(1+($S$2-25)*(L38/100))</f>
        <v>10.0467515</v>
      </c>
      <c r="R38" s="1162"/>
      <c r="S38" s="1162"/>
      <c r="T38" s="1164">
        <v>18.94</v>
      </c>
      <c r="U38" s="1164">
        <v>1.65</v>
      </c>
      <c r="V38" s="1164">
        <v>0.992</v>
      </c>
      <c r="W38" s="1164">
        <v>0.035</v>
      </c>
      <c r="X38" s="1166">
        <f>U38*V38</f>
        <v>1.6368</v>
      </c>
      <c r="Y38" s="1162"/>
      <c r="Z38" s="1162"/>
      <c r="AA38" s="1162"/>
      <c r="AB38" s="1167"/>
      <c r="AC38" s="1167"/>
      <c r="AD38" s="1167"/>
      <c r="AE38" s="1167"/>
    </row>
    <row r="39" ht="15.0" customHeight="1">
      <c r="A39" s="1162"/>
      <c r="B39" s="1184"/>
      <c r="C39" s="1162"/>
      <c r="D39" s="1162"/>
      <c r="E39" s="1162"/>
      <c r="F39" s="1162"/>
      <c r="G39" s="1162"/>
      <c r="H39" s="1162"/>
      <c r="I39" s="1162"/>
      <c r="J39" s="1162"/>
      <c r="K39" s="1162"/>
      <c r="L39" s="1162"/>
      <c r="M39" s="1162"/>
      <c r="N39" s="1162"/>
      <c r="O39" s="1162"/>
      <c r="P39" s="1162"/>
      <c r="Q39" s="1162"/>
      <c r="R39" s="1162"/>
      <c r="S39" s="1162"/>
      <c r="T39" s="1162"/>
      <c r="U39" s="1162"/>
      <c r="V39" s="1162"/>
      <c r="W39" s="1162"/>
      <c r="X39" s="1162"/>
      <c r="Y39" s="1162"/>
      <c r="Z39" s="1162"/>
      <c r="AA39" s="1162"/>
      <c r="AB39" s="1167"/>
      <c r="AC39" s="1167"/>
      <c r="AD39" s="1167"/>
      <c r="AE39" s="1167"/>
    </row>
    <row r="40" ht="15.0" customHeight="1">
      <c r="A40" s="1161" t="s">
        <v>1809</v>
      </c>
      <c r="B40" s="1161" t="s">
        <v>1837</v>
      </c>
      <c r="C40" s="1162"/>
      <c r="D40" s="1163">
        <v>0.0</v>
      </c>
      <c r="E40" s="1162"/>
      <c r="F40" s="1164">
        <v>280.0</v>
      </c>
      <c r="G40" s="1164">
        <v>32.3</v>
      </c>
      <c r="H40" s="1164">
        <v>8.67</v>
      </c>
      <c r="I40" s="1164">
        <v>39.3</v>
      </c>
      <c r="J40" s="1164">
        <v>9.2</v>
      </c>
      <c r="K40" s="1164">
        <v>-0.32</v>
      </c>
      <c r="L40" s="1164">
        <v>0.05</v>
      </c>
      <c r="M40" s="1164">
        <v>20.0</v>
      </c>
      <c r="N40" s="1165">
        <f>(1+($S$2-25)*(K40/100))*G40</f>
        <v>27.6488</v>
      </c>
      <c r="O40" s="1165">
        <f>(1+($R$2-25)*(K40/100))*I40</f>
        <v>45.588</v>
      </c>
      <c r="P40" s="1165">
        <f>G40</f>
        <v>32.3</v>
      </c>
      <c r="Q40" s="1165">
        <f>J40*(1+($S$2-25)*(L40/100))</f>
        <v>9.407</v>
      </c>
      <c r="R40" s="1162"/>
      <c r="S40" s="1162"/>
      <c r="T40" s="1162"/>
      <c r="U40" s="1164">
        <v>1.68</v>
      </c>
      <c r="V40" s="1164">
        <v>0.995</v>
      </c>
      <c r="W40" s="1164">
        <v>0.035</v>
      </c>
      <c r="X40" s="1166">
        <f>U40*V40</f>
        <v>1.6716</v>
      </c>
      <c r="Y40" s="1162"/>
      <c r="Z40" s="1162"/>
      <c r="AA40" s="1162"/>
      <c r="AB40" s="1167"/>
      <c r="AC40" s="1167"/>
      <c r="AD40" s="1167"/>
      <c r="AE40" s="1167"/>
    </row>
    <row r="41" ht="15.0" customHeight="1">
      <c r="A41" s="1162"/>
      <c r="B41" s="1184"/>
      <c r="C41" s="1162"/>
      <c r="D41" s="1162"/>
      <c r="E41" s="1162"/>
      <c r="F41" s="1162"/>
      <c r="G41" s="1162"/>
      <c r="H41" s="1162"/>
      <c r="I41" s="1162"/>
      <c r="J41" s="1162"/>
      <c r="K41" s="1162"/>
      <c r="L41" s="1162"/>
      <c r="M41" s="1162"/>
      <c r="N41" s="1162"/>
      <c r="O41" s="1162"/>
      <c r="P41" s="1162"/>
      <c r="Q41" s="1162"/>
      <c r="R41" s="1162"/>
      <c r="S41" s="1162"/>
      <c r="T41" s="1162"/>
      <c r="U41" s="1162"/>
      <c r="V41" s="1162"/>
      <c r="W41" s="1162"/>
      <c r="X41" s="1162"/>
      <c r="Y41" s="1162"/>
      <c r="Z41" s="1162"/>
      <c r="AA41" s="1162"/>
      <c r="AB41" s="1167"/>
      <c r="AC41" s="1167"/>
      <c r="AD41" s="1167"/>
      <c r="AE41" s="1167"/>
    </row>
    <row r="42" ht="15.0" customHeight="1">
      <c r="A42" s="1161" t="s">
        <v>1809</v>
      </c>
      <c r="B42" s="1161" t="s">
        <v>1838</v>
      </c>
      <c r="C42" s="1162"/>
      <c r="D42" s="1163">
        <v>0.0</v>
      </c>
      <c r="E42" s="1162"/>
      <c r="F42" s="1164">
        <v>530.0</v>
      </c>
      <c r="G42" s="1164">
        <v>31.0</v>
      </c>
      <c r="H42" s="1164">
        <v>17.11</v>
      </c>
      <c r="I42" s="1164">
        <v>37.3</v>
      </c>
      <c r="J42" s="1164">
        <v>18.19</v>
      </c>
      <c r="K42" s="1164">
        <v>-0.25</v>
      </c>
      <c r="L42" s="1164">
        <v>0.04</v>
      </c>
      <c r="M42" s="1164">
        <v>35.0</v>
      </c>
      <c r="N42" s="1165">
        <f t="shared" ref="N42:N43" si="12">(1+($S$2-25)*(K42/100))*G42</f>
        <v>27.5125</v>
      </c>
      <c r="O42" s="1165">
        <f t="shared" ref="O42:O43" si="13">(1+($R$2-25)*(K42/100))*I42</f>
        <v>41.9625</v>
      </c>
      <c r="P42" s="1165">
        <f t="shared" ref="P42:P43" si="14">G42</f>
        <v>31</v>
      </c>
      <c r="Q42" s="1165">
        <f t="shared" ref="Q42:Q43" si="15">J42*(1+($S$2-25)*(L42/100))</f>
        <v>18.51742</v>
      </c>
      <c r="R42" s="1162"/>
      <c r="S42" s="1162"/>
      <c r="T42" s="1162"/>
      <c r="U42" s="1164">
        <v>2.384</v>
      </c>
      <c r="V42" s="1164">
        <v>1.096</v>
      </c>
      <c r="W42" s="1164">
        <v>0.035</v>
      </c>
      <c r="X42" s="1166">
        <f t="shared" ref="X42:X43" si="16">U42*V42</f>
        <v>2.612864</v>
      </c>
      <c r="Y42" s="1162"/>
      <c r="Z42" s="1162"/>
      <c r="AA42" s="1162"/>
      <c r="AB42" s="1167"/>
      <c r="AC42" s="1167"/>
      <c r="AD42" s="1167"/>
      <c r="AE42" s="1167"/>
    </row>
    <row r="43" ht="15.0" customHeight="1">
      <c r="A43" s="1161" t="s">
        <v>1809</v>
      </c>
      <c r="B43" s="1161" t="s">
        <v>1839</v>
      </c>
      <c r="C43" s="1162"/>
      <c r="D43" s="1163">
        <v>0.0</v>
      </c>
      <c r="E43" s="1162"/>
      <c r="F43" s="1164">
        <v>635.0</v>
      </c>
      <c r="G43" s="1164">
        <v>37.1</v>
      </c>
      <c r="H43" s="1164">
        <v>17.5</v>
      </c>
      <c r="I43" s="1164">
        <v>44.9</v>
      </c>
      <c r="J43" s="1164">
        <v>18.21</v>
      </c>
      <c r="K43" s="1186">
        <v>-0.25</v>
      </c>
      <c r="L43" s="1164">
        <v>0.04</v>
      </c>
      <c r="M43" s="1164">
        <v>20.0</v>
      </c>
      <c r="N43" s="1165">
        <f t="shared" si="12"/>
        <v>32.92625</v>
      </c>
      <c r="O43" s="1165">
        <f t="shared" si="13"/>
        <v>50.5125</v>
      </c>
      <c r="P43" s="1164">
        <f t="shared" si="14"/>
        <v>37.1</v>
      </c>
      <c r="Q43" s="1187">
        <f t="shared" si="15"/>
        <v>18.53778</v>
      </c>
      <c r="R43" s="1162"/>
      <c r="S43" s="1162"/>
      <c r="T43" s="1162"/>
      <c r="U43" s="1164">
        <v>2.384</v>
      </c>
      <c r="V43" s="1164">
        <v>1.303</v>
      </c>
      <c r="W43" s="1164">
        <v>0.035</v>
      </c>
      <c r="X43" s="1166">
        <f t="shared" si="16"/>
        <v>3.106352</v>
      </c>
      <c r="Y43" s="1162"/>
      <c r="Z43" s="1162"/>
      <c r="AA43" s="1162"/>
      <c r="AB43" s="1167"/>
      <c r="AC43" s="1167"/>
      <c r="AD43" s="1167"/>
      <c r="AE43" s="1167"/>
    </row>
    <row r="44" ht="15.0" customHeight="1">
      <c r="A44" s="1162"/>
      <c r="B44" s="1184"/>
      <c r="C44" s="1162"/>
      <c r="D44" s="1182"/>
      <c r="E44" s="1162"/>
      <c r="F44" s="1162"/>
      <c r="G44" s="1162"/>
      <c r="H44" s="1162"/>
      <c r="I44" s="1162"/>
      <c r="J44" s="1162"/>
      <c r="K44" s="1162"/>
      <c r="L44" s="1162"/>
      <c r="M44" s="1162"/>
      <c r="N44" s="1183"/>
      <c r="O44" s="1183"/>
      <c r="P44" s="1183"/>
      <c r="Q44" s="1183"/>
      <c r="R44" s="1162"/>
      <c r="S44" s="1162"/>
      <c r="T44" s="1162"/>
      <c r="U44" s="1162"/>
      <c r="V44" s="1162"/>
      <c r="W44" s="1162"/>
      <c r="X44" s="1185"/>
      <c r="Y44" s="1162"/>
      <c r="Z44" s="1162"/>
      <c r="AA44" s="1162"/>
      <c r="AB44" s="1167"/>
      <c r="AC44" s="1167"/>
      <c r="AD44" s="1167"/>
      <c r="AE44" s="1167"/>
    </row>
    <row r="45" ht="15.0" customHeight="1">
      <c r="A45" s="1161" t="s">
        <v>1809</v>
      </c>
      <c r="B45" s="1161" t="s">
        <v>1840</v>
      </c>
      <c r="C45" s="1162"/>
      <c r="D45" s="1163">
        <v>0.0</v>
      </c>
      <c r="E45" s="1162"/>
      <c r="F45" s="1164">
        <v>400.0</v>
      </c>
      <c r="G45" s="1164">
        <v>30.8</v>
      </c>
      <c r="H45" s="1164">
        <v>12.94</v>
      </c>
      <c r="I45" s="1164">
        <v>36.9</v>
      </c>
      <c r="J45" s="1164">
        <v>13.6</v>
      </c>
      <c r="K45" s="1164">
        <v>-0.28</v>
      </c>
      <c r="L45" s="1164">
        <v>0.05</v>
      </c>
      <c r="M45" s="1164">
        <v>25.0</v>
      </c>
      <c r="N45" s="1165">
        <f>(1+($S$2-25)*(K45/100))*G45</f>
        <v>26.9192</v>
      </c>
      <c r="O45" s="1165">
        <f>(1+($R$2-25)*(K45/100))*I45</f>
        <v>42.066</v>
      </c>
      <c r="P45" s="1165">
        <f>G45</f>
        <v>30.8</v>
      </c>
      <c r="Q45" s="1165">
        <f>J45*(1+($S$2-25)*(L45/100))</f>
        <v>13.906</v>
      </c>
      <c r="R45" s="1162"/>
      <c r="S45" s="1162"/>
      <c r="T45" s="1162"/>
      <c r="U45" s="1164">
        <v>1.724</v>
      </c>
      <c r="V45" s="1164">
        <v>1.134</v>
      </c>
      <c r="W45" s="1164">
        <v>0.03</v>
      </c>
      <c r="X45" s="1166">
        <f>U45*V45</f>
        <v>1.955016</v>
      </c>
      <c r="Y45" s="1162"/>
      <c r="Z45" s="1162"/>
      <c r="AA45" s="1162"/>
      <c r="AB45" s="1167"/>
      <c r="AC45" s="1167"/>
      <c r="AD45" s="1167"/>
      <c r="AE45" s="1167"/>
    </row>
    <row r="46" ht="15.0" customHeight="1">
      <c r="A46" s="1162"/>
      <c r="B46" s="1184"/>
      <c r="C46" s="1162"/>
      <c r="D46" s="1182"/>
      <c r="E46" s="1162"/>
      <c r="F46" s="1162"/>
      <c r="G46" s="1162"/>
      <c r="H46" s="1162"/>
      <c r="I46" s="1162"/>
      <c r="J46" s="1162"/>
      <c r="K46" s="1162"/>
      <c r="L46" s="1162"/>
      <c r="M46" s="1162"/>
      <c r="N46" s="1183"/>
      <c r="O46" s="1183"/>
      <c r="P46" s="1183"/>
      <c r="Q46" s="1183"/>
      <c r="R46" s="1162"/>
      <c r="S46" s="1162"/>
      <c r="T46" s="1162"/>
      <c r="U46" s="1162"/>
      <c r="V46" s="1162"/>
      <c r="W46" s="1162"/>
      <c r="X46" s="1185"/>
      <c r="Y46" s="1162"/>
      <c r="Z46" s="1162"/>
      <c r="AA46" s="1162"/>
      <c r="AB46" s="1167"/>
      <c r="AC46" s="1167"/>
      <c r="AD46" s="1167"/>
      <c r="AE46" s="1167"/>
    </row>
    <row r="47" ht="15.0" customHeight="1">
      <c r="A47" s="1161" t="s">
        <v>1809</v>
      </c>
      <c r="B47" s="1161" t="s">
        <v>1841</v>
      </c>
      <c r="C47" s="1162"/>
      <c r="D47" s="1163">
        <v>0.0</v>
      </c>
      <c r="E47" s="1162"/>
      <c r="F47" s="1164">
        <v>375.0</v>
      </c>
      <c r="G47" s="1164">
        <v>34.2</v>
      </c>
      <c r="H47" s="1164">
        <v>10.96</v>
      </c>
      <c r="I47" s="1164">
        <v>41.5</v>
      </c>
      <c r="J47" s="1164">
        <v>11.53</v>
      </c>
      <c r="K47" s="1164">
        <v>-0.33</v>
      </c>
      <c r="L47" s="1164">
        <v>0.049</v>
      </c>
      <c r="M47" s="1164">
        <v>20.0</v>
      </c>
      <c r="N47" s="1165">
        <f t="shared" ref="N47:N49" si="17">(1+($S$2-25)*(K47/100))*G47</f>
        <v>29.1213</v>
      </c>
      <c r="O47" s="1165">
        <f t="shared" ref="O47:O49" si="18">(1+($R$2-25)*(K47/100))*I47</f>
        <v>48.3475</v>
      </c>
      <c r="P47" s="1165">
        <f t="shared" ref="P47:P49" si="19">G47</f>
        <v>34.2</v>
      </c>
      <c r="Q47" s="1165">
        <f t="shared" ref="Q47:Q49" si="20">J47*(1+($S$2-25)*(L47/100))</f>
        <v>11.7842365</v>
      </c>
      <c r="R47" s="1162"/>
      <c r="S47" s="1162"/>
      <c r="T47" s="1162"/>
      <c r="U47" s="1164">
        <v>1.765</v>
      </c>
      <c r="V47" s="1164">
        <v>1.048</v>
      </c>
      <c r="W47" s="1164">
        <v>0.035</v>
      </c>
      <c r="X47" s="1166">
        <f t="shared" ref="X47:X49" si="21">U47*V47</f>
        <v>1.84972</v>
      </c>
      <c r="Y47" s="1162"/>
      <c r="Z47" s="1162"/>
      <c r="AA47" s="1162"/>
      <c r="AB47" s="1167"/>
      <c r="AC47" s="1167"/>
      <c r="AD47" s="1167"/>
      <c r="AE47" s="1167"/>
    </row>
    <row r="48" ht="15.0" customHeight="1">
      <c r="A48" s="1161" t="s">
        <v>1809</v>
      </c>
      <c r="B48" s="1161" t="s">
        <v>1842</v>
      </c>
      <c r="C48" s="1162"/>
      <c r="D48" s="1163">
        <v>0.0</v>
      </c>
      <c r="E48" s="1162"/>
      <c r="F48" s="1164">
        <v>455.0</v>
      </c>
      <c r="G48" s="1164">
        <v>41.1</v>
      </c>
      <c r="H48" s="1164">
        <v>11.07</v>
      </c>
      <c r="I48" s="1164">
        <v>49.9</v>
      </c>
      <c r="J48" s="1164">
        <v>11.64</v>
      </c>
      <c r="K48" s="1164">
        <v>-0.33</v>
      </c>
      <c r="L48" s="1164">
        <v>0.049</v>
      </c>
      <c r="M48" s="1164">
        <v>20.0</v>
      </c>
      <c r="N48" s="1165">
        <f t="shared" si="17"/>
        <v>34.99665</v>
      </c>
      <c r="O48" s="1165">
        <f t="shared" si="18"/>
        <v>58.1335</v>
      </c>
      <c r="P48" s="1165">
        <f t="shared" si="19"/>
        <v>41.1</v>
      </c>
      <c r="Q48" s="1165">
        <f t="shared" si="20"/>
        <v>11.896662</v>
      </c>
      <c r="R48" s="1162"/>
      <c r="S48" s="1162"/>
      <c r="T48" s="1162"/>
      <c r="U48" s="1164">
        <v>2.108</v>
      </c>
      <c r="V48" s="1164">
        <v>1.048</v>
      </c>
      <c r="W48" s="1164">
        <v>0.035</v>
      </c>
      <c r="X48" s="1166">
        <f t="shared" si="21"/>
        <v>2.209184</v>
      </c>
      <c r="Y48" s="1162"/>
      <c r="Z48" s="1162"/>
      <c r="AA48" s="1162"/>
      <c r="AB48" s="1167"/>
      <c r="AC48" s="1167"/>
      <c r="AD48" s="1167"/>
      <c r="AE48" s="1167"/>
    </row>
    <row r="49" ht="15.0" customHeight="1">
      <c r="A49" s="1161" t="s">
        <v>1809</v>
      </c>
      <c r="B49" s="1161" t="s">
        <v>1843</v>
      </c>
      <c r="C49" s="1162"/>
      <c r="D49" s="1163">
        <v>0.0</v>
      </c>
      <c r="E49" s="1162"/>
      <c r="F49" s="1164">
        <v>460.0</v>
      </c>
      <c r="G49" s="1164">
        <v>41.2</v>
      </c>
      <c r="H49" s="1164">
        <v>11.17</v>
      </c>
      <c r="I49" s="1164">
        <v>50.0</v>
      </c>
      <c r="J49" s="1164">
        <v>11.74</v>
      </c>
      <c r="K49" s="1164">
        <v>-0.33</v>
      </c>
      <c r="L49" s="1164">
        <v>0.049</v>
      </c>
      <c r="M49" s="1164">
        <v>20.0</v>
      </c>
      <c r="N49" s="1165">
        <f t="shared" si="17"/>
        <v>35.0818</v>
      </c>
      <c r="O49" s="1165">
        <f t="shared" si="18"/>
        <v>58.25</v>
      </c>
      <c r="P49" s="1165">
        <f t="shared" si="19"/>
        <v>41.2</v>
      </c>
      <c r="Q49" s="1165">
        <f t="shared" si="20"/>
        <v>11.998867</v>
      </c>
      <c r="R49" s="1162"/>
      <c r="S49" s="1162"/>
      <c r="T49" s="1162"/>
      <c r="U49" s="1164">
        <v>2.108</v>
      </c>
      <c r="V49" s="1164">
        <v>1.048</v>
      </c>
      <c r="W49" s="1164">
        <v>0.035</v>
      </c>
      <c r="X49" s="1166">
        <f t="shared" si="21"/>
        <v>2.209184</v>
      </c>
      <c r="Y49" s="1162"/>
      <c r="Z49" s="1162"/>
      <c r="AA49" s="1162"/>
      <c r="AB49" s="1167"/>
      <c r="AC49" s="1167"/>
      <c r="AD49" s="1167"/>
      <c r="AE49" s="1167"/>
    </row>
    <row r="50" ht="15.0" customHeight="1">
      <c r="A50" s="1162"/>
      <c r="B50" s="1184"/>
      <c r="C50" s="1162"/>
      <c r="D50" s="1162"/>
      <c r="E50" s="1162"/>
      <c r="F50" s="1162"/>
      <c r="G50" s="1162"/>
      <c r="H50" s="1162"/>
      <c r="I50" s="1162"/>
      <c r="J50" s="1162"/>
      <c r="K50" s="1162"/>
      <c r="L50" s="1162"/>
      <c r="M50" s="1162"/>
      <c r="N50" s="1162"/>
      <c r="O50" s="1162"/>
      <c r="P50" s="1162"/>
      <c r="Q50" s="1162"/>
      <c r="R50" s="1162"/>
      <c r="S50" s="1162"/>
      <c r="T50" s="1162"/>
      <c r="U50" s="1162"/>
      <c r="V50" s="1162"/>
      <c r="W50" s="1162"/>
      <c r="X50" s="1162"/>
      <c r="Y50" s="1162"/>
      <c r="Z50" s="1162"/>
      <c r="AA50" s="1162"/>
      <c r="AB50" s="1167"/>
      <c r="AC50" s="1167"/>
      <c r="AD50" s="1167"/>
      <c r="AE50" s="1167"/>
    </row>
    <row r="51" ht="15.0" customHeight="1">
      <c r="A51" s="1161" t="s">
        <v>1809</v>
      </c>
      <c r="B51" s="1161" t="s">
        <v>1844</v>
      </c>
      <c r="C51" s="1162"/>
      <c r="D51" s="1163">
        <v>0.0</v>
      </c>
      <c r="E51" s="1162"/>
      <c r="F51" s="1164">
        <v>450.0</v>
      </c>
      <c r="G51" s="1164">
        <v>41.0</v>
      </c>
      <c r="H51" s="1164">
        <v>10.98</v>
      </c>
      <c r="I51" s="1164">
        <v>49.6</v>
      </c>
      <c r="J51" s="1164">
        <v>11.53</v>
      </c>
      <c r="K51" s="1164">
        <v>-0.26</v>
      </c>
      <c r="L51" s="1164">
        <v>0.04</v>
      </c>
      <c r="M51" s="1164">
        <v>20.0</v>
      </c>
      <c r="N51" s="1165">
        <f t="shared" ref="N51:N53" si="22">(1+($S$2-25)*(K51/100))*G51</f>
        <v>36.203</v>
      </c>
      <c r="O51" s="1165">
        <f t="shared" ref="O51:O53" si="23">(1+($R$2-25)*(K51/100))*I51</f>
        <v>56.048</v>
      </c>
      <c r="P51" s="1165">
        <f t="shared" ref="P51:P53" si="24">G51</f>
        <v>41</v>
      </c>
      <c r="Q51" s="1165">
        <f t="shared" ref="Q51:Q53" si="25">J51*(1+($S$2-25)*(L51/100))</f>
        <v>11.73754</v>
      </c>
      <c r="R51" s="1162"/>
      <c r="S51" s="1162"/>
      <c r="T51" s="1162"/>
      <c r="U51" s="1164">
        <v>2.102</v>
      </c>
      <c r="V51" s="1164">
        <v>1.04</v>
      </c>
      <c r="W51" s="1164">
        <v>0.035</v>
      </c>
      <c r="X51" s="1166">
        <f t="shared" ref="X51:X53" si="26">U51*V51</f>
        <v>2.18608</v>
      </c>
      <c r="Y51" s="1162"/>
      <c r="Z51" s="1162"/>
      <c r="AA51" s="1162"/>
      <c r="AB51" s="1167"/>
      <c r="AC51" s="1167"/>
      <c r="AD51" s="1167"/>
      <c r="AE51" s="1167"/>
    </row>
    <row r="52" ht="15.0" customHeight="1">
      <c r="A52" s="1161" t="s">
        <v>1809</v>
      </c>
      <c r="B52" s="1161" t="s">
        <v>1845</v>
      </c>
      <c r="C52" s="1162"/>
      <c r="D52" s="1163">
        <v>0.0</v>
      </c>
      <c r="E52" s="1162"/>
      <c r="F52" s="1164">
        <v>400.0</v>
      </c>
      <c r="G52" s="1164">
        <v>34.2</v>
      </c>
      <c r="H52" s="1164">
        <v>11.7</v>
      </c>
      <c r="I52" s="1164">
        <v>41.28</v>
      </c>
      <c r="J52" s="1164">
        <v>12.28</v>
      </c>
      <c r="K52" s="1186">
        <v>-0.25</v>
      </c>
      <c r="L52" s="1164">
        <v>0.04</v>
      </c>
      <c r="M52" s="1164">
        <v>20.0</v>
      </c>
      <c r="N52" s="1165">
        <f t="shared" si="22"/>
        <v>30.3525</v>
      </c>
      <c r="O52" s="1165">
        <f t="shared" si="23"/>
        <v>46.44</v>
      </c>
      <c r="P52" s="1165">
        <f t="shared" si="24"/>
        <v>34.2</v>
      </c>
      <c r="Q52" s="1165">
        <f t="shared" si="25"/>
        <v>12.50104</v>
      </c>
      <c r="R52" s="1162"/>
      <c r="S52" s="1162"/>
      <c r="T52" s="1162"/>
      <c r="U52" s="1164">
        <v>1.754</v>
      </c>
      <c r="V52" s="1164">
        <v>1.096</v>
      </c>
      <c r="W52" s="1164">
        <v>0.03</v>
      </c>
      <c r="X52" s="1166">
        <f t="shared" si="26"/>
        <v>1.922384</v>
      </c>
      <c r="Y52" s="1162"/>
      <c r="Z52" s="1162"/>
      <c r="AA52" s="1162"/>
      <c r="AB52" s="1167"/>
      <c r="AC52" s="1167"/>
      <c r="AD52" s="1167"/>
      <c r="AE52" s="1167"/>
    </row>
    <row r="53" ht="15.0" customHeight="1">
      <c r="A53" s="1161" t="s">
        <v>1809</v>
      </c>
      <c r="B53" s="1161" t="s">
        <v>1846</v>
      </c>
      <c r="C53" s="1162"/>
      <c r="D53" s="1163">
        <v>0.0</v>
      </c>
      <c r="E53" s="1162"/>
      <c r="F53" s="1164">
        <v>540.0</v>
      </c>
      <c r="G53" s="1164">
        <v>31.2</v>
      </c>
      <c r="H53" s="1164">
        <v>17.33</v>
      </c>
      <c r="I53" s="1164">
        <v>37.5</v>
      </c>
      <c r="J53" s="1164">
        <v>18.41</v>
      </c>
      <c r="K53" s="1164">
        <v>-0.25</v>
      </c>
      <c r="L53" s="1164">
        <v>0.04</v>
      </c>
      <c r="M53" s="1164">
        <v>30.0</v>
      </c>
      <c r="N53" s="1165">
        <f t="shared" si="22"/>
        <v>27.69</v>
      </c>
      <c r="O53" s="1165">
        <f t="shared" si="23"/>
        <v>42.1875</v>
      </c>
      <c r="P53" s="1165">
        <f t="shared" si="24"/>
        <v>31.2</v>
      </c>
      <c r="Q53" s="1165">
        <f t="shared" si="25"/>
        <v>18.74138</v>
      </c>
      <c r="R53" s="1162"/>
      <c r="S53" s="1162"/>
      <c r="T53" s="1162"/>
      <c r="U53" s="1164">
        <v>2.384</v>
      </c>
      <c r="V53" s="1164">
        <v>1.096</v>
      </c>
      <c r="W53" s="1164">
        <v>0.035</v>
      </c>
      <c r="X53" s="1166">
        <f t="shared" si="26"/>
        <v>2.612864</v>
      </c>
      <c r="Y53" s="1162"/>
      <c r="Z53" s="1162"/>
      <c r="AA53" s="1162"/>
      <c r="AB53" s="1167"/>
      <c r="AC53" s="1167"/>
      <c r="AD53" s="1167"/>
      <c r="AE53" s="1167"/>
    </row>
    <row r="54" ht="15.0" customHeight="1">
      <c r="A54" s="1162"/>
      <c r="B54" s="1184"/>
      <c r="C54" s="1162"/>
      <c r="D54" s="1162"/>
      <c r="E54" s="1162"/>
      <c r="F54" s="1162"/>
      <c r="G54" s="1162"/>
      <c r="H54" s="1162"/>
      <c r="I54" s="1162"/>
      <c r="J54" s="1162"/>
      <c r="K54" s="1162"/>
      <c r="L54" s="1162"/>
      <c r="M54" s="1162"/>
      <c r="N54" s="1162"/>
      <c r="O54" s="1162"/>
      <c r="P54" s="1162"/>
      <c r="Q54" s="1162"/>
      <c r="R54" s="1162"/>
      <c r="S54" s="1162"/>
      <c r="T54" s="1162"/>
      <c r="U54" s="1162"/>
      <c r="V54" s="1162"/>
      <c r="W54" s="1162"/>
      <c r="X54" s="1185"/>
      <c r="Y54" s="1162"/>
      <c r="Z54" s="1162"/>
      <c r="AA54" s="1162"/>
      <c r="AB54" s="1167"/>
      <c r="AC54" s="1167"/>
      <c r="AD54" s="1167"/>
      <c r="AE54" s="1167"/>
    </row>
    <row r="55" ht="15.0" customHeight="1">
      <c r="A55" s="1161" t="s">
        <v>1809</v>
      </c>
      <c r="B55" s="1161" t="s">
        <v>1847</v>
      </c>
      <c r="C55" s="1162"/>
      <c r="D55" s="1163">
        <v>0.0</v>
      </c>
      <c r="E55" s="1162"/>
      <c r="F55" s="1164">
        <v>455.0</v>
      </c>
      <c r="G55" s="1164">
        <v>41.7</v>
      </c>
      <c r="H55" s="1164">
        <v>10.92</v>
      </c>
      <c r="I55" s="1164">
        <v>49.5</v>
      </c>
      <c r="J55" s="1164">
        <v>11.66</v>
      </c>
      <c r="K55" s="1164">
        <v>-0.29</v>
      </c>
      <c r="L55" s="1164">
        <v>0.06</v>
      </c>
      <c r="M55" s="1164">
        <v>20.0</v>
      </c>
      <c r="N55" s="1165">
        <f t="shared" ref="N55:N59" si="27">(1+($S$2-25)*(K55/100))*G55</f>
        <v>36.25815</v>
      </c>
      <c r="O55" s="1165">
        <f t="shared" ref="O55:O59" si="28">(1+($R$2-25)*(K55/100))*I55</f>
        <v>56.6775</v>
      </c>
      <c r="P55" s="1165">
        <f t="shared" ref="P55:P59" si="29">G55</f>
        <v>41.7</v>
      </c>
      <c r="Q55" s="1165">
        <f t="shared" ref="Q55:Q59" si="30">J55*(1+($S$2-25)*(L55/100))</f>
        <v>11.97482</v>
      </c>
      <c r="R55" s="1162"/>
      <c r="S55" s="1162"/>
      <c r="T55" s="1164">
        <v>20.9</v>
      </c>
      <c r="U55" s="1164">
        <v>2.094</v>
      </c>
      <c r="V55" s="1164">
        <v>1.038</v>
      </c>
      <c r="W55" s="1164">
        <v>0.035</v>
      </c>
      <c r="X55" s="1166">
        <f t="shared" ref="X55:X57" si="31">U55*V55</f>
        <v>2.173572</v>
      </c>
      <c r="Y55" s="1162"/>
      <c r="Z55" s="1162"/>
      <c r="AA55" s="1162"/>
      <c r="AB55" s="1167"/>
      <c r="AC55" s="1167"/>
      <c r="AD55" s="1167"/>
      <c r="AE55" s="1167"/>
    </row>
    <row r="56" ht="15.0" customHeight="1">
      <c r="A56" s="1161" t="s">
        <v>1809</v>
      </c>
      <c r="B56" s="1161" t="s">
        <v>1848</v>
      </c>
      <c r="C56" s="1162"/>
      <c r="D56" s="1163">
        <v>0.0</v>
      </c>
      <c r="E56" s="1162"/>
      <c r="F56" s="1164">
        <v>455.0</v>
      </c>
      <c r="G56" s="1164">
        <v>41.7</v>
      </c>
      <c r="H56" s="1164">
        <v>10.92</v>
      </c>
      <c r="I56" s="1164">
        <v>49.5</v>
      </c>
      <c r="J56" s="1164">
        <v>11.66</v>
      </c>
      <c r="K56" s="1164">
        <v>-0.27</v>
      </c>
      <c r="L56" s="1164">
        <v>0.048</v>
      </c>
      <c r="M56" s="1164">
        <v>20.0</v>
      </c>
      <c r="N56" s="1165">
        <f t="shared" si="27"/>
        <v>36.63345</v>
      </c>
      <c r="O56" s="1165">
        <f t="shared" si="28"/>
        <v>56.1825</v>
      </c>
      <c r="P56" s="1165">
        <f t="shared" si="29"/>
        <v>41.7</v>
      </c>
      <c r="Q56" s="1165">
        <f t="shared" si="30"/>
        <v>11.911856</v>
      </c>
      <c r="R56" s="1162"/>
      <c r="S56" s="1162"/>
      <c r="T56" s="1164">
        <v>20.9</v>
      </c>
      <c r="U56" s="1164">
        <v>2.094</v>
      </c>
      <c r="V56" s="1164">
        <v>1.038</v>
      </c>
      <c r="W56" s="1164">
        <v>0.035</v>
      </c>
      <c r="X56" s="1166">
        <f t="shared" si="31"/>
        <v>2.173572</v>
      </c>
      <c r="Y56" s="1162"/>
      <c r="Z56" s="1162"/>
      <c r="AA56" s="1162"/>
      <c r="AB56" s="1167"/>
      <c r="AC56" s="1167"/>
      <c r="AD56" s="1167"/>
      <c r="AE56" s="1167"/>
    </row>
    <row r="57" ht="15.0" customHeight="1">
      <c r="A57" s="1161" t="s">
        <v>1809</v>
      </c>
      <c r="B57" s="1161" t="s">
        <v>1849</v>
      </c>
      <c r="C57" s="1162"/>
      <c r="D57" s="1163">
        <v>0.0</v>
      </c>
      <c r="E57" s="1162"/>
      <c r="F57" s="1164">
        <v>455.0</v>
      </c>
      <c r="G57" s="1164">
        <v>41.7</v>
      </c>
      <c r="H57" s="1164">
        <v>10.92</v>
      </c>
      <c r="I57" s="1164">
        <v>49.5</v>
      </c>
      <c r="J57" s="1164">
        <v>11.66</v>
      </c>
      <c r="K57" s="1164">
        <v>-0.265</v>
      </c>
      <c r="L57" s="1164">
        <v>0.05</v>
      </c>
      <c r="M57" s="1164">
        <v>20.0</v>
      </c>
      <c r="N57" s="1165">
        <f t="shared" si="27"/>
        <v>36.727275</v>
      </c>
      <c r="O57" s="1165">
        <f t="shared" si="28"/>
        <v>56.05875</v>
      </c>
      <c r="P57" s="1165">
        <f t="shared" si="29"/>
        <v>41.7</v>
      </c>
      <c r="Q57" s="1165">
        <f t="shared" si="30"/>
        <v>11.92235</v>
      </c>
      <c r="R57" s="1162"/>
      <c r="S57" s="1162"/>
      <c r="T57" s="1164">
        <v>20.9</v>
      </c>
      <c r="U57" s="1164">
        <v>2.094</v>
      </c>
      <c r="V57" s="1164">
        <v>1.038</v>
      </c>
      <c r="W57" s="1164">
        <v>0.035</v>
      </c>
      <c r="X57" s="1166">
        <f t="shared" si="31"/>
        <v>2.173572</v>
      </c>
      <c r="Y57" s="1162"/>
      <c r="Z57" s="1162"/>
      <c r="AA57" s="1162"/>
      <c r="AB57" s="1167"/>
      <c r="AC57" s="1167"/>
      <c r="AD57" s="1167"/>
      <c r="AE57" s="1167"/>
    </row>
    <row r="58" ht="15.0" customHeight="1">
      <c r="A58" s="1161" t="s">
        <v>1809</v>
      </c>
      <c r="B58" s="1161" t="s">
        <v>1850</v>
      </c>
      <c r="C58" s="1162"/>
      <c r="D58" s="1182"/>
      <c r="E58" s="1162"/>
      <c r="F58" s="1164">
        <v>580.0</v>
      </c>
      <c r="G58" s="1164">
        <v>44.06</v>
      </c>
      <c r="H58" s="1164">
        <v>13.17</v>
      </c>
      <c r="I58" s="1164">
        <v>52.21</v>
      </c>
      <c r="J58" s="1164">
        <v>14.2</v>
      </c>
      <c r="K58" s="1164">
        <v>-0.23</v>
      </c>
      <c r="L58" s="1164">
        <v>0.05</v>
      </c>
      <c r="M58" s="1164">
        <v>25.0</v>
      </c>
      <c r="N58" s="1165">
        <f t="shared" si="27"/>
        <v>39.49979</v>
      </c>
      <c r="O58" s="1165">
        <f t="shared" si="28"/>
        <v>58.21415</v>
      </c>
      <c r="P58" s="1165">
        <f t="shared" si="29"/>
        <v>44.06</v>
      </c>
      <c r="Q58" s="1165">
        <f t="shared" si="30"/>
        <v>14.5195</v>
      </c>
      <c r="R58" s="1162"/>
      <c r="S58" s="1162"/>
      <c r="T58" s="1164">
        <v>22.5</v>
      </c>
      <c r="U58" s="1164">
        <v>2278.0</v>
      </c>
      <c r="V58" s="1164">
        <v>1134.0</v>
      </c>
      <c r="W58" s="1164">
        <v>35.0</v>
      </c>
      <c r="X58" s="1162"/>
      <c r="Y58" s="1164">
        <v>27.5</v>
      </c>
      <c r="Z58" s="1162"/>
      <c r="AA58" s="1162"/>
      <c r="AB58" s="1167"/>
      <c r="AC58" s="1167"/>
      <c r="AD58" s="1167"/>
      <c r="AE58" s="1167"/>
    </row>
    <row r="59" ht="15.0" customHeight="1">
      <c r="A59" s="1161" t="s">
        <v>1809</v>
      </c>
      <c r="B59" s="1161" t="s">
        <v>1851</v>
      </c>
      <c r="C59" s="1162"/>
      <c r="D59" s="1182"/>
      <c r="E59" s="1162"/>
      <c r="F59" s="1164">
        <v>580.0</v>
      </c>
      <c r="G59" s="1164">
        <v>43.42</v>
      </c>
      <c r="H59" s="1164">
        <v>13.42</v>
      </c>
      <c r="I59" s="1164">
        <v>51.42</v>
      </c>
      <c r="J59" s="1164">
        <v>14.22</v>
      </c>
      <c r="K59" s="1164">
        <v>-0.23</v>
      </c>
      <c r="L59" s="1164">
        <v>0.045</v>
      </c>
      <c r="M59" s="1164">
        <v>30.0</v>
      </c>
      <c r="N59" s="1165">
        <f t="shared" si="27"/>
        <v>38.92603</v>
      </c>
      <c r="O59" s="1165">
        <f t="shared" si="28"/>
        <v>57.3333</v>
      </c>
      <c r="P59" s="1165">
        <f t="shared" si="29"/>
        <v>43.42</v>
      </c>
      <c r="Q59" s="1165">
        <f t="shared" si="30"/>
        <v>14.507955</v>
      </c>
      <c r="R59" s="1162"/>
      <c r="S59" s="1162"/>
      <c r="T59" s="1164">
        <v>22.8</v>
      </c>
      <c r="U59" s="1164">
        <v>2278.0</v>
      </c>
      <c r="V59" s="1164">
        <v>1134.0</v>
      </c>
      <c r="W59" s="1164">
        <v>30.0</v>
      </c>
      <c r="X59" s="1162"/>
      <c r="Y59" s="1164">
        <v>31.8</v>
      </c>
      <c r="Z59" s="1162"/>
      <c r="AA59" s="1162"/>
      <c r="AB59" s="1167"/>
      <c r="AC59" s="1167"/>
      <c r="AD59" s="1167"/>
      <c r="AE59" s="1167"/>
    </row>
    <row r="60" ht="15.0" customHeight="1">
      <c r="A60" s="1162"/>
      <c r="B60" s="1184"/>
      <c r="C60" s="1162"/>
      <c r="D60" s="1162"/>
      <c r="E60" s="1162"/>
      <c r="F60" s="1162"/>
      <c r="G60" s="1162"/>
      <c r="H60" s="1162"/>
      <c r="I60" s="1162"/>
      <c r="J60" s="1162"/>
      <c r="K60" s="1162"/>
      <c r="L60" s="1162"/>
      <c r="M60" s="1162"/>
      <c r="N60" s="1162"/>
      <c r="O60" s="1162"/>
      <c r="P60" s="1162"/>
      <c r="Q60" s="1162"/>
      <c r="R60" s="1162"/>
      <c r="S60" s="1162"/>
      <c r="T60" s="1162"/>
      <c r="U60" s="1162"/>
      <c r="V60" s="1162"/>
      <c r="W60" s="1162"/>
      <c r="X60" s="1162"/>
      <c r="Y60" s="1162"/>
      <c r="Z60" s="1162"/>
      <c r="AA60" s="1162"/>
      <c r="AB60" s="1167"/>
      <c r="AC60" s="1167"/>
      <c r="AD60" s="1167"/>
      <c r="AE60" s="1167"/>
    </row>
    <row r="61" ht="15.0" customHeight="1">
      <c r="A61" s="1161" t="s">
        <v>1809</v>
      </c>
      <c r="B61" s="1161" t="s">
        <v>1852</v>
      </c>
      <c r="C61" s="1162"/>
      <c r="D61" s="1163">
        <v>0.0</v>
      </c>
      <c r="E61" s="1162"/>
      <c r="F61" s="1164">
        <v>325.0</v>
      </c>
      <c r="G61" s="1164">
        <v>37.48</v>
      </c>
      <c r="H61" s="1164">
        <v>8.68</v>
      </c>
      <c r="I61" s="1164">
        <v>45.3</v>
      </c>
      <c r="J61" s="1164">
        <v>9.14</v>
      </c>
      <c r="K61" s="1164">
        <v>-0.3</v>
      </c>
      <c r="L61" s="1164">
        <v>0.054</v>
      </c>
      <c r="M61" s="1164">
        <v>20.0</v>
      </c>
      <c r="N61" s="1165">
        <f t="shared" ref="N61:N70" si="32">(1+($S$2-25)*(K61/100))*G61</f>
        <v>32.4202</v>
      </c>
      <c r="O61" s="1165">
        <f t="shared" ref="O61:O70" si="33">(1+($R$2-25)*(K61/100))*I61</f>
        <v>52.095</v>
      </c>
      <c r="P61" s="1165">
        <f t="shared" ref="P61:P84" si="34">G61</f>
        <v>37.48</v>
      </c>
      <c r="Q61" s="1165">
        <f t="shared" ref="Q61:Q84" si="35">J61*(1+($S$2-25)*(L61/100))</f>
        <v>9.362102</v>
      </c>
      <c r="R61" s="1162"/>
      <c r="S61" s="1162"/>
      <c r="T61" s="1164">
        <v>16.4</v>
      </c>
      <c r="U61" s="1164">
        <v>2.0</v>
      </c>
      <c r="V61" s="1164">
        <v>0.991</v>
      </c>
      <c r="W61" s="1164">
        <v>0.04</v>
      </c>
      <c r="X61" s="1166">
        <f t="shared" ref="X61:X70" si="36">U61*V61</f>
        <v>1.982</v>
      </c>
      <c r="Y61" s="1162"/>
      <c r="Z61" s="1162"/>
      <c r="AA61" s="1162"/>
      <c r="AB61" s="1167"/>
      <c r="AC61" s="1167"/>
      <c r="AD61" s="1167"/>
      <c r="AE61" s="1167"/>
    </row>
    <row r="62" ht="15.0" customHeight="1">
      <c r="A62" s="1161" t="s">
        <v>1809</v>
      </c>
      <c r="B62" s="1161" t="s">
        <v>1853</v>
      </c>
      <c r="C62" s="1162"/>
      <c r="D62" s="1163">
        <v>0.0</v>
      </c>
      <c r="E62" s="1162"/>
      <c r="F62" s="1164">
        <v>405.0</v>
      </c>
      <c r="G62" s="1164">
        <v>31.21</v>
      </c>
      <c r="H62" s="1164">
        <v>12.98</v>
      </c>
      <c r="I62" s="1164">
        <v>37.23</v>
      </c>
      <c r="J62" s="1164">
        <v>13.87</v>
      </c>
      <c r="K62" s="1164">
        <v>-0.275</v>
      </c>
      <c r="L62" s="1164">
        <v>0.045</v>
      </c>
      <c r="M62" s="1164">
        <v>25.0</v>
      </c>
      <c r="N62" s="1165">
        <f t="shared" si="32"/>
        <v>27.3477625</v>
      </c>
      <c r="O62" s="1165">
        <f t="shared" si="33"/>
        <v>42.349125</v>
      </c>
      <c r="P62" s="1165">
        <f t="shared" si="34"/>
        <v>31.21</v>
      </c>
      <c r="Q62" s="1165">
        <f t="shared" si="35"/>
        <v>14.1508675</v>
      </c>
      <c r="R62" s="1162"/>
      <c r="S62" s="1162"/>
      <c r="T62" s="1164">
        <v>20.7</v>
      </c>
      <c r="U62" s="1164">
        <v>1.722</v>
      </c>
      <c r="V62" s="1164">
        <v>1.134</v>
      </c>
      <c r="W62" s="1164">
        <v>0.03</v>
      </c>
      <c r="X62" s="1166">
        <f t="shared" si="36"/>
        <v>1.952748</v>
      </c>
      <c r="Y62" s="1162"/>
      <c r="Z62" s="1162"/>
      <c r="AA62" s="1162"/>
      <c r="AB62" s="1167"/>
      <c r="AC62" s="1167"/>
      <c r="AD62" s="1167"/>
      <c r="AE62" s="1167"/>
    </row>
    <row r="63" ht="15.0" customHeight="1">
      <c r="A63" s="1161" t="s">
        <v>1809</v>
      </c>
      <c r="B63" s="1161" t="s">
        <v>1854</v>
      </c>
      <c r="C63" s="1162"/>
      <c r="D63" s="1163">
        <v>0.0</v>
      </c>
      <c r="E63" s="1162"/>
      <c r="F63" s="1164">
        <v>420.0</v>
      </c>
      <c r="G63" s="1164">
        <v>31.8</v>
      </c>
      <c r="H63" s="1164">
        <v>13.21</v>
      </c>
      <c r="I63" s="1164">
        <v>37.58</v>
      </c>
      <c r="J63" s="1164">
        <v>14.1</v>
      </c>
      <c r="K63" s="1164">
        <v>-0.275</v>
      </c>
      <c r="L63" s="1164">
        <v>0.045</v>
      </c>
      <c r="M63" s="1164">
        <v>25.0</v>
      </c>
      <c r="N63" s="1165">
        <f t="shared" si="32"/>
        <v>27.86475</v>
      </c>
      <c r="O63" s="1165">
        <f t="shared" si="33"/>
        <v>42.74725</v>
      </c>
      <c r="P63" s="1165">
        <f t="shared" si="34"/>
        <v>31.8</v>
      </c>
      <c r="Q63" s="1165">
        <f t="shared" si="35"/>
        <v>14.385525</v>
      </c>
      <c r="R63" s="1162"/>
      <c r="S63" s="1162"/>
      <c r="T63" s="1164">
        <v>21.5</v>
      </c>
      <c r="U63" s="1164">
        <v>1.722</v>
      </c>
      <c r="V63" s="1164">
        <v>1.134</v>
      </c>
      <c r="W63" s="1164">
        <v>0.03</v>
      </c>
      <c r="X63" s="1166">
        <f t="shared" si="36"/>
        <v>1.952748</v>
      </c>
      <c r="Y63" s="1162"/>
      <c r="Z63" s="1162"/>
      <c r="AA63" s="1162"/>
      <c r="AB63" s="1167"/>
      <c r="AC63" s="1167"/>
      <c r="AD63" s="1167"/>
      <c r="AE63" s="1167"/>
    </row>
    <row r="64" ht="15.0" customHeight="1">
      <c r="A64" s="1161" t="s">
        <v>1809</v>
      </c>
      <c r="B64" s="1161" t="s">
        <v>1855</v>
      </c>
      <c r="C64" s="1162"/>
      <c r="D64" s="1163">
        <v>0.0</v>
      </c>
      <c r="E64" s="1162"/>
      <c r="F64" s="1164">
        <v>455.0</v>
      </c>
      <c r="G64" s="1164">
        <v>41.82</v>
      </c>
      <c r="H64" s="1164">
        <v>10.88</v>
      </c>
      <c r="I64" s="1164">
        <v>49.85</v>
      </c>
      <c r="J64" s="1164">
        <v>11.41</v>
      </c>
      <c r="K64" s="1164">
        <v>-0.272</v>
      </c>
      <c r="L64" s="1164">
        <v>0.044</v>
      </c>
      <c r="M64" s="1164">
        <v>20.0</v>
      </c>
      <c r="N64" s="1165">
        <f t="shared" si="32"/>
        <v>36.701232</v>
      </c>
      <c r="O64" s="1165">
        <f t="shared" si="33"/>
        <v>56.6296</v>
      </c>
      <c r="P64" s="1165">
        <f t="shared" si="34"/>
        <v>41.82</v>
      </c>
      <c r="Q64" s="1165">
        <f t="shared" si="35"/>
        <v>11.635918</v>
      </c>
      <c r="R64" s="1162"/>
      <c r="S64" s="1162"/>
      <c r="T64" s="1164">
        <v>20.4</v>
      </c>
      <c r="U64" s="1164">
        <v>2.128</v>
      </c>
      <c r="V64" s="1164">
        <v>1.052</v>
      </c>
      <c r="W64" s="1164">
        <v>0.04</v>
      </c>
      <c r="X64" s="1166">
        <f t="shared" si="36"/>
        <v>2.238656</v>
      </c>
      <c r="Y64" s="1162"/>
      <c r="Z64" s="1162"/>
      <c r="AA64" s="1162"/>
      <c r="AB64" s="1167"/>
      <c r="AC64" s="1167"/>
      <c r="AD64" s="1167"/>
      <c r="AE64" s="1167"/>
    </row>
    <row r="65" ht="15.0" customHeight="1">
      <c r="A65" s="1161" t="s">
        <v>1809</v>
      </c>
      <c r="B65" s="1161" t="s">
        <v>1856</v>
      </c>
      <c r="C65" s="1162"/>
      <c r="D65" s="1163">
        <v>0.0</v>
      </c>
      <c r="E65" s="1162"/>
      <c r="F65" s="1164">
        <v>455.0</v>
      </c>
      <c r="G65" s="1164">
        <v>41.82</v>
      </c>
      <c r="H65" s="1164">
        <v>10.88</v>
      </c>
      <c r="I65" s="1164">
        <v>49.85</v>
      </c>
      <c r="J65" s="1164">
        <v>11.41</v>
      </c>
      <c r="K65" s="1164">
        <v>-0.272</v>
      </c>
      <c r="L65" s="1164">
        <v>0.044</v>
      </c>
      <c r="M65" s="1164">
        <v>20.0</v>
      </c>
      <c r="N65" s="1165">
        <f t="shared" si="32"/>
        <v>36.701232</v>
      </c>
      <c r="O65" s="1165">
        <f t="shared" si="33"/>
        <v>56.6296</v>
      </c>
      <c r="P65" s="1165">
        <f t="shared" si="34"/>
        <v>41.82</v>
      </c>
      <c r="Q65" s="1165">
        <f t="shared" si="35"/>
        <v>11.635918</v>
      </c>
      <c r="R65" s="1162"/>
      <c r="S65" s="1162"/>
      <c r="T65" s="1164">
        <v>20.5</v>
      </c>
      <c r="U65" s="1164">
        <v>2.112</v>
      </c>
      <c r="V65" s="1164">
        <v>1.052</v>
      </c>
      <c r="W65" s="1164">
        <v>0.035</v>
      </c>
      <c r="X65" s="1166">
        <f t="shared" si="36"/>
        <v>2.221824</v>
      </c>
      <c r="Y65" s="1162"/>
      <c r="Z65" s="1162"/>
      <c r="AA65" s="1162"/>
      <c r="AB65" s="1167"/>
      <c r="AC65" s="1167"/>
      <c r="AD65" s="1167"/>
      <c r="AE65" s="1167"/>
    </row>
    <row r="66" ht="15.0" customHeight="1">
      <c r="A66" s="1161" t="s">
        <v>1809</v>
      </c>
      <c r="B66" s="1161" t="s">
        <v>1857</v>
      </c>
      <c r="C66" s="1162"/>
      <c r="D66" s="1163">
        <v>0.0</v>
      </c>
      <c r="E66" s="1162"/>
      <c r="F66" s="1164">
        <v>495.0</v>
      </c>
      <c r="G66" s="1164">
        <v>37.17</v>
      </c>
      <c r="H66" s="1164">
        <v>12.97</v>
      </c>
      <c r="I66" s="1164">
        <v>45.46</v>
      </c>
      <c r="J66" s="1164">
        <v>13.86</v>
      </c>
      <c r="K66" s="1164">
        <v>-0.275</v>
      </c>
      <c r="L66" s="1164">
        <v>0.045</v>
      </c>
      <c r="M66" s="1164">
        <v>25.0</v>
      </c>
      <c r="N66" s="1165">
        <f t="shared" si="32"/>
        <v>32.5702125</v>
      </c>
      <c r="O66" s="1165">
        <f t="shared" si="33"/>
        <v>51.71075</v>
      </c>
      <c r="P66" s="1165">
        <f t="shared" si="34"/>
        <v>37.17</v>
      </c>
      <c r="Q66" s="1165">
        <f t="shared" si="35"/>
        <v>14.140665</v>
      </c>
      <c r="R66" s="1162"/>
      <c r="S66" s="1162"/>
      <c r="T66" s="1162"/>
      <c r="U66" s="1164">
        <v>2.094</v>
      </c>
      <c r="V66" s="1164">
        <v>1.134</v>
      </c>
      <c r="W66" s="1164">
        <v>0.035</v>
      </c>
      <c r="X66" s="1166">
        <f t="shared" si="36"/>
        <v>2.374596</v>
      </c>
      <c r="Y66" s="1162"/>
      <c r="Z66" s="1162"/>
      <c r="AA66" s="1162"/>
      <c r="AB66" s="1167"/>
      <c r="AC66" s="1167"/>
      <c r="AD66" s="1167"/>
      <c r="AE66" s="1167"/>
    </row>
    <row r="67" ht="15.0" customHeight="1">
      <c r="A67" s="1161" t="s">
        <v>1809</v>
      </c>
      <c r="B67" s="1161" t="s">
        <v>1858</v>
      </c>
      <c r="C67" s="1162"/>
      <c r="D67" s="1163">
        <v>0.0</v>
      </c>
      <c r="E67" s="1162"/>
      <c r="F67" s="1164">
        <v>530.0</v>
      </c>
      <c r="G67" s="1164">
        <v>41.3</v>
      </c>
      <c r="H67" s="1164">
        <v>12.83</v>
      </c>
      <c r="I67" s="1164">
        <v>49.3</v>
      </c>
      <c r="J67" s="1164">
        <v>13.72</v>
      </c>
      <c r="K67" s="1164">
        <v>-0.275</v>
      </c>
      <c r="L67" s="1164">
        <v>0.045</v>
      </c>
      <c r="M67" s="1164">
        <v>30.0</v>
      </c>
      <c r="N67" s="1165">
        <f t="shared" si="32"/>
        <v>36.189125</v>
      </c>
      <c r="O67" s="1165">
        <f t="shared" si="33"/>
        <v>56.07875</v>
      </c>
      <c r="P67" s="1165">
        <f t="shared" si="34"/>
        <v>41.3</v>
      </c>
      <c r="Q67" s="1165">
        <f t="shared" si="35"/>
        <v>13.99783</v>
      </c>
      <c r="R67" s="1162"/>
      <c r="S67" s="1162"/>
      <c r="T67" s="1162"/>
      <c r="U67" s="1164">
        <v>2.285</v>
      </c>
      <c r="V67" s="1164">
        <v>1.134</v>
      </c>
      <c r="W67" s="1164">
        <v>0.035</v>
      </c>
      <c r="X67" s="1166">
        <f t="shared" si="36"/>
        <v>2.59119</v>
      </c>
      <c r="Y67" s="1162"/>
      <c r="Z67" s="1162"/>
      <c r="AA67" s="1162"/>
      <c r="AB67" s="1167"/>
      <c r="AC67" s="1167"/>
      <c r="AD67" s="1167"/>
      <c r="AE67" s="1167"/>
    </row>
    <row r="68" ht="15.0" customHeight="1">
      <c r="A68" s="1161" t="s">
        <v>1809</v>
      </c>
      <c r="B68" s="1161" t="s">
        <v>1859</v>
      </c>
      <c r="C68" s="1162"/>
      <c r="D68" s="1163">
        <v>0.0</v>
      </c>
      <c r="E68" s="1162"/>
      <c r="F68" s="1164">
        <v>540.0</v>
      </c>
      <c r="G68" s="1164">
        <v>41.64</v>
      </c>
      <c r="H68" s="1164">
        <v>12.97</v>
      </c>
      <c r="I68" s="1164">
        <v>49.6</v>
      </c>
      <c r="J68" s="1164">
        <v>13.86</v>
      </c>
      <c r="K68" s="1164">
        <v>-0.275</v>
      </c>
      <c r="L68" s="1164">
        <v>0.045</v>
      </c>
      <c r="M68" s="1164">
        <v>25.0</v>
      </c>
      <c r="N68" s="1165">
        <f t="shared" si="32"/>
        <v>36.48705</v>
      </c>
      <c r="O68" s="1165">
        <f t="shared" si="33"/>
        <v>56.42</v>
      </c>
      <c r="P68" s="1165">
        <f t="shared" si="34"/>
        <v>41.64</v>
      </c>
      <c r="Q68" s="1165">
        <f t="shared" si="35"/>
        <v>14.140665</v>
      </c>
      <c r="R68" s="1162"/>
      <c r="S68" s="1162"/>
      <c r="T68" s="1164">
        <v>20.9</v>
      </c>
      <c r="U68" s="1164">
        <v>2.279</v>
      </c>
      <c r="V68" s="1164">
        <v>1.134</v>
      </c>
      <c r="W68" s="1164">
        <v>0.035</v>
      </c>
      <c r="X68" s="1166">
        <f t="shared" si="36"/>
        <v>2.584386</v>
      </c>
      <c r="Y68" s="1162"/>
      <c r="Z68" s="1162"/>
      <c r="AA68" s="1162"/>
      <c r="AB68" s="1167"/>
      <c r="AC68" s="1167"/>
      <c r="AD68" s="1167"/>
      <c r="AE68" s="1167"/>
    </row>
    <row r="69" ht="15.0" customHeight="1">
      <c r="A69" s="1161" t="s">
        <v>1809</v>
      </c>
      <c r="B69" s="1161" t="s">
        <v>1860</v>
      </c>
      <c r="C69" s="1162"/>
      <c r="D69" s="1163">
        <v>0.0</v>
      </c>
      <c r="E69" s="1162"/>
      <c r="F69" s="1164">
        <v>560.0</v>
      </c>
      <c r="G69" s="1164">
        <v>42.4</v>
      </c>
      <c r="H69" s="1164">
        <v>13.21</v>
      </c>
      <c r="I69" s="1164">
        <v>50.7</v>
      </c>
      <c r="J69" s="1164">
        <v>15.22</v>
      </c>
      <c r="K69" s="1164">
        <v>-0.26</v>
      </c>
      <c r="L69" s="1164">
        <v>0.046</v>
      </c>
      <c r="M69" s="1164">
        <v>30.0</v>
      </c>
      <c r="N69" s="1165">
        <f t="shared" si="32"/>
        <v>37.4392</v>
      </c>
      <c r="O69" s="1165">
        <f t="shared" si="33"/>
        <v>57.291</v>
      </c>
      <c r="P69" s="1165">
        <f t="shared" si="34"/>
        <v>42.4</v>
      </c>
      <c r="Q69" s="1165">
        <f t="shared" si="35"/>
        <v>15.535054</v>
      </c>
      <c r="R69" s="1162"/>
      <c r="S69" s="1162"/>
      <c r="T69" s="1164">
        <v>21.7</v>
      </c>
      <c r="U69" s="1164">
        <v>2.278</v>
      </c>
      <c r="V69" s="1164">
        <v>1.134</v>
      </c>
      <c r="W69" s="1164">
        <v>0.03</v>
      </c>
      <c r="X69" s="1166">
        <f t="shared" si="36"/>
        <v>2.583252</v>
      </c>
      <c r="Y69" s="1162"/>
      <c r="Z69" s="1162"/>
      <c r="AA69" s="1162"/>
      <c r="AB69" s="1167"/>
      <c r="AC69" s="1167"/>
      <c r="AD69" s="1167"/>
      <c r="AE69" s="1167"/>
    </row>
    <row r="70" ht="15.0" customHeight="1">
      <c r="A70" s="1161" t="s">
        <v>1809</v>
      </c>
      <c r="B70" s="1161" t="s">
        <v>1861</v>
      </c>
      <c r="C70" s="1162"/>
      <c r="D70" s="1163">
        <v>0.0</v>
      </c>
      <c r="E70" s="1162"/>
      <c r="F70" s="1164">
        <v>570.0</v>
      </c>
      <c r="G70" s="1164">
        <v>42.7</v>
      </c>
      <c r="H70" s="1164">
        <v>13.35</v>
      </c>
      <c r="I70" s="1164">
        <v>51.0</v>
      </c>
      <c r="J70" s="1164">
        <v>14.23</v>
      </c>
      <c r="K70" s="1164">
        <v>-0.26</v>
      </c>
      <c r="L70" s="1164">
        <v>0.046</v>
      </c>
      <c r="M70" s="1164">
        <v>30.0</v>
      </c>
      <c r="N70" s="1165">
        <f t="shared" si="32"/>
        <v>37.7041</v>
      </c>
      <c r="O70" s="1165">
        <f t="shared" si="33"/>
        <v>57.63</v>
      </c>
      <c r="P70" s="1165">
        <f t="shared" si="34"/>
        <v>42.7</v>
      </c>
      <c r="Q70" s="1165">
        <f t="shared" si="35"/>
        <v>14.524561</v>
      </c>
      <c r="R70" s="1162"/>
      <c r="S70" s="1162"/>
      <c r="T70" s="1164">
        <v>22.1</v>
      </c>
      <c r="U70" s="1164">
        <v>2.278</v>
      </c>
      <c r="V70" s="1164">
        <v>1.134</v>
      </c>
      <c r="W70" s="1164">
        <v>0.03</v>
      </c>
      <c r="X70" s="1166">
        <f t="shared" si="36"/>
        <v>2.583252</v>
      </c>
      <c r="Y70" s="1162"/>
      <c r="Z70" s="1162"/>
      <c r="AA70" s="1162"/>
      <c r="AB70" s="1167"/>
      <c r="AC70" s="1167"/>
      <c r="AD70" s="1167"/>
      <c r="AE70" s="1167"/>
    </row>
    <row r="71" ht="15.0" customHeight="1">
      <c r="A71" s="1162"/>
      <c r="B71" s="1184"/>
      <c r="C71" s="1162"/>
      <c r="D71" s="1182"/>
      <c r="E71" s="1162"/>
      <c r="F71" s="1162"/>
      <c r="G71" s="1162"/>
      <c r="H71" s="1162"/>
      <c r="I71" s="1162"/>
      <c r="J71" s="1162"/>
      <c r="K71" s="1162"/>
      <c r="L71" s="1162"/>
      <c r="M71" s="1162"/>
      <c r="N71" s="1183"/>
      <c r="O71" s="1183"/>
      <c r="P71" s="1183" t="str">
        <f t="shared" si="34"/>
        <v/>
      </c>
      <c r="Q71" s="1165">
        <f t="shared" si="35"/>
        <v>0</v>
      </c>
      <c r="R71" s="1162"/>
      <c r="S71" s="1162"/>
      <c r="T71" s="1162"/>
      <c r="U71" s="1162"/>
      <c r="V71" s="1162"/>
      <c r="W71" s="1162"/>
      <c r="X71" s="1185"/>
      <c r="Y71" s="1162"/>
      <c r="Z71" s="1162"/>
      <c r="AA71" s="1162"/>
      <c r="AB71" s="1167"/>
      <c r="AC71" s="1167"/>
      <c r="AD71" s="1167"/>
      <c r="AE71" s="1167"/>
    </row>
    <row r="72" ht="15.0" customHeight="1">
      <c r="A72" s="1161" t="s">
        <v>1809</v>
      </c>
      <c r="B72" s="1161" t="s">
        <v>1862</v>
      </c>
      <c r="C72" s="1164" t="s">
        <v>1863</v>
      </c>
      <c r="D72" s="1163">
        <v>0.0</v>
      </c>
      <c r="E72" s="1162"/>
      <c r="F72" s="1164">
        <v>320.0</v>
      </c>
      <c r="G72" s="1164">
        <v>33.7</v>
      </c>
      <c r="H72" s="1164">
        <v>9.5</v>
      </c>
      <c r="I72" s="1164">
        <v>40.0</v>
      </c>
      <c r="J72" s="1164">
        <v>10.1</v>
      </c>
      <c r="K72" s="1164">
        <v>-0.29</v>
      </c>
      <c r="L72" s="1164">
        <v>0.05</v>
      </c>
      <c r="M72" s="1164">
        <v>20.0</v>
      </c>
      <c r="N72" s="1165">
        <f t="shared" ref="N72:N84" si="37">(1+($S$2-25)*(K72/100))*G72</f>
        <v>29.30215</v>
      </c>
      <c r="O72" s="1165">
        <f t="shared" ref="O72:O84" si="38">(1+($R$2-25)*(K72/100))*I72</f>
        <v>45.8</v>
      </c>
      <c r="P72" s="1165">
        <f t="shared" si="34"/>
        <v>33.7</v>
      </c>
      <c r="Q72" s="1165">
        <f t="shared" si="35"/>
        <v>10.32725</v>
      </c>
      <c r="R72" s="1162"/>
      <c r="S72" s="1162"/>
      <c r="T72" s="1164">
        <v>19.1</v>
      </c>
      <c r="U72" s="1164">
        <v>1.685</v>
      </c>
      <c r="V72" s="1164">
        <v>0.992</v>
      </c>
      <c r="W72" s="1164">
        <v>0.035</v>
      </c>
      <c r="X72" s="1166">
        <f t="shared" ref="X72:X73" si="39">U72*V72</f>
        <v>1.67152</v>
      </c>
      <c r="Y72" s="1162"/>
      <c r="Z72" s="1162"/>
      <c r="AA72" s="1162"/>
      <c r="AB72" s="1167"/>
      <c r="AC72" s="1167"/>
      <c r="AD72" s="1167"/>
      <c r="AE72" s="1167"/>
    </row>
    <row r="73" ht="15.0" customHeight="1">
      <c r="A73" s="1161" t="s">
        <v>1809</v>
      </c>
      <c r="B73" s="1161" t="s">
        <v>1864</v>
      </c>
      <c r="C73" s="1164" t="s">
        <v>1865</v>
      </c>
      <c r="D73" s="1163">
        <v>0.0</v>
      </c>
      <c r="E73" s="1162"/>
      <c r="F73" s="1164">
        <v>320.0</v>
      </c>
      <c r="G73" s="1164">
        <v>37.3</v>
      </c>
      <c r="H73" s="1164">
        <v>8.6</v>
      </c>
      <c r="I73" s="1164">
        <v>45.7</v>
      </c>
      <c r="J73" s="1164">
        <v>9.15</v>
      </c>
      <c r="K73" s="1164">
        <v>-0.32</v>
      </c>
      <c r="L73" s="1164">
        <v>0.05</v>
      </c>
      <c r="M73" s="1164">
        <v>15.0</v>
      </c>
      <c r="N73" s="1165">
        <f t="shared" si="37"/>
        <v>31.9288</v>
      </c>
      <c r="O73" s="1165">
        <f t="shared" si="38"/>
        <v>53.012</v>
      </c>
      <c r="P73" s="1165">
        <f t="shared" si="34"/>
        <v>37.3</v>
      </c>
      <c r="Q73" s="1165">
        <f t="shared" si="35"/>
        <v>9.355875</v>
      </c>
      <c r="R73" s="1162"/>
      <c r="S73" s="1162"/>
      <c r="T73" s="1164">
        <v>16.5</v>
      </c>
      <c r="U73" s="1164">
        <v>1.956</v>
      </c>
      <c r="V73" s="1164">
        <v>0.992</v>
      </c>
      <c r="W73" s="1164">
        <v>0.04</v>
      </c>
      <c r="X73" s="1166">
        <f t="shared" si="39"/>
        <v>1.940352</v>
      </c>
      <c r="Y73" s="1162"/>
      <c r="Z73" s="1162"/>
      <c r="AA73" s="1162"/>
      <c r="AB73" s="1167"/>
      <c r="AC73" s="1167"/>
      <c r="AD73" s="1167"/>
      <c r="AE73" s="1167"/>
    </row>
    <row r="74" ht="15.0" customHeight="1">
      <c r="A74" s="1161" t="s">
        <v>1809</v>
      </c>
      <c r="B74" s="1161" t="s">
        <v>1866</v>
      </c>
      <c r="C74" s="1162"/>
      <c r="D74" s="1163">
        <v>0.0</v>
      </c>
      <c r="E74" s="1162"/>
      <c r="F74" s="1164">
        <v>320.0</v>
      </c>
      <c r="G74" s="1164">
        <v>33.7</v>
      </c>
      <c r="H74" s="1164">
        <v>9.5</v>
      </c>
      <c r="I74" s="1164">
        <v>40.0</v>
      </c>
      <c r="J74" s="1164">
        <v>10.1</v>
      </c>
      <c r="K74" s="1164">
        <v>-0.29</v>
      </c>
      <c r="L74" s="1164">
        <v>0.05</v>
      </c>
      <c r="M74" s="1164">
        <v>20.0</v>
      </c>
      <c r="N74" s="1165">
        <f t="shared" si="37"/>
        <v>29.30215</v>
      </c>
      <c r="O74" s="1165">
        <f t="shared" si="38"/>
        <v>45.8</v>
      </c>
      <c r="P74" s="1165">
        <f t="shared" si="34"/>
        <v>33.7</v>
      </c>
      <c r="Q74" s="1165">
        <f t="shared" si="35"/>
        <v>10.32725</v>
      </c>
      <c r="R74" s="1162"/>
      <c r="S74" s="1162"/>
      <c r="T74" s="1164">
        <v>19.1</v>
      </c>
      <c r="U74" s="1164">
        <v>1685.0</v>
      </c>
      <c r="V74" s="1164">
        <v>992.0</v>
      </c>
      <c r="W74" s="1164">
        <v>35.0</v>
      </c>
      <c r="X74" s="1166">
        <f>U74*V74/1000000</f>
        <v>1.67152</v>
      </c>
      <c r="Y74" s="1164">
        <v>19.0</v>
      </c>
      <c r="Z74" s="1162"/>
      <c r="AA74" s="1162"/>
      <c r="AB74" s="1167"/>
      <c r="AC74" s="1167"/>
      <c r="AD74" s="1167"/>
      <c r="AE74" s="1167"/>
    </row>
    <row r="75" ht="15.0" customHeight="1">
      <c r="A75" s="1161" t="s">
        <v>1809</v>
      </c>
      <c r="B75" s="1161" t="s">
        <v>1867</v>
      </c>
      <c r="C75" s="1162"/>
      <c r="D75" s="1163">
        <v>0.0</v>
      </c>
      <c r="E75" s="1162"/>
      <c r="F75" s="1164">
        <v>330.0</v>
      </c>
      <c r="G75" s="1164">
        <v>34.64</v>
      </c>
      <c r="H75" s="1164">
        <v>11.7</v>
      </c>
      <c r="I75" s="1164">
        <v>41.6</v>
      </c>
      <c r="J75" s="1164">
        <v>12.4</v>
      </c>
      <c r="K75" s="1164">
        <v>-0.25</v>
      </c>
      <c r="L75" s="1164">
        <v>0.04</v>
      </c>
      <c r="M75" s="1164">
        <v>20.0</v>
      </c>
      <c r="N75" s="1165">
        <f t="shared" si="37"/>
        <v>30.743</v>
      </c>
      <c r="O75" s="1165">
        <f t="shared" si="38"/>
        <v>46.8</v>
      </c>
      <c r="P75" s="1165">
        <f t="shared" si="34"/>
        <v>34.64</v>
      </c>
      <c r="Q75" s="1165">
        <f t="shared" si="35"/>
        <v>12.6232</v>
      </c>
      <c r="R75" s="1162"/>
      <c r="S75" s="1162"/>
      <c r="T75" s="1164">
        <v>21.1</v>
      </c>
      <c r="U75" s="1164">
        <v>1.754</v>
      </c>
      <c r="V75" s="1164">
        <v>1.096</v>
      </c>
      <c r="W75" s="1164">
        <v>0.03</v>
      </c>
      <c r="X75" s="1166">
        <f t="shared" ref="X75:X80" si="40">U75*V75</f>
        <v>1.922384</v>
      </c>
      <c r="Y75" s="1162"/>
      <c r="Z75" s="1162"/>
      <c r="AA75" s="1162"/>
      <c r="AB75" s="1167"/>
      <c r="AC75" s="1167"/>
      <c r="AD75" s="1167"/>
      <c r="AE75" s="1167"/>
    </row>
    <row r="76" ht="15.0" customHeight="1">
      <c r="A76" s="1161" t="s">
        <v>1809</v>
      </c>
      <c r="B76" s="1161" t="s">
        <v>1868</v>
      </c>
      <c r="C76" s="1162"/>
      <c r="D76" s="1163">
        <v>0.0</v>
      </c>
      <c r="E76" s="1162"/>
      <c r="F76" s="1164">
        <v>380.0</v>
      </c>
      <c r="G76" s="1164">
        <v>37.8</v>
      </c>
      <c r="H76" s="1164">
        <v>10.07</v>
      </c>
      <c r="I76" s="1164">
        <v>44.4</v>
      </c>
      <c r="J76" s="1164">
        <v>10.68</v>
      </c>
      <c r="K76" s="1164">
        <v>-0.29</v>
      </c>
      <c r="L76" s="1164">
        <v>0.05</v>
      </c>
      <c r="M76" s="1164">
        <v>20.0</v>
      </c>
      <c r="N76" s="1165">
        <f t="shared" si="37"/>
        <v>32.8671</v>
      </c>
      <c r="O76" s="1165">
        <f t="shared" si="38"/>
        <v>50.838</v>
      </c>
      <c r="P76" s="1165">
        <f t="shared" si="34"/>
        <v>37.8</v>
      </c>
      <c r="Q76" s="1165">
        <f t="shared" si="35"/>
        <v>10.9203</v>
      </c>
      <c r="R76" s="1162"/>
      <c r="S76" s="1162"/>
      <c r="T76" s="1162"/>
      <c r="U76" s="1164">
        <v>1.852</v>
      </c>
      <c r="V76" s="1164">
        <v>0.996</v>
      </c>
      <c r="W76" s="1164">
        <v>0.035</v>
      </c>
      <c r="X76" s="1166">
        <f t="shared" si="40"/>
        <v>1.844592</v>
      </c>
      <c r="Y76" s="1162"/>
      <c r="Z76" s="1162"/>
      <c r="AA76" s="1162"/>
      <c r="AB76" s="1167"/>
      <c r="AC76" s="1167"/>
      <c r="AD76" s="1167"/>
      <c r="AE76" s="1167"/>
    </row>
    <row r="77" ht="15.0" customHeight="1">
      <c r="A77" s="1161" t="s">
        <v>1809</v>
      </c>
      <c r="B77" s="1161" t="s">
        <v>1869</v>
      </c>
      <c r="C77" s="1162"/>
      <c r="D77" s="1163">
        <v>0.0</v>
      </c>
      <c r="E77" s="1162"/>
      <c r="F77" s="1164">
        <v>405.0</v>
      </c>
      <c r="G77" s="1164">
        <v>34.64</v>
      </c>
      <c r="H77" s="1164">
        <v>11.7</v>
      </c>
      <c r="I77" s="1164">
        <v>41.6</v>
      </c>
      <c r="J77" s="1164">
        <v>12.4</v>
      </c>
      <c r="K77" s="1164">
        <v>-0.25</v>
      </c>
      <c r="L77" s="1164">
        <v>0.04</v>
      </c>
      <c r="M77" s="1164">
        <v>20.0</v>
      </c>
      <c r="N77" s="1165">
        <f t="shared" si="37"/>
        <v>30.743</v>
      </c>
      <c r="O77" s="1165">
        <f t="shared" si="38"/>
        <v>46.8</v>
      </c>
      <c r="P77" s="1165">
        <f t="shared" si="34"/>
        <v>34.64</v>
      </c>
      <c r="Q77" s="1165">
        <f t="shared" si="35"/>
        <v>12.6232</v>
      </c>
      <c r="R77" s="1162"/>
      <c r="S77" s="1162"/>
      <c r="T77" s="1164">
        <v>21.1</v>
      </c>
      <c r="U77" s="1164">
        <v>1.754</v>
      </c>
      <c r="V77" s="1164">
        <v>1.096</v>
      </c>
      <c r="W77" s="1164">
        <v>0.03</v>
      </c>
      <c r="X77" s="1166">
        <f t="shared" si="40"/>
        <v>1.922384</v>
      </c>
      <c r="Y77" s="1162"/>
      <c r="Z77" s="1162"/>
      <c r="AA77" s="1162"/>
      <c r="AB77" s="1167"/>
      <c r="AC77" s="1167"/>
      <c r="AD77" s="1167"/>
      <c r="AE77" s="1167"/>
    </row>
    <row r="78" ht="15.0" customHeight="1">
      <c r="A78" s="1161" t="s">
        <v>1809</v>
      </c>
      <c r="B78" s="1161" t="s">
        <v>1870</v>
      </c>
      <c r="C78" s="1162"/>
      <c r="D78" s="1163">
        <v>0.0</v>
      </c>
      <c r="E78" s="1162"/>
      <c r="F78" s="1164">
        <v>450.0</v>
      </c>
      <c r="G78" s="1164">
        <v>44.0</v>
      </c>
      <c r="H78" s="1164">
        <v>10.24</v>
      </c>
      <c r="I78" s="1164">
        <v>52.82</v>
      </c>
      <c r="J78" s="1164">
        <v>10.84</v>
      </c>
      <c r="K78" s="1164">
        <v>-0.29</v>
      </c>
      <c r="L78" s="1164">
        <v>0.05</v>
      </c>
      <c r="M78" s="1164">
        <v>15.0</v>
      </c>
      <c r="N78" s="1165">
        <f t="shared" si="37"/>
        <v>38.258</v>
      </c>
      <c r="O78" s="1165">
        <f t="shared" si="38"/>
        <v>60.4789</v>
      </c>
      <c r="P78" s="1165">
        <f t="shared" si="34"/>
        <v>44</v>
      </c>
      <c r="Q78" s="1165">
        <f t="shared" si="35"/>
        <v>11.0839</v>
      </c>
      <c r="R78" s="1162"/>
      <c r="S78" s="1162"/>
      <c r="T78" s="1164">
        <v>21.0</v>
      </c>
      <c r="U78" s="1164">
        <v>2.178</v>
      </c>
      <c r="V78" s="1164">
        <v>0.996</v>
      </c>
      <c r="W78" s="1164">
        <v>0.035</v>
      </c>
      <c r="X78" s="1166">
        <f t="shared" si="40"/>
        <v>2.169288</v>
      </c>
      <c r="Y78" s="1162"/>
      <c r="Z78" s="1162"/>
      <c r="AA78" s="1162"/>
      <c r="AB78" s="1167"/>
      <c r="AC78" s="1167"/>
      <c r="AD78" s="1167"/>
      <c r="AE78" s="1167"/>
    </row>
    <row r="79" ht="15.0" customHeight="1">
      <c r="A79" s="1161" t="s">
        <v>1809</v>
      </c>
      <c r="B79" s="1161" t="s">
        <v>1871</v>
      </c>
      <c r="C79" s="1162"/>
      <c r="D79" s="1163">
        <v>0.0</v>
      </c>
      <c r="E79" s="1162"/>
      <c r="F79" s="1164">
        <v>450.0</v>
      </c>
      <c r="G79" s="1164">
        <v>41.3</v>
      </c>
      <c r="H79" s="1164">
        <v>10.9</v>
      </c>
      <c r="I79" s="1164">
        <v>49.7</v>
      </c>
      <c r="J79" s="1164">
        <v>11.5</v>
      </c>
      <c r="K79" s="1164">
        <v>-0.29</v>
      </c>
      <c r="L79" s="1164">
        <v>0.05</v>
      </c>
      <c r="M79" s="1164">
        <v>20.0</v>
      </c>
      <c r="N79" s="1165">
        <f t="shared" si="37"/>
        <v>35.91035</v>
      </c>
      <c r="O79" s="1165">
        <f t="shared" si="38"/>
        <v>56.9065</v>
      </c>
      <c r="P79" s="1165">
        <f t="shared" si="34"/>
        <v>41.3</v>
      </c>
      <c r="Q79" s="1165">
        <f t="shared" si="35"/>
        <v>11.75875</v>
      </c>
      <c r="R79" s="1162"/>
      <c r="S79" s="1162"/>
      <c r="T79" s="1164">
        <v>20.4</v>
      </c>
      <c r="U79" s="1164">
        <v>2.108</v>
      </c>
      <c r="V79" s="1164">
        <v>1.048</v>
      </c>
      <c r="W79" s="1164">
        <v>0.04</v>
      </c>
      <c r="X79" s="1166">
        <f t="shared" si="40"/>
        <v>2.209184</v>
      </c>
      <c r="Y79" s="1162"/>
      <c r="Z79" s="1162"/>
      <c r="AA79" s="1162"/>
      <c r="AB79" s="1167"/>
      <c r="AC79" s="1167"/>
      <c r="AD79" s="1167"/>
      <c r="AE79" s="1167"/>
    </row>
    <row r="80" ht="15.0" customHeight="1">
      <c r="A80" s="1161" t="s">
        <v>1809</v>
      </c>
      <c r="B80" s="1161" t="s">
        <v>1872</v>
      </c>
      <c r="C80" s="1162"/>
      <c r="D80" s="1163">
        <v>0.0</v>
      </c>
      <c r="E80" s="1162"/>
      <c r="F80" s="1164">
        <v>450.0</v>
      </c>
      <c r="G80" s="1164">
        <v>43.9</v>
      </c>
      <c r="H80" s="1164">
        <v>10.15</v>
      </c>
      <c r="I80" s="1164">
        <v>52.7</v>
      </c>
      <c r="J80" s="1164">
        <v>10.77</v>
      </c>
      <c r="K80" s="1164">
        <v>-0.29</v>
      </c>
      <c r="L80" s="1164">
        <v>0.05</v>
      </c>
      <c r="M80" s="1164">
        <v>20.0</v>
      </c>
      <c r="N80" s="1165">
        <f t="shared" si="37"/>
        <v>38.17105</v>
      </c>
      <c r="O80" s="1165">
        <f t="shared" si="38"/>
        <v>60.3415</v>
      </c>
      <c r="P80" s="1165">
        <f t="shared" si="34"/>
        <v>43.9</v>
      </c>
      <c r="Q80" s="1165">
        <f t="shared" si="35"/>
        <v>11.012325</v>
      </c>
      <c r="R80" s="1162"/>
      <c r="S80" s="1162"/>
      <c r="T80" s="1164">
        <v>20.5</v>
      </c>
      <c r="U80" s="1164">
        <v>2.178</v>
      </c>
      <c r="V80" s="1164">
        <v>0.996</v>
      </c>
      <c r="W80" s="1164">
        <v>0.04</v>
      </c>
      <c r="X80" s="1166">
        <f t="shared" si="40"/>
        <v>2.169288</v>
      </c>
      <c r="Y80" s="1162"/>
      <c r="Z80" s="1162"/>
      <c r="AA80" s="1162"/>
      <c r="AB80" s="1167"/>
      <c r="AC80" s="1167"/>
      <c r="AD80" s="1167"/>
      <c r="AE80" s="1167"/>
    </row>
    <row r="81" ht="15.0" customHeight="1">
      <c r="A81" s="1161" t="s">
        <v>1809</v>
      </c>
      <c r="B81" s="1161" t="s">
        <v>1873</v>
      </c>
      <c r="C81" s="1162"/>
      <c r="D81" s="1163">
        <v>0.0</v>
      </c>
      <c r="E81" s="1162"/>
      <c r="F81" s="1164">
        <v>450.0</v>
      </c>
      <c r="G81" s="1164">
        <v>41.3</v>
      </c>
      <c r="H81" s="1164">
        <v>10.9</v>
      </c>
      <c r="I81" s="1164">
        <v>49.7</v>
      </c>
      <c r="J81" s="1164">
        <v>11.5</v>
      </c>
      <c r="K81" s="1164">
        <v>-0.29</v>
      </c>
      <c r="L81" s="1164">
        <v>0.05</v>
      </c>
      <c r="M81" s="1164">
        <v>20.0</v>
      </c>
      <c r="N81" s="1165">
        <f t="shared" si="37"/>
        <v>35.91035</v>
      </c>
      <c r="O81" s="1165">
        <f t="shared" si="38"/>
        <v>56.9065</v>
      </c>
      <c r="P81" s="1165">
        <f t="shared" si="34"/>
        <v>41.3</v>
      </c>
      <c r="Q81" s="1165">
        <f t="shared" si="35"/>
        <v>11.75875</v>
      </c>
      <c r="R81" s="1162"/>
      <c r="S81" s="1162"/>
      <c r="T81" s="1164">
        <v>20.4</v>
      </c>
      <c r="U81" s="1164">
        <v>2108.0</v>
      </c>
      <c r="V81" s="1164">
        <v>1048.0</v>
      </c>
      <c r="W81" s="1164">
        <v>35.0</v>
      </c>
      <c r="X81" s="1169">
        <f>U81*V81/1000000</f>
        <v>2.209184</v>
      </c>
      <c r="Y81" s="1164">
        <v>25.0</v>
      </c>
      <c r="Z81" s="1162"/>
      <c r="AA81" s="1162"/>
      <c r="AB81" s="1167"/>
      <c r="AC81" s="1167"/>
      <c r="AD81" s="1167"/>
      <c r="AE81" s="1167"/>
    </row>
    <row r="82" ht="15.0" customHeight="1">
      <c r="A82" s="1161" t="s">
        <v>1809</v>
      </c>
      <c r="B82" s="1161" t="s">
        <v>1874</v>
      </c>
      <c r="C82" s="1162"/>
      <c r="D82" s="1163">
        <v>0.0</v>
      </c>
      <c r="E82" s="1162"/>
      <c r="F82" s="1164">
        <v>540.0</v>
      </c>
      <c r="G82" s="1164">
        <v>31.5</v>
      </c>
      <c r="H82" s="1164">
        <v>17.17</v>
      </c>
      <c r="I82" s="1164">
        <v>37.8</v>
      </c>
      <c r="J82" s="1164">
        <v>18.18</v>
      </c>
      <c r="K82" s="1164">
        <v>-0.25</v>
      </c>
      <c r="L82" s="1164">
        <v>0.04</v>
      </c>
      <c r="M82" s="1164">
        <v>30.0</v>
      </c>
      <c r="N82" s="1165">
        <f t="shared" si="37"/>
        <v>27.95625</v>
      </c>
      <c r="O82" s="1165">
        <f t="shared" si="38"/>
        <v>42.525</v>
      </c>
      <c r="P82" s="1165">
        <f t="shared" si="34"/>
        <v>31.5</v>
      </c>
      <c r="Q82" s="1165">
        <f t="shared" si="35"/>
        <v>18.50724</v>
      </c>
      <c r="R82" s="1162"/>
      <c r="S82" s="1162"/>
      <c r="T82" s="1164">
        <v>20.7</v>
      </c>
      <c r="U82" s="1164">
        <v>2.384</v>
      </c>
      <c r="V82" s="1164">
        <v>1.096</v>
      </c>
      <c r="W82" s="1164">
        <v>0.035</v>
      </c>
      <c r="X82" s="1166">
        <f t="shared" ref="X82:X84" si="41">U82*V82</f>
        <v>2.612864</v>
      </c>
      <c r="Y82" s="1162"/>
      <c r="Z82" s="1162"/>
      <c r="AA82" s="1162"/>
      <c r="AB82" s="1167"/>
      <c r="AC82" s="1167"/>
      <c r="AD82" s="1167"/>
      <c r="AE82" s="1167"/>
    </row>
    <row r="83" ht="15.0" customHeight="1">
      <c r="A83" s="1161" t="s">
        <v>1809</v>
      </c>
      <c r="B83" s="1161" t="s">
        <v>1875</v>
      </c>
      <c r="C83" s="1162"/>
      <c r="D83" s="1163">
        <v>0.0</v>
      </c>
      <c r="E83" s="1162"/>
      <c r="F83" s="1164">
        <v>545.0</v>
      </c>
      <c r="G83" s="1164">
        <v>31.66</v>
      </c>
      <c r="H83" s="1164">
        <v>17.22</v>
      </c>
      <c r="I83" s="1164">
        <v>38.2</v>
      </c>
      <c r="J83" s="1164">
        <v>18.23</v>
      </c>
      <c r="K83" s="1164">
        <v>-0.25</v>
      </c>
      <c r="L83" s="1164">
        <v>0.04</v>
      </c>
      <c r="M83" s="1164">
        <v>30.0</v>
      </c>
      <c r="N83" s="1165">
        <f t="shared" si="37"/>
        <v>28.09825</v>
      </c>
      <c r="O83" s="1165">
        <f t="shared" si="38"/>
        <v>42.975</v>
      </c>
      <c r="P83" s="1165">
        <f t="shared" si="34"/>
        <v>31.66</v>
      </c>
      <c r="Q83" s="1165">
        <f t="shared" si="35"/>
        <v>18.55814</v>
      </c>
      <c r="R83" s="1162"/>
      <c r="S83" s="1162"/>
      <c r="T83" s="1164">
        <v>20.9</v>
      </c>
      <c r="U83" s="1164">
        <v>2.384</v>
      </c>
      <c r="V83" s="1164">
        <v>1.096</v>
      </c>
      <c r="W83" s="1164">
        <v>0.035</v>
      </c>
      <c r="X83" s="1166">
        <f t="shared" si="41"/>
        <v>2.612864</v>
      </c>
      <c r="Y83" s="1162"/>
      <c r="Z83" s="1162"/>
      <c r="AA83" s="1162"/>
      <c r="AB83" s="1167"/>
      <c r="AC83" s="1167"/>
      <c r="AD83" s="1167"/>
      <c r="AE83" s="1167"/>
    </row>
    <row r="84" ht="15.0" customHeight="1">
      <c r="A84" s="1161" t="s">
        <v>1809</v>
      </c>
      <c r="B84" s="1161" t="s">
        <v>1876</v>
      </c>
      <c r="C84" s="1162"/>
      <c r="D84" s="1163">
        <v>0.0</v>
      </c>
      <c r="E84" s="1162"/>
      <c r="F84" s="1164">
        <v>595.0</v>
      </c>
      <c r="G84" s="1164">
        <v>34.5</v>
      </c>
      <c r="H84" s="1164">
        <v>17.25</v>
      </c>
      <c r="I84" s="1164">
        <v>41.4</v>
      </c>
      <c r="J84" s="1164">
        <v>18.26</v>
      </c>
      <c r="K84" s="1164">
        <v>-0.25</v>
      </c>
      <c r="L84" s="1164">
        <v>0.04</v>
      </c>
      <c r="M84" s="1164">
        <v>30.0</v>
      </c>
      <c r="N84" s="1165">
        <f t="shared" si="37"/>
        <v>30.61875</v>
      </c>
      <c r="O84" s="1165">
        <f t="shared" si="38"/>
        <v>46.575</v>
      </c>
      <c r="P84" s="1165">
        <f t="shared" si="34"/>
        <v>34.5</v>
      </c>
      <c r="Q84" s="1165">
        <f t="shared" si="35"/>
        <v>18.58868</v>
      </c>
      <c r="R84" s="1162"/>
      <c r="S84" s="1162"/>
      <c r="T84" s="1164">
        <v>21.0</v>
      </c>
      <c r="U84" s="1164">
        <v>2.172</v>
      </c>
      <c r="V84" s="1164">
        <v>1.303</v>
      </c>
      <c r="W84" s="1164">
        <v>0.035</v>
      </c>
      <c r="X84" s="1166">
        <f t="shared" si="41"/>
        <v>2.830116</v>
      </c>
      <c r="Y84" s="1162"/>
      <c r="Z84" s="1162"/>
      <c r="AA84" s="1162"/>
      <c r="AB84" s="1167"/>
      <c r="AC84" s="1167"/>
      <c r="AD84" s="1167"/>
      <c r="AE84" s="1167"/>
    </row>
    <row r="85" ht="15.0" customHeight="1">
      <c r="A85" s="1158"/>
      <c r="B85" s="1158"/>
      <c r="C85" s="1159"/>
      <c r="D85" s="1159"/>
      <c r="E85" s="1159"/>
      <c r="F85" s="1159"/>
      <c r="G85" s="1159"/>
      <c r="H85" s="1159"/>
      <c r="I85" s="1159"/>
      <c r="J85" s="1159"/>
      <c r="K85" s="1159"/>
      <c r="L85" s="1159"/>
      <c r="M85" s="1159"/>
      <c r="N85" s="1159"/>
      <c r="O85" s="1159"/>
      <c r="P85" s="1159"/>
      <c r="Q85" s="1159"/>
      <c r="R85" s="1159"/>
      <c r="S85" s="1159"/>
      <c r="T85" s="1159"/>
      <c r="U85" s="1159"/>
      <c r="V85" s="1159"/>
      <c r="W85" s="1159"/>
      <c r="X85" s="1159"/>
      <c r="Y85" s="1159"/>
      <c r="Z85" s="1159"/>
      <c r="AA85" s="1159"/>
      <c r="AB85" s="1160"/>
      <c r="AC85" s="1160"/>
      <c r="AD85" s="1160"/>
      <c r="AE85" s="1160"/>
    </row>
    <row r="86" ht="15.0" customHeight="1">
      <c r="A86" s="1188" t="s">
        <v>1809</v>
      </c>
      <c r="B86" s="1188" t="s">
        <v>1877</v>
      </c>
      <c r="C86" s="1189"/>
      <c r="D86" s="1190">
        <v>0.0</v>
      </c>
      <c r="E86" s="1189"/>
      <c r="F86" s="1191">
        <v>590.0</v>
      </c>
      <c r="G86" s="1191">
        <v>43.8</v>
      </c>
      <c r="H86" s="1191">
        <v>13.59</v>
      </c>
      <c r="I86" s="1191">
        <v>52.0</v>
      </c>
      <c r="J86" s="1191">
        <v>14.41</v>
      </c>
      <c r="K86" s="1191">
        <v>-0.23</v>
      </c>
      <c r="L86" s="1191">
        <v>0.045</v>
      </c>
      <c r="M86" s="1191">
        <v>30.0</v>
      </c>
      <c r="N86" s="1192">
        <f t="shared" ref="N86:N87" si="42">(1+($S$2-25)*(K86/100))*G86</f>
        <v>39.2667</v>
      </c>
      <c r="O86" s="1192">
        <f t="shared" ref="O86:O87" si="43">(1+($R$2-25)*(K86/100))*I86</f>
        <v>57.98</v>
      </c>
      <c r="P86" s="1192">
        <f t="shared" ref="P86:P87" si="44">G86</f>
        <v>43.8</v>
      </c>
      <c r="Q86" s="1192">
        <f t="shared" ref="Q86:Q87" si="45">J86*(1+($S$2-25)*(L86/100))</f>
        <v>14.7018025</v>
      </c>
      <c r="R86" s="1189"/>
      <c r="S86" s="1189"/>
      <c r="T86" s="1191">
        <v>23.0</v>
      </c>
      <c r="U86" s="1191">
        <v>2.278</v>
      </c>
      <c r="V86" s="1191">
        <v>1.134</v>
      </c>
      <c r="W86" s="1191">
        <v>0.03</v>
      </c>
      <c r="X86" s="1193">
        <f t="shared" ref="X86:X87" si="46">U86*V86</f>
        <v>2.583252</v>
      </c>
      <c r="Y86" s="1191">
        <v>31.5</v>
      </c>
      <c r="Z86" s="1189"/>
      <c r="AA86" s="1189"/>
      <c r="AB86" s="1194"/>
      <c r="AC86" s="1194"/>
      <c r="AD86" s="1194"/>
      <c r="AE86" s="1194"/>
    </row>
    <row r="87" ht="15.0" customHeight="1">
      <c r="A87" s="1188" t="s">
        <v>1878</v>
      </c>
      <c r="B87" s="1188" t="s">
        <v>1879</v>
      </c>
      <c r="C87" s="1189"/>
      <c r="D87" s="1190">
        <v>0.0</v>
      </c>
      <c r="E87" s="1189"/>
      <c r="F87" s="1191">
        <v>450.0</v>
      </c>
      <c r="G87" s="1191">
        <v>30.94</v>
      </c>
      <c r="H87" s="1191">
        <v>14.71</v>
      </c>
      <c r="I87" s="1191">
        <v>36.82</v>
      </c>
      <c r="J87" s="1191">
        <v>15.64</v>
      </c>
      <c r="K87" s="1191">
        <v>-0.24</v>
      </c>
      <c r="L87" s="1191">
        <v>0.04</v>
      </c>
      <c r="M87" s="1191">
        <v>30.0</v>
      </c>
      <c r="N87" s="1192">
        <f t="shared" si="42"/>
        <v>27.59848</v>
      </c>
      <c r="O87" s="1192">
        <f t="shared" si="43"/>
        <v>41.2384</v>
      </c>
      <c r="P87" s="1192">
        <f t="shared" si="44"/>
        <v>30.94</v>
      </c>
      <c r="Q87" s="1192">
        <f t="shared" si="45"/>
        <v>15.92152</v>
      </c>
      <c r="R87" s="1189"/>
      <c r="S87" s="1189"/>
      <c r="T87" s="1191">
        <v>23.02</v>
      </c>
      <c r="U87" s="1191">
        <v>1.762</v>
      </c>
      <c r="V87" s="1191">
        <v>1.134</v>
      </c>
      <c r="W87" s="1191">
        <v>0.03</v>
      </c>
      <c r="X87" s="1193">
        <f t="shared" si="46"/>
        <v>1.998108</v>
      </c>
      <c r="Y87" s="1191">
        <v>21.8</v>
      </c>
      <c r="Z87" s="1189"/>
      <c r="AA87" s="1189"/>
      <c r="AB87" s="1194"/>
      <c r="AC87" s="1194"/>
      <c r="AD87" s="1194"/>
      <c r="AE87" s="1194"/>
    </row>
    <row r="88" ht="15.0" customHeight="1">
      <c r="A88" s="1158"/>
      <c r="B88" s="1158"/>
      <c r="C88" s="1159"/>
      <c r="D88" s="1159"/>
      <c r="E88" s="1159"/>
      <c r="F88" s="1159"/>
      <c r="G88" s="1159"/>
      <c r="H88" s="1159"/>
      <c r="I88" s="1159"/>
      <c r="J88" s="1159"/>
      <c r="K88" s="1159"/>
      <c r="L88" s="1159"/>
      <c r="M88" s="1159"/>
      <c r="N88" s="1159"/>
      <c r="O88" s="1159"/>
      <c r="P88" s="1159"/>
      <c r="Q88" s="1159"/>
      <c r="R88" s="1159"/>
      <c r="S88" s="1159"/>
      <c r="T88" s="1159"/>
      <c r="U88" s="1159"/>
      <c r="V88" s="1159"/>
      <c r="W88" s="1159"/>
      <c r="X88" s="1159"/>
      <c r="Y88" s="1159"/>
      <c r="Z88" s="1159"/>
      <c r="AA88" s="1159"/>
      <c r="AB88" s="1160"/>
      <c r="AC88" s="1160"/>
      <c r="AD88" s="1160"/>
      <c r="AE88" s="1160"/>
    </row>
    <row r="89" ht="15.0" customHeight="1">
      <c r="A89" s="1195" t="s">
        <v>1809</v>
      </c>
      <c r="B89" s="1195" t="s">
        <v>1880</v>
      </c>
      <c r="C89" s="1196"/>
      <c r="D89" s="1190">
        <v>0.0</v>
      </c>
      <c r="E89" s="1196"/>
      <c r="F89" s="1197">
        <v>710.0</v>
      </c>
      <c r="G89" s="1197">
        <v>40.4</v>
      </c>
      <c r="H89" s="1197">
        <v>17.59</v>
      </c>
      <c r="I89" s="1197">
        <v>48.3</v>
      </c>
      <c r="J89" s="1197">
        <v>18.59</v>
      </c>
      <c r="K89" s="1197">
        <v>-0.229</v>
      </c>
      <c r="L89" s="1197">
        <v>0.05</v>
      </c>
      <c r="M89" s="1198">
        <v>35.0</v>
      </c>
      <c r="N89" s="1192">
        <f t="shared" ref="N89:N90" si="47">(1+($S$2-25)*(K89/100))*G89</f>
        <v>36.23678</v>
      </c>
      <c r="O89" s="1192">
        <f t="shared" ref="O89:O90" si="48">(1+($R$2-25)*(K89/100))*I89</f>
        <v>53.83035</v>
      </c>
      <c r="P89" s="1192">
        <f t="shared" ref="P89:P90" si="49">G89</f>
        <v>40.4</v>
      </c>
      <c r="Q89" s="1192">
        <f t="shared" ref="Q89:Q90" si="50">J89*(1+($S$2-25)*(L89/100))</f>
        <v>19.008275</v>
      </c>
      <c r="R89" s="1196"/>
      <c r="S89" s="1196"/>
      <c r="T89" s="1197">
        <v>23.2</v>
      </c>
      <c r="U89" s="1197">
        <v>2.384</v>
      </c>
      <c r="V89" s="1197">
        <v>1.303</v>
      </c>
      <c r="W89" s="1197">
        <v>0.03</v>
      </c>
      <c r="X89" s="1193">
        <f t="shared" ref="X89:X90" si="51">U89*V89</f>
        <v>3.106352</v>
      </c>
      <c r="Y89" s="1197">
        <v>36.7</v>
      </c>
      <c r="Z89" s="1196"/>
      <c r="AA89" s="1196"/>
      <c r="AB89" s="1199"/>
      <c r="AC89" s="1199"/>
      <c r="AD89" s="1199"/>
      <c r="AE89" s="1199"/>
    </row>
    <row r="90" ht="15.0" customHeight="1">
      <c r="A90" s="1200" t="s">
        <v>1809</v>
      </c>
      <c r="B90" s="1201" t="s">
        <v>1718</v>
      </c>
      <c r="C90" s="1202"/>
      <c r="D90" s="1203">
        <v>0.0</v>
      </c>
      <c r="E90" s="1202"/>
      <c r="F90" s="1204">
        <v>590.0</v>
      </c>
      <c r="G90" s="1204">
        <v>44.0</v>
      </c>
      <c r="H90" s="1204">
        <v>13.41</v>
      </c>
      <c r="I90" s="1204">
        <v>51.8</v>
      </c>
      <c r="J90" s="1204">
        <v>14.26</v>
      </c>
      <c r="K90" s="1204">
        <v>-0.25</v>
      </c>
      <c r="L90" s="1204">
        <v>0.046</v>
      </c>
      <c r="M90" s="1205">
        <v>30.0</v>
      </c>
      <c r="N90" s="1206">
        <f t="shared" si="47"/>
        <v>39.05</v>
      </c>
      <c r="O90" s="1206">
        <f t="shared" si="48"/>
        <v>58.275</v>
      </c>
      <c r="P90" s="1206">
        <f t="shared" si="49"/>
        <v>44</v>
      </c>
      <c r="Q90" s="1206">
        <f t="shared" si="50"/>
        <v>14.555182</v>
      </c>
      <c r="R90" s="1202"/>
      <c r="S90" s="1202"/>
      <c r="T90" s="1204">
        <v>22.84</v>
      </c>
      <c r="U90" s="1204">
        <v>2.278</v>
      </c>
      <c r="V90" s="1204">
        <v>1.133</v>
      </c>
      <c r="W90" s="1205">
        <v>0.03</v>
      </c>
      <c r="X90" s="1207">
        <f t="shared" si="51"/>
        <v>2.580974</v>
      </c>
      <c r="Y90" s="1204">
        <v>30.8</v>
      </c>
      <c r="Z90" s="1202"/>
      <c r="AA90" s="1202"/>
      <c r="AB90" s="1208"/>
      <c r="AC90" s="1208"/>
      <c r="AD90" s="1208"/>
      <c r="AE90" s="1208"/>
    </row>
    <row r="91" ht="15.0" customHeight="1">
      <c r="A91" s="1158"/>
      <c r="B91" s="1158"/>
      <c r="C91" s="1159"/>
      <c r="D91" s="1159"/>
      <c r="E91" s="1159"/>
      <c r="F91" s="1159"/>
      <c r="G91" s="1159"/>
      <c r="H91" s="1159"/>
      <c r="I91" s="1159"/>
      <c r="J91" s="1159"/>
      <c r="K91" s="1159"/>
      <c r="L91" s="1159"/>
      <c r="M91" s="1159"/>
      <c r="N91" s="1159"/>
      <c r="O91" s="1159"/>
      <c r="P91" s="1159"/>
      <c r="Q91" s="1159"/>
      <c r="R91" s="1159"/>
      <c r="S91" s="1159"/>
      <c r="T91" s="1159"/>
      <c r="U91" s="1159"/>
      <c r="V91" s="1159"/>
      <c r="W91" s="1159"/>
      <c r="X91" s="1159"/>
      <c r="Y91" s="1159"/>
      <c r="Z91" s="1159"/>
      <c r="AA91" s="1159"/>
      <c r="AB91" s="1160"/>
      <c r="AC91" s="1160"/>
      <c r="AD91" s="1160"/>
      <c r="AE91" s="1160"/>
    </row>
    <row r="92" ht="15.0" customHeight="1">
      <c r="A92" s="1158"/>
      <c r="B92" s="1158"/>
      <c r="C92" s="1159"/>
      <c r="D92" s="1159"/>
      <c r="E92" s="1159"/>
      <c r="F92" s="1159"/>
      <c r="G92" s="1159"/>
      <c r="H92" s="1159"/>
      <c r="I92" s="1159"/>
      <c r="J92" s="1159"/>
      <c r="K92" s="1159"/>
      <c r="L92" s="1159"/>
      <c r="M92" s="1159"/>
      <c r="N92" s="1159"/>
      <c r="O92" s="1159"/>
      <c r="P92" s="1159"/>
      <c r="Q92" s="1159"/>
      <c r="R92" s="1159"/>
      <c r="S92" s="1159"/>
      <c r="T92" s="1159"/>
      <c r="U92" s="1159"/>
      <c r="V92" s="1159"/>
      <c r="W92" s="1159"/>
      <c r="X92" s="1159"/>
      <c r="Y92" s="1159"/>
      <c r="Z92" s="1159"/>
      <c r="AA92" s="1159"/>
      <c r="AB92" s="1160"/>
      <c r="AC92" s="1160"/>
      <c r="AD92" s="1160"/>
      <c r="AE92" s="1160"/>
    </row>
    <row r="93" ht="15.0" customHeight="1">
      <c r="A93" s="1158"/>
      <c r="B93" s="1158"/>
      <c r="C93" s="1159"/>
      <c r="D93" s="1159"/>
      <c r="E93" s="1159"/>
      <c r="F93" s="1159"/>
      <c r="G93" s="1159"/>
      <c r="H93" s="1159"/>
      <c r="I93" s="1159"/>
      <c r="J93" s="1159"/>
      <c r="K93" s="1159"/>
      <c r="L93" s="1159"/>
      <c r="M93" s="1159"/>
      <c r="N93" s="1159"/>
      <c r="O93" s="1159"/>
      <c r="P93" s="1159"/>
      <c r="Q93" s="1159"/>
      <c r="R93" s="1159"/>
      <c r="S93" s="1159"/>
      <c r="T93" s="1159"/>
      <c r="U93" s="1159"/>
      <c r="V93" s="1159"/>
      <c r="W93" s="1159"/>
      <c r="X93" s="1159"/>
      <c r="Y93" s="1159"/>
      <c r="Z93" s="1159"/>
      <c r="AA93" s="1159"/>
      <c r="AB93" s="1160"/>
      <c r="AC93" s="1160"/>
      <c r="AD93" s="1160"/>
      <c r="AE93" s="1160"/>
    </row>
    <row r="94" ht="15.0" customHeight="1">
      <c r="A94" s="1158"/>
      <c r="B94" s="1158"/>
      <c r="C94" s="1159"/>
      <c r="D94" s="1159"/>
      <c r="E94" s="1159"/>
      <c r="F94" s="1159"/>
      <c r="G94" s="1159"/>
      <c r="H94" s="1159"/>
      <c r="I94" s="1159"/>
      <c r="J94" s="1159"/>
      <c r="K94" s="1159"/>
      <c r="L94" s="1159"/>
      <c r="M94" s="1159"/>
      <c r="N94" s="1159"/>
      <c r="O94" s="1159"/>
      <c r="P94" s="1159"/>
      <c r="Q94" s="1159"/>
      <c r="R94" s="1159"/>
      <c r="S94" s="1159"/>
      <c r="T94" s="1159"/>
      <c r="U94" s="1159"/>
      <c r="V94" s="1159"/>
      <c r="W94" s="1159"/>
      <c r="X94" s="1159"/>
      <c r="Y94" s="1159"/>
      <c r="Z94" s="1159"/>
      <c r="AA94" s="1159"/>
      <c r="AB94" s="1160"/>
      <c r="AC94" s="1160"/>
      <c r="AD94" s="1160"/>
      <c r="AE94" s="1160"/>
    </row>
    <row r="95" ht="15.0" customHeight="1">
      <c r="A95" s="1158"/>
      <c r="B95" s="1158"/>
      <c r="C95" s="1159"/>
      <c r="D95" s="1159"/>
      <c r="E95" s="1159"/>
      <c r="F95" s="1159"/>
      <c r="G95" s="1159"/>
      <c r="H95" s="1159"/>
      <c r="I95" s="1159"/>
      <c r="J95" s="1159"/>
      <c r="K95" s="1159"/>
      <c r="L95" s="1159"/>
      <c r="M95" s="1159"/>
      <c r="N95" s="1159"/>
      <c r="O95" s="1159"/>
      <c r="P95" s="1159"/>
      <c r="Q95" s="1159"/>
      <c r="R95" s="1159"/>
      <c r="S95" s="1159"/>
      <c r="T95" s="1159"/>
      <c r="U95" s="1159"/>
      <c r="V95" s="1159"/>
      <c r="W95" s="1159"/>
      <c r="X95" s="1159"/>
      <c r="Y95" s="1159"/>
      <c r="Z95" s="1159"/>
      <c r="AA95" s="1159"/>
      <c r="AB95" s="1160"/>
      <c r="AC95" s="1160"/>
      <c r="AD95" s="1160"/>
      <c r="AE95" s="1160"/>
    </row>
    <row r="96" ht="15.0" customHeight="1">
      <c r="A96" s="1158"/>
      <c r="B96" s="1158"/>
      <c r="C96" s="1159"/>
      <c r="D96" s="1159"/>
      <c r="E96" s="1159"/>
      <c r="F96" s="1159"/>
      <c r="G96" s="1159"/>
      <c r="H96" s="1159"/>
      <c r="I96" s="1159"/>
      <c r="J96" s="1159"/>
      <c r="K96" s="1159"/>
      <c r="L96" s="1159"/>
      <c r="M96" s="1159"/>
      <c r="N96" s="1159"/>
      <c r="O96" s="1159"/>
      <c r="P96" s="1159"/>
      <c r="Q96" s="1159"/>
      <c r="R96" s="1159"/>
      <c r="S96" s="1159"/>
      <c r="T96" s="1159"/>
      <c r="U96" s="1159"/>
      <c r="V96" s="1159"/>
      <c r="W96" s="1159"/>
      <c r="X96" s="1159"/>
      <c r="Y96" s="1159"/>
      <c r="Z96" s="1159"/>
      <c r="AA96" s="1159"/>
      <c r="AB96" s="1160"/>
      <c r="AC96" s="1160"/>
      <c r="AD96" s="1160"/>
      <c r="AE96" s="1160"/>
    </row>
    <row r="97" ht="15.0" customHeight="1">
      <c r="A97" s="1158"/>
      <c r="B97" s="1158"/>
      <c r="C97" s="1159"/>
      <c r="D97" s="1159"/>
      <c r="E97" s="1159"/>
      <c r="F97" s="1159"/>
      <c r="G97" s="1159"/>
      <c r="H97" s="1159"/>
      <c r="I97" s="1159"/>
      <c r="J97" s="1159"/>
      <c r="K97" s="1159"/>
      <c r="L97" s="1159"/>
      <c r="M97" s="1159"/>
      <c r="N97" s="1159"/>
      <c r="O97" s="1159"/>
      <c r="P97" s="1159"/>
      <c r="Q97" s="1159"/>
      <c r="R97" s="1159"/>
      <c r="S97" s="1159"/>
      <c r="T97" s="1159"/>
      <c r="U97" s="1159"/>
      <c r="V97" s="1159"/>
      <c r="W97" s="1159"/>
      <c r="X97" s="1159"/>
      <c r="Y97" s="1159"/>
      <c r="Z97" s="1159"/>
      <c r="AA97" s="1159"/>
      <c r="AB97" s="1160"/>
      <c r="AC97" s="1160"/>
      <c r="AD97" s="1160"/>
      <c r="AE97" s="1160"/>
    </row>
    <row r="98" ht="15.0" customHeight="1">
      <c r="A98" s="1158"/>
      <c r="B98" s="1158"/>
      <c r="C98" s="1159"/>
      <c r="D98" s="1159"/>
      <c r="E98" s="1159"/>
      <c r="F98" s="1159"/>
      <c r="G98" s="1159"/>
      <c r="H98" s="1159"/>
      <c r="I98" s="1159"/>
      <c r="J98" s="1159"/>
      <c r="K98" s="1159"/>
      <c r="L98" s="1159"/>
      <c r="M98" s="1159"/>
      <c r="N98" s="1159"/>
      <c r="O98" s="1159"/>
      <c r="P98" s="1159"/>
      <c r="Q98" s="1159"/>
      <c r="R98" s="1159"/>
      <c r="S98" s="1159"/>
      <c r="T98" s="1159"/>
      <c r="U98" s="1159"/>
      <c r="V98" s="1159"/>
      <c r="W98" s="1159"/>
      <c r="X98" s="1159"/>
      <c r="Y98" s="1159"/>
      <c r="Z98" s="1159"/>
      <c r="AA98" s="1159"/>
      <c r="AB98" s="1160"/>
      <c r="AC98" s="1160"/>
      <c r="AD98" s="1160"/>
      <c r="AE98" s="1160"/>
    </row>
    <row r="99" ht="15.0" customHeight="1">
      <c r="A99" s="1158"/>
      <c r="B99" s="1158"/>
      <c r="C99" s="1159"/>
      <c r="D99" s="1159"/>
      <c r="E99" s="1159"/>
      <c r="F99" s="1159"/>
      <c r="G99" s="1159"/>
      <c r="H99" s="1159"/>
      <c r="I99" s="1159"/>
      <c r="J99" s="1159"/>
      <c r="K99" s="1159"/>
      <c r="L99" s="1159"/>
      <c r="M99" s="1159"/>
      <c r="N99" s="1159"/>
      <c r="O99" s="1159"/>
      <c r="P99" s="1159"/>
      <c r="Q99" s="1159"/>
      <c r="R99" s="1159"/>
      <c r="S99" s="1159"/>
      <c r="T99" s="1159"/>
      <c r="U99" s="1159"/>
      <c r="V99" s="1159"/>
      <c r="W99" s="1159"/>
      <c r="X99" s="1159"/>
      <c r="Y99" s="1159"/>
      <c r="Z99" s="1159"/>
      <c r="AA99" s="1159"/>
      <c r="AB99" s="1160"/>
      <c r="AC99" s="1160"/>
      <c r="AD99" s="1160"/>
      <c r="AE99" s="1160"/>
    </row>
    <row r="100" ht="15.0" customHeight="1">
      <c r="A100" s="1158"/>
      <c r="B100" s="1158"/>
      <c r="C100" s="1159"/>
      <c r="D100" s="1159"/>
      <c r="E100" s="1159"/>
      <c r="F100" s="1159"/>
      <c r="G100" s="1159"/>
      <c r="H100" s="1159"/>
      <c r="I100" s="1159"/>
      <c r="J100" s="1159"/>
      <c r="K100" s="1159"/>
      <c r="L100" s="1159"/>
      <c r="M100" s="1159"/>
      <c r="N100" s="1159"/>
      <c r="O100" s="1159"/>
      <c r="P100" s="1159"/>
      <c r="Q100" s="1159"/>
      <c r="R100" s="1159"/>
      <c r="S100" s="1159"/>
      <c r="T100" s="1159"/>
      <c r="U100" s="1159"/>
      <c r="V100" s="1159"/>
      <c r="W100" s="1159"/>
      <c r="X100" s="1159"/>
      <c r="Y100" s="1159"/>
      <c r="Z100" s="1159"/>
      <c r="AA100" s="1159"/>
      <c r="AB100" s="1160"/>
      <c r="AC100" s="1160"/>
      <c r="AD100" s="1160"/>
      <c r="AE100" s="1160"/>
    </row>
    <row r="101" ht="15.0" customHeight="1">
      <c r="A101" s="1158"/>
      <c r="B101" s="1158"/>
      <c r="C101" s="1159"/>
      <c r="D101" s="1159"/>
      <c r="E101" s="1159"/>
      <c r="F101" s="1159"/>
      <c r="G101" s="1159"/>
      <c r="H101" s="1159"/>
      <c r="I101" s="1159"/>
      <c r="J101" s="1159"/>
      <c r="K101" s="1159"/>
      <c r="L101" s="1159"/>
      <c r="M101" s="1159"/>
      <c r="N101" s="1159"/>
      <c r="O101" s="1159"/>
      <c r="P101" s="1159"/>
      <c r="Q101" s="1159"/>
      <c r="R101" s="1159"/>
      <c r="S101" s="1159"/>
      <c r="T101" s="1159"/>
      <c r="U101" s="1159"/>
      <c r="V101" s="1159"/>
      <c r="W101" s="1159"/>
      <c r="X101" s="1159"/>
      <c r="Y101" s="1159"/>
      <c r="Z101" s="1159"/>
      <c r="AA101" s="1159"/>
      <c r="AB101" s="1160"/>
      <c r="AC101" s="1160"/>
      <c r="AD101" s="1160"/>
      <c r="AE101" s="1160"/>
    </row>
    <row r="102" ht="15.0" customHeight="1">
      <c r="A102" s="1158"/>
      <c r="B102" s="1158"/>
      <c r="C102" s="1159"/>
      <c r="D102" s="1159"/>
      <c r="E102" s="1159"/>
      <c r="F102" s="1159"/>
      <c r="G102" s="1159"/>
      <c r="H102" s="1159"/>
      <c r="I102" s="1159"/>
      <c r="J102" s="1159"/>
      <c r="K102" s="1159"/>
      <c r="L102" s="1159"/>
      <c r="M102" s="1159"/>
      <c r="N102" s="1159"/>
      <c r="O102" s="1159"/>
      <c r="P102" s="1159"/>
      <c r="Q102" s="1159"/>
      <c r="R102" s="1159"/>
      <c r="S102" s="1159"/>
      <c r="T102" s="1159"/>
      <c r="U102" s="1159"/>
      <c r="V102" s="1159"/>
      <c r="W102" s="1159"/>
      <c r="X102" s="1159"/>
      <c r="Y102" s="1159"/>
      <c r="Z102" s="1159"/>
      <c r="AA102" s="1159"/>
      <c r="AB102" s="1160"/>
      <c r="AC102" s="1160"/>
      <c r="AD102" s="1160"/>
      <c r="AE102" s="1160"/>
    </row>
    <row r="103" ht="15.0" customHeight="1">
      <c r="A103" s="1158"/>
      <c r="B103" s="1158"/>
      <c r="C103" s="1159"/>
      <c r="D103" s="1159"/>
      <c r="E103" s="1159"/>
      <c r="F103" s="1159"/>
      <c r="G103" s="1159"/>
      <c r="H103" s="1159"/>
      <c r="I103" s="1159"/>
      <c r="J103" s="1159"/>
      <c r="K103" s="1159"/>
      <c r="L103" s="1159"/>
      <c r="M103" s="1159"/>
      <c r="N103" s="1159"/>
      <c r="O103" s="1159"/>
      <c r="P103" s="1159"/>
      <c r="Q103" s="1159"/>
      <c r="R103" s="1159"/>
      <c r="S103" s="1159"/>
      <c r="T103" s="1159"/>
      <c r="U103" s="1159"/>
      <c r="V103" s="1159"/>
      <c r="W103" s="1159"/>
      <c r="X103" s="1159"/>
      <c r="Y103" s="1159"/>
      <c r="Z103" s="1159"/>
      <c r="AA103" s="1159"/>
      <c r="AB103" s="1160"/>
      <c r="AC103" s="1160"/>
      <c r="AD103" s="1160"/>
      <c r="AE103" s="1160"/>
    </row>
    <row r="104" ht="15.0" customHeight="1">
      <c r="A104" s="1158"/>
      <c r="B104" s="1158"/>
      <c r="C104" s="1159"/>
      <c r="D104" s="1159"/>
      <c r="E104" s="1159"/>
      <c r="F104" s="1159"/>
      <c r="G104" s="1159"/>
      <c r="H104" s="1159"/>
      <c r="I104" s="1159"/>
      <c r="J104" s="1159"/>
      <c r="K104" s="1159"/>
      <c r="L104" s="1159"/>
      <c r="M104" s="1159"/>
      <c r="N104" s="1159"/>
      <c r="O104" s="1159"/>
      <c r="P104" s="1159"/>
      <c r="Q104" s="1159"/>
      <c r="R104" s="1159"/>
      <c r="S104" s="1159"/>
      <c r="T104" s="1159"/>
      <c r="U104" s="1159"/>
      <c r="V104" s="1159"/>
      <c r="W104" s="1159"/>
      <c r="X104" s="1159"/>
      <c r="Y104" s="1159"/>
      <c r="Z104" s="1159"/>
      <c r="AA104" s="1159"/>
      <c r="AB104" s="1160"/>
      <c r="AC104" s="1160"/>
      <c r="AD104" s="1160"/>
      <c r="AE104" s="1160"/>
    </row>
    <row r="105" ht="15.0" customHeight="1">
      <c r="A105" s="1158"/>
      <c r="B105" s="1158"/>
      <c r="C105" s="1159"/>
      <c r="D105" s="1159"/>
      <c r="E105" s="1159"/>
      <c r="F105" s="1159"/>
      <c r="G105" s="1159"/>
      <c r="H105" s="1159"/>
      <c r="I105" s="1159"/>
      <c r="J105" s="1159"/>
      <c r="K105" s="1159"/>
      <c r="L105" s="1159"/>
      <c r="M105" s="1159"/>
      <c r="N105" s="1159"/>
      <c r="O105" s="1159"/>
      <c r="P105" s="1159"/>
      <c r="Q105" s="1159"/>
      <c r="R105" s="1159"/>
      <c r="S105" s="1159"/>
      <c r="T105" s="1159"/>
      <c r="U105" s="1159"/>
      <c r="V105" s="1159"/>
      <c r="W105" s="1159"/>
      <c r="X105" s="1159"/>
      <c r="Y105" s="1159"/>
      <c r="Z105" s="1159"/>
      <c r="AA105" s="1159"/>
      <c r="AB105" s="1160"/>
      <c r="AC105" s="1160"/>
      <c r="AD105" s="1160"/>
      <c r="AE105" s="1160"/>
    </row>
    <row r="106" ht="15.0" customHeight="1">
      <c r="A106" s="1158"/>
      <c r="B106" s="1158"/>
      <c r="C106" s="1159"/>
      <c r="D106" s="1159"/>
      <c r="E106" s="1159"/>
      <c r="F106" s="1159"/>
      <c r="G106" s="1159"/>
      <c r="H106" s="1159"/>
      <c r="I106" s="1159"/>
      <c r="J106" s="1159"/>
      <c r="K106" s="1159"/>
      <c r="L106" s="1159"/>
      <c r="M106" s="1159"/>
      <c r="N106" s="1159"/>
      <c r="O106" s="1159"/>
      <c r="P106" s="1159"/>
      <c r="Q106" s="1159"/>
      <c r="R106" s="1159"/>
      <c r="S106" s="1159"/>
      <c r="T106" s="1159"/>
      <c r="U106" s="1159"/>
      <c r="V106" s="1159"/>
      <c r="W106" s="1159"/>
      <c r="X106" s="1159"/>
      <c r="Y106" s="1159"/>
      <c r="Z106" s="1159"/>
      <c r="AA106" s="1159"/>
      <c r="AB106" s="1160"/>
      <c r="AC106" s="1160"/>
      <c r="AD106" s="1160"/>
      <c r="AE106" s="1160"/>
    </row>
    <row r="107" ht="15.0" customHeight="1">
      <c r="A107" s="1158"/>
      <c r="B107" s="1158"/>
      <c r="C107" s="1159"/>
      <c r="D107" s="1159"/>
      <c r="E107" s="1159"/>
      <c r="F107" s="1159"/>
      <c r="G107" s="1159"/>
      <c r="H107" s="1159"/>
      <c r="I107" s="1159"/>
      <c r="J107" s="1159"/>
      <c r="K107" s="1159"/>
      <c r="L107" s="1159"/>
      <c r="M107" s="1159"/>
      <c r="N107" s="1159"/>
      <c r="O107" s="1159"/>
      <c r="P107" s="1159"/>
      <c r="Q107" s="1159"/>
      <c r="R107" s="1159"/>
      <c r="S107" s="1159"/>
      <c r="T107" s="1159"/>
      <c r="U107" s="1159"/>
      <c r="V107" s="1159"/>
      <c r="W107" s="1159"/>
      <c r="X107" s="1159"/>
      <c r="Y107" s="1159"/>
      <c r="Z107" s="1159"/>
      <c r="AA107" s="1159"/>
      <c r="AB107" s="1160"/>
      <c r="AC107" s="1160"/>
      <c r="AD107" s="1160"/>
      <c r="AE107" s="1160"/>
    </row>
    <row r="108" ht="15.0" customHeight="1">
      <c r="A108" s="1158"/>
      <c r="B108" s="1158"/>
      <c r="C108" s="1159"/>
      <c r="D108" s="1159"/>
      <c r="E108" s="1159"/>
      <c r="F108" s="1159"/>
      <c r="G108" s="1159"/>
      <c r="H108" s="1159"/>
      <c r="I108" s="1159"/>
      <c r="J108" s="1159"/>
      <c r="K108" s="1159"/>
      <c r="L108" s="1159"/>
      <c r="M108" s="1159"/>
      <c r="N108" s="1159"/>
      <c r="O108" s="1159"/>
      <c r="P108" s="1159"/>
      <c r="Q108" s="1159"/>
      <c r="R108" s="1159"/>
      <c r="S108" s="1159"/>
      <c r="T108" s="1159"/>
      <c r="U108" s="1159"/>
      <c r="V108" s="1159"/>
      <c r="W108" s="1159"/>
      <c r="X108" s="1159"/>
      <c r="Y108" s="1159"/>
      <c r="Z108" s="1159"/>
      <c r="AA108" s="1159"/>
      <c r="AB108" s="1160"/>
      <c r="AC108" s="1160"/>
      <c r="AD108" s="1160"/>
      <c r="AE108" s="1160"/>
    </row>
    <row r="109" ht="15.0" customHeight="1">
      <c r="A109" s="1158"/>
      <c r="B109" s="1158"/>
      <c r="C109" s="1159"/>
      <c r="D109" s="1159"/>
      <c r="E109" s="1159"/>
      <c r="F109" s="1159"/>
      <c r="G109" s="1159"/>
      <c r="H109" s="1159"/>
      <c r="I109" s="1159"/>
      <c r="J109" s="1159"/>
      <c r="K109" s="1159"/>
      <c r="L109" s="1159"/>
      <c r="M109" s="1159"/>
      <c r="N109" s="1159"/>
      <c r="O109" s="1159"/>
      <c r="P109" s="1159"/>
      <c r="Q109" s="1159"/>
      <c r="R109" s="1159"/>
      <c r="S109" s="1159"/>
      <c r="T109" s="1159"/>
      <c r="U109" s="1159"/>
      <c r="V109" s="1159"/>
      <c r="W109" s="1159"/>
      <c r="X109" s="1159"/>
      <c r="Y109" s="1159"/>
      <c r="Z109" s="1159"/>
      <c r="AA109" s="1159"/>
      <c r="AB109" s="1160"/>
      <c r="AC109" s="1160"/>
      <c r="AD109" s="1160"/>
      <c r="AE109" s="1160"/>
    </row>
    <row r="110" ht="15.0" customHeight="1">
      <c r="A110" s="1158"/>
      <c r="B110" s="1158"/>
      <c r="C110" s="1159"/>
      <c r="D110" s="1159"/>
      <c r="E110" s="1159"/>
      <c r="F110" s="1159"/>
      <c r="G110" s="1159"/>
      <c r="H110" s="1159"/>
      <c r="I110" s="1159"/>
      <c r="J110" s="1159"/>
      <c r="K110" s="1159"/>
      <c r="L110" s="1159"/>
      <c r="M110" s="1159"/>
      <c r="N110" s="1159"/>
      <c r="O110" s="1159"/>
      <c r="P110" s="1159"/>
      <c r="Q110" s="1159"/>
      <c r="R110" s="1159"/>
      <c r="S110" s="1159"/>
      <c r="T110" s="1159"/>
      <c r="U110" s="1159"/>
      <c r="V110" s="1159"/>
      <c r="W110" s="1159"/>
      <c r="X110" s="1159"/>
      <c r="Y110" s="1159"/>
      <c r="Z110" s="1159"/>
      <c r="AA110" s="1159"/>
      <c r="AB110" s="1160"/>
      <c r="AC110" s="1160"/>
      <c r="AD110" s="1160"/>
      <c r="AE110" s="1160"/>
    </row>
    <row r="111" ht="15.0" customHeight="1">
      <c r="A111" s="1158"/>
      <c r="B111" s="1158"/>
      <c r="C111" s="1159"/>
      <c r="D111" s="1159"/>
      <c r="E111" s="1159"/>
      <c r="F111" s="1159"/>
      <c r="G111" s="1159"/>
      <c r="H111" s="1159"/>
      <c r="I111" s="1159"/>
      <c r="J111" s="1159"/>
      <c r="K111" s="1159"/>
      <c r="L111" s="1159"/>
      <c r="M111" s="1159"/>
      <c r="N111" s="1159"/>
      <c r="O111" s="1159"/>
      <c r="P111" s="1159"/>
      <c r="Q111" s="1159"/>
      <c r="R111" s="1159"/>
      <c r="S111" s="1159"/>
      <c r="T111" s="1159"/>
      <c r="U111" s="1159"/>
      <c r="V111" s="1159"/>
      <c r="W111" s="1159"/>
      <c r="X111" s="1159"/>
      <c r="Y111" s="1159"/>
      <c r="Z111" s="1159"/>
      <c r="AA111" s="1159"/>
      <c r="AB111" s="1160"/>
      <c r="AC111" s="1160"/>
      <c r="AD111" s="1160"/>
      <c r="AE111" s="1160"/>
    </row>
    <row r="112" ht="15.0" customHeight="1">
      <c r="A112" s="1158"/>
      <c r="B112" s="1158"/>
      <c r="C112" s="1159"/>
      <c r="D112" s="1159"/>
      <c r="E112" s="1159"/>
      <c r="F112" s="1159"/>
      <c r="G112" s="1159"/>
      <c r="H112" s="1159"/>
      <c r="I112" s="1159"/>
      <c r="J112" s="1159"/>
      <c r="K112" s="1159"/>
      <c r="L112" s="1159"/>
      <c r="M112" s="1159"/>
      <c r="N112" s="1159"/>
      <c r="O112" s="1159"/>
      <c r="P112" s="1159"/>
      <c r="Q112" s="1159"/>
      <c r="R112" s="1159"/>
      <c r="S112" s="1159"/>
      <c r="T112" s="1159"/>
      <c r="U112" s="1159"/>
      <c r="V112" s="1159"/>
      <c r="W112" s="1159"/>
      <c r="X112" s="1159"/>
      <c r="Y112" s="1159"/>
      <c r="Z112" s="1159"/>
      <c r="AA112" s="1159"/>
      <c r="AB112" s="1160"/>
      <c r="AC112" s="1160"/>
      <c r="AD112" s="1160"/>
      <c r="AE112" s="1160"/>
    </row>
    <row r="113" ht="15.0" customHeight="1">
      <c r="A113" s="1158"/>
      <c r="B113" s="1158"/>
      <c r="C113" s="1159"/>
      <c r="D113" s="1159"/>
      <c r="E113" s="1159"/>
      <c r="F113" s="1159"/>
      <c r="G113" s="1159"/>
      <c r="H113" s="1159"/>
      <c r="I113" s="1159"/>
      <c r="J113" s="1159"/>
      <c r="K113" s="1159"/>
      <c r="L113" s="1159"/>
      <c r="M113" s="1159"/>
      <c r="N113" s="1159"/>
      <c r="O113" s="1159"/>
      <c r="P113" s="1159"/>
      <c r="Q113" s="1159"/>
      <c r="R113" s="1159"/>
      <c r="S113" s="1159"/>
      <c r="T113" s="1159"/>
      <c r="U113" s="1159"/>
      <c r="V113" s="1159"/>
      <c r="W113" s="1159"/>
      <c r="X113" s="1159"/>
      <c r="Y113" s="1159"/>
      <c r="Z113" s="1159"/>
      <c r="AA113" s="1159"/>
      <c r="AB113" s="1160"/>
      <c r="AC113" s="1160"/>
      <c r="AD113" s="1160"/>
      <c r="AE113" s="1160"/>
    </row>
    <row r="114" ht="15.0" customHeight="1">
      <c r="A114" s="1158"/>
      <c r="B114" s="1158"/>
      <c r="C114" s="1159"/>
      <c r="D114" s="1159"/>
      <c r="E114" s="1159"/>
      <c r="F114" s="1159"/>
      <c r="G114" s="1159"/>
      <c r="H114" s="1159"/>
      <c r="I114" s="1159"/>
      <c r="J114" s="1159"/>
      <c r="K114" s="1159"/>
      <c r="L114" s="1159"/>
      <c r="M114" s="1159"/>
      <c r="N114" s="1159"/>
      <c r="O114" s="1159"/>
      <c r="P114" s="1159"/>
      <c r="Q114" s="1159"/>
      <c r="R114" s="1159"/>
      <c r="S114" s="1159"/>
      <c r="T114" s="1159"/>
      <c r="U114" s="1159"/>
      <c r="V114" s="1159"/>
      <c r="W114" s="1159"/>
      <c r="X114" s="1159"/>
      <c r="Y114" s="1159"/>
      <c r="Z114" s="1159"/>
      <c r="AA114" s="1159"/>
      <c r="AB114" s="1160"/>
      <c r="AC114" s="1160"/>
      <c r="AD114" s="1160"/>
      <c r="AE114" s="1160"/>
    </row>
    <row r="115" ht="15.0" customHeight="1">
      <c r="A115" s="1158"/>
      <c r="B115" s="1158"/>
      <c r="C115" s="1159"/>
      <c r="D115" s="1159"/>
      <c r="E115" s="1159"/>
      <c r="F115" s="1159"/>
      <c r="G115" s="1159"/>
      <c r="H115" s="1159"/>
      <c r="I115" s="1159"/>
      <c r="J115" s="1159"/>
      <c r="K115" s="1159"/>
      <c r="L115" s="1159"/>
      <c r="M115" s="1159"/>
      <c r="N115" s="1159"/>
      <c r="O115" s="1159"/>
      <c r="P115" s="1159"/>
      <c r="Q115" s="1159"/>
      <c r="R115" s="1159"/>
      <c r="S115" s="1159"/>
      <c r="T115" s="1159"/>
      <c r="U115" s="1159"/>
      <c r="V115" s="1159"/>
      <c r="W115" s="1159"/>
      <c r="X115" s="1159"/>
      <c r="Y115" s="1159"/>
      <c r="Z115" s="1159"/>
      <c r="AA115" s="1159"/>
      <c r="AB115" s="1160"/>
      <c r="AC115" s="1160"/>
      <c r="AD115" s="1160"/>
      <c r="AE115" s="1160"/>
    </row>
    <row r="116" ht="15.0" customHeight="1">
      <c r="A116" s="1158"/>
      <c r="B116" s="1158"/>
      <c r="C116" s="1159"/>
      <c r="D116" s="1159"/>
      <c r="E116" s="1159"/>
      <c r="F116" s="1159"/>
      <c r="G116" s="1159"/>
      <c r="H116" s="1159"/>
      <c r="I116" s="1159"/>
      <c r="J116" s="1159"/>
      <c r="K116" s="1159"/>
      <c r="L116" s="1159"/>
      <c r="M116" s="1159"/>
      <c r="N116" s="1159"/>
      <c r="O116" s="1159"/>
      <c r="P116" s="1159"/>
      <c r="Q116" s="1159"/>
      <c r="R116" s="1159"/>
      <c r="S116" s="1159"/>
      <c r="T116" s="1159"/>
      <c r="U116" s="1159"/>
      <c r="V116" s="1159"/>
      <c r="W116" s="1159"/>
      <c r="X116" s="1159"/>
      <c r="Y116" s="1159"/>
      <c r="Z116" s="1159"/>
      <c r="AA116" s="1159"/>
      <c r="AB116" s="1160"/>
      <c r="AC116" s="1160"/>
      <c r="AD116" s="1160"/>
      <c r="AE116" s="1160"/>
    </row>
    <row r="117" ht="15.0" customHeight="1">
      <c r="A117" s="1158"/>
      <c r="B117" s="1158"/>
      <c r="C117" s="1159"/>
      <c r="D117" s="1159"/>
      <c r="E117" s="1159"/>
      <c r="F117" s="1159"/>
      <c r="G117" s="1159"/>
      <c r="H117" s="1159"/>
      <c r="I117" s="1159"/>
      <c r="J117" s="1159"/>
      <c r="K117" s="1159"/>
      <c r="L117" s="1159"/>
      <c r="M117" s="1159"/>
      <c r="N117" s="1159"/>
      <c r="O117" s="1159"/>
      <c r="P117" s="1159"/>
      <c r="Q117" s="1159"/>
      <c r="R117" s="1159"/>
      <c r="S117" s="1159"/>
      <c r="T117" s="1159"/>
      <c r="U117" s="1159"/>
      <c r="V117" s="1159"/>
      <c r="W117" s="1159"/>
      <c r="X117" s="1159"/>
      <c r="Y117" s="1159"/>
      <c r="Z117" s="1159"/>
      <c r="AA117" s="1159"/>
      <c r="AB117" s="1160"/>
      <c r="AC117" s="1160"/>
      <c r="AD117" s="1160"/>
      <c r="AE117" s="1160"/>
    </row>
    <row r="118" ht="15.0" customHeight="1">
      <c r="A118" s="1158"/>
      <c r="B118" s="1158"/>
      <c r="C118" s="1159"/>
      <c r="D118" s="1159"/>
      <c r="E118" s="1159"/>
      <c r="F118" s="1159"/>
      <c r="G118" s="1159"/>
      <c r="H118" s="1159"/>
      <c r="I118" s="1159"/>
      <c r="J118" s="1159"/>
      <c r="K118" s="1159"/>
      <c r="L118" s="1159"/>
      <c r="M118" s="1159"/>
      <c r="N118" s="1159"/>
      <c r="O118" s="1159"/>
      <c r="P118" s="1159"/>
      <c r="Q118" s="1159"/>
      <c r="R118" s="1159"/>
      <c r="S118" s="1159"/>
      <c r="T118" s="1159"/>
      <c r="U118" s="1159"/>
      <c r="V118" s="1159"/>
      <c r="W118" s="1159"/>
      <c r="X118" s="1159"/>
      <c r="Y118" s="1159"/>
      <c r="Z118" s="1159"/>
      <c r="AA118" s="1159"/>
      <c r="AB118" s="1160"/>
      <c r="AC118" s="1160"/>
      <c r="AD118" s="1160"/>
      <c r="AE118" s="1160"/>
    </row>
    <row r="119" ht="15.0" customHeight="1">
      <c r="A119" s="1158"/>
      <c r="B119" s="1158"/>
      <c r="C119" s="1159"/>
      <c r="D119" s="1159"/>
      <c r="E119" s="1159"/>
      <c r="F119" s="1159"/>
      <c r="G119" s="1159"/>
      <c r="H119" s="1159"/>
      <c r="I119" s="1159"/>
      <c r="J119" s="1159"/>
      <c r="K119" s="1159"/>
      <c r="L119" s="1159"/>
      <c r="M119" s="1159"/>
      <c r="N119" s="1159"/>
      <c r="O119" s="1159"/>
      <c r="P119" s="1159"/>
      <c r="Q119" s="1159"/>
      <c r="R119" s="1159"/>
      <c r="S119" s="1159"/>
      <c r="T119" s="1159"/>
      <c r="U119" s="1159"/>
      <c r="V119" s="1159"/>
      <c r="W119" s="1159"/>
      <c r="X119" s="1159"/>
      <c r="Y119" s="1159"/>
      <c r="Z119" s="1159"/>
      <c r="AA119" s="1159"/>
      <c r="AB119" s="1160"/>
      <c r="AC119" s="1160"/>
      <c r="AD119" s="1160"/>
      <c r="AE119" s="1160"/>
    </row>
    <row r="120" ht="15.0" customHeight="1">
      <c r="A120" s="1158"/>
      <c r="B120" s="1158"/>
      <c r="C120" s="1159"/>
      <c r="D120" s="1159"/>
      <c r="E120" s="1159"/>
      <c r="F120" s="1159"/>
      <c r="G120" s="1159"/>
      <c r="H120" s="1159"/>
      <c r="I120" s="1159"/>
      <c r="J120" s="1159"/>
      <c r="K120" s="1159"/>
      <c r="L120" s="1159"/>
      <c r="M120" s="1159"/>
      <c r="N120" s="1159"/>
      <c r="O120" s="1159"/>
      <c r="P120" s="1159"/>
      <c r="Q120" s="1159"/>
      <c r="R120" s="1159"/>
      <c r="S120" s="1159"/>
      <c r="T120" s="1159"/>
      <c r="U120" s="1159"/>
      <c r="V120" s="1159"/>
      <c r="W120" s="1159"/>
      <c r="X120" s="1159"/>
      <c r="Y120" s="1159"/>
      <c r="Z120" s="1159"/>
      <c r="AA120" s="1159"/>
      <c r="AB120" s="1160"/>
      <c r="AC120" s="1160"/>
      <c r="AD120" s="1160"/>
      <c r="AE120" s="1160"/>
    </row>
    <row r="121" ht="15.0" customHeight="1">
      <c r="A121" s="1158"/>
      <c r="B121" s="1158"/>
      <c r="C121" s="1159"/>
      <c r="D121" s="1159"/>
      <c r="E121" s="1159"/>
      <c r="F121" s="1159"/>
      <c r="G121" s="1159"/>
      <c r="H121" s="1159"/>
      <c r="I121" s="1159"/>
      <c r="J121" s="1159"/>
      <c r="K121" s="1159"/>
      <c r="L121" s="1159"/>
      <c r="M121" s="1159"/>
      <c r="N121" s="1159"/>
      <c r="O121" s="1159"/>
      <c r="P121" s="1159"/>
      <c r="Q121" s="1159"/>
      <c r="R121" s="1159"/>
      <c r="S121" s="1159"/>
      <c r="T121" s="1159"/>
      <c r="U121" s="1159"/>
      <c r="V121" s="1159"/>
      <c r="W121" s="1159"/>
      <c r="X121" s="1159"/>
      <c r="Y121" s="1159"/>
      <c r="Z121" s="1159"/>
      <c r="AA121" s="1159"/>
      <c r="AB121" s="1160"/>
      <c r="AC121" s="1160"/>
      <c r="AD121" s="1160"/>
      <c r="AE121" s="1160"/>
    </row>
    <row r="122" ht="15.0" customHeight="1">
      <c r="A122" s="1158"/>
      <c r="B122" s="1158"/>
      <c r="C122" s="1159"/>
      <c r="D122" s="1159"/>
      <c r="E122" s="1159"/>
      <c r="F122" s="1159"/>
      <c r="G122" s="1159"/>
      <c r="H122" s="1159"/>
      <c r="I122" s="1159"/>
      <c r="J122" s="1159"/>
      <c r="K122" s="1159"/>
      <c r="L122" s="1159"/>
      <c r="M122" s="1159"/>
      <c r="N122" s="1159"/>
      <c r="O122" s="1159"/>
      <c r="P122" s="1159"/>
      <c r="Q122" s="1159"/>
      <c r="R122" s="1159"/>
      <c r="S122" s="1159"/>
      <c r="T122" s="1159"/>
      <c r="U122" s="1159"/>
      <c r="V122" s="1159"/>
      <c r="W122" s="1159"/>
      <c r="X122" s="1159"/>
      <c r="Y122" s="1159"/>
      <c r="Z122" s="1159"/>
      <c r="AA122" s="1159"/>
      <c r="AB122" s="1160"/>
      <c r="AC122" s="1160"/>
      <c r="AD122" s="1160"/>
      <c r="AE122" s="1160"/>
    </row>
    <row r="123" ht="15.0" customHeight="1">
      <c r="A123" s="1158"/>
      <c r="B123" s="1158"/>
      <c r="C123" s="1159"/>
      <c r="D123" s="1159"/>
      <c r="E123" s="1159"/>
      <c r="F123" s="1159"/>
      <c r="G123" s="1159"/>
      <c r="H123" s="1159"/>
      <c r="I123" s="1159"/>
      <c r="J123" s="1159"/>
      <c r="K123" s="1159"/>
      <c r="L123" s="1159"/>
      <c r="M123" s="1159"/>
      <c r="N123" s="1159"/>
      <c r="O123" s="1159"/>
      <c r="P123" s="1159"/>
      <c r="Q123" s="1159"/>
      <c r="R123" s="1159"/>
      <c r="S123" s="1159"/>
      <c r="T123" s="1159"/>
      <c r="U123" s="1159"/>
      <c r="V123" s="1159"/>
      <c r="W123" s="1159"/>
      <c r="X123" s="1159"/>
      <c r="Y123" s="1159"/>
      <c r="Z123" s="1159"/>
      <c r="AA123" s="1159"/>
      <c r="AB123" s="1160"/>
      <c r="AC123" s="1160"/>
      <c r="AD123" s="1160"/>
      <c r="AE123" s="1160"/>
    </row>
    <row r="124" ht="15.0" customHeight="1">
      <c r="A124" s="1158"/>
      <c r="B124" s="1158"/>
      <c r="C124" s="1159"/>
      <c r="D124" s="1159"/>
      <c r="E124" s="1159"/>
      <c r="F124" s="1159"/>
      <c r="G124" s="1159"/>
      <c r="H124" s="1159"/>
      <c r="I124" s="1159"/>
      <c r="J124" s="1159"/>
      <c r="K124" s="1159"/>
      <c r="L124" s="1159"/>
      <c r="M124" s="1159"/>
      <c r="N124" s="1159"/>
      <c r="O124" s="1159"/>
      <c r="P124" s="1159"/>
      <c r="Q124" s="1159"/>
      <c r="R124" s="1159"/>
      <c r="S124" s="1159"/>
      <c r="T124" s="1159"/>
      <c r="U124" s="1159"/>
      <c r="V124" s="1159"/>
      <c r="W124" s="1159"/>
      <c r="X124" s="1159"/>
      <c r="Y124" s="1159"/>
      <c r="Z124" s="1159"/>
      <c r="AA124" s="1159"/>
      <c r="AB124" s="1160"/>
      <c r="AC124" s="1160"/>
      <c r="AD124" s="1160"/>
      <c r="AE124" s="1160"/>
    </row>
    <row r="125" ht="15.0" customHeight="1">
      <c r="A125" s="1158"/>
      <c r="B125" s="1158"/>
      <c r="C125" s="1159"/>
      <c r="D125" s="1159"/>
      <c r="E125" s="1159"/>
      <c r="F125" s="1159"/>
      <c r="G125" s="1159"/>
      <c r="H125" s="1159"/>
      <c r="I125" s="1159"/>
      <c r="J125" s="1159"/>
      <c r="K125" s="1159"/>
      <c r="L125" s="1159"/>
      <c r="M125" s="1159"/>
      <c r="N125" s="1159"/>
      <c r="O125" s="1159"/>
      <c r="P125" s="1159"/>
      <c r="Q125" s="1159"/>
      <c r="R125" s="1159"/>
      <c r="S125" s="1159"/>
      <c r="T125" s="1159"/>
      <c r="U125" s="1159"/>
      <c r="V125" s="1159"/>
      <c r="W125" s="1159"/>
      <c r="X125" s="1159"/>
      <c r="Y125" s="1159"/>
      <c r="Z125" s="1159"/>
      <c r="AA125" s="1159"/>
      <c r="AB125" s="1160"/>
      <c r="AC125" s="1160"/>
      <c r="AD125" s="1160"/>
      <c r="AE125" s="1160"/>
    </row>
    <row r="126" ht="15.0" customHeight="1">
      <c r="A126" s="1158"/>
      <c r="B126" s="1158"/>
      <c r="C126" s="1159"/>
      <c r="D126" s="1159"/>
      <c r="E126" s="1159"/>
      <c r="F126" s="1159"/>
      <c r="G126" s="1159"/>
      <c r="H126" s="1159"/>
      <c r="I126" s="1159"/>
      <c r="J126" s="1159"/>
      <c r="K126" s="1159"/>
      <c r="L126" s="1159"/>
      <c r="M126" s="1159"/>
      <c r="N126" s="1159"/>
      <c r="O126" s="1159"/>
      <c r="P126" s="1159"/>
      <c r="Q126" s="1159"/>
      <c r="R126" s="1159"/>
      <c r="S126" s="1159"/>
      <c r="T126" s="1159"/>
      <c r="U126" s="1159"/>
      <c r="V126" s="1159"/>
      <c r="W126" s="1159"/>
      <c r="X126" s="1159"/>
      <c r="Y126" s="1159"/>
      <c r="Z126" s="1159"/>
      <c r="AA126" s="1159"/>
      <c r="AB126" s="1160"/>
      <c r="AC126" s="1160"/>
      <c r="AD126" s="1160"/>
      <c r="AE126" s="1160"/>
    </row>
    <row r="127" ht="15.0" customHeight="1">
      <c r="A127" s="1158"/>
      <c r="B127" s="1158"/>
      <c r="C127" s="1159"/>
      <c r="D127" s="1159"/>
      <c r="E127" s="1159"/>
      <c r="F127" s="1159"/>
      <c r="G127" s="1159"/>
      <c r="H127" s="1159"/>
      <c r="I127" s="1159"/>
      <c r="J127" s="1159"/>
      <c r="K127" s="1159"/>
      <c r="L127" s="1159"/>
      <c r="M127" s="1159"/>
      <c r="N127" s="1159"/>
      <c r="O127" s="1159"/>
      <c r="P127" s="1159"/>
      <c r="Q127" s="1159"/>
      <c r="R127" s="1159"/>
      <c r="S127" s="1159"/>
      <c r="T127" s="1159"/>
      <c r="U127" s="1159"/>
      <c r="V127" s="1159"/>
      <c r="W127" s="1159"/>
      <c r="X127" s="1159"/>
      <c r="Y127" s="1159"/>
      <c r="Z127" s="1159"/>
      <c r="AA127" s="1159"/>
      <c r="AB127" s="1160"/>
      <c r="AC127" s="1160"/>
      <c r="AD127" s="1160"/>
      <c r="AE127" s="1160"/>
    </row>
    <row r="128" ht="15.0" customHeight="1">
      <c r="A128" s="1158"/>
      <c r="B128" s="1158"/>
      <c r="C128" s="1159"/>
      <c r="D128" s="1159"/>
      <c r="E128" s="1159"/>
      <c r="F128" s="1159"/>
      <c r="G128" s="1159"/>
      <c r="H128" s="1159"/>
      <c r="I128" s="1159"/>
      <c r="J128" s="1159"/>
      <c r="K128" s="1159"/>
      <c r="L128" s="1159"/>
      <c r="M128" s="1159"/>
      <c r="N128" s="1159"/>
      <c r="O128" s="1159"/>
      <c r="P128" s="1159"/>
      <c r="Q128" s="1159"/>
      <c r="R128" s="1159"/>
      <c r="S128" s="1159"/>
      <c r="T128" s="1159"/>
      <c r="U128" s="1159"/>
      <c r="V128" s="1159"/>
      <c r="W128" s="1159"/>
      <c r="X128" s="1159"/>
      <c r="Y128" s="1159"/>
      <c r="Z128" s="1159"/>
      <c r="AA128" s="1159"/>
      <c r="AB128" s="1160"/>
      <c r="AC128" s="1160"/>
      <c r="AD128" s="1160"/>
      <c r="AE128" s="1160"/>
    </row>
    <row r="129" ht="15.0" customHeight="1">
      <c r="A129" s="1158"/>
      <c r="B129" s="1158"/>
      <c r="C129" s="1159"/>
      <c r="D129" s="1159"/>
      <c r="E129" s="1159"/>
      <c r="F129" s="1159"/>
      <c r="G129" s="1159"/>
      <c r="H129" s="1159"/>
      <c r="I129" s="1159"/>
      <c r="J129" s="1159"/>
      <c r="K129" s="1159"/>
      <c r="L129" s="1159"/>
      <c r="M129" s="1159"/>
      <c r="N129" s="1159"/>
      <c r="O129" s="1159"/>
      <c r="P129" s="1159"/>
      <c r="Q129" s="1159"/>
      <c r="R129" s="1159"/>
      <c r="S129" s="1159"/>
      <c r="T129" s="1159"/>
      <c r="U129" s="1159"/>
      <c r="V129" s="1159"/>
      <c r="W129" s="1159"/>
      <c r="X129" s="1159"/>
      <c r="Y129" s="1159"/>
      <c r="Z129" s="1159"/>
      <c r="AA129" s="1159"/>
      <c r="AB129" s="1160"/>
      <c r="AC129" s="1160"/>
      <c r="AD129" s="1160"/>
      <c r="AE129" s="1160"/>
    </row>
    <row r="130" ht="15.0" customHeight="1">
      <c r="A130" s="1158"/>
      <c r="B130" s="1158"/>
      <c r="C130" s="1159"/>
      <c r="D130" s="1159"/>
      <c r="E130" s="1159"/>
      <c r="F130" s="1159"/>
      <c r="G130" s="1159"/>
      <c r="H130" s="1159"/>
      <c r="I130" s="1159"/>
      <c r="J130" s="1159"/>
      <c r="K130" s="1159"/>
      <c r="L130" s="1159"/>
      <c r="M130" s="1159"/>
      <c r="N130" s="1159"/>
      <c r="O130" s="1159"/>
      <c r="P130" s="1159"/>
      <c r="Q130" s="1159"/>
      <c r="R130" s="1159"/>
      <c r="S130" s="1159"/>
      <c r="T130" s="1159"/>
      <c r="U130" s="1159"/>
      <c r="V130" s="1159"/>
      <c r="W130" s="1159"/>
      <c r="X130" s="1159"/>
      <c r="Y130" s="1159"/>
      <c r="Z130" s="1159"/>
      <c r="AA130" s="1159"/>
      <c r="AB130" s="1160"/>
      <c r="AC130" s="1160"/>
      <c r="AD130" s="1160"/>
      <c r="AE130" s="1160"/>
    </row>
    <row r="131" ht="15.0" customHeight="1">
      <c r="A131" s="1158"/>
      <c r="B131" s="1158"/>
      <c r="C131" s="1159"/>
      <c r="D131" s="1159"/>
      <c r="E131" s="1159"/>
      <c r="F131" s="1159"/>
      <c r="G131" s="1159"/>
      <c r="H131" s="1159"/>
      <c r="I131" s="1159"/>
      <c r="J131" s="1159"/>
      <c r="K131" s="1159"/>
      <c r="L131" s="1159"/>
      <c r="M131" s="1159"/>
      <c r="N131" s="1159"/>
      <c r="O131" s="1159"/>
      <c r="P131" s="1159"/>
      <c r="Q131" s="1159"/>
      <c r="R131" s="1159"/>
      <c r="S131" s="1159"/>
      <c r="T131" s="1159"/>
      <c r="U131" s="1159"/>
      <c r="V131" s="1159"/>
      <c r="W131" s="1159"/>
      <c r="X131" s="1159"/>
      <c r="Y131" s="1159"/>
      <c r="Z131" s="1159"/>
      <c r="AA131" s="1159"/>
      <c r="AB131" s="1160"/>
      <c r="AC131" s="1160"/>
      <c r="AD131" s="1160"/>
      <c r="AE131" s="1160"/>
    </row>
    <row r="132" ht="15.0" customHeight="1">
      <c r="A132" s="1158"/>
      <c r="B132" s="1158"/>
      <c r="C132" s="1159"/>
      <c r="D132" s="1159"/>
      <c r="E132" s="1159"/>
      <c r="F132" s="1159"/>
      <c r="G132" s="1159"/>
      <c r="H132" s="1159"/>
      <c r="I132" s="1159"/>
      <c r="J132" s="1159"/>
      <c r="K132" s="1159"/>
      <c r="L132" s="1159"/>
      <c r="M132" s="1159"/>
      <c r="N132" s="1159"/>
      <c r="O132" s="1159"/>
      <c r="P132" s="1159"/>
      <c r="Q132" s="1159"/>
      <c r="R132" s="1159"/>
      <c r="S132" s="1159"/>
      <c r="T132" s="1159"/>
      <c r="U132" s="1159"/>
      <c r="V132" s="1159"/>
      <c r="W132" s="1159"/>
      <c r="X132" s="1159"/>
      <c r="Y132" s="1159"/>
      <c r="Z132" s="1159"/>
      <c r="AA132" s="1159"/>
      <c r="AB132" s="1160"/>
      <c r="AC132" s="1160"/>
      <c r="AD132" s="1160"/>
      <c r="AE132" s="1160"/>
    </row>
    <row r="133" ht="15.0" customHeight="1">
      <c r="A133" s="1158"/>
      <c r="B133" s="1158"/>
      <c r="C133" s="1159"/>
      <c r="D133" s="1159"/>
      <c r="E133" s="1159"/>
      <c r="F133" s="1159"/>
      <c r="G133" s="1159"/>
      <c r="H133" s="1159"/>
      <c r="I133" s="1159"/>
      <c r="J133" s="1159"/>
      <c r="K133" s="1159"/>
      <c r="L133" s="1159"/>
      <c r="M133" s="1159"/>
      <c r="N133" s="1159"/>
      <c r="O133" s="1159"/>
      <c r="P133" s="1159"/>
      <c r="Q133" s="1159"/>
      <c r="R133" s="1159"/>
      <c r="S133" s="1159"/>
      <c r="T133" s="1159"/>
      <c r="U133" s="1159"/>
      <c r="V133" s="1159"/>
      <c r="W133" s="1159"/>
      <c r="X133" s="1159"/>
      <c r="Y133" s="1159"/>
      <c r="Z133" s="1159"/>
      <c r="AA133" s="1159"/>
      <c r="AB133" s="1160"/>
      <c r="AC133" s="1160"/>
      <c r="AD133" s="1160"/>
      <c r="AE133" s="1160"/>
    </row>
    <row r="134" ht="15.0" customHeight="1">
      <c r="A134" s="1158"/>
      <c r="B134" s="1158"/>
      <c r="C134" s="1159"/>
      <c r="D134" s="1159"/>
      <c r="E134" s="1159"/>
      <c r="F134" s="1159"/>
      <c r="G134" s="1159"/>
      <c r="H134" s="1159"/>
      <c r="I134" s="1159"/>
      <c r="J134" s="1159"/>
      <c r="K134" s="1159"/>
      <c r="L134" s="1159"/>
      <c r="M134" s="1159"/>
      <c r="N134" s="1159"/>
      <c r="O134" s="1159"/>
      <c r="P134" s="1159"/>
      <c r="Q134" s="1159"/>
      <c r="R134" s="1159"/>
      <c r="S134" s="1159"/>
      <c r="T134" s="1159"/>
      <c r="U134" s="1159"/>
      <c r="V134" s="1159"/>
      <c r="W134" s="1159"/>
      <c r="X134" s="1159"/>
      <c r="Y134" s="1159"/>
      <c r="Z134" s="1159"/>
      <c r="AA134" s="1159"/>
      <c r="AB134" s="1160"/>
      <c r="AC134" s="1160"/>
      <c r="AD134" s="1160"/>
      <c r="AE134" s="1160"/>
    </row>
    <row r="135" ht="15.0" customHeight="1">
      <c r="A135" s="1158"/>
      <c r="B135" s="1158"/>
      <c r="C135" s="1159"/>
      <c r="D135" s="1159"/>
      <c r="E135" s="1159"/>
      <c r="F135" s="1159"/>
      <c r="G135" s="1159"/>
      <c r="H135" s="1159"/>
      <c r="I135" s="1159"/>
      <c r="J135" s="1159"/>
      <c r="K135" s="1159"/>
      <c r="L135" s="1159"/>
      <c r="M135" s="1159"/>
      <c r="N135" s="1159"/>
      <c r="O135" s="1159"/>
      <c r="P135" s="1159"/>
      <c r="Q135" s="1159"/>
      <c r="R135" s="1159"/>
      <c r="S135" s="1159"/>
      <c r="T135" s="1159"/>
      <c r="U135" s="1159"/>
      <c r="V135" s="1159"/>
      <c r="W135" s="1159"/>
      <c r="X135" s="1159"/>
      <c r="Y135" s="1159"/>
      <c r="Z135" s="1159"/>
      <c r="AA135" s="1159"/>
      <c r="AB135" s="1160"/>
      <c r="AC135" s="1160"/>
      <c r="AD135" s="1160"/>
      <c r="AE135" s="1160"/>
    </row>
    <row r="136" ht="15.0" customHeight="1">
      <c r="A136" s="1158"/>
      <c r="B136" s="1158"/>
      <c r="C136" s="1159"/>
      <c r="D136" s="1159"/>
      <c r="E136" s="1159"/>
      <c r="F136" s="1159"/>
      <c r="G136" s="1159"/>
      <c r="H136" s="1159"/>
      <c r="I136" s="1159"/>
      <c r="J136" s="1159"/>
      <c r="K136" s="1159"/>
      <c r="L136" s="1159"/>
      <c r="M136" s="1159"/>
      <c r="N136" s="1159"/>
      <c r="O136" s="1159"/>
      <c r="P136" s="1159"/>
      <c r="Q136" s="1159"/>
      <c r="R136" s="1159"/>
      <c r="S136" s="1159"/>
      <c r="T136" s="1159"/>
      <c r="U136" s="1159"/>
      <c r="V136" s="1159"/>
      <c r="W136" s="1159"/>
      <c r="X136" s="1159"/>
      <c r="Y136" s="1159"/>
      <c r="Z136" s="1159"/>
      <c r="AA136" s="1159"/>
      <c r="AB136" s="1160"/>
      <c r="AC136" s="1160"/>
      <c r="AD136" s="1160"/>
      <c r="AE136" s="1160"/>
    </row>
    <row r="137" ht="15.0" customHeight="1">
      <c r="A137" s="1158"/>
      <c r="B137" s="1158"/>
      <c r="C137" s="1159"/>
      <c r="D137" s="1159"/>
      <c r="E137" s="1159"/>
      <c r="F137" s="1159"/>
      <c r="G137" s="1159"/>
      <c r="H137" s="1159"/>
      <c r="I137" s="1159"/>
      <c r="J137" s="1159"/>
      <c r="K137" s="1159"/>
      <c r="L137" s="1159"/>
      <c r="M137" s="1159"/>
      <c r="N137" s="1159"/>
      <c r="O137" s="1159"/>
      <c r="P137" s="1159"/>
      <c r="Q137" s="1159"/>
      <c r="R137" s="1159"/>
      <c r="S137" s="1159"/>
      <c r="T137" s="1159"/>
      <c r="U137" s="1159"/>
      <c r="V137" s="1159"/>
      <c r="W137" s="1159"/>
      <c r="X137" s="1159"/>
      <c r="Y137" s="1159"/>
      <c r="Z137" s="1159"/>
      <c r="AA137" s="1159"/>
      <c r="AB137" s="1160"/>
      <c r="AC137" s="1160"/>
      <c r="AD137" s="1160"/>
      <c r="AE137" s="1160"/>
    </row>
    <row r="138" ht="15.0" customHeight="1">
      <c r="A138" s="1158"/>
      <c r="B138" s="1158"/>
      <c r="C138" s="1159"/>
      <c r="D138" s="1159"/>
      <c r="E138" s="1159"/>
      <c r="F138" s="1159"/>
      <c r="G138" s="1159"/>
      <c r="H138" s="1159"/>
      <c r="I138" s="1159"/>
      <c r="J138" s="1159"/>
      <c r="K138" s="1159"/>
      <c r="L138" s="1159"/>
      <c r="M138" s="1159"/>
      <c r="N138" s="1159"/>
      <c r="O138" s="1159"/>
      <c r="P138" s="1159"/>
      <c r="Q138" s="1159"/>
      <c r="R138" s="1159"/>
      <c r="S138" s="1159"/>
      <c r="T138" s="1159"/>
      <c r="U138" s="1159"/>
      <c r="V138" s="1159"/>
      <c r="W138" s="1159"/>
      <c r="X138" s="1159"/>
      <c r="Y138" s="1159"/>
      <c r="Z138" s="1159"/>
      <c r="AA138" s="1159"/>
      <c r="AB138" s="1160"/>
      <c r="AC138" s="1160"/>
      <c r="AD138" s="1160"/>
      <c r="AE138" s="1160"/>
    </row>
    <row r="139" ht="15.0" customHeight="1">
      <c r="A139" s="1158"/>
      <c r="B139" s="1158"/>
      <c r="C139" s="1159"/>
      <c r="D139" s="1159"/>
      <c r="E139" s="1159"/>
      <c r="F139" s="1159"/>
      <c r="G139" s="1159"/>
      <c r="H139" s="1159"/>
      <c r="I139" s="1159"/>
      <c r="J139" s="1159"/>
      <c r="K139" s="1159"/>
      <c r="L139" s="1159"/>
      <c r="M139" s="1159"/>
      <c r="N139" s="1159"/>
      <c r="O139" s="1159"/>
      <c r="P139" s="1159"/>
      <c r="Q139" s="1159"/>
      <c r="R139" s="1159"/>
      <c r="S139" s="1159"/>
      <c r="T139" s="1159"/>
      <c r="U139" s="1159"/>
      <c r="V139" s="1159"/>
      <c r="W139" s="1159"/>
      <c r="X139" s="1159"/>
      <c r="Y139" s="1159"/>
      <c r="Z139" s="1159"/>
      <c r="AA139" s="1159"/>
      <c r="AB139" s="1160"/>
      <c r="AC139" s="1160"/>
      <c r="AD139" s="1160"/>
      <c r="AE139" s="1160"/>
    </row>
    <row r="140" ht="15.0" customHeight="1">
      <c r="A140" s="1158"/>
      <c r="B140" s="1158"/>
      <c r="C140" s="1159"/>
      <c r="D140" s="1159"/>
      <c r="E140" s="1159"/>
      <c r="F140" s="1159"/>
      <c r="G140" s="1159"/>
      <c r="H140" s="1159"/>
      <c r="I140" s="1159"/>
      <c r="J140" s="1159"/>
      <c r="K140" s="1159"/>
      <c r="L140" s="1159"/>
      <c r="M140" s="1159"/>
      <c r="N140" s="1159"/>
      <c r="O140" s="1159"/>
      <c r="P140" s="1159"/>
      <c r="Q140" s="1159"/>
      <c r="R140" s="1159"/>
      <c r="S140" s="1159"/>
      <c r="T140" s="1159"/>
      <c r="U140" s="1159"/>
      <c r="V140" s="1159"/>
      <c r="W140" s="1159"/>
      <c r="X140" s="1159"/>
      <c r="Y140" s="1159"/>
      <c r="Z140" s="1159"/>
      <c r="AA140" s="1159"/>
      <c r="AB140" s="1160"/>
      <c r="AC140" s="1160"/>
      <c r="AD140" s="1160"/>
      <c r="AE140" s="1160"/>
    </row>
    <row r="141" ht="15.0" customHeight="1">
      <c r="A141" s="1158"/>
      <c r="B141" s="1158"/>
      <c r="C141" s="1159"/>
      <c r="D141" s="1159"/>
      <c r="E141" s="1159"/>
      <c r="F141" s="1159"/>
      <c r="G141" s="1159"/>
      <c r="H141" s="1159"/>
      <c r="I141" s="1159"/>
      <c r="J141" s="1159"/>
      <c r="K141" s="1159"/>
      <c r="L141" s="1159"/>
      <c r="M141" s="1159"/>
      <c r="N141" s="1159"/>
      <c r="O141" s="1159"/>
      <c r="P141" s="1159"/>
      <c r="Q141" s="1159"/>
      <c r="R141" s="1159"/>
      <c r="S141" s="1159"/>
      <c r="T141" s="1159"/>
      <c r="U141" s="1159"/>
      <c r="V141" s="1159"/>
      <c r="W141" s="1159"/>
      <c r="X141" s="1159"/>
      <c r="Y141" s="1159"/>
      <c r="Z141" s="1159"/>
      <c r="AA141" s="1159"/>
      <c r="AB141" s="1160"/>
      <c r="AC141" s="1160"/>
      <c r="AD141" s="1160"/>
      <c r="AE141" s="1160"/>
    </row>
    <row r="142" ht="15.0" customHeight="1">
      <c r="A142" s="1158"/>
      <c r="B142" s="1158"/>
      <c r="C142" s="1159"/>
      <c r="D142" s="1159"/>
      <c r="E142" s="1159"/>
      <c r="F142" s="1159"/>
      <c r="G142" s="1159"/>
      <c r="H142" s="1159"/>
      <c r="I142" s="1159"/>
      <c r="J142" s="1159"/>
      <c r="K142" s="1159"/>
      <c r="L142" s="1159"/>
      <c r="M142" s="1159"/>
      <c r="N142" s="1159"/>
      <c r="O142" s="1159"/>
      <c r="P142" s="1159"/>
      <c r="Q142" s="1159"/>
      <c r="R142" s="1159"/>
      <c r="S142" s="1159"/>
      <c r="T142" s="1159"/>
      <c r="U142" s="1159"/>
      <c r="V142" s="1159"/>
      <c r="W142" s="1159"/>
      <c r="X142" s="1159"/>
      <c r="Y142" s="1159"/>
      <c r="Z142" s="1159"/>
      <c r="AA142" s="1159"/>
      <c r="AB142" s="1160"/>
      <c r="AC142" s="1160"/>
      <c r="AD142" s="1160"/>
      <c r="AE142" s="1160"/>
    </row>
    <row r="143" ht="15.0" customHeight="1">
      <c r="A143" s="1158"/>
      <c r="B143" s="1158"/>
      <c r="C143" s="1159"/>
      <c r="D143" s="1159"/>
      <c r="E143" s="1159"/>
      <c r="F143" s="1159"/>
      <c r="G143" s="1159"/>
      <c r="H143" s="1159"/>
      <c r="I143" s="1159"/>
      <c r="J143" s="1159"/>
      <c r="K143" s="1159"/>
      <c r="L143" s="1159"/>
      <c r="M143" s="1159"/>
      <c r="N143" s="1159"/>
      <c r="O143" s="1159"/>
      <c r="P143" s="1159"/>
      <c r="Q143" s="1159"/>
      <c r="R143" s="1159"/>
      <c r="S143" s="1159"/>
      <c r="T143" s="1159"/>
      <c r="U143" s="1159"/>
      <c r="V143" s="1159"/>
      <c r="W143" s="1159"/>
      <c r="X143" s="1159"/>
      <c r="Y143" s="1159"/>
      <c r="Z143" s="1159"/>
      <c r="AA143" s="1159"/>
      <c r="AB143" s="1160"/>
      <c r="AC143" s="1160"/>
      <c r="AD143" s="1160"/>
      <c r="AE143" s="1160"/>
    </row>
    <row r="144" ht="15.0" customHeight="1">
      <c r="A144" s="1158"/>
      <c r="B144" s="1158"/>
      <c r="C144" s="1159"/>
      <c r="D144" s="1159"/>
      <c r="E144" s="1159"/>
      <c r="F144" s="1159"/>
      <c r="G144" s="1159"/>
      <c r="H144" s="1159"/>
      <c r="I144" s="1159"/>
      <c r="J144" s="1159"/>
      <c r="K144" s="1159"/>
      <c r="L144" s="1159"/>
      <c r="M144" s="1159"/>
      <c r="N144" s="1159"/>
      <c r="O144" s="1159"/>
      <c r="P144" s="1159"/>
      <c r="Q144" s="1159"/>
      <c r="R144" s="1159"/>
      <c r="S144" s="1159"/>
      <c r="T144" s="1159"/>
      <c r="U144" s="1159"/>
      <c r="V144" s="1159"/>
      <c r="W144" s="1159"/>
      <c r="X144" s="1159"/>
      <c r="Y144" s="1159"/>
      <c r="Z144" s="1159"/>
      <c r="AA144" s="1159"/>
      <c r="AB144" s="1160"/>
      <c r="AC144" s="1160"/>
      <c r="AD144" s="1160"/>
      <c r="AE144" s="1160"/>
    </row>
    <row r="145" ht="15.0" customHeight="1">
      <c r="A145" s="1158"/>
      <c r="B145" s="1158"/>
      <c r="C145" s="1159"/>
      <c r="D145" s="1159"/>
      <c r="E145" s="1159"/>
      <c r="F145" s="1159"/>
      <c r="G145" s="1159"/>
      <c r="H145" s="1159"/>
      <c r="I145" s="1159"/>
      <c r="J145" s="1159"/>
      <c r="K145" s="1159"/>
      <c r="L145" s="1159"/>
      <c r="M145" s="1159"/>
      <c r="N145" s="1159"/>
      <c r="O145" s="1159"/>
      <c r="P145" s="1159"/>
      <c r="Q145" s="1159"/>
      <c r="R145" s="1159"/>
      <c r="S145" s="1159"/>
      <c r="T145" s="1159"/>
      <c r="U145" s="1159"/>
      <c r="V145" s="1159"/>
      <c r="W145" s="1159"/>
      <c r="X145" s="1159"/>
      <c r="Y145" s="1159"/>
      <c r="Z145" s="1159"/>
      <c r="AA145" s="1159"/>
      <c r="AB145" s="1160"/>
      <c r="AC145" s="1160"/>
      <c r="AD145" s="1160"/>
      <c r="AE145" s="1160"/>
    </row>
    <row r="146" ht="15.0" customHeight="1">
      <c r="A146" s="1158"/>
      <c r="B146" s="1158"/>
      <c r="C146" s="1159"/>
      <c r="D146" s="1159"/>
      <c r="E146" s="1159"/>
      <c r="F146" s="1159"/>
      <c r="G146" s="1159"/>
      <c r="H146" s="1159"/>
      <c r="I146" s="1159"/>
      <c r="J146" s="1159"/>
      <c r="K146" s="1159"/>
      <c r="L146" s="1159"/>
      <c r="M146" s="1159"/>
      <c r="N146" s="1159"/>
      <c r="O146" s="1159"/>
      <c r="P146" s="1159"/>
      <c r="Q146" s="1159"/>
      <c r="R146" s="1159"/>
      <c r="S146" s="1159"/>
      <c r="T146" s="1159"/>
      <c r="U146" s="1159"/>
      <c r="V146" s="1159"/>
      <c r="W146" s="1159"/>
      <c r="X146" s="1159"/>
      <c r="Y146" s="1159"/>
      <c r="Z146" s="1159"/>
      <c r="AA146" s="1159"/>
      <c r="AB146" s="1160"/>
      <c r="AC146" s="1160"/>
      <c r="AD146" s="1160"/>
      <c r="AE146" s="1160"/>
    </row>
    <row r="147" ht="15.0" customHeight="1">
      <c r="A147" s="1158"/>
      <c r="B147" s="1158"/>
      <c r="C147" s="1159"/>
      <c r="D147" s="1159"/>
      <c r="E147" s="1159"/>
      <c r="F147" s="1159"/>
      <c r="G147" s="1159"/>
      <c r="H147" s="1159"/>
      <c r="I147" s="1159"/>
      <c r="J147" s="1159"/>
      <c r="K147" s="1159"/>
      <c r="L147" s="1159"/>
      <c r="M147" s="1159"/>
      <c r="N147" s="1159"/>
      <c r="O147" s="1159"/>
      <c r="P147" s="1159"/>
      <c r="Q147" s="1159"/>
      <c r="R147" s="1159"/>
      <c r="S147" s="1159"/>
      <c r="T147" s="1159"/>
      <c r="U147" s="1159"/>
      <c r="V147" s="1159"/>
      <c r="W147" s="1159"/>
      <c r="X147" s="1159"/>
      <c r="Y147" s="1159"/>
      <c r="Z147" s="1159"/>
      <c r="AA147" s="1159"/>
      <c r="AB147" s="1160"/>
      <c r="AC147" s="1160"/>
      <c r="AD147" s="1160"/>
      <c r="AE147" s="1160"/>
    </row>
    <row r="148" ht="15.0" customHeight="1">
      <c r="A148" s="1158"/>
      <c r="B148" s="1158"/>
      <c r="C148" s="1159"/>
      <c r="D148" s="1159"/>
      <c r="E148" s="1159"/>
      <c r="F148" s="1159"/>
      <c r="G148" s="1159"/>
      <c r="H148" s="1159"/>
      <c r="I148" s="1159"/>
      <c r="J148" s="1159"/>
      <c r="K148" s="1159"/>
      <c r="L148" s="1159"/>
      <c r="M148" s="1159"/>
      <c r="N148" s="1159"/>
      <c r="O148" s="1159"/>
      <c r="P148" s="1159"/>
      <c r="Q148" s="1159"/>
      <c r="R148" s="1159"/>
      <c r="S148" s="1159"/>
      <c r="T148" s="1159"/>
      <c r="U148" s="1159"/>
      <c r="V148" s="1159"/>
      <c r="W148" s="1159"/>
      <c r="X148" s="1159"/>
      <c r="Y148" s="1159"/>
      <c r="Z148" s="1159"/>
      <c r="AA148" s="1159"/>
      <c r="AB148" s="1160"/>
      <c r="AC148" s="1160"/>
      <c r="AD148" s="1160"/>
      <c r="AE148" s="1160"/>
    </row>
    <row r="149" ht="15.0" customHeight="1">
      <c r="A149" s="1158"/>
      <c r="B149" s="1158"/>
      <c r="C149" s="1159"/>
      <c r="D149" s="1159"/>
      <c r="E149" s="1159"/>
      <c r="F149" s="1159"/>
      <c r="G149" s="1159"/>
      <c r="H149" s="1159"/>
      <c r="I149" s="1159"/>
      <c r="J149" s="1159"/>
      <c r="K149" s="1159"/>
      <c r="L149" s="1159"/>
      <c r="M149" s="1159"/>
      <c r="N149" s="1159"/>
      <c r="O149" s="1159"/>
      <c r="P149" s="1159"/>
      <c r="Q149" s="1159"/>
      <c r="R149" s="1159"/>
      <c r="S149" s="1159"/>
      <c r="T149" s="1159"/>
      <c r="U149" s="1159"/>
      <c r="V149" s="1159"/>
      <c r="W149" s="1159"/>
      <c r="X149" s="1159"/>
      <c r="Y149" s="1159"/>
      <c r="Z149" s="1159"/>
      <c r="AA149" s="1159"/>
      <c r="AB149" s="1160"/>
      <c r="AC149" s="1160"/>
      <c r="AD149" s="1160"/>
      <c r="AE149" s="1160"/>
    </row>
    <row r="150" ht="15.0" customHeight="1">
      <c r="A150" s="1158"/>
      <c r="B150" s="1158"/>
      <c r="C150" s="1159"/>
      <c r="D150" s="1159"/>
      <c r="E150" s="1159"/>
      <c r="F150" s="1159"/>
      <c r="G150" s="1159"/>
      <c r="H150" s="1159"/>
      <c r="I150" s="1159"/>
      <c r="J150" s="1159"/>
      <c r="K150" s="1159"/>
      <c r="L150" s="1159"/>
      <c r="M150" s="1159"/>
      <c r="N150" s="1159"/>
      <c r="O150" s="1159"/>
      <c r="P150" s="1159"/>
      <c r="Q150" s="1159"/>
      <c r="R150" s="1159"/>
      <c r="S150" s="1159"/>
      <c r="T150" s="1159"/>
      <c r="U150" s="1159"/>
      <c r="V150" s="1159"/>
      <c r="W150" s="1159"/>
      <c r="X150" s="1159"/>
      <c r="Y150" s="1159"/>
      <c r="Z150" s="1159"/>
      <c r="AA150" s="1159"/>
      <c r="AB150" s="1160"/>
      <c r="AC150" s="1160"/>
      <c r="AD150" s="1160"/>
      <c r="AE150" s="1160"/>
    </row>
    <row r="151" ht="15.0" customHeight="1">
      <c r="A151" s="1158"/>
      <c r="B151" s="1158"/>
      <c r="C151" s="1159"/>
      <c r="D151" s="1159"/>
      <c r="E151" s="1159"/>
      <c r="F151" s="1159"/>
      <c r="G151" s="1159"/>
      <c r="H151" s="1159"/>
      <c r="I151" s="1159"/>
      <c r="J151" s="1159"/>
      <c r="K151" s="1159"/>
      <c r="L151" s="1159"/>
      <c r="M151" s="1159"/>
      <c r="N151" s="1159"/>
      <c r="O151" s="1159"/>
      <c r="P151" s="1159"/>
      <c r="Q151" s="1159"/>
      <c r="R151" s="1159"/>
      <c r="S151" s="1159"/>
      <c r="T151" s="1159"/>
      <c r="U151" s="1159"/>
      <c r="V151" s="1159"/>
      <c r="W151" s="1159"/>
      <c r="X151" s="1159"/>
      <c r="Y151" s="1159"/>
      <c r="Z151" s="1159"/>
      <c r="AA151" s="1159"/>
      <c r="AB151" s="1160"/>
      <c r="AC151" s="1160"/>
      <c r="AD151" s="1160"/>
      <c r="AE151" s="1160"/>
    </row>
    <row r="152" ht="15.0" customHeight="1">
      <c r="A152" s="1158"/>
      <c r="B152" s="1158"/>
      <c r="C152" s="1159"/>
      <c r="D152" s="1159"/>
      <c r="E152" s="1159"/>
      <c r="F152" s="1159"/>
      <c r="G152" s="1159"/>
      <c r="H152" s="1159"/>
      <c r="I152" s="1159"/>
      <c r="J152" s="1159"/>
      <c r="K152" s="1159"/>
      <c r="L152" s="1159"/>
      <c r="M152" s="1159"/>
      <c r="N152" s="1159"/>
      <c r="O152" s="1159"/>
      <c r="P152" s="1159"/>
      <c r="Q152" s="1159"/>
      <c r="R152" s="1159"/>
      <c r="S152" s="1159"/>
      <c r="T152" s="1159"/>
      <c r="U152" s="1159"/>
      <c r="V152" s="1159"/>
      <c r="W152" s="1159"/>
      <c r="X152" s="1159"/>
      <c r="Y152" s="1159"/>
      <c r="Z152" s="1159"/>
      <c r="AA152" s="1159"/>
      <c r="AB152" s="1160"/>
      <c r="AC152" s="1160"/>
      <c r="AD152" s="1160"/>
      <c r="AE152" s="1160"/>
    </row>
    <row r="153" ht="15.0" customHeight="1">
      <c r="A153" s="1158"/>
      <c r="B153" s="1158"/>
      <c r="C153" s="1159"/>
      <c r="D153" s="1159"/>
      <c r="E153" s="1159"/>
      <c r="F153" s="1159"/>
      <c r="G153" s="1159"/>
      <c r="H153" s="1159"/>
      <c r="I153" s="1159"/>
      <c r="J153" s="1159"/>
      <c r="K153" s="1159"/>
      <c r="L153" s="1159"/>
      <c r="M153" s="1159"/>
      <c r="N153" s="1159"/>
      <c r="O153" s="1159"/>
      <c r="P153" s="1159"/>
      <c r="Q153" s="1159"/>
      <c r="R153" s="1159"/>
      <c r="S153" s="1159"/>
      <c r="T153" s="1159"/>
      <c r="U153" s="1159"/>
      <c r="V153" s="1159"/>
      <c r="W153" s="1159"/>
      <c r="X153" s="1159"/>
      <c r="Y153" s="1159"/>
      <c r="Z153" s="1159"/>
      <c r="AA153" s="1159"/>
      <c r="AB153" s="1160"/>
      <c r="AC153" s="1160"/>
      <c r="AD153" s="1160"/>
      <c r="AE153" s="1160"/>
    </row>
    <row r="154" ht="15.0" customHeight="1">
      <c r="A154" s="1158"/>
      <c r="B154" s="1158"/>
      <c r="C154" s="1159"/>
      <c r="D154" s="1159"/>
      <c r="E154" s="1159"/>
      <c r="F154" s="1159"/>
      <c r="G154" s="1159"/>
      <c r="H154" s="1159"/>
      <c r="I154" s="1159"/>
      <c r="J154" s="1159"/>
      <c r="K154" s="1159"/>
      <c r="L154" s="1159"/>
      <c r="M154" s="1159"/>
      <c r="N154" s="1159"/>
      <c r="O154" s="1159"/>
      <c r="P154" s="1159"/>
      <c r="Q154" s="1159"/>
      <c r="R154" s="1159"/>
      <c r="S154" s="1159"/>
      <c r="T154" s="1159"/>
      <c r="U154" s="1159"/>
      <c r="V154" s="1159"/>
      <c r="W154" s="1159"/>
      <c r="X154" s="1159"/>
      <c r="Y154" s="1159"/>
      <c r="Z154" s="1159"/>
      <c r="AA154" s="1159"/>
      <c r="AB154" s="1160"/>
      <c r="AC154" s="1160"/>
      <c r="AD154" s="1160"/>
      <c r="AE154" s="1160"/>
    </row>
    <row r="155" ht="15.0" customHeight="1">
      <c r="A155" s="1158"/>
      <c r="B155" s="1158"/>
      <c r="C155" s="1159"/>
      <c r="D155" s="1159"/>
      <c r="E155" s="1159"/>
      <c r="F155" s="1159"/>
      <c r="G155" s="1159"/>
      <c r="H155" s="1159"/>
      <c r="I155" s="1159"/>
      <c r="J155" s="1159"/>
      <c r="K155" s="1159"/>
      <c r="L155" s="1159"/>
      <c r="M155" s="1159"/>
      <c r="N155" s="1159"/>
      <c r="O155" s="1159"/>
      <c r="P155" s="1159"/>
      <c r="Q155" s="1159"/>
      <c r="R155" s="1159"/>
      <c r="S155" s="1159"/>
      <c r="T155" s="1159"/>
      <c r="U155" s="1159"/>
      <c r="V155" s="1159"/>
      <c r="W155" s="1159"/>
      <c r="X155" s="1159"/>
      <c r="Y155" s="1159"/>
      <c r="Z155" s="1159"/>
      <c r="AA155" s="1159"/>
      <c r="AB155" s="1160"/>
      <c r="AC155" s="1160"/>
      <c r="AD155" s="1160"/>
      <c r="AE155" s="1160"/>
    </row>
    <row r="156" ht="15.0" customHeight="1">
      <c r="A156" s="1158"/>
      <c r="B156" s="1158"/>
      <c r="C156" s="1159"/>
      <c r="D156" s="1159"/>
      <c r="E156" s="1159"/>
      <c r="F156" s="1159"/>
      <c r="G156" s="1159"/>
      <c r="H156" s="1159"/>
      <c r="I156" s="1159"/>
      <c r="J156" s="1159"/>
      <c r="K156" s="1159"/>
      <c r="L156" s="1159"/>
      <c r="M156" s="1159"/>
      <c r="N156" s="1159"/>
      <c r="O156" s="1159"/>
      <c r="P156" s="1159"/>
      <c r="Q156" s="1159"/>
      <c r="R156" s="1159"/>
      <c r="S156" s="1159"/>
      <c r="T156" s="1159"/>
      <c r="U156" s="1159"/>
      <c r="V156" s="1159"/>
      <c r="W156" s="1159"/>
      <c r="X156" s="1159"/>
      <c r="Y156" s="1159"/>
      <c r="Z156" s="1159"/>
      <c r="AA156" s="1159"/>
      <c r="AB156" s="1160"/>
      <c r="AC156" s="1160"/>
      <c r="AD156" s="1160"/>
      <c r="AE156" s="1160"/>
    </row>
    <row r="157" ht="15.0" customHeight="1">
      <c r="A157" s="1158"/>
      <c r="B157" s="1158"/>
      <c r="C157" s="1159"/>
      <c r="D157" s="1159"/>
      <c r="E157" s="1159"/>
      <c r="F157" s="1159"/>
      <c r="G157" s="1159"/>
      <c r="H157" s="1159"/>
      <c r="I157" s="1159"/>
      <c r="J157" s="1159"/>
      <c r="K157" s="1159"/>
      <c r="L157" s="1159"/>
      <c r="M157" s="1159"/>
      <c r="N157" s="1159"/>
      <c r="O157" s="1159"/>
      <c r="P157" s="1159"/>
      <c r="Q157" s="1159"/>
      <c r="R157" s="1159"/>
      <c r="S157" s="1159"/>
      <c r="T157" s="1159"/>
      <c r="U157" s="1159"/>
      <c r="V157" s="1159"/>
      <c r="W157" s="1159"/>
      <c r="X157" s="1159"/>
      <c r="Y157" s="1159"/>
      <c r="Z157" s="1159"/>
      <c r="AA157" s="1159"/>
      <c r="AB157" s="1160"/>
      <c r="AC157" s="1160"/>
      <c r="AD157" s="1160"/>
      <c r="AE157" s="1160"/>
    </row>
    <row r="158" ht="15.0" customHeight="1">
      <c r="A158" s="1158"/>
      <c r="B158" s="1158"/>
      <c r="C158" s="1159"/>
      <c r="D158" s="1159"/>
      <c r="E158" s="1159"/>
      <c r="F158" s="1159"/>
      <c r="G158" s="1159"/>
      <c r="H158" s="1159"/>
      <c r="I158" s="1159"/>
      <c r="J158" s="1159"/>
      <c r="K158" s="1159"/>
      <c r="L158" s="1159"/>
      <c r="M158" s="1159"/>
      <c r="N158" s="1159"/>
      <c r="O158" s="1159"/>
      <c r="P158" s="1159"/>
      <c r="Q158" s="1159"/>
      <c r="R158" s="1159"/>
      <c r="S158" s="1159"/>
      <c r="T158" s="1159"/>
      <c r="U158" s="1159"/>
      <c r="V158" s="1159"/>
      <c r="W158" s="1159"/>
      <c r="X158" s="1159"/>
      <c r="Y158" s="1159"/>
      <c r="Z158" s="1159"/>
      <c r="AA158" s="1159"/>
      <c r="AB158" s="1160"/>
      <c r="AC158" s="1160"/>
      <c r="AD158" s="1160"/>
      <c r="AE158" s="1160"/>
    </row>
    <row r="159" ht="15.0" customHeight="1">
      <c r="A159" s="1158"/>
      <c r="B159" s="1158"/>
      <c r="C159" s="1159"/>
      <c r="D159" s="1159"/>
      <c r="E159" s="1159"/>
      <c r="F159" s="1159"/>
      <c r="G159" s="1159"/>
      <c r="H159" s="1159"/>
      <c r="I159" s="1159"/>
      <c r="J159" s="1159"/>
      <c r="K159" s="1159"/>
      <c r="L159" s="1159"/>
      <c r="M159" s="1159"/>
      <c r="N159" s="1159"/>
      <c r="O159" s="1159"/>
      <c r="P159" s="1159"/>
      <c r="Q159" s="1159"/>
      <c r="R159" s="1159"/>
      <c r="S159" s="1159"/>
      <c r="T159" s="1159"/>
      <c r="U159" s="1159"/>
      <c r="V159" s="1159"/>
      <c r="W159" s="1159"/>
      <c r="X159" s="1159"/>
      <c r="Y159" s="1159"/>
      <c r="Z159" s="1159"/>
      <c r="AA159" s="1159"/>
      <c r="AB159" s="1160"/>
      <c r="AC159" s="1160"/>
      <c r="AD159" s="1160"/>
      <c r="AE159" s="1160"/>
    </row>
    <row r="160" ht="15.0" customHeight="1">
      <c r="A160" s="1158"/>
      <c r="B160" s="1158"/>
      <c r="C160" s="1159"/>
      <c r="D160" s="1159"/>
      <c r="E160" s="1159"/>
      <c r="F160" s="1159"/>
      <c r="G160" s="1159"/>
      <c r="H160" s="1159"/>
      <c r="I160" s="1159"/>
      <c r="J160" s="1159"/>
      <c r="K160" s="1159"/>
      <c r="L160" s="1159"/>
      <c r="M160" s="1159"/>
      <c r="N160" s="1159"/>
      <c r="O160" s="1159"/>
      <c r="P160" s="1159"/>
      <c r="Q160" s="1159"/>
      <c r="R160" s="1159"/>
      <c r="S160" s="1159"/>
      <c r="T160" s="1159"/>
      <c r="U160" s="1159"/>
      <c r="V160" s="1159"/>
      <c r="W160" s="1159"/>
      <c r="X160" s="1159"/>
      <c r="Y160" s="1159"/>
      <c r="Z160" s="1159"/>
      <c r="AA160" s="1159"/>
      <c r="AB160" s="1160"/>
      <c r="AC160" s="1160"/>
      <c r="AD160" s="1160"/>
      <c r="AE160" s="1160"/>
    </row>
    <row r="161" ht="15.0" customHeight="1">
      <c r="A161" s="1158"/>
      <c r="B161" s="1158"/>
      <c r="C161" s="1159"/>
      <c r="D161" s="1159"/>
      <c r="E161" s="1159"/>
      <c r="F161" s="1159"/>
      <c r="G161" s="1159"/>
      <c r="H161" s="1159"/>
      <c r="I161" s="1159"/>
      <c r="J161" s="1159"/>
      <c r="K161" s="1159"/>
      <c r="L161" s="1159"/>
      <c r="M161" s="1159"/>
      <c r="N161" s="1159"/>
      <c r="O161" s="1159"/>
      <c r="P161" s="1159"/>
      <c r="Q161" s="1159"/>
      <c r="R161" s="1159"/>
      <c r="S161" s="1159"/>
      <c r="T161" s="1159"/>
      <c r="U161" s="1159"/>
      <c r="V161" s="1159"/>
      <c r="W161" s="1159"/>
      <c r="X161" s="1159"/>
      <c r="Y161" s="1159"/>
      <c r="Z161" s="1159"/>
      <c r="AA161" s="1159"/>
      <c r="AB161" s="1160"/>
      <c r="AC161" s="1160"/>
      <c r="AD161" s="1160"/>
      <c r="AE161" s="1160"/>
    </row>
    <row r="162" ht="15.0" customHeight="1">
      <c r="A162" s="1158"/>
      <c r="B162" s="1158"/>
      <c r="C162" s="1159"/>
      <c r="D162" s="1159"/>
      <c r="E162" s="1159"/>
      <c r="F162" s="1159"/>
      <c r="G162" s="1159"/>
      <c r="H162" s="1159"/>
      <c r="I162" s="1159"/>
      <c r="J162" s="1159"/>
      <c r="K162" s="1159"/>
      <c r="L162" s="1159"/>
      <c r="M162" s="1159"/>
      <c r="N162" s="1159"/>
      <c r="O162" s="1159"/>
      <c r="P162" s="1159"/>
      <c r="Q162" s="1159"/>
      <c r="R162" s="1159"/>
      <c r="S162" s="1159"/>
      <c r="T162" s="1159"/>
      <c r="U162" s="1159"/>
      <c r="V162" s="1159"/>
      <c r="W162" s="1159"/>
      <c r="X162" s="1159"/>
      <c r="Y162" s="1159"/>
      <c r="Z162" s="1159"/>
      <c r="AA162" s="1159"/>
      <c r="AB162" s="1160"/>
      <c r="AC162" s="1160"/>
      <c r="AD162" s="1160"/>
      <c r="AE162" s="1160"/>
    </row>
    <row r="163" ht="15.0" customHeight="1">
      <c r="A163" s="1158"/>
      <c r="B163" s="1158"/>
      <c r="C163" s="1159"/>
      <c r="D163" s="1159"/>
      <c r="E163" s="1159"/>
      <c r="F163" s="1159"/>
      <c r="G163" s="1159"/>
      <c r="H163" s="1159"/>
      <c r="I163" s="1159"/>
      <c r="J163" s="1159"/>
      <c r="K163" s="1159"/>
      <c r="L163" s="1159"/>
      <c r="M163" s="1159"/>
      <c r="N163" s="1159"/>
      <c r="O163" s="1159"/>
      <c r="P163" s="1159"/>
      <c r="Q163" s="1159"/>
      <c r="R163" s="1159"/>
      <c r="S163" s="1159"/>
      <c r="T163" s="1159"/>
      <c r="U163" s="1159"/>
      <c r="V163" s="1159"/>
      <c r="W163" s="1159"/>
      <c r="X163" s="1159"/>
      <c r="Y163" s="1159"/>
      <c r="Z163" s="1159"/>
      <c r="AA163" s="1159"/>
      <c r="AB163" s="1160"/>
      <c r="AC163" s="1160"/>
      <c r="AD163" s="1160"/>
      <c r="AE163" s="1160"/>
    </row>
    <row r="164" ht="15.0" customHeight="1">
      <c r="A164" s="1158"/>
      <c r="B164" s="1158"/>
      <c r="C164" s="1159"/>
      <c r="D164" s="1159"/>
      <c r="E164" s="1159"/>
      <c r="F164" s="1159"/>
      <c r="G164" s="1159"/>
      <c r="H164" s="1159"/>
      <c r="I164" s="1159"/>
      <c r="J164" s="1159"/>
      <c r="K164" s="1159"/>
      <c r="L164" s="1159"/>
      <c r="M164" s="1159"/>
      <c r="N164" s="1159"/>
      <c r="O164" s="1159"/>
      <c r="P164" s="1159"/>
      <c r="Q164" s="1159"/>
      <c r="R164" s="1159"/>
      <c r="S164" s="1159"/>
      <c r="T164" s="1159"/>
      <c r="U164" s="1159"/>
      <c r="V164" s="1159"/>
      <c r="W164" s="1159"/>
      <c r="X164" s="1159"/>
      <c r="Y164" s="1159"/>
      <c r="Z164" s="1159"/>
      <c r="AA164" s="1159"/>
      <c r="AB164" s="1160"/>
      <c r="AC164" s="1160"/>
      <c r="AD164" s="1160"/>
      <c r="AE164" s="1160"/>
    </row>
    <row r="165" ht="15.0" customHeight="1">
      <c r="A165" s="1158"/>
      <c r="B165" s="1158"/>
      <c r="C165" s="1159"/>
      <c r="D165" s="1159"/>
      <c r="E165" s="1159"/>
      <c r="F165" s="1159"/>
      <c r="G165" s="1159"/>
      <c r="H165" s="1159"/>
      <c r="I165" s="1159"/>
      <c r="J165" s="1159"/>
      <c r="K165" s="1159"/>
      <c r="L165" s="1159"/>
      <c r="M165" s="1159"/>
      <c r="N165" s="1159"/>
      <c r="O165" s="1159"/>
      <c r="P165" s="1159"/>
      <c r="Q165" s="1159"/>
      <c r="R165" s="1159"/>
      <c r="S165" s="1159"/>
      <c r="T165" s="1159"/>
      <c r="U165" s="1159"/>
      <c r="V165" s="1159"/>
      <c r="W165" s="1159"/>
      <c r="X165" s="1159"/>
      <c r="Y165" s="1159"/>
      <c r="Z165" s="1159"/>
      <c r="AA165" s="1159"/>
      <c r="AB165" s="1160"/>
      <c r="AC165" s="1160"/>
      <c r="AD165" s="1160"/>
      <c r="AE165" s="1160"/>
    </row>
    <row r="166" ht="15.0" customHeight="1">
      <c r="A166" s="1158"/>
      <c r="B166" s="1158"/>
      <c r="C166" s="1159"/>
      <c r="D166" s="1159"/>
      <c r="E166" s="1159"/>
      <c r="F166" s="1159"/>
      <c r="G166" s="1159"/>
      <c r="H166" s="1159"/>
      <c r="I166" s="1159"/>
      <c r="J166" s="1159"/>
      <c r="K166" s="1159"/>
      <c r="L166" s="1159"/>
      <c r="M166" s="1159"/>
      <c r="N166" s="1159"/>
      <c r="O166" s="1159"/>
      <c r="P166" s="1159"/>
      <c r="Q166" s="1159"/>
      <c r="R166" s="1159"/>
      <c r="S166" s="1159"/>
      <c r="T166" s="1159"/>
      <c r="U166" s="1159"/>
      <c r="V166" s="1159"/>
      <c r="W166" s="1159"/>
      <c r="X166" s="1159"/>
      <c r="Y166" s="1159"/>
      <c r="Z166" s="1159"/>
      <c r="AA166" s="1159"/>
      <c r="AB166" s="1160"/>
      <c r="AC166" s="1160"/>
      <c r="AD166" s="1160"/>
      <c r="AE166" s="1160"/>
    </row>
    <row r="167" ht="15.0" customHeight="1">
      <c r="A167" s="1158"/>
      <c r="B167" s="1158"/>
      <c r="C167" s="1159"/>
      <c r="D167" s="1159"/>
      <c r="E167" s="1159"/>
      <c r="F167" s="1159"/>
      <c r="G167" s="1159"/>
      <c r="H167" s="1159"/>
      <c r="I167" s="1159"/>
      <c r="J167" s="1159"/>
      <c r="K167" s="1159"/>
      <c r="L167" s="1159"/>
      <c r="M167" s="1159"/>
      <c r="N167" s="1159"/>
      <c r="O167" s="1159"/>
      <c r="P167" s="1159"/>
      <c r="Q167" s="1159"/>
      <c r="R167" s="1159"/>
      <c r="S167" s="1159"/>
      <c r="T167" s="1159"/>
      <c r="U167" s="1159"/>
      <c r="V167" s="1159"/>
      <c r="W167" s="1159"/>
      <c r="X167" s="1159"/>
      <c r="Y167" s="1159"/>
      <c r="Z167" s="1159"/>
      <c r="AA167" s="1159"/>
      <c r="AB167" s="1160"/>
      <c r="AC167" s="1160"/>
      <c r="AD167" s="1160"/>
      <c r="AE167" s="1160"/>
    </row>
    <row r="168" ht="15.0" customHeight="1">
      <c r="A168" s="1158"/>
      <c r="B168" s="1158"/>
      <c r="C168" s="1159"/>
      <c r="D168" s="1159"/>
      <c r="E168" s="1159"/>
      <c r="F168" s="1159"/>
      <c r="G168" s="1159"/>
      <c r="H168" s="1159"/>
      <c r="I168" s="1159"/>
      <c r="J168" s="1159"/>
      <c r="K168" s="1159"/>
      <c r="L168" s="1159"/>
      <c r="M168" s="1159"/>
      <c r="N168" s="1159"/>
      <c r="O168" s="1159"/>
      <c r="P168" s="1159"/>
      <c r="Q168" s="1159"/>
      <c r="R168" s="1159"/>
      <c r="S168" s="1159"/>
      <c r="T168" s="1159"/>
      <c r="U168" s="1159"/>
      <c r="V168" s="1159"/>
      <c r="W168" s="1159"/>
      <c r="X168" s="1159"/>
      <c r="Y168" s="1159"/>
      <c r="Z168" s="1159"/>
      <c r="AA168" s="1159"/>
      <c r="AB168" s="1160"/>
      <c r="AC168" s="1160"/>
      <c r="AD168" s="1160"/>
      <c r="AE168" s="1160"/>
    </row>
    <row r="169" ht="15.0" customHeight="1">
      <c r="A169" s="1158"/>
      <c r="B169" s="1158"/>
      <c r="C169" s="1159"/>
      <c r="D169" s="1159"/>
      <c r="E169" s="1159"/>
      <c r="F169" s="1159"/>
      <c r="G169" s="1159"/>
      <c r="H169" s="1159"/>
      <c r="I169" s="1159"/>
      <c r="J169" s="1159"/>
      <c r="K169" s="1159"/>
      <c r="L169" s="1159"/>
      <c r="M169" s="1159"/>
      <c r="N169" s="1159"/>
      <c r="O169" s="1159"/>
      <c r="P169" s="1159"/>
      <c r="Q169" s="1159"/>
      <c r="R169" s="1159"/>
      <c r="S169" s="1159"/>
      <c r="T169" s="1159"/>
      <c r="U169" s="1159"/>
      <c r="V169" s="1159"/>
      <c r="W169" s="1159"/>
      <c r="X169" s="1159"/>
      <c r="Y169" s="1159"/>
      <c r="Z169" s="1159"/>
      <c r="AA169" s="1159"/>
      <c r="AB169" s="1160"/>
      <c r="AC169" s="1160"/>
      <c r="AD169" s="1160"/>
      <c r="AE169" s="1160"/>
    </row>
    <row r="170" ht="15.0" customHeight="1">
      <c r="A170" s="1158"/>
      <c r="B170" s="1158"/>
      <c r="C170" s="1159"/>
      <c r="D170" s="1159"/>
      <c r="E170" s="1159"/>
      <c r="F170" s="1159"/>
      <c r="G170" s="1159"/>
      <c r="H170" s="1159"/>
      <c r="I170" s="1159"/>
      <c r="J170" s="1159"/>
      <c r="K170" s="1159"/>
      <c r="L170" s="1159"/>
      <c r="M170" s="1159"/>
      <c r="N170" s="1159"/>
      <c r="O170" s="1159"/>
      <c r="P170" s="1159"/>
      <c r="Q170" s="1159"/>
      <c r="R170" s="1159"/>
      <c r="S170" s="1159"/>
      <c r="T170" s="1159"/>
      <c r="U170" s="1159"/>
      <c r="V170" s="1159"/>
      <c r="W170" s="1159"/>
      <c r="X170" s="1159"/>
      <c r="Y170" s="1159"/>
      <c r="Z170" s="1159"/>
      <c r="AA170" s="1159"/>
      <c r="AB170" s="1160"/>
      <c r="AC170" s="1160"/>
      <c r="AD170" s="1160"/>
      <c r="AE170" s="1160"/>
    </row>
    <row r="171" ht="15.0" customHeight="1">
      <c r="A171" s="1158"/>
      <c r="B171" s="1158"/>
      <c r="C171" s="1159"/>
      <c r="D171" s="1159"/>
      <c r="E171" s="1159"/>
      <c r="F171" s="1159"/>
      <c r="G171" s="1159"/>
      <c r="H171" s="1159"/>
      <c r="I171" s="1159"/>
      <c r="J171" s="1159"/>
      <c r="K171" s="1159"/>
      <c r="L171" s="1159"/>
      <c r="M171" s="1159"/>
      <c r="N171" s="1159"/>
      <c r="O171" s="1159"/>
      <c r="P171" s="1159"/>
      <c r="Q171" s="1159"/>
      <c r="R171" s="1159"/>
      <c r="S171" s="1159"/>
      <c r="T171" s="1159"/>
      <c r="U171" s="1159"/>
      <c r="V171" s="1159"/>
      <c r="W171" s="1159"/>
      <c r="X171" s="1159"/>
      <c r="Y171" s="1159"/>
      <c r="Z171" s="1159"/>
      <c r="AA171" s="1159"/>
      <c r="AB171" s="1160"/>
      <c r="AC171" s="1160"/>
      <c r="AD171" s="1160"/>
      <c r="AE171" s="1160"/>
    </row>
    <row r="172" ht="15.0" customHeight="1">
      <c r="A172" s="1158"/>
      <c r="B172" s="1158"/>
      <c r="C172" s="1159"/>
      <c r="D172" s="1159"/>
      <c r="E172" s="1159"/>
      <c r="F172" s="1159"/>
      <c r="G172" s="1159"/>
      <c r="H172" s="1159"/>
      <c r="I172" s="1159"/>
      <c r="J172" s="1159"/>
      <c r="K172" s="1159"/>
      <c r="L172" s="1159"/>
      <c r="M172" s="1159"/>
      <c r="N172" s="1159"/>
      <c r="O172" s="1159"/>
      <c r="P172" s="1159"/>
      <c r="Q172" s="1159"/>
      <c r="R172" s="1159"/>
      <c r="S172" s="1159"/>
      <c r="T172" s="1159"/>
      <c r="U172" s="1159"/>
      <c r="V172" s="1159"/>
      <c r="W172" s="1159"/>
      <c r="X172" s="1159"/>
      <c r="Y172" s="1159"/>
      <c r="Z172" s="1159"/>
      <c r="AA172" s="1159"/>
      <c r="AB172" s="1160"/>
      <c r="AC172" s="1160"/>
      <c r="AD172" s="1160"/>
      <c r="AE172" s="1160"/>
    </row>
    <row r="173" ht="15.0" customHeight="1">
      <c r="A173" s="1158"/>
      <c r="B173" s="1158"/>
      <c r="C173" s="1159"/>
      <c r="D173" s="1159"/>
      <c r="E173" s="1159"/>
      <c r="F173" s="1159"/>
      <c r="G173" s="1159"/>
      <c r="H173" s="1159"/>
      <c r="I173" s="1159"/>
      <c r="J173" s="1159"/>
      <c r="K173" s="1159"/>
      <c r="L173" s="1159"/>
      <c r="M173" s="1159"/>
      <c r="N173" s="1159"/>
      <c r="O173" s="1159"/>
      <c r="P173" s="1159"/>
      <c r="Q173" s="1159"/>
      <c r="R173" s="1159"/>
      <c r="S173" s="1159"/>
      <c r="T173" s="1159"/>
      <c r="U173" s="1159"/>
      <c r="V173" s="1159"/>
      <c r="W173" s="1159"/>
      <c r="X173" s="1159"/>
      <c r="Y173" s="1159"/>
      <c r="Z173" s="1159"/>
      <c r="AA173" s="1159"/>
      <c r="AB173" s="1160"/>
      <c r="AC173" s="1160"/>
      <c r="AD173" s="1160"/>
      <c r="AE173" s="1160"/>
    </row>
    <row r="174" ht="15.0" customHeight="1">
      <c r="A174" s="1158"/>
      <c r="B174" s="1158"/>
      <c r="C174" s="1159"/>
      <c r="D174" s="1159"/>
      <c r="E174" s="1159"/>
      <c r="F174" s="1159"/>
      <c r="G174" s="1159"/>
      <c r="H174" s="1159"/>
      <c r="I174" s="1159"/>
      <c r="J174" s="1159"/>
      <c r="K174" s="1159"/>
      <c r="L174" s="1159"/>
      <c r="M174" s="1159"/>
      <c r="N174" s="1159"/>
      <c r="O174" s="1159"/>
      <c r="P174" s="1159"/>
      <c r="Q174" s="1159"/>
      <c r="R174" s="1159"/>
      <c r="S174" s="1159"/>
      <c r="T174" s="1159"/>
      <c r="U174" s="1159"/>
      <c r="V174" s="1159"/>
      <c r="W174" s="1159"/>
      <c r="X174" s="1159"/>
      <c r="Y174" s="1159"/>
      <c r="Z174" s="1159"/>
      <c r="AA174" s="1159"/>
      <c r="AB174" s="1160"/>
      <c r="AC174" s="1160"/>
      <c r="AD174" s="1160"/>
      <c r="AE174" s="1160"/>
    </row>
    <row r="175" ht="15.0" customHeight="1">
      <c r="A175" s="1158"/>
      <c r="B175" s="1158"/>
      <c r="C175" s="1159"/>
      <c r="D175" s="1159"/>
      <c r="E175" s="1159"/>
      <c r="F175" s="1159"/>
      <c r="G175" s="1159"/>
      <c r="H175" s="1159"/>
      <c r="I175" s="1159"/>
      <c r="J175" s="1159"/>
      <c r="K175" s="1159"/>
      <c r="L175" s="1159"/>
      <c r="M175" s="1159"/>
      <c r="N175" s="1159"/>
      <c r="O175" s="1159"/>
      <c r="P175" s="1159"/>
      <c r="Q175" s="1159"/>
      <c r="R175" s="1159"/>
      <c r="S175" s="1159"/>
      <c r="T175" s="1159"/>
      <c r="U175" s="1159"/>
      <c r="V175" s="1159"/>
      <c r="W175" s="1159"/>
      <c r="X175" s="1159"/>
      <c r="Y175" s="1159"/>
      <c r="Z175" s="1159"/>
      <c r="AA175" s="1159"/>
      <c r="AB175" s="1160"/>
      <c r="AC175" s="1160"/>
      <c r="AD175" s="1160"/>
      <c r="AE175" s="1160"/>
    </row>
    <row r="176" ht="15.0" customHeight="1">
      <c r="A176" s="1158"/>
      <c r="B176" s="1158"/>
      <c r="C176" s="1159"/>
      <c r="D176" s="1159"/>
      <c r="E176" s="1159"/>
      <c r="F176" s="1159"/>
      <c r="G176" s="1159"/>
      <c r="H176" s="1159"/>
      <c r="I176" s="1159"/>
      <c r="J176" s="1159"/>
      <c r="K176" s="1159"/>
      <c r="L176" s="1159"/>
      <c r="M176" s="1159"/>
      <c r="N176" s="1159"/>
      <c r="O176" s="1159"/>
      <c r="P176" s="1159"/>
      <c r="Q176" s="1159"/>
      <c r="R176" s="1159"/>
      <c r="S176" s="1159"/>
      <c r="T176" s="1159"/>
      <c r="U176" s="1159"/>
      <c r="V176" s="1159"/>
      <c r="W176" s="1159"/>
      <c r="X176" s="1159"/>
      <c r="Y176" s="1159"/>
      <c r="Z176" s="1159"/>
      <c r="AA176" s="1159"/>
      <c r="AB176" s="1160"/>
      <c r="AC176" s="1160"/>
      <c r="AD176" s="1160"/>
      <c r="AE176" s="1160"/>
    </row>
    <row r="177" ht="15.0" customHeight="1">
      <c r="A177" s="1158"/>
      <c r="B177" s="1158"/>
      <c r="C177" s="1159"/>
      <c r="D177" s="1159"/>
      <c r="E177" s="1159"/>
      <c r="F177" s="1159"/>
      <c r="G177" s="1159"/>
      <c r="H177" s="1159"/>
      <c r="I177" s="1159"/>
      <c r="J177" s="1159"/>
      <c r="K177" s="1159"/>
      <c r="L177" s="1159"/>
      <c r="M177" s="1159"/>
      <c r="N177" s="1159"/>
      <c r="O177" s="1159"/>
      <c r="P177" s="1159"/>
      <c r="Q177" s="1159"/>
      <c r="R177" s="1159"/>
      <c r="S177" s="1159"/>
      <c r="T177" s="1159"/>
      <c r="U177" s="1159"/>
      <c r="V177" s="1159"/>
      <c r="W177" s="1159"/>
      <c r="X177" s="1159"/>
      <c r="Y177" s="1159"/>
      <c r="Z177" s="1159"/>
      <c r="AA177" s="1159"/>
      <c r="AB177" s="1160"/>
      <c r="AC177" s="1160"/>
      <c r="AD177" s="1160"/>
      <c r="AE177" s="1160"/>
    </row>
    <row r="178" ht="15.0" customHeight="1">
      <c r="A178" s="1158"/>
      <c r="B178" s="1158"/>
      <c r="C178" s="1159"/>
      <c r="D178" s="1159"/>
      <c r="E178" s="1159"/>
      <c r="F178" s="1159"/>
      <c r="G178" s="1159"/>
      <c r="H178" s="1159"/>
      <c r="I178" s="1159"/>
      <c r="J178" s="1159"/>
      <c r="K178" s="1159"/>
      <c r="L178" s="1159"/>
      <c r="M178" s="1159"/>
      <c r="N178" s="1159"/>
      <c r="O178" s="1159"/>
      <c r="P178" s="1159"/>
      <c r="Q178" s="1159"/>
      <c r="R178" s="1159"/>
      <c r="S178" s="1159"/>
      <c r="T178" s="1159"/>
      <c r="U178" s="1159"/>
      <c r="V178" s="1159"/>
      <c r="W178" s="1159"/>
      <c r="X178" s="1159"/>
      <c r="Y178" s="1159"/>
      <c r="Z178" s="1159"/>
      <c r="AA178" s="1159"/>
      <c r="AB178" s="1160"/>
      <c r="AC178" s="1160"/>
      <c r="AD178" s="1160"/>
      <c r="AE178" s="1160"/>
    </row>
    <row r="179" ht="15.0" customHeight="1">
      <c r="A179" s="1158"/>
      <c r="B179" s="1158"/>
      <c r="C179" s="1159"/>
      <c r="D179" s="1159"/>
      <c r="E179" s="1159"/>
      <c r="F179" s="1159"/>
      <c r="G179" s="1159"/>
      <c r="H179" s="1159"/>
      <c r="I179" s="1159"/>
      <c r="J179" s="1159"/>
      <c r="K179" s="1159"/>
      <c r="L179" s="1159"/>
      <c r="M179" s="1159"/>
      <c r="N179" s="1159"/>
      <c r="O179" s="1159"/>
      <c r="P179" s="1159"/>
      <c r="Q179" s="1159"/>
      <c r="R179" s="1159"/>
      <c r="S179" s="1159"/>
      <c r="T179" s="1159"/>
      <c r="U179" s="1159"/>
      <c r="V179" s="1159"/>
      <c r="W179" s="1159"/>
      <c r="X179" s="1159"/>
      <c r="Y179" s="1159"/>
      <c r="Z179" s="1159"/>
      <c r="AA179" s="1159"/>
      <c r="AB179" s="1160"/>
      <c r="AC179" s="1160"/>
      <c r="AD179" s="1160"/>
      <c r="AE179" s="1160"/>
    </row>
    <row r="180" ht="15.0" customHeight="1">
      <c r="A180" s="1158"/>
      <c r="B180" s="1158"/>
      <c r="C180" s="1159"/>
      <c r="D180" s="1159"/>
      <c r="E180" s="1159"/>
      <c r="F180" s="1159"/>
      <c r="G180" s="1159"/>
      <c r="H180" s="1159"/>
      <c r="I180" s="1159"/>
      <c r="J180" s="1159"/>
      <c r="K180" s="1159"/>
      <c r="L180" s="1159"/>
      <c r="M180" s="1159"/>
      <c r="N180" s="1159"/>
      <c r="O180" s="1159"/>
      <c r="P180" s="1159"/>
      <c r="Q180" s="1159"/>
      <c r="R180" s="1159"/>
      <c r="S180" s="1159"/>
      <c r="T180" s="1159"/>
      <c r="U180" s="1159"/>
      <c r="V180" s="1159"/>
      <c r="W180" s="1159"/>
      <c r="X180" s="1159"/>
      <c r="Y180" s="1159"/>
      <c r="Z180" s="1159"/>
      <c r="AA180" s="1159"/>
      <c r="AB180" s="1160"/>
      <c r="AC180" s="1160"/>
      <c r="AD180" s="1160"/>
      <c r="AE180" s="1160"/>
    </row>
    <row r="181" ht="15.0" customHeight="1">
      <c r="A181" s="1158"/>
      <c r="B181" s="1158"/>
      <c r="C181" s="1159"/>
      <c r="D181" s="1159"/>
      <c r="E181" s="1159"/>
      <c r="F181" s="1159"/>
      <c r="G181" s="1159"/>
      <c r="H181" s="1159"/>
      <c r="I181" s="1159"/>
      <c r="J181" s="1159"/>
      <c r="K181" s="1159"/>
      <c r="L181" s="1159"/>
      <c r="M181" s="1159"/>
      <c r="N181" s="1159"/>
      <c r="O181" s="1159"/>
      <c r="P181" s="1159"/>
      <c r="Q181" s="1159"/>
      <c r="R181" s="1159"/>
      <c r="S181" s="1159"/>
      <c r="T181" s="1159"/>
      <c r="U181" s="1159"/>
      <c r="V181" s="1159"/>
      <c r="W181" s="1159"/>
      <c r="X181" s="1159"/>
      <c r="Y181" s="1159"/>
      <c r="Z181" s="1159"/>
      <c r="AA181" s="1159"/>
      <c r="AB181" s="1160"/>
      <c r="AC181" s="1160"/>
      <c r="AD181" s="1160"/>
      <c r="AE181" s="1160"/>
    </row>
    <row r="182" ht="15.0" customHeight="1">
      <c r="A182" s="1158"/>
      <c r="B182" s="1158"/>
      <c r="C182" s="1159"/>
      <c r="D182" s="1159"/>
      <c r="E182" s="1159"/>
      <c r="F182" s="1159"/>
      <c r="G182" s="1159"/>
      <c r="H182" s="1159"/>
      <c r="I182" s="1159"/>
      <c r="J182" s="1159"/>
      <c r="K182" s="1159"/>
      <c r="L182" s="1159"/>
      <c r="M182" s="1159"/>
      <c r="N182" s="1159"/>
      <c r="O182" s="1159"/>
      <c r="P182" s="1159"/>
      <c r="Q182" s="1159"/>
      <c r="R182" s="1159"/>
      <c r="S182" s="1159"/>
      <c r="T182" s="1159"/>
      <c r="U182" s="1159"/>
      <c r="V182" s="1159"/>
      <c r="W182" s="1159"/>
      <c r="X182" s="1159"/>
      <c r="Y182" s="1159"/>
      <c r="Z182" s="1159"/>
      <c r="AA182" s="1159"/>
      <c r="AB182" s="1160"/>
      <c r="AC182" s="1160"/>
      <c r="AD182" s="1160"/>
      <c r="AE182" s="1160"/>
    </row>
    <row r="183" ht="15.0" customHeight="1">
      <c r="A183" s="1158"/>
      <c r="B183" s="1158"/>
      <c r="C183" s="1159"/>
      <c r="D183" s="1159"/>
      <c r="E183" s="1159"/>
      <c r="F183" s="1159"/>
      <c r="G183" s="1159"/>
      <c r="H183" s="1159"/>
      <c r="I183" s="1159"/>
      <c r="J183" s="1159"/>
      <c r="K183" s="1159"/>
      <c r="L183" s="1159"/>
      <c r="M183" s="1159"/>
      <c r="N183" s="1159"/>
      <c r="O183" s="1159"/>
      <c r="P183" s="1159"/>
      <c r="Q183" s="1159"/>
      <c r="R183" s="1159"/>
      <c r="S183" s="1159"/>
      <c r="T183" s="1159"/>
      <c r="U183" s="1159"/>
      <c r="V183" s="1159"/>
      <c r="W183" s="1159"/>
      <c r="X183" s="1159"/>
      <c r="Y183" s="1159"/>
      <c r="Z183" s="1159"/>
      <c r="AA183" s="1159"/>
      <c r="AB183" s="1160"/>
      <c r="AC183" s="1160"/>
      <c r="AD183" s="1160"/>
      <c r="AE183" s="1160"/>
    </row>
    <row r="184" ht="15.0" customHeight="1">
      <c r="A184" s="1158"/>
      <c r="B184" s="1158"/>
      <c r="C184" s="1159"/>
      <c r="D184" s="1159"/>
      <c r="E184" s="1159"/>
      <c r="F184" s="1159"/>
      <c r="G184" s="1159"/>
      <c r="H184" s="1159"/>
      <c r="I184" s="1159"/>
      <c r="J184" s="1159"/>
      <c r="K184" s="1159"/>
      <c r="L184" s="1159"/>
      <c r="M184" s="1159"/>
      <c r="N184" s="1159"/>
      <c r="O184" s="1159"/>
      <c r="P184" s="1159"/>
      <c r="Q184" s="1159"/>
      <c r="R184" s="1159"/>
      <c r="S184" s="1159"/>
      <c r="T184" s="1159"/>
      <c r="U184" s="1159"/>
      <c r="V184" s="1159"/>
      <c r="W184" s="1159"/>
      <c r="X184" s="1159"/>
      <c r="Y184" s="1159"/>
      <c r="Z184" s="1159"/>
      <c r="AA184" s="1159"/>
      <c r="AB184" s="1160"/>
      <c r="AC184" s="1160"/>
      <c r="AD184" s="1160"/>
      <c r="AE184" s="1160"/>
    </row>
    <row r="185" ht="15.0" customHeight="1">
      <c r="A185" s="1158"/>
      <c r="B185" s="1158"/>
      <c r="C185" s="1159"/>
      <c r="D185" s="1159"/>
      <c r="E185" s="1159"/>
      <c r="F185" s="1159"/>
      <c r="G185" s="1159"/>
      <c r="H185" s="1159"/>
      <c r="I185" s="1159"/>
      <c r="J185" s="1159"/>
      <c r="K185" s="1159"/>
      <c r="L185" s="1159"/>
      <c r="M185" s="1159"/>
      <c r="N185" s="1159"/>
      <c r="O185" s="1159"/>
      <c r="P185" s="1159"/>
      <c r="Q185" s="1159"/>
      <c r="R185" s="1159"/>
      <c r="S185" s="1159"/>
      <c r="T185" s="1159"/>
      <c r="U185" s="1159"/>
      <c r="V185" s="1159"/>
      <c r="W185" s="1159"/>
      <c r="X185" s="1159"/>
      <c r="Y185" s="1159"/>
      <c r="Z185" s="1159"/>
      <c r="AA185" s="1159"/>
      <c r="AB185" s="1160"/>
      <c r="AC185" s="1160"/>
      <c r="AD185" s="1160"/>
      <c r="AE185" s="1160"/>
    </row>
    <row r="186" ht="15.0" customHeight="1">
      <c r="A186" s="1158"/>
      <c r="B186" s="1158"/>
      <c r="C186" s="1159"/>
      <c r="D186" s="1159"/>
      <c r="E186" s="1159"/>
      <c r="F186" s="1159"/>
      <c r="G186" s="1159"/>
      <c r="H186" s="1159"/>
      <c r="I186" s="1159"/>
      <c r="J186" s="1159"/>
      <c r="K186" s="1159"/>
      <c r="L186" s="1159"/>
      <c r="M186" s="1159"/>
      <c r="N186" s="1159"/>
      <c r="O186" s="1159"/>
      <c r="P186" s="1159"/>
      <c r="Q186" s="1159"/>
      <c r="R186" s="1159"/>
      <c r="S186" s="1159"/>
      <c r="T186" s="1159"/>
      <c r="U186" s="1159"/>
      <c r="V186" s="1159"/>
      <c r="W186" s="1159"/>
      <c r="X186" s="1159"/>
      <c r="Y186" s="1159"/>
      <c r="Z186" s="1159"/>
      <c r="AA186" s="1159"/>
      <c r="AB186" s="1160"/>
      <c r="AC186" s="1160"/>
      <c r="AD186" s="1160"/>
      <c r="AE186" s="1160"/>
    </row>
    <row r="187" ht="15.0" customHeight="1">
      <c r="A187" s="1158"/>
      <c r="B187" s="1158"/>
      <c r="C187" s="1159"/>
      <c r="D187" s="1159"/>
      <c r="E187" s="1159"/>
      <c r="F187" s="1159"/>
      <c r="G187" s="1159"/>
      <c r="H187" s="1159"/>
      <c r="I187" s="1159"/>
      <c r="J187" s="1159"/>
      <c r="K187" s="1159"/>
      <c r="L187" s="1159"/>
      <c r="M187" s="1159"/>
      <c r="N187" s="1159"/>
      <c r="O187" s="1159"/>
      <c r="P187" s="1159"/>
      <c r="Q187" s="1159"/>
      <c r="R187" s="1159"/>
      <c r="S187" s="1159"/>
      <c r="T187" s="1159"/>
      <c r="U187" s="1159"/>
      <c r="V187" s="1159"/>
      <c r="W187" s="1159"/>
      <c r="X187" s="1159"/>
      <c r="Y187" s="1159"/>
      <c r="Z187" s="1159"/>
      <c r="AA187" s="1159"/>
      <c r="AB187" s="1160"/>
      <c r="AC187" s="1160"/>
      <c r="AD187" s="1160"/>
      <c r="AE187" s="1160"/>
    </row>
    <row r="188" ht="15.0" customHeight="1">
      <c r="A188" s="1158"/>
      <c r="B188" s="1158"/>
      <c r="C188" s="1159"/>
      <c r="D188" s="1159"/>
      <c r="E188" s="1159"/>
      <c r="F188" s="1159"/>
      <c r="G188" s="1159"/>
      <c r="H188" s="1159"/>
      <c r="I188" s="1159"/>
      <c r="J188" s="1159"/>
      <c r="K188" s="1159"/>
      <c r="L188" s="1159"/>
      <c r="M188" s="1159"/>
      <c r="N188" s="1159"/>
      <c r="O188" s="1159"/>
      <c r="P188" s="1159"/>
      <c r="Q188" s="1159"/>
      <c r="R188" s="1159"/>
      <c r="S188" s="1159"/>
      <c r="T188" s="1159"/>
      <c r="U188" s="1159"/>
      <c r="V188" s="1159"/>
      <c r="W188" s="1159"/>
      <c r="X188" s="1159"/>
      <c r="Y188" s="1159"/>
      <c r="Z188" s="1159"/>
      <c r="AA188" s="1159"/>
      <c r="AB188" s="1160"/>
      <c r="AC188" s="1160"/>
      <c r="AD188" s="1160"/>
      <c r="AE188" s="1160"/>
    </row>
    <row r="189" ht="15.0" customHeight="1">
      <c r="A189" s="1158"/>
      <c r="B189" s="1158"/>
      <c r="C189" s="1159"/>
      <c r="D189" s="1159"/>
      <c r="E189" s="1159"/>
      <c r="F189" s="1159"/>
      <c r="G189" s="1159"/>
      <c r="H189" s="1159"/>
      <c r="I189" s="1159"/>
      <c r="J189" s="1159"/>
      <c r="K189" s="1159"/>
      <c r="L189" s="1159"/>
      <c r="M189" s="1159"/>
      <c r="N189" s="1159"/>
      <c r="O189" s="1159"/>
      <c r="P189" s="1159"/>
      <c r="Q189" s="1159"/>
      <c r="R189" s="1159"/>
      <c r="S189" s="1159"/>
      <c r="T189" s="1159"/>
      <c r="U189" s="1159"/>
      <c r="V189" s="1159"/>
      <c r="W189" s="1159"/>
      <c r="X189" s="1159"/>
      <c r="Y189" s="1159"/>
      <c r="Z189" s="1159"/>
      <c r="AA189" s="1159"/>
      <c r="AB189" s="1160"/>
      <c r="AC189" s="1160"/>
      <c r="AD189" s="1160"/>
      <c r="AE189" s="1160"/>
    </row>
    <row r="190" ht="15.0" customHeight="1">
      <c r="A190" s="1158"/>
      <c r="B190" s="1158"/>
      <c r="C190" s="1159"/>
      <c r="D190" s="1159"/>
      <c r="E190" s="1159"/>
      <c r="F190" s="1159"/>
      <c r="G190" s="1159"/>
      <c r="H190" s="1159"/>
      <c r="I190" s="1159"/>
      <c r="J190" s="1159"/>
      <c r="K190" s="1159"/>
      <c r="L190" s="1159"/>
      <c r="M190" s="1159"/>
      <c r="N190" s="1159"/>
      <c r="O190" s="1159"/>
      <c r="P190" s="1159"/>
      <c r="Q190" s="1159"/>
      <c r="R190" s="1159"/>
      <c r="S190" s="1159"/>
      <c r="T190" s="1159"/>
      <c r="U190" s="1159"/>
      <c r="V190" s="1159"/>
      <c r="W190" s="1159"/>
      <c r="X190" s="1159"/>
      <c r="Y190" s="1159"/>
      <c r="Z190" s="1159"/>
      <c r="AA190" s="1159"/>
      <c r="AB190" s="1160"/>
      <c r="AC190" s="1160"/>
      <c r="AD190" s="1160"/>
      <c r="AE190" s="1160"/>
    </row>
    <row r="191" ht="15.0" customHeight="1">
      <c r="A191" s="1158"/>
      <c r="B191" s="1158"/>
      <c r="C191" s="1159"/>
      <c r="D191" s="1159"/>
      <c r="E191" s="1159"/>
      <c r="F191" s="1159"/>
      <c r="G191" s="1159"/>
      <c r="H191" s="1159"/>
      <c r="I191" s="1159"/>
      <c r="J191" s="1159"/>
      <c r="K191" s="1159"/>
      <c r="L191" s="1159"/>
      <c r="M191" s="1159"/>
      <c r="N191" s="1159"/>
      <c r="O191" s="1159"/>
      <c r="P191" s="1159"/>
      <c r="Q191" s="1159"/>
      <c r="R191" s="1159"/>
      <c r="S191" s="1159"/>
      <c r="T191" s="1159"/>
      <c r="U191" s="1159"/>
      <c r="V191" s="1159"/>
      <c r="W191" s="1159"/>
      <c r="X191" s="1159"/>
      <c r="Y191" s="1159"/>
      <c r="Z191" s="1159"/>
      <c r="AA191" s="1159"/>
      <c r="AB191" s="1160"/>
      <c r="AC191" s="1160"/>
      <c r="AD191" s="1160"/>
      <c r="AE191" s="1160"/>
    </row>
    <row r="192" ht="15.0" customHeight="1">
      <c r="A192" s="1158"/>
      <c r="B192" s="1158"/>
      <c r="C192" s="1159"/>
      <c r="D192" s="1159"/>
      <c r="E192" s="1159"/>
      <c r="F192" s="1159"/>
      <c r="G192" s="1159"/>
      <c r="H192" s="1159"/>
      <c r="I192" s="1159"/>
      <c r="J192" s="1159"/>
      <c r="K192" s="1159"/>
      <c r="L192" s="1159"/>
      <c r="M192" s="1159"/>
      <c r="N192" s="1159"/>
      <c r="O192" s="1159"/>
      <c r="P192" s="1159"/>
      <c r="Q192" s="1159"/>
      <c r="R192" s="1159"/>
      <c r="S192" s="1159"/>
      <c r="T192" s="1159"/>
      <c r="U192" s="1159"/>
      <c r="V192" s="1159"/>
      <c r="W192" s="1159"/>
      <c r="X192" s="1159"/>
      <c r="Y192" s="1159"/>
      <c r="Z192" s="1159"/>
      <c r="AA192" s="1159"/>
      <c r="AB192" s="1160"/>
      <c r="AC192" s="1160"/>
      <c r="AD192" s="1160"/>
      <c r="AE192" s="1160"/>
    </row>
    <row r="193" ht="15.0" customHeight="1">
      <c r="A193" s="1158"/>
      <c r="B193" s="1158"/>
      <c r="C193" s="1159"/>
      <c r="D193" s="1159"/>
      <c r="E193" s="1159"/>
      <c r="F193" s="1159"/>
      <c r="G193" s="1159"/>
      <c r="H193" s="1159"/>
      <c r="I193" s="1159"/>
      <c r="J193" s="1159"/>
      <c r="K193" s="1159"/>
      <c r="L193" s="1159"/>
      <c r="M193" s="1159"/>
      <c r="N193" s="1159"/>
      <c r="O193" s="1159"/>
      <c r="P193" s="1159"/>
      <c r="Q193" s="1159"/>
      <c r="R193" s="1159"/>
      <c r="S193" s="1159"/>
      <c r="T193" s="1159"/>
      <c r="U193" s="1159"/>
      <c r="V193" s="1159"/>
      <c r="W193" s="1159"/>
      <c r="X193" s="1159"/>
      <c r="Y193" s="1159"/>
      <c r="Z193" s="1159"/>
      <c r="AA193" s="1159"/>
      <c r="AB193" s="1160"/>
      <c r="AC193" s="1160"/>
      <c r="AD193" s="1160"/>
      <c r="AE193" s="1160"/>
    </row>
    <row r="194" ht="15.0" customHeight="1">
      <c r="A194" s="1158"/>
      <c r="B194" s="1158"/>
      <c r="C194" s="1159"/>
      <c r="D194" s="1159"/>
      <c r="E194" s="1159"/>
      <c r="F194" s="1159"/>
      <c r="G194" s="1159"/>
      <c r="H194" s="1159"/>
      <c r="I194" s="1159"/>
      <c r="J194" s="1159"/>
      <c r="K194" s="1159"/>
      <c r="L194" s="1159"/>
      <c r="M194" s="1159"/>
      <c r="N194" s="1159"/>
      <c r="O194" s="1159"/>
      <c r="P194" s="1159"/>
      <c r="Q194" s="1159"/>
      <c r="R194" s="1159"/>
      <c r="S194" s="1159"/>
      <c r="T194" s="1159"/>
      <c r="U194" s="1159"/>
      <c r="V194" s="1159"/>
      <c r="W194" s="1159"/>
      <c r="X194" s="1159"/>
      <c r="Y194" s="1159"/>
      <c r="Z194" s="1159"/>
      <c r="AA194" s="1159"/>
      <c r="AB194" s="1160"/>
      <c r="AC194" s="1160"/>
      <c r="AD194" s="1160"/>
      <c r="AE194" s="1160"/>
    </row>
    <row r="195" ht="15.0" customHeight="1">
      <c r="A195" s="1158"/>
      <c r="B195" s="1158"/>
      <c r="C195" s="1159"/>
      <c r="D195" s="1159"/>
      <c r="E195" s="1159"/>
      <c r="F195" s="1159"/>
      <c r="G195" s="1159"/>
      <c r="H195" s="1159"/>
      <c r="I195" s="1159"/>
      <c r="J195" s="1159"/>
      <c r="K195" s="1159"/>
      <c r="L195" s="1159"/>
      <c r="M195" s="1159"/>
      <c r="N195" s="1159"/>
      <c r="O195" s="1159"/>
      <c r="P195" s="1159"/>
      <c r="Q195" s="1159"/>
      <c r="R195" s="1159"/>
      <c r="S195" s="1159"/>
      <c r="T195" s="1159"/>
      <c r="U195" s="1159"/>
      <c r="V195" s="1159"/>
      <c r="W195" s="1159"/>
      <c r="X195" s="1159"/>
      <c r="Y195" s="1159"/>
      <c r="Z195" s="1159"/>
      <c r="AA195" s="1159"/>
      <c r="AB195" s="1160"/>
      <c r="AC195" s="1160"/>
      <c r="AD195" s="1160"/>
      <c r="AE195" s="1160"/>
    </row>
    <row r="196" ht="15.0" customHeight="1">
      <c r="A196" s="1158"/>
      <c r="B196" s="1158"/>
      <c r="C196" s="1159"/>
      <c r="D196" s="1159"/>
      <c r="E196" s="1159"/>
      <c r="F196" s="1159"/>
      <c r="G196" s="1159"/>
      <c r="H196" s="1159"/>
      <c r="I196" s="1159"/>
      <c r="J196" s="1159"/>
      <c r="K196" s="1159"/>
      <c r="L196" s="1159"/>
      <c r="M196" s="1159"/>
      <c r="N196" s="1159"/>
      <c r="O196" s="1159"/>
      <c r="P196" s="1159"/>
      <c r="Q196" s="1159"/>
      <c r="R196" s="1159"/>
      <c r="S196" s="1159"/>
      <c r="T196" s="1159"/>
      <c r="U196" s="1159"/>
      <c r="V196" s="1159"/>
      <c r="W196" s="1159"/>
      <c r="X196" s="1159"/>
      <c r="Y196" s="1159"/>
      <c r="Z196" s="1159"/>
      <c r="AA196" s="1159"/>
      <c r="AB196" s="1160"/>
      <c r="AC196" s="1160"/>
      <c r="AD196" s="1160"/>
      <c r="AE196" s="1160"/>
    </row>
    <row r="197" ht="15.0" customHeight="1">
      <c r="A197" s="1158"/>
      <c r="B197" s="1158"/>
      <c r="C197" s="1159"/>
      <c r="D197" s="1159"/>
      <c r="E197" s="1159"/>
      <c r="F197" s="1159"/>
      <c r="G197" s="1159"/>
      <c r="H197" s="1159"/>
      <c r="I197" s="1159"/>
      <c r="J197" s="1159"/>
      <c r="K197" s="1159"/>
      <c r="L197" s="1159"/>
      <c r="M197" s="1159"/>
      <c r="N197" s="1159"/>
      <c r="O197" s="1159"/>
      <c r="P197" s="1159"/>
      <c r="Q197" s="1159"/>
      <c r="R197" s="1159"/>
      <c r="S197" s="1159"/>
      <c r="T197" s="1159"/>
      <c r="U197" s="1159"/>
      <c r="V197" s="1159"/>
      <c r="W197" s="1159"/>
      <c r="X197" s="1159"/>
      <c r="Y197" s="1159"/>
      <c r="Z197" s="1159"/>
      <c r="AA197" s="1159"/>
      <c r="AB197" s="1160"/>
      <c r="AC197" s="1160"/>
      <c r="AD197" s="1160"/>
      <c r="AE197" s="1160"/>
    </row>
    <row r="198" ht="15.0" customHeight="1">
      <c r="A198" s="1158"/>
      <c r="B198" s="1158"/>
      <c r="C198" s="1159"/>
      <c r="D198" s="1159"/>
      <c r="E198" s="1159"/>
      <c r="F198" s="1159"/>
      <c r="G198" s="1159"/>
      <c r="H198" s="1159"/>
      <c r="I198" s="1159"/>
      <c r="J198" s="1159"/>
      <c r="K198" s="1159"/>
      <c r="L198" s="1159"/>
      <c r="M198" s="1159"/>
      <c r="N198" s="1159"/>
      <c r="O198" s="1159"/>
      <c r="P198" s="1159"/>
      <c r="Q198" s="1159"/>
      <c r="R198" s="1159"/>
      <c r="S198" s="1159"/>
      <c r="T198" s="1159"/>
      <c r="U198" s="1159"/>
      <c r="V198" s="1159"/>
      <c r="W198" s="1159"/>
      <c r="X198" s="1159"/>
      <c r="Y198" s="1159"/>
      <c r="Z198" s="1159"/>
      <c r="AA198" s="1159"/>
      <c r="AB198" s="1160"/>
      <c r="AC198" s="1160"/>
      <c r="AD198" s="1160"/>
      <c r="AE198" s="1160"/>
    </row>
    <row r="199" ht="15.0" customHeight="1">
      <c r="A199" s="1158"/>
      <c r="B199" s="1158"/>
      <c r="C199" s="1159"/>
      <c r="D199" s="1159"/>
      <c r="E199" s="1159"/>
      <c r="F199" s="1159"/>
      <c r="G199" s="1159"/>
      <c r="H199" s="1159"/>
      <c r="I199" s="1159"/>
      <c r="J199" s="1159"/>
      <c r="K199" s="1159"/>
      <c r="L199" s="1159"/>
      <c r="M199" s="1159"/>
      <c r="N199" s="1159"/>
      <c r="O199" s="1159"/>
      <c r="P199" s="1159"/>
      <c r="Q199" s="1159"/>
      <c r="R199" s="1159"/>
      <c r="S199" s="1159"/>
      <c r="T199" s="1159"/>
      <c r="U199" s="1159"/>
      <c r="V199" s="1159"/>
      <c r="W199" s="1159"/>
      <c r="X199" s="1159"/>
      <c r="Y199" s="1159"/>
      <c r="Z199" s="1159"/>
      <c r="AA199" s="1159"/>
      <c r="AB199" s="1160"/>
      <c r="AC199" s="1160"/>
      <c r="AD199" s="1160"/>
      <c r="AE199" s="1160"/>
    </row>
    <row r="200" ht="15.0" customHeight="1">
      <c r="A200" s="1158"/>
      <c r="B200" s="1158"/>
      <c r="C200" s="1159"/>
      <c r="D200" s="1159"/>
      <c r="E200" s="1159"/>
      <c r="F200" s="1159"/>
      <c r="G200" s="1159"/>
      <c r="H200" s="1159"/>
      <c r="I200" s="1159"/>
      <c r="J200" s="1159"/>
      <c r="K200" s="1159"/>
      <c r="L200" s="1159"/>
      <c r="M200" s="1159"/>
      <c r="N200" s="1159"/>
      <c r="O200" s="1159"/>
      <c r="P200" s="1159"/>
      <c r="Q200" s="1159"/>
      <c r="R200" s="1159"/>
      <c r="S200" s="1159"/>
      <c r="T200" s="1159"/>
      <c r="U200" s="1159"/>
      <c r="V200" s="1159"/>
      <c r="W200" s="1159"/>
      <c r="X200" s="1159"/>
      <c r="Y200" s="1159"/>
      <c r="Z200" s="1159"/>
      <c r="AA200" s="1159"/>
      <c r="AB200" s="1160"/>
      <c r="AC200" s="1160"/>
      <c r="AD200" s="1160"/>
      <c r="AE200" s="1160"/>
    </row>
    <row r="201" ht="15.0" customHeight="1">
      <c r="A201" s="1158"/>
      <c r="B201" s="1158"/>
      <c r="C201" s="1159"/>
      <c r="D201" s="1159"/>
      <c r="E201" s="1159"/>
      <c r="F201" s="1159"/>
      <c r="G201" s="1159"/>
      <c r="H201" s="1159"/>
      <c r="I201" s="1159"/>
      <c r="J201" s="1159"/>
      <c r="K201" s="1159"/>
      <c r="L201" s="1159"/>
      <c r="M201" s="1159"/>
      <c r="N201" s="1159"/>
      <c r="O201" s="1159"/>
      <c r="P201" s="1159"/>
      <c r="Q201" s="1159"/>
      <c r="R201" s="1159"/>
      <c r="S201" s="1159"/>
      <c r="T201" s="1159"/>
      <c r="U201" s="1159"/>
      <c r="V201" s="1159"/>
      <c r="W201" s="1159"/>
      <c r="X201" s="1159"/>
      <c r="Y201" s="1159"/>
      <c r="Z201" s="1159"/>
      <c r="AA201" s="1159"/>
      <c r="AB201" s="1160"/>
      <c r="AC201" s="1160"/>
      <c r="AD201" s="1160"/>
      <c r="AE201" s="1160"/>
    </row>
    <row r="202" ht="15.0" customHeight="1">
      <c r="A202" s="1158"/>
      <c r="B202" s="1158"/>
      <c r="C202" s="1159"/>
      <c r="D202" s="1159"/>
      <c r="E202" s="1159"/>
      <c r="F202" s="1159"/>
      <c r="G202" s="1159"/>
      <c r="H202" s="1159"/>
      <c r="I202" s="1159"/>
      <c r="J202" s="1159"/>
      <c r="K202" s="1159"/>
      <c r="L202" s="1159"/>
      <c r="M202" s="1159"/>
      <c r="N202" s="1159"/>
      <c r="O202" s="1159"/>
      <c r="P202" s="1159"/>
      <c r="Q202" s="1159"/>
      <c r="R202" s="1159"/>
      <c r="S202" s="1159"/>
      <c r="T202" s="1159"/>
      <c r="U202" s="1159"/>
      <c r="V202" s="1159"/>
      <c r="W202" s="1159"/>
      <c r="X202" s="1159"/>
      <c r="Y202" s="1159"/>
      <c r="Z202" s="1159"/>
      <c r="AA202" s="1159"/>
      <c r="AB202" s="1160"/>
      <c r="AC202" s="1160"/>
      <c r="AD202" s="1160"/>
      <c r="AE202" s="1160"/>
    </row>
    <row r="203" ht="15.0" customHeight="1">
      <c r="A203" s="1158"/>
      <c r="B203" s="1158"/>
      <c r="C203" s="1159"/>
      <c r="D203" s="1159"/>
      <c r="E203" s="1159"/>
      <c r="F203" s="1159"/>
      <c r="G203" s="1159"/>
      <c r="H203" s="1159"/>
      <c r="I203" s="1159"/>
      <c r="J203" s="1159"/>
      <c r="K203" s="1159"/>
      <c r="L203" s="1159"/>
      <c r="M203" s="1159"/>
      <c r="N203" s="1159"/>
      <c r="O203" s="1159"/>
      <c r="P203" s="1159"/>
      <c r="Q203" s="1159"/>
      <c r="R203" s="1159"/>
      <c r="S203" s="1159"/>
      <c r="T203" s="1159"/>
      <c r="U203" s="1159"/>
      <c r="V203" s="1159"/>
      <c r="W203" s="1159"/>
      <c r="X203" s="1159"/>
      <c r="Y203" s="1159"/>
      <c r="Z203" s="1159"/>
      <c r="AA203" s="1159"/>
      <c r="AB203" s="1160"/>
      <c r="AC203" s="1160"/>
      <c r="AD203" s="1160"/>
      <c r="AE203" s="1160"/>
    </row>
    <row r="204" ht="15.0" customHeight="1">
      <c r="A204" s="1158"/>
      <c r="B204" s="1158"/>
      <c r="C204" s="1159"/>
      <c r="D204" s="1159"/>
      <c r="E204" s="1159"/>
      <c r="F204" s="1159"/>
      <c r="G204" s="1159"/>
      <c r="H204" s="1159"/>
      <c r="I204" s="1159"/>
      <c r="J204" s="1159"/>
      <c r="K204" s="1159"/>
      <c r="L204" s="1159"/>
      <c r="M204" s="1159"/>
      <c r="N204" s="1159"/>
      <c r="O204" s="1159"/>
      <c r="P204" s="1159"/>
      <c r="Q204" s="1159"/>
      <c r="R204" s="1159"/>
      <c r="S204" s="1159"/>
      <c r="T204" s="1159"/>
      <c r="U204" s="1159"/>
      <c r="V204" s="1159"/>
      <c r="W204" s="1159"/>
      <c r="X204" s="1159"/>
      <c r="Y204" s="1159"/>
      <c r="Z204" s="1159"/>
      <c r="AA204" s="1159"/>
      <c r="AB204" s="1160"/>
      <c r="AC204" s="1160"/>
      <c r="AD204" s="1160"/>
      <c r="AE204" s="1160"/>
    </row>
    <row r="205" ht="15.0" customHeight="1">
      <c r="A205" s="1158"/>
      <c r="B205" s="1158"/>
      <c r="C205" s="1159"/>
      <c r="D205" s="1159"/>
      <c r="E205" s="1159"/>
      <c r="F205" s="1159"/>
      <c r="G205" s="1159"/>
      <c r="H205" s="1159"/>
      <c r="I205" s="1159"/>
      <c r="J205" s="1159"/>
      <c r="K205" s="1159"/>
      <c r="L205" s="1159"/>
      <c r="M205" s="1159"/>
      <c r="N205" s="1159"/>
      <c r="O205" s="1159"/>
      <c r="P205" s="1159"/>
      <c r="Q205" s="1159"/>
      <c r="R205" s="1159"/>
      <c r="S205" s="1159"/>
      <c r="T205" s="1159"/>
      <c r="U205" s="1159"/>
      <c r="V205" s="1159"/>
      <c r="W205" s="1159"/>
      <c r="X205" s="1159"/>
      <c r="Y205" s="1159"/>
      <c r="Z205" s="1159"/>
      <c r="AA205" s="1159"/>
      <c r="AB205" s="1160"/>
      <c r="AC205" s="1160"/>
      <c r="AD205" s="1160"/>
      <c r="AE205" s="1160"/>
    </row>
    <row r="206" ht="15.0" customHeight="1">
      <c r="A206" s="1158"/>
      <c r="B206" s="1158"/>
      <c r="C206" s="1159"/>
      <c r="D206" s="1159"/>
      <c r="E206" s="1159"/>
      <c r="F206" s="1159"/>
      <c r="G206" s="1159"/>
      <c r="H206" s="1159"/>
      <c r="I206" s="1159"/>
      <c r="J206" s="1159"/>
      <c r="K206" s="1159"/>
      <c r="L206" s="1159"/>
      <c r="M206" s="1159"/>
      <c r="N206" s="1159"/>
      <c r="O206" s="1159"/>
      <c r="P206" s="1159"/>
      <c r="Q206" s="1159"/>
      <c r="R206" s="1159"/>
      <c r="S206" s="1159"/>
      <c r="T206" s="1159"/>
      <c r="U206" s="1159"/>
      <c r="V206" s="1159"/>
      <c r="W206" s="1159"/>
      <c r="X206" s="1159"/>
      <c r="Y206" s="1159"/>
      <c r="Z206" s="1159"/>
      <c r="AA206" s="1159"/>
      <c r="AB206" s="1160"/>
      <c r="AC206" s="1160"/>
      <c r="AD206" s="1160"/>
      <c r="AE206" s="1160"/>
    </row>
    <row r="207" ht="15.0" customHeight="1">
      <c r="A207" s="1158"/>
      <c r="B207" s="1158"/>
      <c r="C207" s="1159"/>
      <c r="D207" s="1159"/>
      <c r="E207" s="1159"/>
      <c r="F207" s="1159"/>
      <c r="G207" s="1159"/>
      <c r="H207" s="1159"/>
      <c r="I207" s="1159"/>
      <c r="J207" s="1159"/>
      <c r="K207" s="1159"/>
      <c r="L207" s="1159"/>
      <c r="M207" s="1159"/>
      <c r="N207" s="1159"/>
      <c r="O207" s="1159"/>
      <c r="P207" s="1159"/>
      <c r="Q207" s="1159"/>
      <c r="R207" s="1159"/>
      <c r="S207" s="1159"/>
      <c r="T207" s="1159"/>
      <c r="U207" s="1159"/>
      <c r="V207" s="1159"/>
      <c r="W207" s="1159"/>
      <c r="X207" s="1159"/>
      <c r="Y207" s="1159"/>
      <c r="Z207" s="1159"/>
      <c r="AA207" s="1159"/>
      <c r="AB207" s="1160"/>
      <c r="AC207" s="1160"/>
      <c r="AD207" s="1160"/>
      <c r="AE207" s="1160"/>
    </row>
    <row r="208" ht="15.0" customHeight="1">
      <c r="A208" s="1158"/>
      <c r="B208" s="1158"/>
      <c r="C208" s="1159"/>
      <c r="D208" s="1159"/>
      <c r="E208" s="1159"/>
      <c r="F208" s="1159"/>
      <c r="G208" s="1159"/>
      <c r="H208" s="1159"/>
      <c r="I208" s="1159"/>
      <c r="J208" s="1159"/>
      <c r="K208" s="1159"/>
      <c r="L208" s="1159"/>
      <c r="M208" s="1159"/>
      <c r="N208" s="1159"/>
      <c r="O208" s="1159"/>
      <c r="P208" s="1159"/>
      <c r="Q208" s="1159"/>
      <c r="R208" s="1159"/>
      <c r="S208" s="1159"/>
      <c r="T208" s="1159"/>
      <c r="U208" s="1159"/>
      <c r="V208" s="1159"/>
      <c r="W208" s="1159"/>
      <c r="X208" s="1159"/>
      <c r="Y208" s="1159"/>
      <c r="Z208" s="1159"/>
      <c r="AA208" s="1159"/>
      <c r="AB208" s="1160"/>
      <c r="AC208" s="1160"/>
      <c r="AD208" s="1160"/>
      <c r="AE208" s="1160"/>
    </row>
    <row r="209" ht="15.0" customHeight="1">
      <c r="A209" s="1158"/>
      <c r="B209" s="1158"/>
      <c r="C209" s="1159"/>
      <c r="D209" s="1159"/>
      <c r="E209" s="1159"/>
      <c r="F209" s="1159"/>
      <c r="G209" s="1159"/>
      <c r="H209" s="1159"/>
      <c r="I209" s="1159"/>
      <c r="J209" s="1159"/>
      <c r="K209" s="1159"/>
      <c r="L209" s="1159"/>
      <c r="M209" s="1159"/>
      <c r="N209" s="1159"/>
      <c r="O209" s="1159"/>
      <c r="P209" s="1159"/>
      <c r="Q209" s="1159"/>
      <c r="R209" s="1159"/>
      <c r="S209" s="1159"/>
      <c r="T209" s="1159"/>
      <c r="U209" s="1159"/>
      <c r="V209" s="1159"/>
      <c r="W209" s="1159"/>
      <c r="X209" s="1159"/>
      <c r="Y209" s="1159"/>
      <c r="Z209" s="1159"/>
      <c r="AA209" s="1159"/>
      <c r="AB209" s="1160"/>
      <c r="AC209" s="1160"/>
      <c r="AD209" s="1160"/>
      <c r="AE209" s="1160"/>
    </row>
    <row r="210" ht="15.0" customHeight="1">
      <c r="A210" s="1158"/>
      <c r="B210" s="1158"/>
      <c r="C210" s="1159"/>
      <c r="D210" s="1159"/>
      <c r="E210" s="1159"/>
      <c r="F210" s="1159"/>
      <c r="G210" s="1159"/>
      <c r="H210" s="1159"/>
      <c r="I210" s="1159"/>
      <c r="J210" s="1159"/>
      <c r="K210" s="1159"/>
      <c r="L210" s="1159"/>
      <c r="M210" s="1159"/>
      <c r="N210" s="1159"/>
      <c r="O210" s="1159"/>
      <c r="P210" s="1159"/>
      <c r="Q210" s="1159"/>
      <c r="R210" s="1159"/>
      <c r="S210" s="1159"/>
      <c r="T210" s="1159"/>
      <c r="U210" s="1159"/>
      <c r="V210" s="1159"/>
      <c r="W210" s="1159"/>
      <c r="X210" s="1159"/>
      <c r="Y210" s="1159"/>
      <c r="Z210" s="1159"/>
      <c r="AA210" s="1159"/>
      <c r="AB210" s="1160"/>
      <c r="AC210" s="1160"/>
      <c r="AD210" s="1160"/>
      <c r="AE210" s="1160"/>
    </row>
    <row r="211" ht="15.0" customHeight="1">
      <c r="A211" s="1158"/>
      <c r="B211" s="1158"/>
      <c r="C211" s="1159"/>
      <c r="D211" s="1159"/>
      <c r="E211" s="1159"/>
      <c r="F211" s="1159"/>
      <c r="G211" s="1159"/>
      <c r="H211" s="1159"/>
      <c r="I211" s="1159"/>
      <c r="J211" s="1159"/>
      <c r="K211" s="1159"/>
      <c r="L211" s="1159"/>
      <c r="M211" s="1159"/>
      <c r="N211" s="1159"/>
      <c r="O211" s="1159"/>
      <c r="P211" s="1159"/>
      <c r="Q211" s="1159"/>
      <c r="R211" s="1159"/>
      <c r="S211" s="1159"/>
      <c r="T211" s="1159"/>
      <c r="U211" s="1159"/>
      <c r="V211" s="1159"/>
      <c r="W211" s="1159"/>
      <c r="X211" s="1159"/>
      <c r="Y211" s="1159"/>
      <c r="Z211" s="1159"/>
      <c r="AA211" s="1159"/>
      <c r="AB211" s="1160"/>
      <c r="AC211" s="1160"/>
      <c r="AD211" s="1160"/>
      <c r="AE211" s="1160"/>
    </row>
    <row r="212" ht="15.0" customHeight="1">
      <c r="A212" s="1158"/>
      <c r="B212" s="1158"/>
      <c r="C212" s="1159"/>
      <c r="D212" s="1159"/>
      <c r="E212" s="1159"/>
      <c r="F212" s="1159"/>
      <c r="G212" s="1159"/>
      <c r="H212" s="1159"/>
      <c r="I212" s="1159"/>
      <c r="J212" s="1159"/>
      <c r="K212" s="1159"/>
      <c r="L212" s="1159"/>
      <c r="M212" s="1159"/>
      <c r="N212" s="1159"/>
      <c r="O212" s="1159"/>
      <c r="P212" s="1159"/>
      <c r="Q212" s="1159"/>
      <c r="R212" s="1159"/>
      <c r="S212" s="1159"/>
      <c r="T212" s="1159"/>
      <c r="U212" s="1159"/>
      <c r="V212" s="1159"/>
      <c r="W212" s="1159"/>
      <c r="X212" s="1159"/>
      <c r="Y212" s="1159"/>
      <c r="Z212" s="1159"/>
      <c r="AA212" s="1159"/>
      <c r="AB212" s="1160"/>
      <c r="AC212" s="1160"/>
      <c r="AD212" s="1160"/>
      <c r="AE212" s="1160"/>
    </row>
    <row r="213" ht="15.0" customHeight="1">
      <c r="A213" s="1158"/>
      <c r="B213" s="1158"/>
      <c r="C213" s="1159"/>
      <c r="D213" s="1159"/>
      <c r="E213" s="1159"/>
      <c r="F213" s="1159"/>
      <c r="G213" s="1159"/>
      <c r="H213" s="1159"/>
      <c r="I213" s="1159"/>
      <c r="J213" s="1159"/>
      <c r="K213" s="1159"/>
      <c r="L213" s="1159"/>
      <c r="M213" s="1159"/>
      <c r="N213" s="1159"/>
      <c r="O213" s="1159"/>
      <c r="P213" s="1159"/>
      <c r="Q213" s="1159"/>
      <c r="R213" s="1159"/>
      <c r="S213" s="1159"/>
      <c r="T213" s="1159"/>
      <c r="U213" s="1159"/>
      <c r="V213" s="1159"/>
      <c r="W213" s="1159"/>
      <c r="X213" s="1159"/>
      <c r="Y213" s="1159"/>
      <c r="Z213" s="1159"/>
      <c r="AA213" s="1159"/>
      <c r="AB213" s="1160"/>
      <c r="AC213" s="1160"/>
      <c r="AD213" s="1160"/>
      <c r="AE213" s="1160"/>
    </row>
    <row r="214" ht="15.0" customHeight="1">
      <c r="A214" s="1158"/>
      <c r="B214" s="1158"/>
      <c r="C214" s="1159"/>
      <c r="D214" s="1159"/>
      <c r="E214" s="1159"/>
      <c r="F214" s="1159"/>
      <c r="G214" s="1159"/>
      <c r="H214" s="1159"/>
      <c r="I214" s="1159"/>
      <c r="J214" s="1159"/>
      <c r="K214" s="1159"/>
      <c r="L214" s="1159"/>
      <c r="M214" s="1159"/>
      <c r="N214" s="1159"/>
      <c r="O214" s="1159"/>
      <c r="P214" s="1159"/>
      <c r="Q214" s="1159"/>
      <c r="R214" s="1159"/>
      <c r="S214" s="1159"/>
      <c r="T214" s="1159"/>
      <c r="U214" s="1159"/>
      <c r="V214" s="1159"/>
      <c r="W214" s="1159"/>
      <c r="X214" s="1159"/>
      <c r="Y214" s="1159"/>
      <c r="Z214" s="1159"/>
      <c r="AA214" s="1159"/>
      <c r="AB214" s="1160"/>
      <c r="AC214" s="1160"/>
      <c r="AD214" s="1160"/>
      <c r="AE214" s="1160"/>
    </row>
    <row r="215" ht="15.0" customHeight="1">
      <c r="A215" s="1158"/>
      <c r="B215" s="1158"/>
      <c r="C215" s="1159"/>
      <c r="D215" s="1159"/>
      <c r="E215" s="1159"/>
      <c r="F215" s="1159"/>
      <c r="G215" s="1159"/>
      <c r="H215" s="1159"/>
      <c r="I215" s="1159"/>
      <c r="J215" s="1159"/>
      <c r="K215" s="1159"/>
      <c r="L215" s="1159"/>
      <c r="M215" s="1159"/>
      <c r="N215" s="1159"/>
      <c r="O215" s="1159"/>
      <c r="P215" s="1159"/>
      <c r="Q215" s="1159"/>
      <c r="R215" s="1159"/>
      <c r="S215" s="1159"/>
      <c r="T215" s="1159"/>
      <c r="U215" s="1159"/>
      <c r="V215" s="1159"/>
      <c r="W215" s="1159"/>
      <c r="X215" s="1159"/>
      <c r="Y215" s="1159"/>
      <c r="Z215" s="1159"/>
      <c r="AA215" s="1159"/>
      <c r="AB215" s="1160"/>
      <c r="AC215" s="1160"/>
      <c r="AD215" s="1160"/>
      <c r="AE215" s="1160"/>
    </row>
    <row r="216" ht="15.0" customHeight="1">
      <c r="A216" s="1158"/>
      <c r="B216" s="1158"/>
      <c r="C216" s="1159"/>
      <c r="D216" s="1159"/>
      <c r="E216" s="1159"/>
      <c r="F216" s="1159"/>
      <c r="G216" s="1159"/>
      <c r="H216" s="1159"/>
      <c r="I216" s="1159"/>
      <c r="J216" s="1159"/>
      <c r="K216" s="1159"/>
      <c r="L216" s="1159"/>
      <c r="M216" s="1159"/>
      <c r="N216" s="1159"/>
      <c r="O216" s="1159"/>
      <c r="P216" s="1159"/>
      <c r="Q216" s="1159"/>
      <c r="R216" s="1159"/>
      <c r="S216" s="1159"/>
      <c r="T216" s="1159"/>
      <c r="U216" s="1159"/>
      <c r="V216" s="1159"/>
      <c r="W216" s="1159"/>
      <c r="X216" s="1159"/>
      <c r="Y216" s="1159"/>
      <c r="Z216" s="1159"/>
      <c r="AA216" s="1159"/>
      <c r="AB216" s="1160"/>
      <c r="AC216" s="1160"/>
      <c r="AD216" s="1160"/>
      <c r="AE216" s="1160"/>
    </row>
    <row r="217" ht="15.0" customHeight="1">
      <c r="A217" s="1158"/>
      <c r="B217" s="1158"/>
      <c r="C217" s="1159"/>
      <c r="D217" s="1159"/>
      <c r="E217" s="1159"/>
      <c r="F217" s="1159"/>
      <c r="G217" s="1159"/>
      <c r="H217" s="1159"/>
      <c r="I217" s="1159"/>
      <c r="J217" s="1159"/>
      <c r="K217" s="1159"/>
      <c r="L217" s="1159"/>
      <c r="M217" s="1159"/>
      <c r="N217" s="1159"/>
      <c r="O217" s="1159"/>
      <c r="P217" s="1159"/>
      <c r="Q217" s="1159"/>
      <c r="R217" s="1159"/>
      <c r="S217" s="1159"/>
      <c r="T217" s="1159"/>
      <c r="U217" s="1159"/>
      <c r="V217" s="1159"/>
      <c r="W217" s="1159"/>
      <c r="X217" s="1159"/>
      <c r="Y217" s="1159"/>
      <c r="Z217" s="1159"/>
      <c r="AA217" s="1159"/>
      <c r="AB217" s="1160"/>
      <c r="AC217" s="1160"/>
      <c r="AD217" s="1160"/>
      <c r="AE217" s="1160"/>
    </row>
    <row r="218" ht="15.0" customHeight="1">
      <c r="A218" s="1158"/>
      <c r="B218" s="1158"/>
      <c r="C218" s="1159"/>
      <c r="D218" s="1159"/>
      <c r="E218" s="1159"/>
      <c r="F218" s="1159"/>
      <c r="G218" s="1159"/>
      <c r="H218" s="1159"/>
      <c r="I218" s="1159"/>
      <c r="J218" s="1159"/>
      <c r="K218" s="1159"/>
      <c r="L218" s="1159"/>
      <c r="M218" s="1159"/>
      <c r="N218" s="1159"/>
      <c r="O218" s="1159"/>
      <c r="P218" s="1159"/>
      <c r="Q218" s="1159"/>
      <c r="R218" s="1159"/>
      <c r="S218" s="1159"/>
      <c r="T218" s="1159"/>
      <c r="U218" s="1159"/>
      <c r="V218" s="1159"/>
      <c r="W218" s="1159"/>
      <c r="X218" s="1159"/>
      <c r="Y218" s="1159"/>
      <c r="Z218" s="1159"/>
      <c r="AA218" s="1159"/>
      <c r="AB218" s="1160"/>
      <c r="AC218" s="1160"/>
      <c r="AD218" s="1160"/>
      <c r="AE218" s="1160"/>
    </row>
    <row r="219" ht="15.0" customHeight="1">
      <c r="A219" s="1158"/>
      <c r="B219" s="1158"/>
      <c r="C219" s="1159"/>
      <c r="D219" s="1159"/>
      <c r="E219" s="1159"/>
      <c r="F219" s="1159"/>
      <c r="G219" s="1159"/>
      <c r="H219" s="1159"/>
      <c r="I219" s="1159"/>
      <c r="J219" s="1159"/>
      <c r="K219" s="1159"/>
      <c r="L219" s="1159"/>
      <c r="M219" s="1159"/>
      <c r="N219" s="1159"/>
      <c r="O219" s="1159"/>
      <c r="P219" s="1159"/>
      <c r="Q219" s="1159"/>
      <c r="R219" s="1159"/>
      <c r="S219" s="1159"/>
      <c r="T219" s="1159"/>
      <c r="U219" s="1159"/>
      <c r="V219" s="1159"/>
      <c r="W219" s="1159"/>
      <c r="X219" s="1159"/>
      <c r="Y219" s="1159"/>
      <c r="Z219" s="1159"/>
      <c r="AA219" s="1159"/>
      <c r="AB219" s="1160"/>
      <c r="AC219" s="1160"/>
      <c r="AD219" s="1160"/>
      <c r="AE219" s="1160"/>
    </row>
    <row r="220" ht="15.0" customHeight="1">
      <c r="A220" s="1158"/>
      <c r="B220" s="1158"/>
      <c r="C220" s="1159"/>
      <c r="D220" s="1159"/>
      <c r="E220" s="1159"/>
      <c r="F220" s="1159"/>
      <c r="G220" s="1159"/>
      <c r="H220" s="1159"/>
      <c r="I220" s="1159"/>
      <c r="J220" s="1159"/>
      <c r="K220" s="1159"/>
      <c r="L220" s="1159"/>
      <c r="M220" s="1159"/>
      <c r="N220" s="1159"/>
      <c r="O220" s="1159"/>
      <c r="P220" s="1159"/>
      <c r="Q220" s="1159"/>
      <c r="R220" s="1159"/>
      <c r="S220" s="1159"/>
      <c r="T220" s="1159"/>
      <c r="U220" s="1159"/>
      <c r="V220" s="1159"/>
      <c r="W220" s="1159"/>
      <c r="X220" s="1159"/>
      <c r="Y220" s="1159"/>
      <c r="Z220" s="1159"/>
      <c r="AA220" s="1159"/>
      <c r="AB220" s="1160"/>
      <c r="AC220" s="1160"/>
      <c r="AD220" s="1160"/>
      <c r="AE220" s="1160"/>
    </row>
    <row r="221" ht="15.0" customHeight="1">
      <c r="A221" s="1158"/>
      <c r="B221" s="1158"/>
      <c r="C221" s="1159"/>
      <c r="D221" s="1159"/>
      <c r="E221" s="1159"/>
      <c r="F221" s="1159"/>
      <c r="G221" s="1159"/>
      <c r="H221" s="1159"/>
      <c r="I221" s="1159"/>
      <c r="J221" s="1159"/>
      <c r="K221" s="1159"/>
      <c r="L221" s="1159"/>
      <c r="M221" s="1159"/>
      <c r="N221" s="1159"/>
      <c r="O221" s="1159"/>
      <c r="P221" s="1159"/>
      <c r="Q221" s="1159"/>
      <c r="R221" s="1159"/>
      <c r="S221" s="1159"/>
      <c r="T221" s="1159"/>
      <c r="U221" s="1159"/>
      <c r="V221" s="1159"/>
      <c r="W221" s="1159"/>
      <c r="X221" s="1159"/>
      <c r="Y221" s="1159"/>
      <c r="Z221" s="1159"/>
      <c r="AA221" s="1159"/>
      <c r="AB221" s="1160"/>
      <c r="AC221" s="1160"/>
      <c r="AD221" s="1160"/>
      <c r="AE221" s="1160"/>
    </row>
    <row r="222" ht="15.0" customHeight="1">
      <c r="A222" s="1158"/>
      <c r="B222" s="1158"/>
      <c r="C222" s="1159"/>
      <c r="D222" s="1159"/>
      <c r="E222" s="1159"/>
      <c r="F222" s="1159"/>
      <c r="G222" s="1159"/>
      <c r="H222" s="1159"/>
      <c r="I222" s="1159"/>
      <c r="J222" s="1159"/>
      <c r="K222" s="1159"/>
      <c r="L222" s="1159"/>
      <c r="M222" s="1159"/>
      <c r="N222" s="1159"/>
      <c r="O222" s="1159"/>
      <c r="P222" s="1159"/>
      <c r="Q222" s="1159"/>
      <c r="R222" s="1159"/>
      <c r="S222" s="1159"/>
      <c r="T222" s="1159"/>
      <c r="U222" s="1159"/>
      <c r="V222" s="1159"/>
      <c r="W222" s="1159"/>
      <c r="X222" s="1159"/>
      <c r="Y222" s="1159"/>
      <c r="Z222" s="1159"/>
      <c r="AA222" s="1159"/>
      <c r="AB222" s="1160"/>
      <c r="AC222" s="1160"/>
      <c r="AD222" s="1160"/>
      <c r="AE222" s="1160"/>
    </row>
    <row r="223" ht="15.0" customHeight="1">
      <c r="A223" s="1158"/>
      <c r="B223" s="1158"/>
      <c r="C223" s="1159"/>
      <c r="D223" s="1159"/>
      <c r="E223" s="1159"/>
      <c r="F223" s="1159"/>
      <c r="G223" s="1159"/>
      <c r="H223" s="1159"/>
      <c r="I223" s="1159"/>
      <c r="J223" s="1159"/>
      <c r="K223" s="1159"/>
      <c r="L223" s="1159"/>
      <c r="M223" s="1159"/>
      <c r="N223" s="1159"/>
      <c r="O223" s="1159"/>
      <c r="P223" s="1159"/>
      <c r="Q223" s="1159"/>
      <c r="R223" s="1159"/>
      <c r="S223" s="1159"/>
      <c r="T223" s="1159"/>
      <c r="U223" s="1159"/>
      <c r="V223" s="1159"/>
      <c r="W223" s="1159"/>
      <c r="X223" s="1159"/>
      <c r="Y223" s="1159"/>
      <c r="Z223" s="1159"/>
      <c r="AA223" s="1159"/>
      <c r="AB223" s="1160"/>
      <c r="AC223" s="1160"/>
      <c r="AD223" s="1160"/>
      <c r="AE223" s="1160"/>
    </row>
    <row r="224" ht="15.0" customHeight="1">
      <c r="A224" s="1158"/>
      <c r="B224" s="1158"/>
      <c r="C224" s="1159"/>
      <c r="D224" s="1159"/>
      <c r="E224" s="1159"/>
      <c r="F224" s="1159"/>
      <c r="G224" s="1159"/>
      <c r="H224" s="1159"/>
      <c r="I224" s="1159"/>
      <c r="J224" s="1159"/>
      <c r="K224" s="1159"/>
      <c r="L224" s="1159"/>
      <c r="M224" s="1159"/>
      <c r="N224" s="1159"/>
      <c r="O224" s="1159"/>
      <c r="P224" s="1159"/>
      <c r="Q224" s="1159"/>
      <c r="R224" s="1159"/>
      <c r="S224" s="1159"/>
      <c r="T224" s="1159"/>
      <c r="U224" s="1159"/>
      <c r="V224" s="1159"/>
      <c r="W224" s="1159"/>
      <c r="X224" s="1159"/>
      <c r="Y224" s="1159"/>
      <c r="Z224" s="1159"/>
      <c r="AA224" s="1159"/>
      <c r="AB224" s="1160"/>
      <c r="AC224" s="1160"/>
      <c r="AD224" s="1160"/>
      <c r="AE224" s="1160"/>
    </row>
    <row r="225" ht="15.0" customHeight="1">
      <c r="A225" s="1158"/>
      <c r="B225" s="1158"/>
      <c r="C225" s="1159"/>
      <c r="D225" s="1159"/>
      <c r="E225" s="1159"/>
      <c r="F225" s="1159"/>
      <c r="G225" s="1159"/>
      <c r="H225" s="1159"/>
      <c r="I225" s="1159"/>
      <c r="J225" s="1159"/>
      <c r="K225" s="1159"/>
      <c r="L225" s="1159"/>
      <c r="M225" s="1159"/>
      <c r="N225" s="1159"/>
      <c r="O225" s="1159"/>
      <c r="P225" s="1159"/>
      <c r="Q225" s="1159"/>
      <c r="R225" s="1159"/>
      <c r="S225" s="1159"/>
      <c r="T225" s="1159"/>
      <c r="U225" s="1159"/>
      <c r="V225" s="1159"/>
      <c r="W225" s="1159"/>
      <c r="X225" s="1159"/>
      <c r="Y225" s="1159"/>
      <c r="Z225" s="1159"/>
      <c r="AA225" s="1159"/>
      <c r="AB225" s="1160"/>
      <c r="AC225" s="1160"/>
      <c r="AD225" s="1160"/>
      <c r="AE225" s="1160"/>
    </row>
    <row r="226" ht="15.0" customHeight="1">
      <c r="A226" s="1158"/>
      <c r="B226" s="1158"/>
      <c r="C226" s="1159"/>
      <c r="D226" s="1159"/>
      <c r="E226" s="1159"/>
      <c r="F226" s="1159"/>
      <c r="G226" s="1159"/>
      <c r="H226" s="1159"/>
      <c r="I226" s="1159"/>
      <c r="J226" s="1159"/>
      <c r="K226" s="1159"/>
      <c r="L226" s="1159"/>
      <c r="M226" s="1159"/>
      <c r="N226" s="1159"/>
      <c r="O226" s="1159"/>
      <c r="P226" s="1159"/>
      <c r="Q226" s="1159"/>
      <c r="R226" s="1159"/>
      <c r="S226" s="1159"/>
      <c r="T226" s="1159"/>
      <c r="U226" s="1159"/>
      <c r="V226" s="1159"/>
      <c r="W226" s="1159"/>
      <c r="X226" s="1159"/>
      <c r="Y226" s="1159"/>
      <c r="Z226" s="1159"/>
      <c r="AA226" s="1159"/>
      <c r="AB226" s="1160"/>
      <c r="AC226" s="1160"/>
      <c r="AD226" s="1160"/>
      <c r="AE226" s="1160"/>
    </row>
    <row r="227" ht="15.0" customHeight="1">
      <c r="A227" s="1158"/>
      <c r="B227" s="1158"/>
      <c r="C227" s="1159"/>
      <c r="D227" s="1159"/>
      <c r="E227" s="1159"/>
      <c r="F227" s="1159"/>
      <c r="G227" s="1159"/>
      <c r="H227" s="1159"/>
      <c r="I227" s="1159"/>
      <c r="J227" s="1159"/>
      <c r="K227" s="1159"/>
      <c r="L227" s="1159"/>
      <c r="M227" s="1159"/>
      <c r="N227" s="1159"/>
      <c r="O227" s="1159"/>
      <c r="P227" s="1159"/>
      <c r="Q227" s="1159"/>
      <c r="R227" s="1159"/>
      <c r="S227" s="1159"/>
      <c r="T227" s="1159"/>
      <c r="U227" s="1159"/>
      <c r="V227" s="1159"/>
      <c r="W227" s="1159"/>
      <c r="X227" s="1159"/>
      <c r="Y227" s="1159"/>
      <c r="Z227" s="1159"/>
      <c r="AA227" s="1159"/>
      <c r="AB227" s="1160"/>
      <c r="AC227" s="1160"/>
      <c r="AD227" s="1160"/>
      <c r="AE227" s="1160"/>
    </row>
    <row r="228" ht="15.0" customHeight="1">
      <c r="A228" s="1158"/>
      <c r="B228" s="1158"/>
      <c r="C228" s="1159"/>
      <c r="D228" s="1159"/>
      <c r="E228" s="1159"/>
      <c r="F228" s="1159"/>
      <c r="G228" s="1159"/>
      <c r="H228" s="1159"/>
      <c r="I228" s="1159"/>
      <c r="J228" s="1159"/>
      <c r="K228" s="1159"/>
      <c r="L228" s="1159"/>
      <c r="M228" s="1159"/>
      <c r="N228" s="1159"/>
      <c r="O228" s="1159"/>
      <c r="P228" s="1159"/>
      <c r="Q228" s="1159"/>
      <c r="R228" s="1159"/>
      <c r="S228" s="1159"/>
      <c r="T228" s="1159"/>
      <c r="U228" s="1159"/>
      <c r="V228" s="1159"/>
      <c r="W228" s="1159"/>
      <c r="X228" s="1159"/>
      <c r="Y228" s="1159"/>
      <c r="Z228" s="1159"/>
      <c r="AA228" s="1159"/>
      <c r="AB228" s="1160"/>
      <c r="AC228" s="1160"/>
      <c r="AD228" s="1160"/>
      <c r="AE228" s="1160"/>
    </row>
    <row r="229" ht="15.0" customHeight="1">
      <c r="A229" s="1158"/>
      <c r="B229" s="1158"/>
      <c r="C229" s="1159"/>
      <c r="D229" s="1159"/>
      <c r="E229" s="1159"/>
      <c r="F229" s="1159"/>
      <c r="G229" s="1159"/>
      <c r="H229" s="1159"/>
      <c r="I229" s="1159"/>
      <c r="J229" s="1159"/>
      <c r="K229" s="1159"/>
      <c r="L229" s="1159"/>
      <c r="M229" s="1159"/>
      <c r="N229" s="1159"/>
      <c r="O229" s="1159"/>
      <c r="P229" s="1159"/>
      <c r="Q229" s="1159"/>
      <c r="R229" s="1159"/>
      <c r="S229" s="1159"/>
      <c r="T229" s="1159"/>
      <c r="U229" s="1159"/>
      <c r="V229" s="1159"/>
      <c r="W229" s="1159"/>
      <c r="X229" s="1159"/>
      <c r="Y229" s="1159"/>
      <c r="Z229" s="1159"/>
      <c r="AA229" s="1159"/>
      <c r="AB229" s="1160"/>
      <c r="AC229" s="1160"/>
      <c r="AD229" s="1160"/>
      <c r="AE229" s="1160"/>
    </row>
    <row r="230" ht="15.0" customHeight="1">
      <c r="A230" s="1158"/>
      <c r="B230" s="1158"/>
      <c r="C230" s="1159"/>
      <c r="D230" s="1159"/>
      <c r="E230" s="1159"/>
      <c r="F230" s="1159"/>
      <c r="G230" s="1159"/>
      <c r="H230" s="1159"/>
      <c r="I230" s="1159"/>
      <c r="J230" s="1159"/>
      <c r="K230" s="1159"/>
      <c r="L230" s="1159"/>
      <c r="M230" s="1159"/>
      <c r="N230" s="1159"/>
      <c r="O230" s="1159"/>
      <c r="P230" s="1159"/>
      <c r="Q230" s="1159"/>
      <c r="R230" s="1159"/>
      <c r="S230" s="1159"/>
      <c r="T230" s="1159"/>
      <c r="U230" s="1159"/>
      <c r="V230" s="1159"/>
      <c r="W230" s="1159"/>
      <c r="X230" s="1159"/>
      <c r="Y230" s="1159"/>
      <c r="Z230" s="1159"/>
      <c r="AA230" s="1159"/>
      <c r="AB230" s="1160"/>
      <c r="AC230" s="1160"/>
      <c r="AD230" s="1160"/>
      <c r="AE230" s="1160"/>
    </row>
    <row r="231" ht="15.0" customHeight="1">
      <c r="A231" s="1158"/>
      <c r="B231" s="1158"/>
      <c r="C231" s="1159"/>
      <c r="D231" s="1159"/>
      <c r="E231" s="1159"/>
      <c r="F231" s="1159"/>
      <c r="G231" s="1159"/>
      <c r="H231" s="1159"/>
      <c r="I231" s="1159"/>
      <c r="J231" s="1159"/>
      <c r="K231" s="1159"/>
      <c r="L231" s="1159"/>
      <c r="M231" s="1159"/>
      <c r="N231" s="1159"/>
      <c r="O231" s="1159"/>
      <c r="P231" s="1159"/>
      <c r="Q231" s="1159"/>
      <c r="R231" s="1159"/>
      <c r="S231" s="1159"/>
      <c r="T231" s="1159"/>
      <c r="U231" s="1159"/>
      <c r="V231" s="1159"/>
      <c r="W231" s="1159"/>
      <c r="X231" s="1159"/>
      <c r="Y231" s="1159"/>
      <c r="Z231" s="1159"/>
      <c r="AA231" s="1159"/>
      <c r="AB231" s="1160"/>
      <c r="AC231" s="1160"/>
      <c r="AD231" s="1160"/>
      <c r="AE231" s="1160"/>
    </row>
    <row r="232" ht="15.0" customHeight="1">
      <c r="A232" s="1158"/>
      <c r="B232" s="1158"/>
      <c r="C232" s="1159"/>
      <c r="D232" s="1159"/>
      <c r="E232" s="1159"/>
      <c r="F232" s="1159"/>
      <c r="G232" s="1159"/>
      <c r="H232" s="1159"/>
      <c r="I232" s="1159"/>
      <c r="J232" s="1159"/>
      <c r="K232" s="1159"/>
      <c r="L232" s="1159"/>
      <c r="M232" s="1159"/>
      <c r="N232" s="1159"/>
      <c r="O232" s="1159"/>
      <c r="P232" s="1159"/>
      <c r="Q232" s="1159"/>
      <c r="R232" s="1159"/>
      <c r="S232" s="1159"/>
      <c r="T232" s="1159"/>
      <c r="U232" s="1159"/>
      <c r="V232" s="1159"/>
      <c r="W232" s="1159"/>
      <c r="X232" s="1159"/>
      <c r="Y232" s="1159"/>
      <c r="Z232" s="1159"/>
      <c r="AA232" s="1159"/>
      <c r="AB232" s="1160"/>
      <c r="AC232" s="1160"/>
      <c r="AD232" s="1160"/>
      <c r="AE232" s="1160"/>
    </row>
    <row r="233" ht="15.0" customHeight="1">
      <c r="A233" s="1158"/>
      <c r="B233" s="1158"/>
      <c r="C233" s="1159"/>
      <c r="D233" s="1159"/>
      <c r="E233" s="1159"/>
      <c r="F233" s="1159"/>
      <c r="G233" s="1159"/>
      <c r="H233" s="1159"/>
      <c r="I233" s="1159"/>
      <c r="J233" s="1159"/>
      <c r="K233" s="1159"/>
      <c r="L233" s="1159"/>
      <c r="M233" s="1159"/>
      <c r="N233" s="1159"/>
      <c r="O233" s="1159"/>
      <c r="P233" s="1159"/>
      <c r="Q233" s="1159"/>
      <c r="R233" s="1159"/>
      <c r="S233" s="1159"/>
      <c r="T233" s="1159"/>
      <c r="U233" s="1159"/>
      <c r="V233" s="1159"/>
      <c r="W233" s="1159"/>
      <c r="X233" s="1159"/>
      <c r="Y233" s="1159"/>
      <c r="Z233" s="1159"/>
      <c r="AA233" s="1159"/>
      <c r="AB233" s="1160"/>
      <c r="AC233" s="1160"/>
      <c r="AD233" s="1160"/>
      <c r="AE233" s="1160"/>
    </row>
    <row r="234" ht="15.0" customHeight="1">
      <c r="A234" s="1158"/>
      <c r="B234" s="1158"/>
      <c r="C234" s="1159"/>
      <c r="D234" s="1159"/>
      <c r="E234" s="1159"/>
      <c r="F234" s="1159"/>
      <c r="G234" s="1159"/>
      <c r="H234" s="1159"/>
      <c r="I234" s="1159"/>
      <c r="J234" s="1159"/>
      <c r="K234" s="1159"/>
      <c r="L234" s="1159"/>
      <c r="M234" s="1159"/>
      <c r="N234" s="1159"/>
      <c r="O234" s="1159"/>
      <c r="P234" s="1159"/>
      <c r="Q234" s="1159"/>
      <c r="R234" s="1159"/>
      <c r="S234" s="1159"/>
      <c r="T234" s="1159"/>
      <c r="U234" s="1159"/>
      <c r="V234" s="1159"/>
      <c r="W234" s="1159"/>
      <c r="X234" s="1159"/>
      <c r="Y234" s="1159"/>
      <c r="Z234" s="1159"/>
      <c r="AA234" s="1159"/>
      <c r="AB234" s="1160"/>
      <c r="AC234" s="1160"/>
      <c r="AD234" s="1160"/>
      <c r="AE234" s="1160"/>
    </row>
    <row r="235" ht="15.0" customHeight="1">
      <c r="A235" s="1158"/>
      <c r="B235" s="1158"/>
      <c r="C235" s="1159"/>
      <c r="D235" s="1159"/>
      <c r="E235" s="1159"/>
      <c r="F235" s="1159"/>
      <c r="G235" s="1159"/>
      <c r="H235" s="1159"/>
      <c r="I235" s="1159"/>
      <c r="J235" s="1159"/>
      <c r="K235" s="1159"/>
      <c r="L235" s="1159"/>
      <c r="M235" s="1159"/>
      <c r="N235" s="1159"/>
      <c r="O235" s="1159"/>
      <c r="P235" s="1159"/>
      <c r="Q235" s="1159"/>
      <c r="R235" s="1159"/>
      <c r="S235" s="1159"/>
      <c r="T235" s="1159"/>
      <c r="U235" s="1159"/>
      <c r="V235" s="1159"/>
      <c r="W235" s="1159"/>
      <c r="X235" s="1159"/>
      <c r="Y235" s="1159"/>
      <c r="Z235" s="1159"/>
      <c r="AA235" s="1159"/>
      <c r="AB235" s="1160"/>
      <c r="AC235" s="1160"/>
      <c r="AD235" s="1160"/>
      <c r="AE235" s="1160"/>
    </row>
    <row r="236" ht="15.0" customHeight="1">
      <c r="A236" s="1158"/>
      <c r="B236" s="1158"/>
      <c r="C236" s="1159"/>
      <c r="D236" s="1159"/>
      <c r="E236" s="1159"/>
      <c r="F236" s="1159"/>
      <c r="G236" s="1159"/>
      <c r="H236" s="1159"/>
      <c r="I236" s="1159"/>
      <c r="J236" s="1159"/>
      <c r="K236" s="1159"/>
      <c r="L236" s="1159"/>
      <c r="M236" s="1159"/>
      <c r="N236" s="1159"/>
      <c r="O236" s="1159"/>
      <c r="P236" s="1159"/>
      <c r="Q236" s="1159"/>
      <c r="R236" s="1159"/>
      <c r="S236" s="1159"/>
      <c r="T236" s="1159"/>
      <c r="U236" s="1159"/>
      <c r="V236" s="1159"/>
      <c r="W236" s="1159"/>
      <c r="X236" s="1159"/>
      <c r="Y236" s="1159"/>
      <c r="Z236" s="1159"/>
      <c r="AA236" s="1159"/>
      <c r="AB236" s="1160"/>
      <c r="AC236" s="1160"/>
      <c r="AD236" s="1160"/>
      <c r="AE236" s="1160"/>
    </row>
    <row r="237" ht="15.0" customHeight="1">
      <c r="A237" s="1158"/>
      <c r="B237" s="1158"/>
      <c r="C237" s="1159"/>
      <c r="D237" s="1159"/>
      <c r="E237" s="1159"/>
      <c r="F237" s="1159"/>
      <c r="G237" s="1159"/>
      <c r="H237" s="1159"/>
      <c r="I237" s="1159"/>
      <c r="J237" s="1159"/>
      <c r="K237" s="1159"/>
      <c r="L237" s="1159"/>
      <c r="M237" s="1159"/>
      <c r="N237" s="1159"/>
      <c r="O237" s="1159"/>
      <c r="P237" s="1159"/>
      <c r="Q237" s="1159"/>
      <c r="R237" s="1159"/>
      <c r="S237" s="1159"/>
      <c r="T237" s="1159"/>
      <c r="U237" s="1159"/>
      <c r="V237" s="1159"/>
      <c r="W237" s="1159"/>
      <c r="X237" s="1159"/>
      <c r="Y237" s="1159"/>
      <c r="Z237" s="1159"/>
      <c r="AA237" s="1159"/>
      <c r="AB237" s="1160"/>
      <c r="AC237" s="1160"/>
      <c r="AD237" s="1160"/>
      <c r="AE237" s="1160"/>
    </row>
    <row r="238" ht="15.0" customHeight="1">
      <c r="A238" s="1158"/>
      <c r="B238" s="1158"/>
      <c r="C238" s="1159"/>
      <c r="D238" s="1159"/>
      <c r="E238" s="1159"/>
      <c r="F238" s="1159"/>
      <c r="G238" s="1159"/>
      <c r="H238" s="1159"/>
      <c r="I238" s="1159"/>
      <c r="J238" s="1159"/>
      <c r="K238" s="1159"/>
      <c r="L238" s="1159"/>
      <c r="M238" s="1159"/>
      <c r="N238" s="1159"/>
      <c r="O238" s="1159"/>
      <c r="P238" s="1159"/>
      <c r="Q238" s="1159"/>
      <c r="R238" s="1159"/>
      <c r="S238" s="1159"/>
      <c r="T238" s="1159"/>
      <c r="U238" s="1159"/>
      <c r="V238" s="1159"/>
      <c r="W238" s="1159"/>
      <c r="X238" s="1159"/>
      <c r="Y238" s="1159"/>
      <c r="Z238" s="1159"/>
      <c r="AA238" s="1159"/>
      <c r="AB238" s="1160"/>
      <c r="AC238" s="1160"/>
      <c r="AD238" s="1160"/>
      <c r="AE238" s="1160"/>
    </row>
    <row r="239" ht="15.0" customHeight="1">
      <c r="A239" s="1158"/>
      <c r="B239" s="1158"/>
      <c r="C239" s="1159"/>
      <c r="D239" s="1159"/>
      <c r="E239" s="1159"/>
      <c r="F239" s="1159"/>
      <c r="G239" s="1159"/>
      <c r="H239" s="1159"/>
      <c r="I239" s="1159"/>
      <c r="J239" s="1159"/>
      <c r="K239" s="1159"/>
      <c r="L239" s="1159"/>
      <c r="M239" s="1159"/>
      <c r="N239" s="1159"/>
      <c r="O239" s="1159"/>
      <c r="P239" s="1159"/>
      <c r="Q239" s="1159"/>
      <c r="R239" s="1159"/>
      <c r="S239" s="1159"/>
      <c r="T239" s="1159"/>
      <c r="U239" s="1159"/>
      <c r="V239" s="1159"/>
      <c r="W239" s="1159"/>
      <c r="X239" s="1159"/>
      <c r="Y239" s="1159"/>
      <c r="Z239" s="1159"/>
      <c r="AA239" s="1159"/>
      <c r="AB239" s="1160"/>
      <c r="AC239" s="1160"/>
      <c r="AD239" s="1160"/>
      <c r="AE239" s="1160"/>
    </row>
    <row r="240" ht="15.0" customHeight="1">
      <c r="A240" s="1158"/>
      <c r="B240" s="1158"/>
      <c r="C240" s="1159"/>
      <c r="D240" s="1159"/>
      <c r="E240" s="1159"/>
      <c r="F240" s="1159"/>
      <c r="G240" s="1159"/>
      <c r="H240" s="1159"/>
      <c r="I240" s="1159"/>
      <c r="J240" s="1159"/>
      <c r="K240" s="1159"/>
      <c r="L240" s="1159"/>
      <c r="M240" s="1159"/>
      <c r="N240" s="1159"/>
      <c r="O240" s="1159"/>
      <c r="P240" s="1159"/>
      <c r="Q240" s="1159"/>
      <c r="R240" s="1159"/>
      <c r="S240" s="1159"/>
      <c r="T240" s="1159"/>
      <c r="U240" s="1159"/>
      <c r="V240" s="1159"/>
      <c r="W240" s="1159"/>
      <c r="X240" s="1159"/>
      <c r="Y240" s="1159"/>
      <c r="Z240" s="1159"/>
      <c r="AA240" s="1159"/>
      <c r="AB240" s="1160"/>
      <c r="AC240" s="1160"/>
      <c r="AD240" s="1160"/>
      <c r="AE240" s="1160"/>
    </row>
    <row r="241" ht="15.0" customHeight="1">
      <c r="A241" s="1158"/>
      <c r="B241" s="1158"/>
      <c r="C241" s="1159"/>
      <c r="D241" s="1159"/>
      <c r="E241" s="1159"/>
      <c r="F241" s="1159"/>
      <c r="G241" s="1159"/>
      <c r="H241" s="1159"/>
      <c r="I241" s="1159"/>
      <c r="J241" s="1159"/>
      <c r="K241" s="1159"/>
      <c r="L241" s="1159"/>
      <c r="M241" s="1159"/>
      <c r="N241" s="1159"/>
      <c r="O241" s="1159"/>
      <c r="P241" s="1159"/>
      <c r="Q241" s="1159"/>
      <c r="R241" s="1159"/>
      <c r="S241" s="1159"/>
      <c r="T241" s="1159"/>
      <c r="U241" s="1159"/>
      <c r="V241" s="1159"/>
      <c r="W241" s="1159"/>
      <c r="X241" s="1159"/>
      <c r="Y241" s="1159"/>
      <c r="Z241" s="1159"/>
      <c r="AA241" s="1159"/>
      <c r="AB241" s="1160"/>
      <c r="AC241" s="1160"/>
      <c r="AD241" s="1160"/>
      <c r="AE241" s="1160"/>
    </row>
    <row r="242" ht="15.0" customHeight="1">
      <c r="A242" s="1158"/>
      <c r="B242" s="1158"/>
      <c r="C242" s="1159"/>
      <c r="D242" s="1159"/>
      <c r="E242" s="1159"/>
      <c r="F242" s="1159"/>
      <c r="G242" s="1159"/>
      <c r="H242" s="1159"/>
      <c r="I242" s="1159"/>
      <c r="J242" s="1159"/>
      <c r="K242" s="1159"/>
      <c r="L242" s="1159"/>
      <c r="M242" s="1159"/>
      <c r="N242" s="1159"/>
      <c r="O242" s="1159"/>
      <c r="P242" s="1159"/>
      <c r="Q242" s="1159"/>
      <c r="R242" s="1159"/>
      <c r="S242" s="1159"/>
      <c r="T242" s="1159"/>
      <c r="U242" s="1159"/>
      <c r="V242" s="1159"/>
      <c r="W242" s="1159"/>
      <c r="X242" s="1159"/>
      <c r="Y242" s="1159"/>
      <c r="Z242" s="1159"/>
      <c r="AA242" s="1159"/>
      <c r="AB242" s="1160"/>
      <c r="AC242" s="1160"/>
      <c r="AD242" s="1160"/>
      <c r="AE242" s="1160"/>
    </row>
    <row r="243" ht="15.0" customHeight="1">
      <c r="A243" s="1158"/>
      <c r="B243" s="1158"/>
      <c r="C243" s="1159"/>
      <c r="D243" s="1159"/>
      <c r="E243" s="1159"/>
      <c r="F243" s="1159"/>
      <c r="G243" s="1159"/>
      <c r="H243" s="1159"/>
      <c r="I243" s="1159"/>
      <c r="J243" s="1159"/>
      <c r="K243" s="1159"/>
      <c r="L243" s="1159"/>
      <c r="M243" s="1159"/>
      <c r="N243" s="1159"/>
      <c r="O243" s="1159"/>
      <c r="P243" s="1159"/>
      <c r="Q243" s="1159"/>
      <c r="R243" s="1159"/>
      <c r="S243" s="1159"/>
      <c r="T243" s="1159"/>
      <c r="U243" s="1159"/>
      <c r="V243" s="1159"/>
      <c r="W243" s="1159"/>
      <c r="X243" s="1159"/>
      <c r="Y243" s="1159"/>
      <c r="Z243" s="1159"/>
      <c r="AA243" s="1159"/>
      <c r="AB243" s="1160"/>
      <c r="AC243" s="1160"/>
      <c r="AD243" s="1160"/>
      <c r="AE243" s="1160"/>
    </row>
    <row r="244" ht="15.0" customHeight="1">
      <c r="A244" s="1158"/>
      <c r="B244" s="1158"/>
      <c r="C244" s="1159"/>
      <c r="D244" s="1159"/>
      <c r="E244" s="1159"/>
      <c r="F244" s="1159"/>
      <c r="G244" s="1159"/>
      <c r="H244" s="1159"/>
      <c r="I244" s="1159"/>
      <c r="J244" s="1159"/>
      <c r="K244" s="1159"/>
      <c r="L244" s="1159"/>
      <c r="M244" s="1159"/>
      <c r="N244" s="1159"/>
      <c r="O244" s="1159"/>
      <c r="P244" s="1159"/>
      <c r="Q244" s="1159"/>
      <c r="R244" s="1159"/>
      <c r="S244" s="1159"/>
      <c r="T244" s="1159"/>
      <c r="U244" s="1159"/>
      <c r="V244" s="1159"/>
      <c r="W244" s="1159"/>
      <c r="X244" s="1159"/>
      <c r="Y244" s="1159"/>
      <c r="Z244" s="1159"/>
      <c r="AA244" s="1159"/>
      <c r="AB244" s="1160"/>
      <c r="AC244" s="1160"/>
      <c r="AD244" s="1160"/>
      <c r="AE244" s="1160"/>
    </row>
    <row r="245" ht="15.0" customHeight="1">
      <c r="A245" s="1158"/>
      <c r="B245" s="1158"/>
      <c r="C245" s="1159"/>
      <c r="D245" s="1159"/>
      <c r="E245" s="1159"/>
      <c r="F245" s="1159"/>
      <c r="G245" s="1159"/>
      <c r="H245" s="1159"/>
      <c r="I245" s="1159"/>
      <c r="J245" s="1159"/>
      <c r="K245" s="1159"/>
      <c r="L245" s="1159"/>
      <c r="M245" s="1159"/>
      <c r="N245" s="1159"/>
      <c r="O245" s="1159"/>
      <c r="P245" s="1159"/>
      <c r="Q245" s="1159"/>
      <c r="R245" s="1159"/>
      <c r="S245" s="1159"/>
      <c r="T245" s="1159"/>
      <c r="U245" s="1159"/>
      <c r="V245" s="1159"/>
      <c r="W245" s="1159"/>
      <c r="X245" s="1159"/>
      <c r="Y245" s="1159"/>
      <c r="Z245" s="1159"/>
      <c r="AA245" s="1159"/>
      <c r="AB245" s="1160"/>
      <c r="AC245" s="1160"/>
      <c r="AD245" s="1160"/>
      <c r="AE245" s="1160"/>
    </row>
    <row r="246" ht="15.0" customHeight="1">
      <c r="A246" s="1158"/>
      <c r="B246" s="1158"/>
      <c r="C246" s="1159"/>
      <c r="D246" s="1159"/>
      <c r="E246" s="1159"/>
      <c r="F246" s="1159"/>
      <c r="G246" s="1159"/>
      <c r="H246" s="1159"/>
      <c r="I246" s="1159"/>
      <c r="J246" s="1159"/>
      <c r="K246" s="1159"/>
      <c r="L246" s="1159"/>
      <c r="M246" s="1159"/>
      <c r="N246" s="1159"/>
      <c r="O246" s="1159"/>
      <c r="P246" s="1159"/>
      <c r="Q246" s="1159"/>
      <c r="R246" s="1159"/>
      <c r="S246" s="1159"/>
      <c r="T246" s="1159"/>
      <c r="U246" s="1159"/>
      <c r="V246" s="1159"/>
      <c r="W246" s="1159"/>
      <c r="X246" s="1159"/>
      <c r="Y246" s="1159"/>
      <c r="Z246" s="1159"/>
      <c r="AA246" s="1159"/>
      <c r="AB246" s="1160"/>
      <c r="AC246" s="1160"/>
      <c r="AD246" s="1160"/>
      <c r="AE246" s="1160"/>
    </row>
    <row r="247" ht="15.0" customHeight="1">
      <c r="A247" s="1158"/>
      <c r="B247" s="1158"/>
      <c r="C247" s="1159"/>
      <c r="D247" s="1159"/>
      <c r="E247" s="1159"/>
      <c r="F247" s="1159"/>
      <c r="G247" s="1159"/>
      <c r="H247" s="1159"/>
      <c r="I247" s="1159"/>
      <c r="J247" s="1159"/>
      <c r="K247" s="1159"/>
      <c r="L247" s="1159"/>
      <c r="M247" s="1159"/>
      <c r="N247" s="1159"/>
      <c r="O247" s="1159"/>
      <c r="P247" s="1159"/>
      <c r="Q247" s="1159"/>
      <c r="R247" s="1159"/>
      <c r="S247" s="1159"/>
      <c r="T247" s="1159"/>
      <c r="U247" s="1159"/>
      <c r="V247" s="1159"/>
      <c r="W247" s="1159"/>
      <c r="X247" s="1159"/>
      <c r="Y247" s="1159"/>
      <c r="Z247" s="1159"/>
      <c r="AA247" s="1159"/>
      <c r="AB247" s="1160"/>
      <c r="AC247" s="1160"/>
      <c r="AD247" s="1160"/>
      <c r="AE247" s="1160"/>
    </row>
    <row r="248" ht="15.0" customHeight="1">
      <c r="A248" s="1158"/>
      <c r="B248" s="1158"/>
      <c r="C248" s="1159"/>
      <c r="D248" s="1159"/>
      <c r="E248" s="1159"/>
      <c r="F248" s="1159"/>
      <c r="G248" s="1159"/>
      <c r="H248" s="1159"/>
      <c r="I248" s="1159"/>
      <c r="J248" s="1159"/>
      <c r="K248" s="1159"/>
      <c r="L248" s="1159"/>
      <c r="M248" s="1159"/>
      <c r="N248" s="1159"/>
      <c r="O248" s="1159"/>
      <c r="P248" s="1159"/>
      <c r="Q248" s="1159"/>
      <c r="R248" s="1159"/>
      <c r="S248" s="1159"/>
      <c r="T248" s="1159"/>
      <c r="U248" s="1159"/>
      <c r="V248" s="1159"/>
      <c r="W248" s="1159"/>
      <c r="X248" s="1159"/>
      <c r="Y248" s="1159"/>
      <c r="Z248" s="1159"/>
      <c r="AA248" s="1159"/>
      <c r="AB248" s="1160"/>
      <c r="AC248" s="1160"/>
      <c r="AD248" s="1160"/>
      <c r="AE248" s="1160"/>
    </row>
    <row r="249" ht="15.0" customHeight="1">
      <c r="A249" s="1158"/>
      <c r="B249" s="1158"/>
      <c r="C249" s="1159"/>
      <c r="D249" s="1159"/>
      <c r="E249" s="1159"/>
      <c r="F249" s="1159"/>
      <c r="G249" s="1159"/>
      <c r="H249" s="1159"/>
      <c r="I249" s="1159"/>
      <c r="J249" s="1159"/>
      <c r="K249" s="1159"/>
      <c r="L249" s="1159"/>
      <c r="M249" s="1159"/>
      <c r="N249" s="1159"/>
      <c r="O249" s="1159"/>
      <c r="P249" s="1159"/>
      <c r="Q249" s="1159"/>
      <c r="R249" s="1159"/>
      <c r="S249" s="1159"/>
      <c r="T249" s="1159"/>
      <c r="U249" s="1159"/>
      <c r="V249" s="1159"/>
      <c r="W249" s="1159"/>
      <c r="X249" s="1159"/>
      <c r="Y249" s="1159"/>
      <c r="Z249" s="1159"/>
      <c r="AA249" s="1159"/>
      <c r="AB249" s="1160"/>
      <c r="AC249" s="1160"/>
      <c r="AD249" s="1160"/>
      <c r="AE249" s="1160"/>
    </row>
    <row r="250" ht="15.0" customHeight="1">
      <c r="A250" s="1158"/>
      <c r="B250" s="1158"/>
      <c r="C250" s="1159"/>
      <c r="D250" s="1159"/>
      <c r="E250" s="1159"/>
      <c r="F250" s="1159"/>
      <c r="G250" s="1159"/>
      <c r="H250" s="1159"/>
      <c r="I250" s="1159"/>
      <c r="J250" s="1159"/>
      <c r="K250" s="1159"/>
      <c r="L250" s="1159"/>
      <c r="M250" s="1159"/>
      <c r="N250" s="1159"/>
      <c r="O250" s="1159"/>
      <c r="P250" s="1159"/>
      <c r="Q250" s="1159"/>
      <c r="R250" s="1159"/>
      <c r="S250" s="1159"/>
      <c r="T250" s="1159"/>
      <c r="U250" s="1159"/>
      <c r="V250" s="1159"/>
      <c r="W250" s="1159"/>
      <c r="X250" s="1159"/>
      <c r="Y250" s="1159"/>
      <c r="Z250" s="1159"/>
      <c r="AA250" s="1159"/>
      <c r="AB250" s="1160"/>
      <c r="AC250" s="1160"/>
      <c r="AD250" s="1160"/>
      <c r="AE250" s="1160"/>
    </row>
    <row r="251" ht="15.0" customHeight="1">
      <c r="A251" s="1158"/>
      <c r="B251" s="1158"/>
      <c r="C251" s="1159"/>
      <c r="D251" s="1159"/>
      <c r="E251" s="1159"/>
      <c r="F251" s="1159"/>
      <c r="G251" s="1159"/>
      <c r="H251" s="1159"/>
      <c r="I251" s="1159"/>
      <c r="J251" s="1159"/>
      <c r="K251" s="1159"/>
      <c r="L251" s="1159"/>
      <c r="M251" s="1159"/>
      <c r="N251" s="1159"/>
      <c r="O251" s="1159"/>
      <c r="P251" s="1159"/>
      <c r="Q251" s="1159"/>
      <c r="R251" s="1159"/>
      <c r="S251" s="1159"/>
      <c r="T251" s="1159"/>
      <c r="U251" s="1159"/>
      <c r="V251" s="1159"/>
      <c r="W251" s="1159"/>
      <c r="X251" s="1159"/>
      <c r="Y251" s="1159"/>
      <c r="Z251" s="1159"/>
      <c r="AA251" s="1159"/>
      <c r="AB251" s="1160"/>
      <c r="AC251" s="1160"/>
      <c r="AD251" s="1160"/>
      <c r="AE251" s="1160"/>
    </row>
    <row r="252" ht="15.0" customHeight="1">
      <c r="A252" s="1158"/>
      <c r="B252" s="1158"/>
      <c r="C252" s="1159"/>
      <c r="D252" s="1159"/>
      <c r="E252" s="1159"/>
      <c r="F252" s="1159"/>
      <c r="G252" s="1159"/>
      <c r="H252" s="1159"/>
      <c r="I252" s="1159"/>
      <c r="J252" s="1159"/>
      <c r="K252" s="1159"/>
      <c r="L252" s="1159"/>
      <c r="M252" s="1159"/>
      <c r="N252" s="1159"/>
      <c r="O252" s="1159"/>
      <c r="P252" s="1159"/>
      <c r="Q252" s="1159"/>
      <c r="R252" s="1159"/>
      <c r="S252" s="1159"/>
      <c r="T252" s="1159"/>
      <c r="U252" s="1159"/>
      <c r="V252" s="1159"/>
      <c r="W252" s="1159"/>
      <c r="X252" s="1159"/>
      <c r="Y252" s="1159"/>
      <c r="Z252" s="1159"/>
      <c r="AA252" s="1159"/>
      <c r="AB252" s="1160"/>
      <c r="AC252" s="1160"/>
      <c r="AD252" s="1160"/>
      <c r="AE252" s="1160"/>
    </row>
    <row r="253" ht="15.0" customHeight="1">
      <c r="A253" s="1158"/>
      <c r="B253" s="1158"/>
      <c r="C253" s="1159"/>
      <c r="D253" s="1159"/>
      <c r="E253" s="1159"/>
      <c r="F253" s="1159"/>
      <c r="G253" s="1159"/>
      <c r="H253" s="1159"/>
      <c r="I253" s="1159"/>
      <c r="J253" s="1159"/>
      <c r="K253" s="1159"/>
      <c r="L253" s="1159"/>
      <c r="M253" s="1159"/>
      <c r="N253" s="1159"/>
      <c r="O253" s="1159"/>
      <c r="P253" s="1159"/>
      <c r="Q253" s="1159"/>
      <c r="R253" s="1159"/>
      <c r="S253" s="1159"/>
      <c r="T253" s="1159"/>
      <c r="U253" s="1159"/>
      <c r="V253" s="1159"/>
      <c r="W253" s="1159"/>
      <c r="X253" s="1159"/>
      <c r="Y253" s="1159"/>
      <c r="Z253" s="1159"/>
      <c r="AA253" s="1159"/>
      <c r="AB253" s="1160"/>
      <c r="AC253" s="1160"/>
      <c r="AD253" s="1160"/>
      <c r="AE253" s="1160"/>
    </row>
    <row r="254" ht="15.0" customHeight="1">
      <c r="A254" s="1158"/>
      <c r="B254" s="1158"/>
      <c r="C254" s="1159"/>
      <c r="D254" s="1159"/>
      <c r="E254" s="1159"/>
      <c r="F254" s="1159"/>
      <c r="G254" s="1159"/>
      <c r="H254" s="1159"/>
      <c r="I254" s="1159"/>
      <c r="J254" s="1159"/>
      <c r="K254" s="1159"/>
      <c r="L254" s="1159"/>
      <c r="M254" s="1159"/>
      <c r="N254" s="1159"/>
      <c r="O254" s="1159"/>
      <c r="P254" s="1159"/>
      <c r="Q254" s="1159"/>
      <c r="R254" s="1159"/>
      <c r="S254" s="1159"/>
      <c r="T254" s="1159"/>
      <c r="U254" s="1159"/>
      <c r="V254" s="1159"/>
      <c r="W254" s="1159"/>
      <c r="X254" s="1159"/>
      <c r="Y254" s="1159"/>
      <c r="Z254" s="1159"/>
      <c r="AA254" s="1159"/>
      <c r="AB254" s="1160"/>
      <c r="AC254" s="1160"/>
      <c r="AD254" s="1160"/>
      <c r="AE254" s="1160"/>
    </row>
    <row r="255" ht="15.0" customHeight="1">
      <c r="A255" s="1158"/>
      <c r="B255" s="1158"/>
      <c r="C255" s="1159"/>
      <c r="D255" s="1159"/>
      <c r="E255" s="1159"/>
      <c r="F255" s="1159"/>
      <c r="G255" s="1159"/>
      <c r="H255" s="1159"/>
      <c r="I255" s="1159"/>
      <c r="J255" s="1159"/>
      <c r="K255" s="1159"/>
      <c r="L255" s="1159"/>
      <c r="M255" s="1159"/>
      <c r="N255" s="1159"/>
      <c r="O255" s="1159"/>
      <c r="P255" s="1159"/>
      <c r="Q255" s="1159"/>
      <c r="R255" s="1159"/>
      <c r="S255" s="1159"/>
      <c r="T255" s="1159"/>
      <c r="U255" s="1159"/>
      <c r="V255" s="1159"/>
      <c r="W255" s="1159"/>
      <c r="X255" s="1159"/>
      <c r="Y255" s="1159"/>
      <c r="Z255" s="1159"/>
      <c r="AA255" s="1159"/>
      <c r="AB255" s="1160"/>
      <c r="AC255" s="1160"/>
      <c r="AD255" s="1160"/>
      <c r="AE255" s="1160"/>
    </row>
    <row r="256" ht="15.0" customHeight="1">
      <c r="A256" s="1158"/>
      <c r="B256" s="1158"/>
      <c r="C256" s="1159"/>
      <c r="D256" s="1159"/>
      <c r="E256" s="1159"/>
      <c r="F256" s="1159"/>
      <c r="G256" s="1159"/>
      <c r="H256" s="1159"/>
      <c r="I256" s="1159"/>
      <c r="J256" s="1159"/>
      <c r="K256" s="1159"/>
      <c r="L256" s="1159"/>
      <c r="M256" s="1159"/>
      <c r="N256" s="1159"/>
      <c r="O256" s="1159"/>
      <c r="P256" s="1159"/>
      <c r="Q256" s="1159"/>
      <c r="R256" s="1159"/>
      <c r="S256" s="1159"/>
      <c r="T256" s="1159"/>
      <c r="U256" s="1159"/>
      <c r="V256" s="1159"/>
      <c r="W256" s="1159"/>
      <c r="X256" s="1159"/>
      <c r="Y256" s="1159"/>
      <c r="Z256" s="1159"/>
      <c r="AA256" s="1159"/>
      <c r="AB256" s="1160"/>
      <c r="AC256" s="1160"/>
      <c r="AD256" s="1160"/>
      <c r="AE256" s="1160"/>
    </row>
    <row r="257" ht="15.0" customHeight="1">
      <c r="A257" s="1158"/>
      <c r="B257" s="1158"/>
      <c r="C257" s="1159"/>
      <c r="D257" s="1159"/>
      <c r="E257" s="1159"/>
      <c r="F257" s="1159"/>
      <c r="G257" s="1159"/>
      <c r="H257" s="1159"/>
      <c r="I257" s="1159"/>
      <c r="J257" s="1159"/>
      <c r="K257" s="1159"/>
      <c r="L257" s="1159"/>
      <c r="M257" s="1159"/>
      <c r="N257" s="1159"/>
      <c r="O257" s="1159"/>
      <c r="P257" s="1159"/>
      <c r="Q257" s="1159"/>
      <c r="R257" s="1159"/>
      <c r="S257" s="1159"/>
      <c r="T257" s="1159"/>
      <c r="U257" s="1159"/>
      <c r="V257" s="1159"/>
      <c r="W257" s="1159"/>
      <c r="X257" s="1159"/>
      <c r="Y257" s="1159"/>
      <c r="Z257" s="1159"/>
      <c r="AA257" s="1159"/>
      <c r="AB257" s="1160"/>
      <c r="AC257" s="1160"/>
      <c r="AD257" s="1160"/>
      <c r="AE257" s="1160"/>
    </row>
    <row r="258" ht="15.0" customHeight="1">
      <c r="A258" s="1158"/>
      <c r="B258" s="1158"/>
      <c r="C258" s="1159"/>
      <c r="D258" s="1159"/>
      <c r="E258" s="1159"/>
      <c r="F258" s="1159"/>
      <c r="G258" s="1159"/>
      <c r="H258" s="1159"/>
      <c r="I258" s="1159"/>
      <c r="J258" s="1159"/>
      <c r="K258" s="1159"/>
      <c r="L258" s="1159"/>
      <c r="M258" s="1159"/>
      <c r="N258" s="1159"/>
      <c r="O258" s="1159"/>
      <c r="P258" s="1159"/>
      <c r="Q258" s="1159"/>
      <c r="R258" s="1159"/>
      <c r="S258" s="1159"/>
      <c r="T258" s="1159"/>
      <c r="U258" s="1159"/>
      <c r="V258" s="1159"/>
      <c r="W258" s="1159"/>
      <c r="X258" s="1159"/>
      <c r="Y258" s="1159"/>
      <c r="Z258" s="1159"/>
      <c r="AA258" s="1159"/>
      <c r="AB258" s="1160"/>
      <c r="AC258" s="1160"/>
      <c r="AD258" s="1160"/>
      <c r="AE258" s="1160"/>
    </row>
    <row r="259" ht="15.0" customHeight="1">
      <c r="A259" s="1158"/>
      <c r="B259" s="1158"/>
      <c r="C259" s="1159"/>
      <c r="D259" s="1159"/>
      <c r="E259" s="1159"/>
      <c r="F259" s="1159"/>
      <c r="G259" s="1159"/>
      <c r="H259" s="1159"/>
      <c r="I259" s="1159"/>
      <c r="J259" s="1159"/>
      <c r="K259" s="1159"/>
      <c r="L259" s="1159"/>
      <c r="M259" s="1159"/>
      <c r="N259" s="1159"/>
      <c r="O259" s="1159"/>
      <c r="P259" s="1159"/>
      <c r="Q259" s="1159"/>
      <c r="R259" s="1159"/>
      <c r="S259" s="1159"/>
      <c r="T259" s="1159"/>
      <c r="U259" s="1159"/>
      <c r="V259" s="1159"/>
      <c r="W259" s="1159"/>
      <c r="X259" s="1159"/>
      <c r="Y259" s="1159"/>
      <c r="Z259" s="1159"/>
      <c r="AA259" s="1159"/>
      <c r="AB259" s="1160"/>
      <c r="AC259" s="1160"/>
      <c r="AD259" s="1160"/>
      <c r="AE259" s="1160"/>
    </row>
    <row r="260" ht="15.0" customHeight="1">
      <c r="A260" s="1158"/>
      <c r="B260" s="1158"/>
      <c r="C260" s="1159"/>
      <c r="D260" s="1159"/>
      <c r="E260" s="1159"/>
      <c r="F260" s="1159"/>
      <c r="G260" s="1159"/>
      <c r="H260" s="1159"/>
      <c r="I260" s="1159"/>
      <c r="J260" s="1159"/>
      <c r="K260" s="1159"/>
      <c r="L260" s="1159"/>
      <c r="M260" s="1159"/>
      <c r="N260" s="1159"/>
      <c r="O260" s="1159"/>
      <c r="P260" s="1159"/>
      <c r="Q260" s="1159"/>
      <c r="R260" s="1159"/>
      <c r="S260" s="1159"/>
      <c r="T260" s="1159"/>
      <c r="U260" s="1159"/>
      <c r="V260" s="1159"/>
      <c r="W260" s="1159"/>
      <c r="X260" s="1159"/>
      <c r="Y260" s="1159"/>
      <c r="Z260" s="1159"/>
      <c r="AA260" s="1159"/>
      <c r="AB260" s="1160"/>
      <c r="AC260" s="1160"/>
      <c r="AD260" s="1160"/>
      <c r="AE260" s="1160"/>
    </row>
    <row r="261" ht="15.0" customHeight="1">
      <c r="A261" s="1158"/>
      <c r="B261" s="1158"/>
      <c r="C261" s="1159"/>
      <c r="D261" s="1159"/>
      <c r="E261" s="1159"/>
      <c r="F261" s="1159"/>
      <c r="G261" s="1159"/>
      <c r="H261" s="1159"/>
      <c r="I261" s="1159"/>
      <c r="J261" s="1159"/>
      <c r="K261" s="1159"/>
      <c r="L261" s="1159"/>
      <c r="M261" s="1159"/>
      <c r="N261" s="1159"/>
      <c r="O261" s="1159"/>
      <c r="P261" s="1159"/>
      <c r="Q261" s="1159"/>
      <c r="R261" s="1159"/>
      <c r="S261" s="1159"/>
      <c r="T261" s="1159"/>
      <c r="U261" s="1159"/>
      <c r="V261" s="1159"/>
      <c r="W261" s="1159"/>
      <c r="X261" s="1159"/>
      <c r="Y261" s="1159"/>
      <c r="Z261" s="1159"/>
      <c r="AA261" s="1159"/>
      <c r="AB261" s="1160"/>
      <c r="AC261" s="1160"/>
      <c r="AD261" s="1160"/>
      <c r="AE261" s="1160"/>
    </row>
    <row r="262" ht="15.0" customHeight="1">
      <c r="A262" s="1158"/>
      <c r="B262" s="1158"/>
      <c r="C262" s="1159"/>
      <c r="D262" s="1159"/>
      <c r="E262" s="1159"/>
      <c r="F262" s="1159"/>
      <c r="G262" s="1159"/>
      <c r="H262" s="1159"/>
      <c r="I262" s="1159"/>
      <c r="J262" s="1159"/>
      <c r="K262" s="1159"/>
      <c r="L262" s="1159"/>
      <c r="M262" s="1159"/>
      <c r="N262" s="1159"/>
      <c r="O262" s="1159"/>
      <c r="P262" s="1159"/>
      <c r="Q262" s="1159"/>
      <c r="R262" s="1159"/>
      <c r="S262" s="1159"/>
      <c r="T262" s="1159"/>
      <c r="U262" s="1159"/>
      <c r="V262" s="1159"/>
      <c r="W262" s="1159"/>
      <c r="X262" s="1159"/>
      <c r="Y262" s="1159"/>
      <c r="Z262" s="1159"/>
      <c r="AA262" s="1159"/>
      <c r="AB262" s="1160"/>
      <c r="AC262" s="1160"/>
      <c r="AD262" s="1160"/>
      <c r="AE262" s="1160"/>
    </row>
    <row r="263" ht="15.0" customHeight="1">
      <c r="A263" s="1158"/>
      <c r="B263" s="1158"/>
      <c r="C263" s="1159"/>
      <c r="D263" s="1159"/>
      <c r="E263" s="1159"/>
      <c r="F263" s="1159"/>
      <c r="G263" s="1159"/>
      <c r="H263" s="1159"/>
      <c r="I263" s="1159"/>
      <c r="J263" s="1159"/>
      <c r="K263" s="1159"/>
      <c r="L263" s="1159"/>
      <c r="M263" s="1159"/>
      <c r="N263" s="1159"/>
      <c r="O263" s="1159"/>
      <c r="P263" s="1159"/>
      <c r="Q263" s="1159"/>
      <c r="R263" s="1159"/>
      <c r="S263" s="1159"/>
      <c r="T263" s="1159"/>
      <c r="U263" s="1159"/>
      <c r="V263" s="1159"/>
      <c r="W263" s="1159"/>
      <c r="X263" s="1159"/>
      <c r="Y263" s="1159"/>
      <c r="Z263" s="1159"/>
      <c r="AA263" s="1159"/>
      <c r="AB263" s="1160"/>
      <c r="AC263" s="1160"/>
      <c r="AD263" s="1160"/>
      <c r="AE263" s="1160"/>
    </row>
    <row r="264" ht="15.0" customHeight="1">
      <c r="A264" s="1158"/>
      <c r="B264" s="1158"/>
      <c r="C264" s="1159"/>
      <c r="D264" s="1159"/>
      <c r="E264" s="1159"/>
      <c r="F264" s="1159"/>
      <c r="G264" s="1159"/>
      <c r="H264" s="1159"/>
      <c r="I264" s="1159"/>
      <c r="J264" s="1159"/>
      <c r="K264" s="1159"/>
      <c r="L264" s="1159"/>
      <c r="M264" s="1159"/>
      <c r="N264" s="1159"/>
      <c r="O264" s="1159"/>
      <c r="P264" s="1159"/>
      <c r="Q264" s="1159"/>
      <c r="R264" s="1159"/>
      <c r="S264" s="1159"/>
      <c r="T264" s="1159"/>
      <c r="U264" s="1159"/>
      <c r="V264" s="1159"/>
      <c r="W264" s="1159"/>
      <c r="X264" s="1159"/>
      <c r="Y264" s="1159"/>
      <c r="Z264" s="1159"/>
      <c r="AA264" s="1159"/>
      <c r="AB264" s="1160"/>
      <c r="AC264" s="1160"/>
      <c r="AD264" s="1160"/>
      <c r="AE264" s="1160"/>
    </row>
    <row r="265" ht="15.0" customHeight="1">
      <c r="A265" s="1158"/>
      <c r="B265" s="1158"/>
      <c r="C265" s="1159"/>
      <c r="D265" s="1159"/>
      <c r="E265" s="1159"/>
      <c r="F265" s="1159"/>
      <c r="G265" s="1159"/>
      <c r="H265" s="1159"/>
      <c r="I265" s="1159"/>
      <c r="J265" s="1159"/>
      <c r="K265" s="1159"/>
      <c r="L265" s="1159"/>
      <c r="M265" s="1159"/>
      <c r="N265" s="1159"/>
      <c r="O265" s="1159"/>
      <c r="P265" s="1159"/>
      <c r="Q265" s="1159"/>
      <c r="R265" s="1159"/>
      <c r="S265" s="1159"/>
      <c r="T265" s="1159"/>
      <c r="U265" s="1159"/>
      <c r="V265" s="1159"/>
      <c r="W265" s="1159"/>
      <c r="X265" s="1159"/>
      <c r="Y265" s="1159"/>
      <c r="Z265" s="1159"/>
      <c r="AA265" s="1159"/>
      <c r="AB265" s="1160"/>
      <c r="AC265" s="1160"/>
      <c r="AD265" s="1160"/>
      <c r="AE265" s="1160"/>
    </row>
    <row r="266" ht="15.0" customHeight="1">
      <c r="A266" s="1158"/>
      <c r="B266" s="1158"/>
      <c r="C266" s="1159"/>
      <c r="D266" s="1159"/>
      <c r="E266" s="1159"/>
      <c r="F266" s="1159"/>
      <c r="G266" s="1159"/>
      <c r="H266" s="1159"/>
      <c r="I266" s="1159"/>
      <c r="J266" s="1159"/>
      <c r="K266" s="1159"/>
      <c r="L266" s="1159"/>
      <c r="M266" s="1159"/>
      <c r="N266" s="1159"/>
      <c r="O266" s="1159"/>
      <c r="P266" s="1159"/>
      <c r="Q266" s="1159"/>
      <c r="R266" s="1159"/>
      <c r="S266" s="1159"/>
      <c r="T266" s="1159"/>
      <c r="U266" s="1159"/>
      <c r="V266" s="1159"/>
      <c r="W266" s="1159"/>
      <c r="X266" s="1159"/>
      <c r="Y266" s="1159"/>
      <c r="Z266" s="1159"/>
      <c r="AA266" s="1159"/>
      <c r="AB266" s="1160"/>
      <c r="AC266" s="1160"/>
      <c r="AD266" s="1160"/>
      <c r="AE266" s="1160"/>
    </row>
    <row r="267" ht="15.0" customHeight="1">
      <c r="A267" s="1158"/>
      <c r="B267" s="1158"/>
      <c r="C267" s="1159"/>
      <c r="D267" s="1159"/>
      <c r="E267" s="1159"/>
      <c r="F267" s="1159"/>
      <c r="G267" s="1159"/>
      <c r="H267" s="1159"/>
      <c r="I267" s="1159"/>
      <c r="J267" s="1159"/>
      <c r="K267" s="1159"/>
      <c r="L267" s="1159"/>
      <c r="M267" s="1159"/>
      <c r="N267" s="1159"/>
      <c r="O267" s="1159"/>
      <c r="P267" s="1159"/>
      <c r="Q267" s="1159"/>
      <c r="R267" s="1159"/>
      <c r="S267" s="1159"/>
      <c r="T267" s="1159"/>
      <c r="U267" s="1159"/>
      <c r="V267" s="1159"/>
      <c r="W267" s="1159"/>
      <c r="X267" s="1159"/>
      <c r="Y267" s="1159"/>
      <c r="Z267" s="1159"/>
      <c r="AA267" s="1159"/>
      <c r="AB267" s="1160"/>
      <c r="AC267" s="1160"/>
      <c r="AD267" s="1160"/>
      <c r="AE267" s="1160"/>
    </row>
    <row r="268" ht="15.0" customHeight="1">
      <c r="A268" s="1158"/>
      <c r="B268" s="1158"/>
      <c r="C268" s="1159"/>
      <c r="D268" s="1159"/>
      <c r="E268" s="1159"/>
      <c r="F268" s="1159"/>
      <c r="G268" s="1159"/>
      <c r="H268" s="1159"/>
      <c r="I268" s="1159"/>
      <c r="J268" s="1159"/>
      <c r="K268" s="1159"/>
      <c r="L268" s="1159"/>
      <c r="M268" s="1159"/>
      <c r="N268" s="1159"/>
      <c r="O268" s="1159"/>
      <c r="P268" s="1159"/>
      <c r="Q268" s="1159"/>
      <c r="R268" s="1159"/>
      <c r="S268" s="1159"/>
      <c r="T268" s="1159"/>
      <c r="U268" s="1159"/>
      <c r="V268" s="1159"/>
      <c r="W268" s="1159"/>
      <c r="X268" s="1159"/>
      <c r="Y268" s="1159"/>
      <c r="Z268" s="1159"/>
      <c r="AA268" s="1159"/>
      <c r="AB268" s="1160"/>
      <c r="AC268" s="1160"/>
      <c r="AD268" s="1160"/>
      <c r="AE268" s="1160"/>
    </row>
    <row r="269" ht="15.0" customHeight="1">
      <c r="A269" s="1158"/>
      <c r="B269" s="1158"/>
      <c r="C269" s="1159"/>
      <c r="D269" s="1159"/>
      <c r="E269" s="1159"/>
      <c r="F269" s="1159"/>
      <c r="G269" s="1159"/>
      <c r="H269" s="1159"/>
      <c r="I269" s="1159"/>
      <c r="J269" s="1159"/>
      <c r="K269" s="1159"/>
      <c r="L269" s="1159"/>
      <c r="M269" s="1159"/>
      <c r="N269" s="1159"/>
      <c r="O269" s="1159"/>
      <c r="P269" s="1159"/>
      <c r="Q269" s="1159"/>
      <c r="R269" s="1159"/>
      <c r="S269" s="1159"/>
      <c r="T269" s="1159"/>
      <c r="U269" s="1159"/>
      <c r="V269" s="1159"/>
      <c r="W269" s="1159"/>
      <c r="X269" s="1159"/>
      <c r="Y269" s="1159"/>
      <c r="Z269" s="1159"/>
      <c r="AA269" s="1159"/>
      <c r="AB269" s="1160"/>
      <c r="AC269" s="1160"/>
      <c r="AD269" s="1160"/>
      <c r="AE269" s="1160"/>
    </row>
    <row r="270" ht="15.0" customHeight="1">
      <c r="A270" s="1158"/>
      <c r="B270" s="1158"/>
      <c r="C270" s="1159"/>
      <c r="D270" s="1159"/>
      <c r="E270" s="1159"/>
      <c r="F270" s="1159"/>
      <c r="G270" s="1159"/>
      <c r="H270" s="1159"/>
      <c r="I270" s="1159"/>
      <c r="J270" s="1159"/>
      <c r="K270" s="1159"/>
      <c r="L270" s="1159"/>
      <c r="M270" s="1159"/>
      <c r="N270" s="1159"/>
      <c r="O270" s="1159"/>
      <c r="P270" s="1159"/>
      <c r="Q270" s="1159"/>
      <c r="R270" s="1159"/>
      <c r="S270" s="1159"/>
      <c r="T270" s="1159"/>
      <c r="U270" s="1159"/>
      <c r="V270" s="1159"/>
      <c r="W270" s="1159"/>
      <c r="X270" s="1159"/>
      <c r="Y270" s="1159"/>
      <c r="Z270" s="1159"/>
      <c r="AA270" s="1159"/>
      <c r="AB270" s="1160"/>
      <c r="AC270" s="1160"/>
      <c r="AD270" s="1160"/>
      <c r="AE270" s="1160"/>
    </row>
    <row r="271" ht="15.0" customHeight="1">
      <c r="A271" s="1158"/>
      <c r="B271" s="1158"/>
      <c r="C271" s="1159"/>
      <c r="D271" s="1159"/>
      <c r="E271" s="1159"/>
      <c r="F271" s="1159"/>
      <c r="G271" s="1159"/>
      <c r="H271" s="1159"/>
      <c r="I271" s="1159"/>
      <c r="J271" s="1159"/>
      <c r="K271" s="1159"/>
      <c r="L271" s="1159"/>
      <c r="M271" s="1159"/>
      <c r="N271" s="1159"/>
      <c r="O271" s="1159"/>
      <c r="P271" s="1159"/>
      <c r="Q271" s="1159"/>
      <c r="R271" s="1159"/>
      <c r="S271" s="1159"/>
      <c r="T271" s="1159"/>
      <c r="U271" s="1159"/>
      <c r="V271" s="1159"/>
      <c r="W271" s="1159"/>
      <c r="X271" s="1159"/>
      <c r="Y271" s="1159"/>
      <c r="Z271" s="1159"/>
      <c r="AA271" s="1159"/>
      <c r="AB271" s="1160"/>
      <c r="AC271" s="1160"/>
      <c r="AD271" s="1160"/>
      <c r="AE271" s="1160"/>
    </row>
    <row r="272" ht="15.0" customHeight="1">
      <c r="A272" s="1158"/>
      <c r="B272" s="1158"/>
      <c r="C272" s="1159"/>
      <c r="D272" s="1159"/>
      <c r="E272" s="1159"/>
      <c r="F272" s="1159"/>
      <c r="G272" s="1159"/>
      <c r="H272" s="1159"/>
      <c r="I272" s="1159"/>
      <c r="J272" s="1159"/>
      <c r="K272" s="1159"/>
      <c r="L272" s="1159"/>
      <c r="M272" s="1159"/>
      <c r="N272" s="1159"/>
      <c r="O272" s="1159"/>
      <c r="P272" s="1159"/>
      <c r="Q272" s="1159"/>
      <c r="R272" s="1159"/>
      <c r="S272" s="1159"/>
      <c r="T272" s="1159"/>
      <c r="U272" s="1159"/>
      <c r="V272" s="1159"/>
      <c r="W272" s="1159"/>
      <c r="X272" s="1159"/>
      <c r="Y272" s="1159"/>
      <c r="Z272" s="1159"/>
      <c r="AA272" s="1159"/>
      <c r="AB272" s="1160"/>
      <c r="AC272" s="1160"/>
      <c r="AD272" s="1160"/>
      <c r="AE272" s="1160"/>
    </row>
    <row r="273" ht="15.0" customHeight="1">
      <c r="A273" s="1158"/>
      <c r="B273" s="1158"/>
      <c r="C273" s="1159"/>
      <c r="D273" s="1159"/>
      <c r="E273" s="1159"/>
      <c r="F273" s="1159"/>
      <c r="G273" s="1159"/>
      <c r="H273" s="1159"/>
      <c r="I273" s="1159"/>
      <c r="J273" s="1159"/>
      <c r="K273" s="1159"/>
      <c r="L273" s="1159"/>
      <c r="M273" s="1159"/>
      <c r="N273" s="1159"/>
      <c r="O273" s="1159"/>
      <c r="P273" s="1159"/>
      <c r="Q273" s="1159"/>
      <c r="R273" s="1159"/>
      <c r="S273" s="1159"/>
      <c r="T273" s="1159"/>
      <c r="U273" s="1159"/>
      <c r="V273" s="1159"/>
      <c r="W273" s="1159"/>
      <c r="X273" s="1159"/>
      <c r="Y273" s="1159"/>
      <c r="Z273" s="1159"/>
      <c r="AA273" s="1159"/>
      <c r="AB273" s="1160"/>
      <c r="AC273" s="1160"/>
      <c r="AD273" s="1160"/>
      <c r="AE273" s="1160"/>
    </row>
    <row r="274" ht="15.0" customHeight="1">
      <c r="A274" s="1158"/>
      <c r="B274" s="1158"/>
      <c r="C274" s="1159"/>
      <c r="D274" s="1159"/>
      <c r="E274" s="1159"/>
      <c r="F274" s="1159"/>
      <c r="G274" s="1159"/>
      <c r="H274" s="1159"/>
      <c r="I274" s="1159"/>
      <c r="J274" s="1159"/>
      <c r="K274" s="1159"/>
      <c r="L274" s="1159"/>
      <c r="M274" s="1159"/>
      <c r="N274" s="1159"/>
      <c r="O274" s="1159"/>
      <c r="P274" s="1159"/>
      <c r="Q274" s="1159"/>
      <c r="R274" s="1159"/>
      <c r="S274" s="1159"/>
      <c r="T274" s="1159"/>
      <c r="U274" s="1159"/>
      <c r="V274" s="1159"/>
      <c r="W274" s="1159"/>
      <c r="X274" s="1159"/>
      <c r="Y274" s="1159"/>
      <c r="Z274" s="1159"/>
      <c r="AA274" s="1159"/>
      <c r="AB274" s="1160"/>
      <c r="AC274" s="1160"/>
      <c r="AD274" s="1160"/>
      <c r="AE274" s="1160"/>
    </row>
    <row r="275" ht="15.0" customHeight="1">
      <c r="A275" s="1158"/>
      <c r="B275" s="1158"/>
      <c r="C275" s="1159"/>
      <c r="D275" s="1159"/>
      <c r="E275" s="1159"/>
      <c r="F275" s="1159"/>
      <c r="G275" s="1159"/>
      <c r="H275" s="1159"/>
      <c r="I275" s="1159"/>
      <c r="J275" s="1159"/>
      <c r="K275" s="1159"/>
      <c r="L275" s="1159"/>
      <c r="M275" s="1159"/>
      <c r="N275" s="1159"/>
      <c r="O275" s="1159"/>
      <c r="P275" s="1159"/>
      <c r="Q275" s="1159"/>
      <c r="R275" s="1159"/>
      <c r="S275" s="1159"/>
      <c r="T275" s="1159"/>
      <c r="U275" s="1159"/>
      <c r="V275" s="1159"/>
      <c r="W275" s="1159"/>
      <c r="X275" s="1159"/>
      <c r="Y275" s="1159"/>
      <c r="Z275" s="1159"/>
      <c r="AA275" s="1159"/>
      <c r="AB275" s="1160"/>
      <c r="AC275" s="1160"/>
      <c r="AD275" s="1160"/>
      <c r="AE275" s="1160"/>
    </row>
    <row r="276" ht="15.0" customHeight="1">
      <c r="A276" s="1158"/>
      <c r="B276" s="1158"/>
      <c r="C276" s="1159"/>
      <c r="D276" s="1159"/>
      <c r="E276" s="1159"/>
      <c r="F276" s="1159"/>
      <c r="G276" s="1159"/>
      <c r="H276" s="1159"/>
      <c r="I276" s="1159"/>
      <c r="J276" s="1159"/>
      <c r="K276" s="1159"/>
      <c r="L276" s="1159"/>
      <c r="M276" s="1159"/>
      <c r="N276" s="1159"/>
      <c r="O276" s="1159"/>
      <c r="P276" s="1159"/>
      <c r="Q276" s="1159"/>
      <c r="R276" s="1159"/>
      <c r="S276" s="1159"/>
      <c r="T276" s="1159"/>
      <c r="U276" s="1159"/>
      <c r="V276" s="1159"/>
      <c r="W276" s="1159"/>
      <c r="X276" s="1159"/>
      <c r="Y276" s="1159"/>
      <c r="Z276" s="1159"/>
      <c r="AA276" s="1159"/>
      <c r="AB276" s="1160"/>
      <c r="AC276" s="1160"/>
      <c r="AD276" s="1160"/>
      <c r="AE276" s="1160"/>
    </row>
    <row r="277" ht="15.0" customHeight="1">
      <c r="A277" s="1158"/>
      <c r="B277" s="1158"/>
      <c r="C277" s="1159"/>
      <c r="D277" s="1159"/>
      <c r="E277" s="1159"/>
      <c r="F277" s="1159"/>
      <c r="G277" s="1159"/>
      <c r="H277" s="1159"/>
      <c r="I277" s="1159"/>
      <c r="J277" s="1159"/>
      <c r="K277" s="1159"/>
      <c r="L277" s="1159"/>
      <c r="M277" s="1159"/>
      <c r="N277" s="1159"/>
      <c r="O277" s="1159"/>
      <c r="P277" s="1159"/>
      <c r="Q277" s="1159"/>
      <c r="R277" s="1159"/>
      <c r="S277" s="1159"/>
      <c r="T277" s="1159"/>
      <c r="U277" s="1159"/>
      <c r="V277" s="1159"/>
      <c r="W277" s="1159"/>
      <c r="X277" s="1159"/>
      <c r="Y277" s="1159"/>
      <c r="Z277" s="1159"/>
      <c r="AA277" s="1159"/>
      <c r="AB277" s="1160"/>
      <c r="AC277" s="1160"/>
      <c r="AD277" s="1160"/>
      <c r="AE277" s="1160"/>
    </row>
    <row r="278" ht="15.0" customHeight="1">
      <c r="A278" s="1158"/>
      <c r="B278" s="1158"/>
      <c r="C278" s="1159"/>
      <c r="D278" s="1159"/>
      <c r="E278" s="1159"/>
      <c r="F278" s="1159"/>
      <c r="G278" s="1159"/>
      <c r="H278" s="1159"/>
      <c r="I278" s="1159"/>
      <c r="J278" s="1159"/>
      <c r="K278" s="1159"/>
      <c r="L278" s="1159"/>
      <c r="M278" s="1159"/>
      <c r="N278" s="1159"/>
      <c r="O278" s="1159"/>
      <c r="P278" s="1159"/>
      <c r="Q278" s="1159"/>
      <c r="R278" s="1159"/>
      <c r="S278" s="1159"/>
      <c r="T278" s="1159"/>
      <c r="U278" s="1159"/>
      <c r="V278" s="1159"/>
      <c r="W278" s="1159"/>
      <c r="X278" s="1159"/>
      <c r="Y278" s="1159"/>
      <c r="Z278" s="1159"/>
      <c r="AA278" s="1159"/>
      <c r="AB278" s="1160"/>
      <c r="AC278" s="1160"/>
      <c r="AD278" s="1160"/>
      <c r="AE278" s="1160"/>
    </row>
    <row r="279" ht="15.0" customHeight="1">
      <c r="A279" s="1158"/>
      <c r="B279" s="1158"/>
      <c r="C279" s="1159"/>
      <c r="D279" s="1159"/>
      <c r="E279" s="1159"/>
      <c r="F279" s="1159"/>
      <c r="G279" s="1159"/>
      <c r="H279" s="1159"/>
      <c r="I279" s="1159"/>
      <c r="J279" s="1159"/>
      <c r="K279" s="1159"/>
      <c r="L279" s="1159"/>
      <c r="M279" s="1159"/>
      <c r="N279" s="1159"/>
      <c r="O279" s="1159"/>
      <c r="P279" s="1159"/>
      <c r="Q279" s="1159"/>
      <c r="R279" s="1159"/>
      <c r="S279" s="1159"/>
      <c r="T279" s="1159"/>
      <c r="U279" s="1159"/>
      <c r="V279" s="1159"/>
      <c r="W279" s="1159"/>
      <c r="X279" s="1159"/>
      <c r="Y279" s="1159"/>
      <c r="Z279" s="1159"/>
      <c r="AA279" s="1159"/>
      <c r="AB279" s="1160"/>
      <c r="AC279" s="1160"/>
      <c r="AD279" s="1160"/>
      <c r="AE279" s="1160"/>
    </row>
    <row r="280" ht="15.0" customHeight="1">
      <c r="A280" s="1158"/>
      <c r="B280" s="1158"/>
      <c r="C280" s="1159"/>
      <c r="D280" s="1159"/>
      <c r="E280" s="1159"/>
      <c r="F280" s="1159"/>
      <c r="G280" s="1159"/>
      <c r="H280" s="1159"/>
      <c r="I280" s="1159"/>
      <c r="J280" s="1159"/>
      <c r="K280" s="1159"/>
      <c r="L280" s="1159"/>
      <c r="M280" s="1159"/>
      <c r="N280" s="1159"/>
      <c r="O280" s="1159"/>
      <c r="P280" s="1159"/>
      <c r="Q280" s="1159"/>
      <c r="R280" s="1159"/>
      <c r="S280" s="1159"/>
      <c r="T280" s="1159"/>
      <c r="U280" s="1159"/>
      <c r="V280" s="1159"/>
      <c r="W280" s="1159"/>
      <c r="X280" s="1159"/>
      <c r="Y280" s="1159"/>
      <c r="Z280" s="1159"/>
      <c r="AA280" s="1159"/>
      <c r="AB280" s="1160"/>
      <c r="AC280" s="1160"/>
      <c r="AD280" s="1160"/>
      <c r="AE280" s="1160"/>
    </row>
    <row r="281" ht="15.0" customHeight="1">
      <c r="A281" s="1158"/>
      <c r="B281" s="1158"/>
      <c r="C281" s="1159"/>
      <c r="D281" s="1159"/>
      <c r="E281" s="1159"/>
      <c r="F281" s="1159"/>
      <c r="G281" s="1159"/>
      <c r="H281" s="1159"/>
      <c r="I281" s="1159"/>
      <c r="J281" s="1159"/>
      <c r="K281" s="1159"/>
      <c r="L281" s="1159"/>
      <c r="M281" s="1159"/>
      <c r="N281" s="1159"/>
      <c r="O281" s="1159"/>
      <c r="P281" s="1159"/>
      <c r="Q281" s="1159"/>
      <c r="R281" s="1159"/>
      <c r="S281" s="1159"/>
      <c r="T281" s="1159"/>
      <c r="U281" s="1159"/>
      <c r="V281" s="1159"/>
      <c r="W281" s="1159"/>
      <c r="X281" s="1159"/>
      <c r="Y281" s="1159"/>
      <c r="Z281" s="1159"/>
      <c r="AA281" s="1159"/>
      <c r="AB281" s="1160"/>
      <c r="AC281" s="1160"/>
      <c r="AD281" s="1160"/>
      <c r="AE281" s="1160"/>
    </row>
    <row r="282" ht="15.0" customHeight="1">
      <c r="A282" s="1158"/>
      <c r="B282" s="1158"/>
      <c r="C282" s="1159"/>
      <c r="D282" s="1159"/>
      <c r="E282" s="1159"/>
      <c r="F282" s="1159"/>
      <c r="G282" s="1159"/>
      <c r="H282" s="1159"/>
      <c r="I282" s="1159"/>
      <c r="J282" s="1159"/>
      <c r="K282" s="1159"/>
      <c r="L282" s="1159"/>
      <c r="M282" s="1159"/>
      <c r="N282" s="1159"/>
      <c r="O282" s="1159"/>
      <c r="P282" s="1159"/>
      <c r="Q282" s="1159"/>
      <c r="R282" s="1159"/>
      <c r="S282" s="1159"/>
      <c r="T282" s="1159"/>
      <c r="U282" s="1159"/>
      <c r="V282" s="1159"/>
      <c r="W282" s="1159"/>
      <c r="X282" s="1159"/>
      <c r="Y282" s="1159"/>
      <c r="Z282" s="1159"/>
      <c r="AA282" s="1159"/>
      <c r="AB282" s="1160"/>
      <c r="AC282" s="1160"/>
      <c r="AD282" s="1160"/>
      <c r="AE282" s="1160"/>
    </row>
    <row r="283" ht="15.0" customHeight="1">
      <c r="A283" s="1158"/>
      <c r="B283" s="1158"/>
      <c r="C283" s="1159"/>
      <c r="D283" s="1159"/>
      <c r="E283" s="1159"/>
      <c r="F283" s="1159"/>
      <c r="G283" s="1159"/>
      <c r="H283" s="1159"/>
      <c r="I283" s="1159"/>
      <c r="J283" s="1159"/>
      <c r="K283" s="1159"/>
      <c r="L283" s="1159"/>
      <c r="M283" s="1159"/>
      <c r="N283" s="1159"/>
      <c r="O283" s="1159"/>
      <c r="P283" s="1159"/>
      <c r="Q283" s="1159"/>
      <c r="R283" s="1159"/>
      <c r="S283" s="1159"/>
      <c r="T283" s="1159"/>
      <c r="U283" s="1159"/>
      <c r="V283" s="1159"/>
      <c r="W283" s="1159"/>
      <c r="X283" s="1159"/>
      <c r="Y283" s="1159"/>
      <c r="Z283" s="1159"/>
      <c r="AA283" s="1159"/>
      <c r="AB283" s="1160"/>
      <c r="AC283" s="1160"/>
      <c r="AD283" s="1160"/>
      <c r="AE283" s="1160"/>
    </row>
    <row r="284" ht="15.0" customHeight="1">
      <c r="A284" s="1158"/>
      <c r="B284" s="1158"/>
      <c r="C284" s="1159"/>
      <c r="D284" s="1159"/>
      <c r="E284" s="1159"/>
      <c r="F284" s="1159"/>
      <c r="G284" s="1159"/>
      <c r="H284" s="1159"/>
      <c r="I284" s="1159"/>
      <c r="J284" s="1159"/>
      <c r="K284" s="1159"/>
      <c r="L284" s="1159"/>
      <c r="M284" s="1159"/>
      <c r="N284" s="1159"/>
      <c r="O284" s="1159"/>
      <c r="P284" s="1159"/>
      <c r="Q284" s="1159"/>
      <c r="R284" s="1159"/>
      <c r="S284" s="1159"/>
      <c r="T284" s="1159"/>
      <c r="U284" s="1159"/>
      <c r="V284" s="1159"/>
      <c r="W284" s="1159"/>
      <c r="X284" s="1159"/>
      <c r="Y284" s="1159"/>
      <c r="Z284" s="1159"/>
      <c r="AA284" s="1159"/>
      <c r="AB284" s="1160"/>
      <c r="AC284" s="1160"/>
      <c r="AD284" s="1160"/>
      <c r="AE284" s="1160"/>
    </row>
    <row r="285" ht="15.0" customHeight="1">
      <c r="A285" s="1158"/>
      <c r="B285" s="1158"/>
      <c r="C285" s="1159"/>
      <c r="D285" s="1159"/>
      <c r="E285" s="1159"/>
      <c r="F285" s="1159"/>
      <c r="G285" s="1159"/>
      <c r="H285" s="1159"/>
      <c r="I285" s="1159"/>
      <c r="J285" s="1159"/>
      <c r="K285" s="1159"/>
      <c r="L285" s="1159"/>
      <c r="M285" s="1159"/>
      <c r="N285" s="1159"/>
      <c r="O285" s="1159"/>
      <c r="P285" s="1159"/>
      <c r="Q285" s="1159"/>
      <c r="R285" s="1159"/>
      <c r="S285" s="1159"/>
      <c r="T285" s="1159"/>
      <c r="U285" s="1159"/>
      <c r="V285" s="1159"/>
      <c r="W285" s="1159"/>
      <c r="X285" s="1159"/>
      <c r="Y285" s="1159"/>
      <c r="Z285" s="1159"/>
      <c r="AA285" s="1159"/>
      <c r="AB285" s="1160"/>
      <c r="AC285" s="1160"/>
      <c r="AD285" s="1160"/>
      <c r="AE285" s="1160"/>
    </row>
    <row r="286" ht="15.0" customHeight="1">
      <c r="A286" s="1158"/>
      <c r="B286" s="1158"/>
      <c r="C286" s="1159"/>
      <c r="D286" s="1159"/>
      <c r="E286" s="1159"/>
      <c r="F286" s="1159"/>
      <c r="G286" s="1159"/>
      <c r="H286" s="1159"/>
      <c r="I286" s="1159"/>
      <c r="J286" s="1159"/>
      <c r="K286" s="1159"/>
      <c r="L286" s="1159"/>
      <c r="M286" s="1159"/>
      <c r="N286" s="1159"/>
      <c r="O286" s="1159"/>
      <c r="P286" s="1159"/>
      <c r="Q286" s="1159"/>
      <c r="R286" s="1159"/>
      <c r="S286" s="1159"/>
      <c r="T286" s="1159"/>
      <c r="U286" s="1159"/>
      <c r="V286" s="1159"/>
      <c r="W286" s="1159"/>
      <c r="X286" s="1159"/>
      <c r="Y286" s="1159"/>
      <c r="Z286" s="1159"/>
      <c r="AA286" s="1159"/>
      <c r="AB286" s="1160"/>
      <c r="AC286" s="1160"/>
      <c r="AD286" s="1160"/>
      <c r="AE286" s="1160"/>
    </row>
    <row r="287" ht="15.0" customHeight="1">
      <c r="A287" s="1158"/>
      <c r="B287" s="1158"/>
      <c r="C287" s="1159"/>
      <c r="D287" s="1159"/>
      <c r="E287" s="1159"/>
      <c r="F287" s="1159"/>
      <c r="G287" s="1159"/>
      <c r="H287" s="1159"/>
      <c r="I287" s="1159"/>
      <c r="J287" s="1159"/>
      <c r="K287" s="1159"/>
      <c r="L287" s="1159"/>
      <c r="M287" s="1159"/>
      <c r="N287" s="1159"/>
      <c r="O287" s="1159"/>
      <c r="P287" s="1159"/>
      <c r="Q287" s="1159"/>
      <c r="R287" s="1159"/>
      <c r="S287" s="1159"/>
      <c r="T287" s="1159"/>
      <c r="U287" s="1159"/>
      <c r="V287" s="1159"/>
      <c r="W287" s="1159"/>
      <c r="X287" s="1159"/>
      <c r="Y287" s="1159"/>
      <c r="Z287" s="1159"/>
      <c r="AA287" s="1159"/>
      <c r="AB287" s="1160"/>
      <c r="AC287" s="1160"/>
      <c r="AD287" s="1160"/>
      <c r="AE287" s="1160"/>
    </row>
    <row r="288" ht="15.0" customHeight="1">
      <c r="A288" s="1158"/>
      <c r="B288" s="1158"/>
      <c r="C288" s="1159"/>
      <c r="D288" s="1159"/>
      <c r="E288" s="1159"/>
      <c r="F288" s="1159"/>
      <c r="G288" s="1159"/>
      <c r="H288" s="1159"/>
      <c r="I288" s="1159"/>
      <c r="J288" s="1159"/>
      <c r="K288" s="1159"/>
      <c r="L288" s="1159"/>
      <c r="M288" s="1159"/>
      <c r="N288" s="1159"/>
      <c r="O288" s="1159"/>
      <c r="P288" s="1159"/>
      <c r="Q288" s="1159"/>
      <c r="R288" s="1159"/>
      <c r="S288" s="1159"/>
      <c r="T288" s="1159"/>
      <c r="U288" s="1159"/>
      <c r="V288" s="1159"/>
      <c r="W288" s="1159"/>
      <c r="X288" s="1159"/>
      <c r="Y288" s="1159"/>
      <c r="Z288" s="1159"/>
      <c r="AA288" s="1159"/>
      <c r="AB288" s="1160"/>
      <c r="AC288" s="1160"/>
      <c r="AD288" s="1160"/>
      <c r="AE288" s="1160"/>
    </row>
    <row r="289" ht="15.0" customHeight="1">
      <c r="A289" s="1158"/>
      <c r="B289" s="1158"/>
      <c r="C289" s="1159"/>
      <c r="D289" s="1159"/>
      <c r="E289" s="1159"/>
      <c r="F289" s="1159"/>
      <c r="G289" s="1159"/>
      <c r="H289" s="1159"/>
      <c r="I289" s="1159"/>
      <c r="J289" s="1159"/>
      <c r="K289" s="1159"/>
      <c r="L289" s="1159"/>
      <c r="M289" s="1159"/>
      <c r="N289" s="1159"/>
      <c r="O289" s="1159"/>
      <c r="P289" s="1159"/>
      <c r="Q289" s="1159"/>
      <c r="R289" s="1159"/>
      <c r="S289" s="1159"/>
      <c r="T289" s="1159"/>
      <c r="U289" s="1159"/>
      <c r="V289" s="1159"/>
      <c r="W289" s="1159"/>
      <c r="X289" s="1159"/>
      <c r="Y289" s="1159"/>
      <c r="Z289" s="1159"/>
      <c r="AA289" s="1159"/>
      <c r="AB289" s="1160"/>
      <c r="AC289" s="1160"/>
      <c r="AD289" s="1160"/>
      <c r="AE289" s="1160"/>
    </row>
    <row r="290" ht="15.0" customHeight="1">
      <c r="A290" s="1158"/>
      <c r="B290" s="1158"/>
      <c r="C290" s="1159"/>
      <c r="D290" s="1159"/>
      <c r="E290" s="1159"/>
      <c r="F290" s="1159"/>
      <c r="G290" s="1159"/>
      <c r="H290" s="1159"/>
      <c r="I290" s="1159"/>
      <c r="J290" s="1159"/>
      <c r="K290" s="1159"/>
      <c r="L290" s="1159"/>
      <c r="M290" s="1159"/>
      <c r="N290" s="1159"/>
      <c r="O290" s="1159"/>
      <c r="P290" s="1159"/>
      <c r="Q290" s="1159"/>
      <c r="R290" s="1159"/>
      <c r="S290" s="1159"/>
      <c r="T290" s="1159"/>
      <c r="U290" s="1159"/>
      <c r="V290" s="1159"/>
      <c r="W290" s="1159"/>
      <c r="X290" s="1159"/>
      <c r="Y290" s="1159"/>
      <c r="Z290" s="1159"/>
      <c r="AA290" s="1159"/>
      <c r="AB290" s="1160"/>
      <c r="AC290" s="1160"/>
      <c r="AD290" s="1160"/>
      <c r="AE290" s="1160"/>
    </row>
    <row r="291" ht="15.0" customHeight="1">
      <c r="A291" s="1158"/>
      <c r="B291" s="1158"/>
      <c r="C291" s="1159"/>
      <c r="D291" s="1159"/>
      <c r="E291" s="1159"/>
      <c r="F291" s="1159"/>
      <c r="G291" s="1159"/>
      <c r="H291" s="1159"/>
      <c r="I291" s="1159"/>
      <c r="J291" s="1159"/>
      <c r="K291" s="1159"/>
      <c r="L291" s="1159"/>
      <c r="M291" s="1159"/>
      <c r="N291" s="1159"/>
      <c r="O291" s="1159"/>
      <c r="P291" s="1159"/>
      <c r="Q291" s="1159"/>
      <c r="R291" s="1159"/>
      <c r="S291" s="1159"/>
      <c r="T291" s="1159"/>
      <c r="U291" s="1159"/>
      <c r="V291" s="1159"/>
      <c r="W291" s="1159"/>
      <c r="X291" s="1159"/>
      <c r="Y291" s="1159"/>
      <c r="Z291" s="1159"/>
      <c r="AA291" s="1159"/>
      <c r="AB291" s="1160"/>
      <c r="AC291" s="1160"/>
      <c r="AD291" s="1160"/>
      <c r="AE291" s="1160"/>
    </row>
    <row r="292" ht="15.0" customHeight="1">
      <c r="A292" s="1158"/>
      <c r="B292" s="1158"/>
      <c r="C292" s="1159"/>
      <c r="D292" s="1159"/>
      <c r="E292" s="1159"/>
      <c r="F292" s="1159"/>
      <c r="G292" s="1159"/>
      <c r="H292" s="1159"/>
      <c r="I292" s="1159"/>
      <c r="J292" s="1159"/>
      <c r="K292" s="1159"/>
      <c r="L292" s="1159"/>
      <c r="M292" s="1159"/>
      <c r="N292" s="1159"/>
      <c r="O292" s="1159"/>
      <c r="P292" s="1159"/>
      <c r="Q292" s="1159"/>
      <c r="R292" s="1159"/>
      <c r="S292" s="1159"/>
      <c r="T292" s="1159"/>
      <c r="U292" s="1159"/>
      <c r="V292" s="1159"/>
      <c r="W292" s="1159"/>
      <c r="X292" s="1159"/>
      <c r="Y292" s="1159"/>
      <c r="Z292" s="1159"/>
      <c r="AA292" s="1159"/>
      <c r="AB292" s="1160"/>
      <c r="AC292" s="1160"/>
      <c r="AD292" s="1160"/>
      <c r="AE292" s="1160"/>
    </row>
    <row r="293" ht="15.0" customHeight="1">
      <c r="A293" s="1158"/>
      <c r="B293" s="1158"/>
      <c r="C293" s="1159"/>
      <c r="D293" s="1159"/>
      <c r="E293" s="1159"/>
      <c r="F293" s="1159"/>
      <c r="G293" s="1159"/>
      <c r="H293" s="1159"/>
      <c r="I293" s="1159"/>
      <c r="J293" s="1159"/>
      <c r="K293" s="1159"/>
      <c r="L293" s="1159"/>
      <c r="M293" s="1159"/>
      <c r="N293" s="1159"/>
      <c r="O293" s="1159"/>
      <c r="P293" s="1159"/>
      <c r="Q293" s="1159"/>
      <c r="R293" s="1159"/>
      <c r="S293" s="1159"/>
      <c r="T293" s="1159"/>
      <c r="U293" s="1159"/>
      <c r="V293" s="1159"/>
      <c r="W293" s="1159"/>
      <c r="X293" s="1159"/>
      <c r="Y293" s="1159"/>
      <c r="Z293" s="1159"/>
      <c r="AA293" s="1159"/>
      <c r="AB293" s="1160"/>
      <c r="AC293" s="1160"/>
      <c r="AD293" s="1160"/>
      <c r="AE293" s="1160"/>
    </row>
    <row r="294" ht="15.0" customHeight="1">
      <c r="A294" s="1158"/>
      <c r="B294" s="1158"/>
      <c r="C294" s="1159"/>
      <c r="D294" s="1159"/>
      <c r="E294" s="1159"/>
      <c r="F294" s="1159"/>
      <c r="G294" s="1159"/>
      <c r="H294" s="1159"/>
      <c r="I294" s="1159"/>
      <c r="J294" s="1159"/>
      <c r="K294" s="1159"/>
      <c r="L294" s="1159"/>
      <c r="M294" s="1159"/>
      <c r="N294" s="1159"/>
      <c r="O294" s="1159"/>
      <c r="P294" s="1159"/>
      <c r="Q294" s="1159"/>
      <c r="R294" s="1159"/>
      <c r="S294" s="1159"/>
      <c r="T294" s="1159"/>
      <c r="U294" s="1159"/>
      <c r="V294" s="1159"/>
      <c r="W294" s="1159"/>
      <c r="X294" s="1159"/>
      <c r="Y294" s="1159"/>
      <c r="Z294" s="1159"/>
      <c r="AA294" s="1159"/>
      <c r="AB294" s="1160"/>
      <c r="AC294" s="1160"/>
      <c r="AD294" s="1160"/>
      <c r="AE294" s="1160"/>
    </row>
    <row r="295" ht="15.0" customHeight="1">
      <c r="A295" s="1158"/>
      <c r="B295" s="1158"/>
      <c r="C295" s="1159"/>
      <c r="D295" s="1159"/>
      <c r="E295" s="1159"/>
      <c r="F295" s="1159"/>
      <c r="G295" s="1159"/>
      <c r="H295" s="1159"/>
      <c r="I295" s="1159"/>
      <c r="J295" s="1159"/>
      <c r="K295" s="1159"/>
      <c r="L295" s="1159"/>
      <c r="M295" s="1159"/>
      <c r="N295" s="1159"/>
      <c r="O295" s="1159"/>
      <c r="P295" s="1159"/>
      <c r="Q295" s="1159"/>
      <c r="R295" s="1159"/>
      <c r="S295" s="1159"/>
      <c r="T295" s="1159"/>
      <c r="U295" s="1159"/>
      <c r="V295" s="1159"/>
      <c r="W295" s="1159"/>
      <c r="X295" s="1159"/>
      <c r="Y295" s="1159"/>
      <c r="Z295" s="1159"/>
      <c r="AA295" s="1159"/>
      <c r="AB295" s="1160"/>
      <c r="AC295" s="1160"/>
      <c r="AD295" s="1160"/>
      <c r="AE295" s="1160"/>
    </row>
    <row r="296" ht="15.0" customHeight="1">
      <c r="A296" s="1158"/>
      <c r="B296" s="1158"/>
      <c r="C296" s="1159"/>
      <c r="D296" s="1159"/>
      <c r="E296" s="1159"/>
      <c r="F296" s="1159"/>
      <c r="G296" s="1159"/>
      <c r="H296" s="1159"/>
      <c r="I296" s="1159"/>
      <c r="J296" s="1159"/>
      <c r="K296" s="1159"/>
      <c r="L296" s="1159"/>
      <c r="M296" s="1159"/>
      <c r="N296" s="1159"/>
      <c r="O296" s="1159"/>
      <c r="P296" s="1159"/>
      <c r="Q296" s="1159"/>
      <c r="R296" s="1159"/>
      <c r="S296" s="1159"/>
      <c r="T296" s="1159"/>
      <c r="U296" s="1159"/>
      <c r="V296" s="1159"/>
      <c r="W296" s="1159"/>
      <c r="X296" s="1159"/>
      <c r="Y296" s="1159"/>
      <c r="Z296" s="1159"/>
      <c r="AA296" s="1159"/>
      <c r="AB296" s="1160"/>
      <c r="AC296" s="1160"/>
      <c r="AD296" s="1160"/>
      <c r="AE296" s="1160"/>
    </row>
    <row r="297" ht="15.0" customHeight="1">
      <c r="A297" s="1158"/>
      <c r="B297" s="1158"/>
      <c r="C297" s="1159"/>
      <c r="D297" s="1159"/>
      <c r="E297" s="1159"/>
      <c r="F297" s="1159"/>
      <c r="G297" s="1159"/>
      <c r="H297" s="1159"/>
      <c r="I297" s="1159"/>
      <c r="J297" s="1159"/>
      <c r="K297" s="1159"/>
      <c r="L297" s="1159"/>
      <c r="M297" s="1159"/>
      <c r="N297" s="1159"/>
      <c r="O297" s="1159"/>
      <c r="P297" s="1159"/>
      <c r="Q297" s="1159"/>
      <c r="R297" s="1159"/>
      <c r="S297" s="1159"/>
      <c r="T297" s="1159"/>
      <c r="U297" s="1159"/>
      <c r="V297" s="1159"/>
      <c r="W297" s="1159"/>
      <c r="X297" s="1159"/>
      <c r="Y297" s="1159"/>
      <c r="Z297" s="1159"/>
      <c r="AA297" s="1159"/>
      <c r="AB297" s="1160"/>
      <c r="AC297" s="1160"/>
      <c r="AD297" s="1160"/>
      <c r="AE297" s="1160"/>
    </row>
    <row r="298" ht="15.0" customHeight="1">
      <c r="A298" s="1158"/>
      <c r="B298" s="1158"/>
      <c r="C298" s="1159"/>
      <c r="D298" s="1159"/>
      <c r="E298" s="1159"/>
      <c r="F298" s="1159"/>
      <c r="G298" s="1159"/>
      <c r="H298" s="1159"/>
      <c r="I298" s="1159"/>
      <c r="J298" s="1159"/>
      <c r="K298" s="1159"/>
      <c r="L298" s="1159"/>
      <c r="M298" s="1159"/>
      <c r="N298" s="1159"/>
      <c r="O298" s="1159"/>
      <c r="P298" s="1159"/>
      <c r="Q298" s="1159"/>
      <c r="R298" s="1159"/>
      <c r="S298" s="1159"/>
      <c r="T298" s="1159"/>
      <c r="U298" s="1159"/>
      <c r="V298" s="1159"/>
      <c r="W298" s="1159"/>
      <c r="X298" s="1159"/>
      <c r="Y298" s="1159"/>
      <c r="Z298" s="1159"/>
      <c r="AA298" s="1159"/>
      <c r="AB298" s="1160"/>
      <c r="AC298" s="1160"/>
      <c r="AD298" s="1160"/>
      <c r="AE298" s="1160"/>
    </row>
    <row r="299" ht="15.0" customHeight="1">
      <c r="A299" s="1158"/>
      <c r="B299" s="1158"/>
      <c r="C299" s="1159"/>
      <c r="D299" s="1159"/>
      <c r="E299" s="1159"/>
      <c r="F299" s="1159"/>
      <c r="G299" s="1159"/>
      <c r="H299" s="1159"/>
      <c r="I299" s="1159"/>
      <c r="J299" s="1159"/>
      <c r="K299" s="1159"/>
      <c r="L299" s="1159"/>
      <c r="M299" s="1159"/>
      <c r="N299" s="1159"/>
      <c r="O299" s="1159"/>
      <c r="P299" s="1159"/>
      <c r="Q299" s="1159"/>
      <c r="R299" s="1159"/>
      <c r="S299" s="1159"/>
      <c r="T299" s="1159"/>
      <c r="U299" s="1159"/>
      <c r="V299" s="1159"/>
      <c r="W299" s="1159"/>
      <c r="X299" s="1159"/>
      <c r="Y299" s="1159"/>
      <c r="Z299" s="1159"/>
      <c r="AA299" s="1159"/>
      <c r="AB299" s="1160"/>
      <c r="AC299" s="1160"/>
      <c r="AD299" s="1160"/>
      <c r="AE299" s="1160"/>
    </row>
    <row r="300" ht="15.0" customHeight="1">
      <c r="A300" s="1158"/>
      <c r="B300" s="1158"/>
      <c r="C300" s="1159"/>
      <c r="D300" s="1159"/>
      <c r="E300" s="1159"/>
      <c r="F300" s="1159"/>
      <c r="G300" s="1159"/>
      <c r="H300" s="1159"/>
      <c r="I300" s="1159"/>
      <c r="J300" s="1159"/>
      <c r="K300" s="1159"/>
      <c r="L300" s="1159"/>
      <c r="M300" s="1159"/>
      <c r="N300" s="1159"/>
      <c r="O300" s="1159"/>
      <c r="P300" s="1159"/>
      <c r="Q300" s="1159"/>
      <c r="R300" s="1159"/>
      <c r="S300" s="1159"/>
      <c r="T300" s="1159"/>
      <c r="U300" s="1159"/>
      <c r="V300" s="1159"/>
      <c r="W300" s="1159"/>
      <c r="X300" s="1159"/>
      <c r="Y300" s="1159"/>
      <c r="Z300" s="1159"/>
      <c r="AA300" s="1159"/>
      <c r="AB300" s="1160"/>
      <c r="AC300" s="1160"/>
      <c r="AD300" s="1160"/>
      <c r="AE300" s="1160"/>
    </row>
    <row r="301" ht="15.0" customHeight="1">
      <c r="A301" s="1158"/>
      <c r="B301" s="1158"/>
      <c r="C301" s="1159"/>
      <c r="D301" s="1159"/>
      <c r="E301" s="1159"/>
      <c r="F301" s="1159"/>
      <c r="G301" s="1159"/>
      <c r="H301" s="1159"/>
      <c r="I301" s="1159"/>
      <c r="J301" s="1159"/>
      <c r="K301" s="1159"/>
      <c r="L301" s="1159"/>
      <c r="M301" s="1159"/>
      <c r="N301" s="1159"/>
      <c r="O301" s="1159"/>
      <c r="P301" s="1159"/>
      <c r="Q301" s="1159"/>
      <c r="R301" s="1159"/>
      <c r="S301" s="1159"/>
      <c r="T301" s="1159"/>
      <c r="U301" s="1159"/>
      <c r="V301" s="1159"/>
      <c r="W301" s="1159"/>
      <c r="X301" s="1159"/>
      <c r="Y301" s="1159"/>
      <c r="Z301" s="1159"/>
      <c r="AA301" s="1159"/>
      <c r="AB301" s="1160"/>
      <c r="AC301" s="1160"/>
      <c r="AD301" s="1160"/>
      <c r="AE301" s="1160"/>
    </row>
    <row r="302" ht="15.0" customHeight="1">
      <c r="A302" s="1158"/>
      <c r="B302" s="1158"/>
      <c r="C302" s="1159"/>
      <c r="D302" s="1159"/>
      <c r="E302" s="1159"/>
      <c r="F302" s="1159"/>
      <c r="G302" s="1159"/>
      <c r="H302" s="1159"/>
      <c r="I302" s="1159"/>
      <c r="J302" s="1159"/>
      <c r="K302" s="1159"/>
      <c r="L302" s="1159"/>
      <c r="M302" s="1159"/>
      <c r="N302" s="1159"/>
      <c r="O302" s="1159"/>
      <c r="P302" s="1159"/>
      <c r="Q302" s="1159"/>
      <c r="R302" s="1159"/>
      <c r="S302" s="1159"/>
      <c r="T302" s="1159"/>
      <c r="U302" s="1159"/>
      <c r="V302" s="1159"/>
      <c r="W302" s="1159"/>
      <c r="X302" s="1159"/>
      <c r="Y302" s="1159"/>
      <c r="Z302" s="1159"/>
      <c r="AA302" s="1159"/>
      <c r="AB302" s="1160"/>
      <c r="AC302" s="1160"/>
      <c r="AD302" s="1160"/>
      <c r="AE302" s="1160"/>
    </row>
    <row r="303" ht="15.0" customHeight="1">
      <c r="A303" s="1158"/>
      <c r="B303" s="1158"/>
      <c r="C303" s="1159"/>
      <c r="D303" s="1159"/>
      <c r="E303" s="1159"/>
      <c r="F303" s="1159"/>
      <c r="G303" s="1159"/>
      <c r="H303" s="1159"/>
      <c r="I303" s="1159"/>
      <c r="J303" s="1159"/>
      <c r="K303" s="1159"/>
      <c r="L303" s="1159"/>
      <c r="M303" s="1159"/>
      <c r="N303" s="1159"/>
      <c r="O303" s="1159"/>
      <c r="P303" s="1159"/>
      <c r="Q303" s="1159"/>
      <c r="R303" s="1159"/>
      <c r="S303" s="1159"/>
      <c r="T303" s="1159"/>
      <c r="U303" s="1159"/>
      <c r="V303" s="1159"/>
      <c r="W303" s="1159"/>
      <c r="X303" s="1159"/>
      <c r="Y303" s="1159"/>
      <c r="Z303" s="1159"/>
      <c r="AA303" s="1159"/>
      <c r="AB303" s="1160"/>
      <c r="AC303" s="1160"/>
      <c r="AD303" s="1160"/>
      <c r="AE303" s="1160"/>
    </row>
    <row r="304" ht="15.0" customHeight="1">
      <c r="A304" s="1158"/>
      <c r="B304" s="1158"/>
      <c r="C304" s="1159"/>
      <c r="D304" s="1159"/>
      <c r="E304" s="1159"/>
      <c r="F304" s="1159"/>
      <c r="G304" s="1159"/>
      <c r="H304" s="1159"/>
      <c r="I304" s="1159"/>
      <c r="J304" s="1159"/>
      <c r="K304" s="1159"/>
      <c r="L304" s="1159"/>
      <c r="M304" s="1159"/>
      <c r="N304" s="1159"/>
      <c r="O304" s="1159"/>
      <c r="P304" s="1159"/>
      <c r="Q304" s="1159"/>
      <c r="R304" s="1159"/>
      <c r="S304" s="1159"/>
      <c r="T304" s="1159"/>
      <c r="U304" s="1159"/>
      <c r="V304" s="1159"/>
      <c r="W304" s="1159"/>
      <c r="X304" s="1159"/>
      <c r="Y304" s="1159"/>
      <c r="Z304" s="1159"/>
      <c r="AA304" s="1159"/>
      <c r="AB304" s="1160"/>
      <c r="AC304" s="1160"/>
      <c r="AD304" s="1160"/>
      <c r="AE304" s="1160"/>
    </row>
    <row r="305" ht="15.0" customHeight="1">
      <c r="A305" s="1158"/>
      <c r="B305" s="1158"/>
      <c r="C305" s="1159"/>
      <c r="D305" s="1159"/>
      <c r="E305" s="1159"/>
      <c r="F305" s="1159"/>
      <c r="G305" s="1159"/>
      <c r="H305" s="1159"/>
      <c r="I305" s="1159"/>
      <c r="J305" s="1159"/>
      <c r="K305" s="1159"/>
      <c r="L305" s="1159"/>
      <c r="M305" s="1159"/>
      <c r="N305" s="1159"/>
      <c r="O305" s="1159"/>
      <c r="P305" s="1159"/>
      <c r="Q305" s="1159"/>
      <c r="R305" s="1159"/>
      <c r="S305" s="1159"/>
      <c r="T305" s="1159"/>
      <c r="U305" s="1159"/>
      <c r="V305" s="1159"/>
      <c r="W305" s="1159"/>
      <c r="X305" s="1159"/>
      <c r="Y305" s="1159"/>
      <c r="Z305" s="1159"/>
      <c r="AA305" s="1159"/>
      <c r="AB305" s="1160"/>
      <c r="AC305" s="1160"/>
      <c r="AD305" s="1160"/>
      <c r="AE305" s="1160"/>
    </row>
    <row r="306" ht="15.0" customHeight="1">
      <c r="A306" s="1158"/>
      <c r="B306" s="1158"/>
      <c r="C306" s="1159"/>
      <c r="D306" s="1159"/>
      <c r="E306" s="1159"/>
      <c r="F306" s="1159"/>
      <c r="G306" s="1159"/>
      <c r="H306" s="1159"/>
      <c r="I306" s="1159"/>
      <c r="J306" s="1159"/>
      <c r="K306" s="1159"/>
      <c r="L306" s="1159"/>
      <c r="M306" s="1159"/>
      <c r="N306" s="1159"/>
      <c r="O306" s="1159"/>
      <c r="P306" s="1159"/>
      <c r="Q306" s="1159"/>
      <c r="R306" s="1159"/>
      <c r="S306" s="1159"/>
      <c r="T306" s="1159"/>
      <c r="U306" s="1159"/>
      <c r="V306" s="1159"/>
      <c r="W306" s="1159"/>
      <c r="X306" s="1159"/>
      <c r="Y306" s="1159"/>
      <c r="Z306" s="1159"/>
      <c r="AA306" s="1159"/>
      <c r="AB306" s="1160"/>
      <c r="AC306" s="1160"/>
      <c r="AD306" s="1160"/>
      <c r="AE306" s="1160"/>
    </row>
    <row r="307" ht="15.0" customHeight="1">
      <c r="A307" s="1158"/>
      <c r="B307" s="1158"/>
      <c r="C307" s="1159"/>
      <c r="D307" s="1159"/>
      <c r="E307" s="1159"/>
      <c r="F307" s="1159"/>
      <c r="G307" s="1159"/>
      <c r="H307" s="1159"/>
      <c r="I307" s="1159"/>
      <c r="J307" s="1159"/>
      <c r="K307" s="1159"/>
      <c r="L307" s="1159"/>
      <c r="M307" s="1159"/>
      <c r="N307" s="1159"/>
      <c r="O307" s="1159"/>
      <c r="P307" s="1159"/>
      <c r="Q307" s="1159"/>
      <c r="R307" s="1159"/>
      <c r="S307" s="1159"/>
      <c r="T307" s="1159"/>
      <c r="U307" s="1159"/>
      <c r="V307" s="1159"/>
      <c r="W307" s="1159"/>
      <c r="X307" s="1159"/>
      <c r="Y307" s="1159"/>
      <c r="Z307" s="1159"/>
      <c r="AA307" s="1159"/>
      <c r="AB307" s="1160"/>
      <c r="AC307" s="1160"/>
      <c r="AD307" s="1160"/>
      <c r="AE307" s="1160"/>
    </row>
    <row r="308" ht="15.0" customHeight="1">
      <c r="A308" s="1158"/>
      <c r="B308" s="1158"/>
      <c r="C308" s="1159"/>
      <c r="D308" s="1159"/>
      <c r="E308" s="1159"/>
      <c r="F308" s="1159"/>
      <c r="G308" s="1159"/>
      <c r="H308" s="1159"/>
      <c r="I308" s="1159"/>
      <c r="J308" s="1159"/>
      <c r="K308" s="1159"/>
      <c r="L308" s="1159"/>
      <c r="M308" s="1159"/>
      <c r="N308" s="1159"/>
      <c r="O308" s="1159"/>
      <c r="P308" s="1159"/>
      <c r="Q308" s="1159"/>
      <c r="R308" s="1159"/>
      <c r="S308" s="1159"/>
      <c r="T308" s="1159"/>
      <c r="U308" s="1159"/>
      <c r="V308" s="1159"/>
      <c r="W308" s="1159"/>
      <c r="X308" s="1159"/>
      <c r="Y308" s="1159"/>
      <c r="Z308" s="1159"/>
      <c r="AA308" s="1159"/>
      <c r="AB308" s="1160"/>
      <c r="AC308" s="1160"/>
      <c r="AD308" s="1160"/>
      <c r="AE308" s="1160"/>
    </row>
    <row r="309" ht="15.0" customHeight="1">
      <c r="A309" s="1158"/>
      <c r="B309" s="1158"/>
      <c r="C309" s="1159"/>
      <c r="D309" s="1159"/>
      <c r="E309" s="1159"/>
      <c r="F309" s="1159"/>
      <c r="G309" s="1159"/>
      <c r="H309" s="1159"/>
      <c r="I309" s="1159"/>
      <c r="J309" s="1159"/>
      <c r="K309" s="1159"/>
      <c r="L309" s="1159"/>
      <c r="M309" s="1159"/>
      <c r="N309" s="1159"/>
      <c r="O309" s="1159"/>
      <c r="P309" s="1159"/>
      <c r="Q309" s="1159"/>
      <c r="R309" s="1159"/>
      <c r="S309" s="1159"/>
      <c r="T309" s="1159"/>
      <c r="U309" s="1159"/>
      <c r="V309" s="1159"/>
      <c r="W309" s="1159"/>
      <c r="X309" s="1159"/>
      <c r="Y309" s="1159"/>
      <c r="Z309" s="1159"/>
      <c r="AA309" s="1159"/>
      <c r="AB309" s="1160"/>
      <c r="AC309" s="1160"/>
      <c r="AD309" s="1160"/>
      <c r="AE309" s="1160"/>
    </row>
    <row r="310" ht="15.0" customHeight="1">
      <c r="A310" s="1158"/>
      <c r="B310" s="1158"/>
      <c r="C310" s="1159"/>
      <c r="D310" s="1159"/>
      <c r="E310" s="1159"/>
      <c r="F310" s="1159"/>
      <c r="G310" s="1159"/>
      <c r="H310" s="1159"/>
      <c r="I310" s="1159"/>
      <c r="J310" s="1159"/>
      <c r="K310" s="1159"/>
      <c r="L310" s="1159"/>
      <c r="M310" s="1159"/>
      <c r="N310" s="1159"/>
      <c r="O310" s="1159"/>
      <c r="P310" s="1159"/>
      <c r="Q310" s="1159"/>
      <c r="R310" s="1159"/>
      <c r="S310" s="1159"/>
      <c r="T310" s="1159"/>
      <c r="U310" s="1159"/>
      <c r="V310" s="1159"/>
      <c r="W310" s="1159"/>
      <c r="X310" s="1159"/>
      <c r="Y310" s="1159"/>
      <c r="Z310" s="1159"/>
      <c r="AA310" s="1159"/>
      <c r="AB310" s="1160"/>
      <c r="AC310" s="1160"/>
      <c r="AD310" s="1160"/>
      <c r="AE310" s="1160"/>
    </row>
    <row r="311" ht="15.0" customHeight="1">
      <c r="A311" s="1158"/>
      <c r="B311" s="1158"/>
      <c r="C311" s="1159"/>
      <c r="D311" s="1159"/>
      <c r="E311" s="1159"/>
      <c r="F311" s="1159"/>
      <c r="G311" s="1159"/>
      <c r="H311" s="1159"/>
      <c r="I311" s="1159"/>
      <c r="J311" s="1159"/>
      <c r="K311" s="1159"/>
      <c r="L311" s="1159"/>
      <c r="M311" s="1159"/>
      <c r="N311" s="1159"/>
      <c r="O311" s="1159"/>
      <c r="P311" s="1159"/>
      <c r="Q311" s="1159"/>
      <c r="R311" s="1159"/>
      <c r="S311" s="1159"/>
      <c r="T311" s="1159"/>
      <c r="U311" s="1159"/>
      <c r="V311" s="1159"/>
      <c r="W311" s="1159"/>
      <c r="X311" s="1159"/>
      <c r="Y311" s="1159"/>
      <c r="Z311" s="1159"/>
      <c r="AA311" s="1159"/>
      <c r="AB311" s="1160"/>
      <c r="AC311" s="1160"/>
      <c r="AD311" s="1160"/>
      <c r="AE311" s="1160"/>
    </row>
    <row r="312" ht="15.0" customHeight="1">
      <c r="A312" s="1158"/>
      <c r="B312" s="1158"/>
      <c r="C312" s="1159"/>
      <c r="D312" s="1159"/>
      <c r="E312" s="1159"/>
      <c r="F312" s="1159"/>
      <c r="G312" s="1159"/>
      <c r="H312" s="1159"/>
      <c r="I312" s="1159"/>
      <c r="J312" s="1159"/>
      <c r="K312" s="1159"/>
      <c r="L312" s="1159"/>
      <c r="M312" s="1159"/>
      <c r="N312" s="1159"/>
      <c r="O312" s="1159"/>
      <c r="P312" s="1159"/>
      <c r="Q312" s="1159"/>
      <c r="R312" s="1159"/>
      <c r="S312" s="1159"/>
      <c r="T312" s="1159"/>
      <c r="U312" s="1159"/>
      <c r="V312" s="1159"/>
      <c r="W312" s="1159"/>
      <c r="X312" s="1159"/>
      <c r="Y312" s="1159"/>
      <c r="Z312" s="1159"/>
      <c r="AA312" s="1159"/>
      <c r="AB312" s="1160"/>
      <c r="AC312" s="1160"/>
      <c r="AD312" s="1160"/>
      <c r="AE312" s="1160"/>
    </row>
    <row r="313" ht="15.0" customHeight="1">
      <c r="A313" s="1158"/>
      <c r="B313" s="1158"/>
      <c r="C313" s="1159"/>
      <c r="D313" s="1159"/>
      <c r="E313" s="1159"/>
      <c r="F313" s="1159"/>
      <c r="G313" s="1159"/>
      <c r="H313" s="1159"/>
      <c r="I313" s="1159"/>
      <c r="J313" s="1159"/>
      <c r="K313" s="1159"/>
      <c r="L313" s="1159"/>
      <c r="M313" s="1159"/>
      <c r="N313" s="1159"/>
      <c r="O313" s="1159"/>
      <c r="P313" s="1159"/>
      <c r="Q313" s="1159"/>
      <c r="R313" s="1159"/>
      <c r="S313" s="1159"/>
      <c r="T313" s="1159"/>
      <c r="U313" s="1159"/>
      <c r="V313" s="1159"/>
      <c r="W313" s="1159"/>
      <c r="X313" s="1159"/>
      <c r="Y313" s="1159"/>
      <c r="Z313" s="1159"/>
      <c r="AA313" s="1159"/>
      <c r="AB313" s="1160"/>
      <c r="AC313" s="1160"/>
      <c r="AD313" s="1160"/>
      <c r="AE313" s="1160"/>
    </row>
    <row r="314" ht="15.0" customHeight="1">
      <c r="A314" s="1158"/>
      <c r="B314" s="1158"/>
      <c r="C314" s="1159"/>
      <c r="D314" s="1159"/>
      <c r="E314" s="1159"/>
      <c r="F314" s="1159"/>
      <c r="G314" s="1159"/>
      <c r="H314" s="1159"/>
      <c r="I314" s="1159"/>
      <c r="J314" s="1159"/>
      <c r="K314" s="1159"/>
      <c r="L314" s="1159"/>
      <c r="M314" s="1159"/>
      <c r="N314" s="1159"/>
      <c r="O314" s="1159"/>
      <c r="P314" s="1159"/>
      <c r="Q314" s="1159"/>
      <c r="R314" s="1159"/>
      <c r="S314" s="1159"/>
      <c r="T314" s="1159"/>
      <c r="U314" s="1159"/>
      <c r="V314" s="1159"/>
      <c r="W314" s="1159"/>
      <c r="X314" s="1159"/>
      <c r="Y314" s="1159"/>
      <c r="Z314" s="1159"/>
      <c r="AA314" s="1159"/>
      <c r="AB314" s="1160"/>
      <c r="AC314" s="1160"/>
      <c r="AD314" s="1160"/>
      <c r="AE314" s="1160"/>
    </row>
    <row r="315" ht="15.0" customHeight="1">
      <c r="A315" s="1158"/>
      <c r="B315" s="1158"/>
      <c r="C315" s="1159"/>
      <c r="D315" s="1159"/>
      <c r="E315" s="1159"/>
      <c r="F315" s="1159"/>
      <c r="G315" s="1159"/>
      <c r="H315" s="1159"/>
      <c r="I315" s="1159"/>
      <c r="J315" s="1159"/>
      <c r="K315" s="1159"/>
      <c r="L315" s="1159"/>
      <c r="M315" s="1159"/>
      <c r="N315" s="1159"/>
      <c r="O315" s="1159"/>
      <c r="P315" s="1159"/>
      <c r="Q315" s="1159"/>
      <c r="R315" s="1159"/>
      <c r="S315" s="1159"/>
      <c r="T315" s="1159"/>
      <c r="U315" s="1159"/>
      <c r="V315" s="1159"/>
      <c r="W315" s="1159"/>
      <c r="X315" s="1159"/>
      <c r="Y315" s="1159"/>
      <c r="Z315" s="1159"/>
      <c r="AA315" s="1159"/>
      <c r="AB315" s="1160"/>
      <c r="AC315" s="1160"/>
      <c r="AD315" s="1160"/>
      <c r="AE315" s="1160"/>
    </row>
    <row r="316" ht="15.0" customHeight="1">
      <c r="A316" s="1158"/>
      <c r="B316" s="1158"/>
      <c r="C316" s="1159"/>
      <c r="D316" s="1159"/>
      <c r="E316" s="1159"/>
      <c r="F316" s="1159"/>
      <c r="G316" s="1159"/>
      <c r="H316" s="1159"/>
      <c r="I316" s="1159"/>
      <c r="J316" s="1159"/>
      <c r="K316" s="1159"/>
      <c r="L316" s="1159"/>
      <c r="M316" s="1159"/>
      <c r="N316" s="1159"/>
      <c r="O316" s="1159"/>
      <c r="P316" s="1159"/>
      <c r="Q316" s="1159"/>
      <c r="R316" s="1159"/>
      <c r="S316" s="1159"/>
      <c r="T316" s="1159"/>
      <c r="U316" s="1159"/>
      <c r="V316" s="1159"/>
      <c r="W316" s="1159"/>
      <c r="X316" s="1159"/>
      <c r="Y316" s="1159"/>
      <c r="Z316" s="1159"/>
      <c r="AA316" s="1159"/>
      <c r="AB316" s="1160"/>
      <c r="AC316" s="1160"/>
      <c r="AD316" s="1160"/>
      <c r="AE316" s="1160"/>
    </row>
    <row r="317" ht="15.0" customHeight="1">
      <c r="A317" s="1158"/>
      <c r="B317" s="1158"/>
      <c r="C317" s="1159"/>
      <c r="D317" s="1159"/>
      <c r="E317" s="1159"/>
      <c r="F317" s="1159"/>
      <c r="G317" s="1159"/>
      <c r="H317" s="1159"/>
      <c r="I317" s="1159"/>
      <c r="J317" s="1159"/>
      <c r="K317" s="1159"/>
      <c r="L317" s="1159"/>
      <c r="M317" s="1159"/>
      <c r="N317" s="1159"/>
      <c r="O317" s="1159"/>
      <c r="P317" s="1159"/>
      <c r="Q317" s="1159"/>
      <c r="R317" s="1159"/>
      <c r="S317" s="1159"/>
      <c r="T317" s="1159"/>
      <c r="U317" s="1159"/>
      <c r="V317" s="1159"/>
      <c r="W317" s="1159"/>
      <c r="X317" s="1159"/>
      <c r="Y317" s="1159"/>
      <c r="Z317" s="1159"/>
      <c r="AA317" s="1159"/>
      <c r="AB317" s="1160"/>
      <c r="AC317" s="1160"/>
      <c r="AD317" s="1160"/>
      <c r="AE317" s="1160"/>
    </row>
    <row r="318" ht="15.0" customHeight="1">
      <c r="A318" s="1158"/>
      <c r="B318" s="1158"/>
      <c r="C318" s="1159"/>
      <c r="D318" s="1159"/>
      <c r="E318" s="1159"/>
      <c r="F318" s="1159"/>
      <c r="G318" s="1159"/>
      <c r="H318" s="1159"/>
      <c r="I318" s="1159"/>
      <c r="J318" s="1159"/>
      <c r="K318" s="1159"/>
      <c r="L318" s="1159"/>
      <c r="M318" s="1159"/>
      <c r="N318" s="1159"/>
      <c r="O318" s="1159"/>
      <c r="P318" s="1159"/>
      <c r="Q318" s="1159"/>
      <c r="R318" s="1159"/>
      <c r="S318" s="1159"/>
      <c r="T318" s="1159"/>
      <c r="U318" s="1159"/>
      <c r="V318" s="1159"/>
      <c r="W318" s="1159"/>
      <c r="X318" s="1159"/>
      <c r="Y318" s="1159"/>
      <c r="Z318" s="1159"/>
      <c r="AA318" s="1159"/>
      <c r="AB318" s="1160"/>
      <c r="AC318" s="1160"/>
      <c r="AD318" s="1160"/>
      <c r="AE318" s="1160"/>
    </row>
    <row r="319" ht="15.0" customHeight="1">
      <c r="A319" s="1158"/>
      <c r="B319" s="1158"/>
      <c r="C319" s="1159"/>
      <c r="D319" s="1159"/>
      <c r="E319" s="1159"/>
      <c r="F319" s="1159"/>
      <c r="G319" s="1159"/>
      <c r="H319" s="1159"/>
      <c r="I319" s="1159"/>
      <c r="J319" s="1159"/>
      <c r="K319" s="1159"/>
      <c r="L319" s="1159"/>
      <c r="M319" s="1159"/>
      <c r="N319" s="1159"/>
      <c r="O319" s="1159"/>
      <c r="P319" s="1159"/>
      <c r="Q319" s="1159"/>
      <c r="R319" s="1159"/>
      <c r="S319" s="1159"/>
      <c r="T319" s="1159"/>
      <c r="U319" s="1159"/>
      <c r="V319" s="1159"/>
      <c r="W319" s="1159"/>
      <c r="X319" s="1159"/>
      <c r="Y319" s="1159"/>
      <c r="Z319" s="1159"/>
      <c r="AA319" s="1159"/>
      <c r="AB319" s="1160"/>
      <c r="AC319" s="1160"/>
      <c r="AD319" s="1160"/>
      <c r="AE319" s="1160"/>
    </row>
    <row r="320" ht="15.0" customHeight="1">
      <c r="A320" s="1158"/>
      <c r="B320" s="1158"/>
      <c r="C320" s="1159"/>
      <c r="D320" s="1159"/>
      <c r="E320" s="1159"/>
      <c r="F320" s="1159"/>
      <c r="G320" s="1159"/>
      <c r="H320" s="1159"/>
      <c r="I320" s="1159"/>
      <c r="J320" s="1159"/>
      <c r="K320" s="1159"/>
      <c r="L320" s="1159"/>
      <c r="M320" s="1159"/>
      <c r="N320" s="1159"/>
      <c r="O320" s="1159"/>
      <c r="P320" s="1159"/>
      <c r="Q320" s="1159"/>
      <c r="R320" s="1159"/>
      <c r="S320" s="1159"/>
      <c r="T320" s="1159"/>
      <c r="U320" s="1159"/>
      <c r="V320" s="1159"/>
      <c r="W320" s="1159"/>
      <c r="X320" s="1159"/>
      <c r="Y320" s="1159"/>
      <c r="Z320" s="1159"/>
      <c r="AA320" s="1159"/>
      <c r="AB320" s="1160"/>
      <c r="AC320" s="1160"/>
      <c r="AD320" s="1160"/>
      <c r="AE320" s="1160"/>
    </row>
    <row r="321" ht="15.0" customHeight="1">
      <c r="A321" s="1158"/>
      <c r="B321" s="1158"/>
      <c r="C321" s="1159"/>
      <c r="D321" s="1159"/>
      <c r="E321" s="1159"/>
      <c r="F321" s="1159"/>
      <c r="G321" s="1159"/>
      <c r="H321" s="1159"/>
      <c r="I321" s="1159"/>
      <c r="J321" s="1159"/>
      <c r="K321" s="1159"/>
      <c r="L321" s="1159"/>
      <c r="M321" s="1159"/>
      <c r="N321" s="1159"/>
      <c r="O321" s="1159"/>
      <c r="P321" s="1159"/>
      <c r="Q321" s="1159"/>
      <c r="R321" s="1159"/>
      <c r="S321" s="1159"/>
      <c r="T321" s="1159"/>
      <c r="U321" s="1159"/>
      <c r="V321" s="1159"/>
      <c r="W321" s="1159"/>
      <c r="X321" s="1159"/>
      <c r="Y321" s="1159"/>
      <c r="Z321" s="1159"/>
      <c r="AA321" s="1159"/>
      <c r="AB321" s="1160"/>
      <c r="AC321" s="1160"/>
      <c r="AD321" s="1160"/>
      <c r="AE321" s="1160"/>
    </row>
    <row r="322" ht="15.0" customHeight="1">
      <c r="A322" s="1158"/>
      <c r="B322" s="1158"/>
      <c r="C322" s="1159"/>
      <c r="D322" s="1159"/>
      <c r="E322" s="1159"/>
      <c r="F322" s="1159"/>
      <c r="G322" s="1159"/>
      <c r="H322" s="1159"/>
      <c r="I322" s="1159"/>
      <c r="J322" s="1159"/>
      <c r="K322" s="1159"/>
      <c r="L322" s="1159"/>
      <c r="M322" s="1159"/>
      <c r="N322" s="1159"/>
      <c r="O322" s="1159"/>
      <c r="P322" s="1159"/>
      <c r="Q322" s="1159"/>
      <c r="R322" s="1159"/>
      <c r="S322" s="1159"/>
      <c r="T322" s="1159"/>
      <c r="U322" s="1159"/>
      <c r="V322" s="1159"/>
      <c r="W322" s="1159"/>
      <c r="X322" s="1159"/>
      <c r="Y322" s="1159"/>
      <c r="Z322" s="1159"/>
      <c r="AA322" s="1159"/>
      <c r="AB322" s="1160"/>
      <c r="AC322" s="1160"/>
      <c r="AD322" s="1160"/>
      <c r="AE322" s="1160"/>
    </row>
    <row r="323" ht="15.0" customHeight="1">
      <c r="A323" s="1158"/>
      <c r="B323" s="1158"/>
      <c r="C323" s="1159"/>
      <c r="D323" s="1159"/>
      <c r="E323" s="1159"/>
      <c r="F323" s="1159"/>
      <c r="G323" s="1159"/>
      <c r="H323" s="1159"/>
      <c r="I323" s="1159"/>
      <c r="J323" s="1159"/>
      <c r="K323" s="1159"/>
      <c r="L323" s="1159"/>
      <c r="M323" s="1159"/>
      <c r="N323" s="1159"/>
      <c r="O323" s="1159"/>
      <c r="P323" s="1159"/>
      <c r="Q323" s="1159"/>
      <c r="R323" s="1159"/>
      <c r="S323" s="1159"/>
      <c r="T323" s="1159"/>
      <c r="U323" s="1159"/>
      <c r="V323" s="1159"/>
      <c r="W323" s="1159"/>
      <c r="X323" s="1159"/>
      <c r="Y323" s="1159"/>
      <c r="Z323" s="1159"/>
      <c r="AA323" s="1159"/>
      <c r="AB323" s="1160"/>
      <c r="AC323" s="1160"/>
      <c r="AD323" s="1160"/>
      <c r="AE323" s="1160"/>
    </row>
    <row r="324" ht="15.0" customHeight="1">
      <c r="A324" s="1158"/>
      <c r="B324" s="1158"/>
      <c r="C324" s="1159"/>
      <c r="D324" s="1159"/>
      <c r="E324" s="1159"/>
      <c r="F324" s="1159"/>
      <c r="G324" s="1159"/>
      <c r="H324" s="1159"/>
      <c r="I324" s="1159"/>
      <c r="J324" s="1159"/>
      <c r="K324" s="1159"/>
      <c r="L324" s="1159"/>
      <c r="M324" s="1159"/>
      <c r="N324" s="1159"/>
      <c r="O324" s="1159"/>
      <c r="P324" s="1159"/>
      <c r="Q324" s="1159"/>
      <c r="R324" s="1159"/>
      <c r="S324" s="1159"/>
      <c r="T324" s="1159"/>
      <c r="U324" s="1159"/>
      <c r="V324" s="1159"/>
      <c r="W324" s="1159"/>
      <c r="X324" s="1159"/>
      <c r="Y324" s="1159"/>
      <c r="Z324" s="1159"/>
      <c r="AA324" s="1159"/>
      <c r="AB324" s="1160"/>
      <c r="AC324" s="1160"/>
      <c r="AD324" s="1160"/>
      <c r="AE324" s="1160"/>
    </row>
    <row r="325" ht="15.0" customHeight="1">
      <c r="A325" s="1158"/>
      <c r="B325" s="1158"/>
      <c r="C325" s="1159"/>
      <c r="D325" s="1159"/>
      <c r="E325" s="1159"/>
      <c r="F325" s="1159"/>
      <c r="G325" s="1159"/>
      <c r="H325" s="1159"/>
      <c r="I325" s="1159"/>
      <c r="J325" s="1159"/>
      <c r="K325" s="1159"/>
      <c r="L325" s="1159"/>
      <c r="M325" s="1159"/>
      <c r="N325" s="1159"/>
      <c r="O325" s="1159"/>
      <c r="P325" s="1159"/>
      <c r="Q325" s="1159"/>
      <c r="R325" s="1159"/>
      <c r="S325" s="1159"/>
      <c r="T325" s="1159"/>
      <c r="U325" s="1159"/>
      <c r="V325" s="1159"/>
      <c r="W325" s="1159"/>
      <c r="X325" s="1159"/>
      <c r="Y325" s="1159"/>
      <c r="Z325" s="1159"/>
      <c r="AA325" s="1159"/>
      <c r="AB325" s="1160"/>
      <c r="AC325" s="1160"/>
      <c r="AD325" s="1160"/>
      <c r="AE325" s="1160"/>
    </row>
    <row r="326" ht="15.0" customHeight="1">
      <c r="A326" s="1158"/>
      <c r="B326" s="1158"/>
      <c r="C326" s="1159"/>
      <c r="D326" s="1159"/>
      <c r="E326" s="1159"/>
      <c r="F326" s="1159"/>
      <c r="G326" s="1159"/>
      <c r="H326" s="1159"/>
      <c r="I326" s="1159"/>
      <c r="J326" s="1159"/>
      <c r="K326" s="1159"/>
      <c r="L326" s="1159"/>
      <c r="M326" s="1159"/>
      <c r="N326" s="1159"/>
      <c r="O326" s="1159"/>
      <c r="P326" s="1159"/>
      <c r="Q326" s="1159"/>
      <c r="R326" s="1159"/>
      <c r="S326" s="1159"/>
      <c r="T326" s="1159"/>
      <c r="U326" s="1159"/>
      <c r="V326" s="1159"/>
      <c r="W326" s="1159"/>
      <c r="X326" s="1159"/>
      <c r="Y326" s="1159"/>
      <c r="Z326" s="1159"/>
      <c r="AA326" s="1159"/>
      <c r="AB326" s="1160"/>
      <c r="AC326" s="1160"/>
      <c r="AD326" s="1160"/>
      <c r="AE326" s="1160"/>
    </row>
    <row r="327" ht="15.0" customHeight="1">
      <c r="A327" s="1158"/>
      <c r="B327" s="1158"/>
      <c r="C327" s="1159"/>
      <c r="D327" s="1159"/>
      <c r="E327" s="1159"/>
      <c r="F327" s="1159"/>
      <c r="G327" s="1159"/>
      <c r="H327" s="1159"/>
      <c r="I327" s="1159"/>
      <c r="J327" s="1159"/>
      <c r="K327" s="1159"/>
      <c r="L327" s="1159"/>
      <c r="M327" s="1159"/>
      <c r="N327" s="1159"/>
      <c r="O327" s="1159"/>
      <c r="P327" s="1159"/>
      <c r="Q327" s="1159"/>
      <c r="R327" s="1159"/>
      <c r="S327" s="1159"/>
      <c r="T327" s="1159"/>
      <c r="U327" s="1159"/>
      <c r="V327" s="1159"/>
      <c r="W327" s="1159"/>
      <c r="X327" s="1159"/>
      <c r="Y327" s="1159"/>
      <c r="Z327" s="1159"/>
      <c r="AA327" s="1159"/>
      <c r="AB327" s="1160"/>
      <c r="AC327" s="1160"/>
      <c r="AD327" s="1160"/>
      <c r="AE327" s="1160"/>
    </row>
    <row r="328" ht="15.0" customHeight="1">
      <c r="A328" s="1158"/>
      <c r="B328" s="1158"/>
      <c r="C328" s="1159"/>
      <c r="D328" s="1159"/>
      <c r="E328" s="1159"/>
      <c r="F328" s="1159"/>
      <c r="G328" s="1159"/>
      <c r="H328" s="1159"/>
      <c r="I328" s="1159"/>
      <c r="J328" s="1159"/>
      <c r="K328" s="1159"/>
      <c r="L328" s="1159"/>
      <c r="M328" s="1159"/>
      <c r="N328" s="1159"/>
      <c r="O328" s="1159"/>
      <c r="P328" s="1159"/>
      <c r="Q328" s="1159"/>
      <c r="R328" s="1159"/>
      <c r="S328" s="1159"/>
      <c r="T328" s="1159"/>
      <c r="U328" s="1159"/>
      <c r="V328" s="1159"/>
      <c r="W328" s="1159"/>
      <c r="X328" s="1159"/>
      <c r="Y328" s="1159"/>
      <c r="Z328" s="1159"/>
      <c r="AA328" s="1159"/>
      <c r="AB328" s="1160"/>
      <c r="AC328" s="1160"/>
      <c r="AD328" s="1160"/>
      <c r="AE328" s="1160"/>
    </row>
    <row r="329" ht="15.0" customHeight="1">
      <c r="A329" s="1158"/>
      <c r="B329" s="1158"/>
      <c r="C329" s="1159"/>
      <c r="D329" s="1159"/>
      <c r="E329" s="1159"/>
      <c r="F329" s="1159"/>
      <c r="G329" s="1159"/>
      <c r="H329" s="1159"/>
      <c r="I329" s="1159"/>
      <c r="J329" s="1159"/>
      <c r="K329" s="1159"/>
      <c r="L329" s="1159"/>
      <c r="M329" s="1159"/>
      <c r="N329" s="1159"/>
      <c r="O329" s="1159"/>
      <c r="P329" s="1159"/>
      <c r="Q329" s="1159"/>
      <c r="R329" s="1159"/>
      <c r="S329" s="1159"/>
      <c r="T329" s="1159"/>
      <c r="U329" s="1159"/>
      <c r="V329" s="1159"/>
      <c r="W329" s="1159"/>
      <c r="X329" s="1159"/>
      <c r="Y329" s="1159"/>
      <c r="Z329" s="1159"/>
      <c r="AA329" s="1159"/>
      <c r="AB329" s="1160"/>
      <c r="AC329" s="1160"/>
      <c r="AD329" s="1160"/>
      <c r="AE329" s="1160"/>
    </row>
    <row r="330" ht="15.0" customHeight="1">
      <c r="A330" s="1158"/>
      <c r="B330" s="1158"/>
      <c r="C330" s="1159"/>
      <c r="D330" s="1159"/>
      <c r="E330" s="1159"/>
      <c r="F330" s="1159"/>
      <c r="G330" s="1159"/>
      <c r="H330" s="1159"/>
      <c r="I330" s="1159"/>
      <c r="J330" s="1159"/>
      <c r="K330" s="1159"/>
      <c r="L330" s="1159"/>
      <c r="M330" s="1159"/>
      <c r="N330" s="1159"/>
      <c r="O330" s="1159"/>
      <c r="P330" s="1159"/>
      <c r="Q330" s="1159"/>
      <c r="R330" s="1159"/>
      <c r="S330" s="1159"/>
      <c r="T330" s="1159"/>
      <c r="U330" s="1159"/>
      <c r="V330" s="1159"/>
      <c r="W330" s="1159"/>
      <c r="X330" s="1159"/>
      <c r="Y330" s="1159"/>
      <c r="Z330" s="1159"/>
      <c r="AA330" s="1159"/>
      <c r="AB330" s="1160"/>
      <c r="AC330" s="1160"/>
      <c r="AD330" s="1160"/>
      <c r="AE330" s="1160"/>
    </row>
    <row r="331" ht="15.0" customHeight="1">
      <c r="A331" s="1158"/>
      <c r="B331" s="1158"/>
      <c r="C331" s="1159"/>
      <c r="D331" s="1159"/>
      <c r="E331" s="1159"/>
      <c r="F331" s="1159"/>
      <c r="G331" s="1159"/>
      <c r="H331" s="1159"/>
      <c r="I331" s="1159"/>
      <c r="J331" s="1159"/>
      <c r="K331" s="1159"/>
      <c r="L331" s="1159"/>
      <c r="M331" s="1159"/>
      <c r="N331" s="1159"/>
      <c r="O331" s="1159"/>
      <c r="P331" s="1159"/>
      <c r="Q331" s="1159"/>
      <c r="R331" s="1159"/>
      <c r="S331" s="1159"/>
      <c r="T331" s="1159"/>
      <c r="U331" s="1159"/>
      <c r="V331" s="1159"/>
      <c r="W331" s="1159"/>
      <c r="X331" s="1159"/>
      <c r="Y331" s="1159"/>
      <c r="Z331" s="1159"/>
      <c r="AA331" s="1159"/>
      <c r="AB331" s="1160"/>
      <c r="AC331" s="1160"/>
      <c r="AD331" s="1160"/>
      <c r="AE331" s="1160"/>
    </row>
    <row r="332" ht="15.0" customHeight="1">
      <c r="A332" s="1158"/>
      <c r="B332" s="1158"/>
      <c r="C332" s="1159"/>
      <c r="D332" s="1159"/>
      <c r="E332" s="1159"/>
      <c r="F332" s="1159"/>
      <c r="G332" s="1159"/>
      <c r="H332" s="1159"/>
      <c r="I332" s="1159"/>
      <c r="J332" s="1159"/>
      <c r="K332" s="1159"/>
      <c r="L332" s="1159"/>
      <c r="M332" s="1159"/>
      <c r="N332" s="1159"/>
      <c r="O332" s="1159"/>
      <c r="P332" s="1159"/>
      <c r="Q332" s="1159"/>
      <c r="R332" s="1159"/>
      <c r="S332" s="1159"/>
      <c r="T332" s="1159"/>
      <c r="U332" s="1159"/>
      <c r="V332" s="1159"/>
      <c r="W332" s="1159"/>
      <c r="X332" s="1159"/>
      <c r="Y332" s="1159"/>
      <c r="Z332" s="1159"/>
      <c r="AA332" s="1159"/>
      <c r="AB332" s="1160"/>
      <c r="AC332" s="1160"/>
      <c r="AD332" s="1160"/>
      <c r="AE332" s="1160"/>
    </row>
    <row r="333" ht="15.0" customHeight="1">
      <c r="A333" s="1158"/>
      <c r="B333" s="1158"/>
      <c r="C333" s="1159"/>
      <c r="D333" s="1159"/>
      <c r="E333" s="1159"/>
      <c r="F333" s="1159"/>
      <c r="G333" s="1159"/>
      <c r="H333" s="1159"/>
      <c r="I333" s="1159"/>
      <c r="J333" s="1159"/>
      <c r="K333" s="1159"/>
      <c r="L333" s="1159"/>
      <c r="M333" s="1159"/>
      <c r="N333" s="1159"/>
      <c r="O333" s="1159"/>
      <c r="P333" s="1159"/>
      <c r="Q333" s="1159"/>
      <c r="R333" s="1159"/>
      <c r="S333" s="1159"/>
      <c r="T333" s="1159"/>
      <c r="U333" s="1159"/>
      <c r="V333" s="1159"/>
      <c r="W333" s="1159"/>
      <c r="X333" s="1159"/>
      <c r="Y333" s="1159"/>
      <c r="Z333" s="1159"/>
      <c r="AA333" s="1159"/>
      <c r="AB333" s="1160"/>
      <c r="AC333" s="1160"/>
      <c r="AD333" s="1160"/>
      <c r="AE333" s="1160"/>
    </row>
    <row r="334" ht="15.0" customHeight="1">
      <c r="A334" s="1158"/>
      <c r="B334" s="1158"/>
      <c r="C334" s="1159"/>
      <c r="D334" s="1159"/>
      <c r="E334" s="1159"/>
      <c r="F334" s="1159"/>
      <c r="G334" s="1159"/>
      <c r="H334" s="1159"/>
      <c r="I334" s="1159"/>
      <c r="J334" s="1159"/>
      <c r="K334" s="1159"/>
      <c r="L334" s="1159"/>
      <c r="M334" s="1159"/>
      <c r="N334" s="1159"/>
      <c r="O334" s="1159"/>
      <c r="P334" s="1159"/>
      <c r="Q334" s="1159"/>
      <c r="R334" s="1159"/>
      <c r="S334" s="1159"/>
      <c r="T334" s="1159"/>
      <c r="U334" s="1159"/>
      <c r="V334" s="1159"/>
      <c r="W334" s="1159"/>
      <c r="X334" s="1159"/>
      <c r="Y334" s="1159"/>
      <c r="Z334" s="1159"/>
      <c r="AA334" s="1159"/>
      <c r="AB334" s="1160"/>
      <c r="AC334" s="1160"/>
      <c r="AD334" s="1160"/>
      <c r="AE334" s="1160"/>
    </row>
    <row r="335" ht="15.0" customHeight="1">
      <c r="A335" s="1158"/>
      <c r="B335" s="1158"/>
      <c r="C335" s="1159"/>
      <c r="D335" s="1159"/>
      <c r="E335" s="1159"/>
      <c r="F335" s="1159"/>
      <c r="G335" s="1159"/>
      <c r="H335" s="1159"/>
      <c r="I335" s="1159"/>
      <c r="J335" s="1159"/>
      <c r="K335" s="1159"/>
      <c r="L335" s="1159"/>
      <c r="M335" s="1159"/>
      <c r="N335" s="1159"/>
      <c r="O335" s="1159"/>
      <c r="P335" s="1159"/>
      <c r="Q335" s="1159"/>
      <c r="R335" s="1159"/>
      <c r="S335" s="1159"/>
      <c r="T335" s="1159"/>
      <c r="U335" s="1159"/>
      <c r="V335" s="1159"/>
      <c r="W335" s="1159"/>
      <c r="X335" s="1159"/>
      <c r="Y335" s="1159"/>
      <c r="Z335" s="1159"/>
      <c r="AA335" s="1159"/>
      <c r="AB335" s="1160"/>
      <c r="AC335" s="1160"/>
      <c r="AD335" s="1160"/>
      <c r="AE335" s="1160"/>
    </row>
    <row r="336" ht="15.0" customHeight="1">
      <c r="A336" s="1158"/>
      <c r="B336" s="1158"/>
      <c r="C336" s="1159"/>
      <c r="D336" s="1159"/>
      <c r="E336" s="1159"/>
      <c r="F336" s="1159"/>
      <c r="G336" s="1159"/>
      <c r="H336" s="1159"/>
      <c r="I336" s="1159"/>
      <c r="J336" s="1159"/>
      <c r="K336" s="1159"/>
      <c r="L336" s="1159"/>
      <c r="M336" s="1159"/>
      <c r="N336" s="1159"/>
      <c r="O336" s="1159"/>
      <c r="P336" s="1159"/>
      <c r="Q336" s="1159"/>
      <c r="R336" s="1159"/>
      <c r="S336" s="1159"/>
      <c r="T336" s="1159"/>
      <c r="U336" s="1159"/>
      <c r="V336" s="1159"/>
      <c r="W336" s="1159"/>
      <c r="X336" s="1159"/>
      <c r="Y336" s="1159"/>
      <c r="Z336" s="1159"/>
      <c r="AA336" s="1159"/>
      <c r="AB336" s="1160"/>
      <c r="AC336" s="1160"/>
      <c r="AD336" s="1160"/>
      <c r="AE336" s="1160"/>
    </row>
    <row r="337" ht="15.0" customHeight="1">
      <c r="A337" s="1158"/>
      <c r="B337" s="1158"/>
      <c r="C337" s="1159"/>
      <c r="D337" s="1159"/>
      <c r="E337" s="1159"/>
      <c r="F337" s="1159"/>
      <c r="G337" s="1159"/>
      <c r="H337" s="1159"/>
      <c r="I337" s="1159"/>
      <c r="J337" s="1159"/>
      <c r="K337" s="1159"/>
      <c r="L337" s="1159"/>
      <c r="M337" s="1159"/>
      <c r="N337" s="1159"/>
      <c r="O337" s="1159"/>
      <c r="P337" s="1159"/>
      <c r="Q337" s="1159"/>
      <c r="R337" s="1159"/>
      <c r="S337" s="1159"/>
      <c r="T337" s="1159"/>
      <c r="U337" s="1159"/>
      <c r="V337" s="1159"/>
      <c r="W337" s="1159"/>
      <c r="X337" s="1159"/>
      <c r="Y337" s="1159"/>
      <c r="Z337" s="1159"/>
      <c r="AA337" s="1159"/>
      <c r="AB337" s="1160"/>
      <c r="AC337" s="1160"/>
      <c r="AD337" s="1160"/>
      <c r="AE337" s="1160"/>
    </row>
    <row r="338" ht="15.0" customHeight="1">
      <c r="A338" s="1158"/>
      <c r="B338" s="1158"/>
      <c r="C338" s="1159"/>
      <c r="D338" s="1159"/>
      <c r="E338" s="1159"/>
      <c r="F338" s="1159"/>
      <c r="G338" s="1159"/>
      <c r="H338" s="1159"/>
      <c r="I338" s="1159"/>
      <c r="J338" s="1159"/>
      <c r="K338" s="1159"/>
      <c r="L338" s="1159"/>
      <c r="M338" s="1159"/>
      <c r="N338" s="1159"/>
      <c r="O338" s="1159"/>
      <c r="P338" s="1159"/>
      <c r="Q338" s="1159"/>
      <c r="R338" s="1159"/>
      <c r="S338" s="1159"/>
      <c r="T338" s="1159"/>
      <c r="U338" s="1159"/>
      <c r="V338" s="1159"/>
      <c r="W338" s="1159"/>
      <c r="X338" s="1159"/>
      <c r="Y338" s="1159"/>
      <c r="Z338" s="1159"/>
      <c r="AA338" s="1159"/>
      <c r="AB338" s="1160"/>
      <c r="AC338" s="1160"/>
      <c r="AD338" s="1160"/>
      <c r="AE338" s="1160"/>
    </row>
    <row r="339" ht="15.0" customHeight="1">
      <c r="A339" s="1158"/>
      <c r="B339" s="1158"/>
      <c r="C339" s="1159"/>
      <c r="D339" s="1159"/>
      <c r="E339" s="1159"/>
      <c r="F339" s="1159"/>
      <c r="G339" s="1159"/>
      <c r="H339" s="1159"/>
      <c r="I339" s="1159"/>
      <c r="J339" s="1159"/>
      <c r="K339" s="1159"/>
      <c r="L339" s="1159"/>
      <c r="M339" s="1159"/>
      <c r="N339" s="1159"/>
      <c r="O339" s="1159"/>
      <c r="P339" s="1159"/>
      <c r="Q339" s="1159"/>
      <c r="R339" s="1159"/>
      <c r="S339" s="1159"/>
      <c r="T339" s="1159"/>
      <c r="U339" s="1159"/>
      <c r="V339" s="1159"/>
      <c r="W339" s="1159"/>
      <c r="X339" s="1159"/>
      <c r="Y339" s="1159"/>
      <c r="Z339" s="1159"/>
      <c r="AA339" s="1159"/>
      <c r="AB339" s="1160"/>
      <c r="AC339" s="1160"/>
      <c r="AD339" s="1160"/>
      <c r="AE339" s="1160"/>
    </row>
    <row r="340" ht="15.0" customHeight="1">
      <c r="A340" s="1158"/>
      <c r="B340" s="1158"/>
      <c r="C340" s="1159"/>
      <c r="D340" s="1159"/>
      <c r="E340" s="1159"/>
      <c r="F340" s="1159"/>
      <c r="G340" s="1159"/>
      <c r="H340" s="1159"/>
      <c r="I340" s="1159"/>
      <c r="J340" s="1159"/>
      <c r="K340" s="1159"/>
      <c r="L340" s="1159"/>
      <c r="M340" s="1159"/>
      <c r="N340" s="1159"/>
      <c r="O340" s="1159"/>
      <c r="P340" s="1159"/>
      <c r="Q340" s="1159"/>
      <c r="R340" s="1159"/>
      <c r="S340" s="1159"/>
      <c r="T340" s="1159"/>
      <c r="U340" s="1159"/>
      <c r="V340" s="1159"/>
      <c r="W340" s="1159"/>
      <c r="X340" s="1159"/>
      <c r="Y340" s="1159"/>
      <c r="Z340" s="1159"/>
      <c r="AA340" s="1159"/>
      <c r="AB340" s="1160"/>
      <c r="AC340" s="1160"/>
      <c r="AD340" s="1160"/>
      <c r="AE340" s="1160"/>
    </row>
    <row r="341" ht="15.0" customHeight="1">
      <c r="A341" s="1158"/>
      <c r="B341" s="1158"/>
      <c r="C341" s="1159"/>
      <c r="D341" s="1159"/>
      <c r="E341" s="1159"/>
      <c r="F341" s="1159"/>
      <c r="G341" s="1159"/>
      <c r="H341" s="1159"/>
      <c r="I341" s="1159"/>
      <c r="J341" s="1159"/>
      <c r="K341" s="1159"/>
      <c r="L341" s="1159"/>
      <c r="M341" s="1159"/>
      <c r="N341" s="1159"/>
      <c r="O341" s="1159"/>
      <c r="P341" s="1159"/>
      <c r="Q341" s="1159"/>
      <c r="R341" s="1159"/>
      <c r="S341" s="1159"/>
      <c r="T341" s="1159"/>
      <c r="U341" s="1159"/>
      <c r="V341" s="1159"/>
      <c r="W341" s="1159"/>
      <c r="X341" s="1159"/>
      <c r="Y341" s="1159"/>
      <c r="Z341" s="1159"/>
      <c r="AA341" s="1159"/>
      <c r="AB341" s="1160"/>
      <c r="AC341" s="1160"/>
      <c r="AD341" s="1160"/>
      <c r="AE341" s="1160"/>
    </row>
    <row r="342" ht="15.0" customHeight="1">
      <c r="A342" s="1158"/>
      <c r="B342" s="1158"/>
      <c r="C342" s="1159"/>
      <c r="D342" s="1159"/>
      <c r="E342" s="1159"/>
      <c r="F342" s="1159"/>
      <c r="G342" s="1159"/>
      <c r="H342" s="1159"/>
      <c r="I342" s="1159"/>
      <c r="J342" s="1159"/>
      <c r="K342" s="1159"/>
      <c r="L342" s="1159"/>
      <c r="M342" s="1159"/>
      <c r="N342" s="1159"/>
      <c r="O342" s="1159"/>
      <c r="P342" s="1159"/>
      <c r="Q342" s="1159"/>
      <c r="R342" s="1159"/>
      <c r="S342" s="1159"/>
      <c r="T342" s="1159"/>
      <c r="U342" s="1159"/>
      <c r="V342" s="1159"/>
      <c r="W342" s="1159"/>
      <c r="X342" s="1159"/>
      <c r="Y342" s="1159"/>
      <c r="Z342" s="1159"/>
      <c r="AA342" s="1159"/>
      <c r="AB342" s="1160"/>
      <c r="AC342" s="1160"/>
      <c r="AD342" s="1160"/>
      <c r="AE342" s="1160"/>
    </row>
    <row r="343" ht="15.0" customHeight="1">
      <c r="A343" s="1158"/>
      <c r="B343" s="1158"/>
      <c r="C343" s="1159"/>
      <c r="D343" s="1159"/>
      <c r="E343" s="1159"/>
      <c r="F343" s="1159"/>
      <c r="G343" s="1159"/>
      <c r="H343" s="1159"/>
      <c r="I343" s="1159"/>
      <c r="J343" s="1159"/>
      <c r="K343" s="1159"/>
      <c r="L343" s="1159"/>
      <c r="M343" s="1159"/>
      <c r="N343" s="1159"/>
      <c r="O343" s="1159"/>
      <c r="P343" s="1159"/>
      <c r="Q343" s="1159"/>
      <c r="R343" s="1159"/>
      <c r="S343" s="1159"/>
      <c r="T343" s="1159"/>
      <c r="U343" s="1159"/>
      <c r="V343" s="1159"/>
      <c r="W343" s="1159"/>
      <c r="X343" s="1159"/>
      <c r="Y343" s="1159"/>
      <c r="Z343" s="1159"/>
      <c r="AA343" s="1159"/>
      <c r="AB343" s="1160"/>
      <c r="AC343" s="1160"/>
      <c r="AD343" s="1160"/>
      <c r="AE343" s="1160"/>
    </row>
    <row r="344" ht="15.0" customHeight="1">
      <c r="A344" s="1158"/>
      <c r="B344" s="1158"/>
      <c r="C344" s="1159"/>
      <c r="D344" s="1159"/>
      <c r="E344" s="1159"/>
      <c r="F344" s="1159"/>
      <c r="G344" s="1159"/>
      <c r="H344" s="1159"/>
      <c r="I344" s="1159"/>
      <c r="J344" s="1159"/>
      <c r="K344" s="1159"/>
      <c r="L344" s="1159"/>
      <c r="M344" s="1159"/>
      <c r="N344" s="1159"/>
      <c r="O344" s="1159"/>
      <c r="P344" s="1159"/>
      <c r="Q344" s="1159"/>
      <c r="R344" s="1159"/>
      <c r="S344" s="1159"/>
      <c r="T344" s="1159"/>
      <c r="U344" s="1159"/>
      <c r="V344" s="1159"/>
      <c r="W344" s="1159"/>
      <c r="X344" s="1159"/>
      <c r="Y344" s="1159"/>
      <c r="Z344" s="1159"/>
      <c r="AA344" s="1159"/>
      <c r="AB344" s="1160"/>
      <c r="AC344" s="1160"/>
      <c r="AD344" s="1160"/>
      <c r="AE344" s="1160"/>
    </row>
    <row r="345" ht="15.0" customHeight="1">
      <c r="A345" s="1158"/>
      <c r="B345" s="1158"/>
      <c r="C345" s="1159"/>
      <c r="D345" s="1159"/>
      <c r="E345" s="1159"/>
      <c r="F345" s="1159"/>
      <c r="G345" s="1159"/>
      <c r="H345" s="1159"/>
      <c r="I345" s="1159"/>
      <c r="J345" s="1159"/>
      <c r="K345" s="1159"/>
      <c r="L345" s="1159"/>
      <c r="M345" s="1159"/>
      <c r="N345" s="1159"/>
      <c r="O345" s="1159"/>
      <c r="P345" s="1159"/>
      <c r="Q345" s="1159"/>
      <c r="R345" s="1159"/>
      <c r="S345" s="1159"/>
      <c r="T345" s="1159"/>
      <c r="U345" s="1159"/>
      <c r="V345" s="1159"/>
      <c r="W345" s="1159"/>
      <c r="X345" s="1159"/>
      <c r="Y345" s="1159"/>
      <c r="Z345" s="1159"/>
      <c r="AA345" s="1159"/>
      <c r="AB345" s="1160"/>
      <c r="AC345" s="1160"/>
      <c r="AD345" s="1160"/>
      <c r="AE345" s="1160"/>
    </row>
    <row r="346" ht="15.0" customHeight="1">
      <c r="A346" s="1158"/>
      <c r="B346" s="1158"/>
      <c r="C346" s="1159"/>
      <c r="D346" s="1159"/>
      <c r="E346" s="1159"/>
      <c r="F346" s="1159"/>
      <c r="G346" s="1159"/>
      <c r="H346" s="1159"/>
      <c r="I346" s="1159"/>
      <c r="J346" s="1159"/>
      <c r="K346" s="1159"/>
      <c r="L346" s="1159"/>
      <c r="M346" s="1159"/>
      <c r="N346" s="1159"/>
      <c r="O346" s="1159"/>
      <c r="P346" s="1159"/>
      <c r="Q346" s="1159"/>
      <c r="R346" s="1159"/>
      <c r="S346" s="1159"/>
      <c r="T346" s="1159"/>
      <c r="U346" s="1159"/>
      <c r="V346" s="1159"/>
      <c r="W346" s="1159"/>
      <c r="X346" s="1159"/>
      <c r="Y346" s="1159"/>
      <c r="Z346" s="1159"/>
      <c r="AA346" s="1159"/>
      <c r="AB346" s="1160"/>
      <c r="AC346" s="1160"/>
      <c r="AD346" s="1160"/>
      <c r="AE346" s="1160"/>
    </row>
    <row r="347" ht="15.0" customHeight="1">
      <c r="A347" s="1158"/>
      <c r="B347" s="1158"/>
      <c r="C347" s="1159"/>
      <c r="D347" s="1159"/>
      <c r="E347" s="1159"/>
      <c r="F347" s="1159"/>
      <c r="G347" s="1159"/>
      <c r="H347" s="1159"/>
      <c r="I347" s="1159"/>
      <c r="J347" s="1159"/>
      <c r="K347" s="1159"/>
      <c r="L347" s="1159"/>
      <c r="M347" s="1159"/>
      <c r="N347" s="1159"/>
      <c r="O347" s="1159"/>
      <c r="P347" s="1159"/>
      <c r="Q347" s="1159"/>
      <c r="R347" s="1159"/>
      <c r="S347" s="1159"/>
      <c r="T347" s="1159"/>
      <c r="U347" s="1159"/>
      <c r="V347" s="1159"/>
      <c r="W347" s="1159"/>
      <c r="X347" s="1159"/>
      <c r="Y347" s="1159"/>
      <c r="Z347" s="1159"/>
      <c r="AA347" s="1159"/>
      <c r="AB347" s="1160"/>
      <c r="AC347" s="1160"/>
      <c r="AD347" s="1160"/>
      <c r="AE347" s="1160"/>
    </row>
    <row r="348" ht="15.0" customHeight="1">
      <c r="A348" s="1158"/>
      <c r="B348" s="1158"/>
      <c r="C348" s="1159"/>
      <c r="D348" s="1159"/>
      <c r="E348" s="1159"/>
      <c r="F348" s="1159"/>
      <c r="G348" s="1159"/>
      <c r="H348" s="1159"/>
      <c r="I348" s="1159"/>
      <c r="J348" s="1159"/>
      <c r="K348" s="1159"/>
      <c r="L348" s="1159"/>
      <c r="M348" s="1159"/>
      <c r="N348" s="1159"/>
      <c r="O348" s="1159"/>
      <c r="P348" s="1159"/>
      <c r="Q348" s="1159"/>
      <c r="R348" s="1159"/>
      <c r="S348" s="1159"/>
      <c r="T348" s="1159"/>
      <c r="U348" s="1159"/>
      <c r="V348" s="1159"/>
      <c r="W348" s="1159"/>
      <c r="X348" s="1159"/>
      <c r="Y348" s="1159"/>
      <c r="Z348" s="1159"/>
      <c r="AA348" s="1159"/>
      <c r="AB348" s="1160"/>
      <c r="AC348" s="1160"/>
      <c r="AD348" s="1160"/>
      <c r="AE348" s="1160"/>
    </row>
    <row r="349" ht="15.0" customHeight="1">
      <c r="A349" s="1158"/>
      <c r="B349" s="1158"/>
      <c r="C349" s="1159"/>
      <c r="D349" s="1159"/>
      <c r="E349" s="1159"/>
      <c r="F349" s="1159"/>
      <c r="G349" s="1159"/>
      <c r="H349" s="1159"/>
      <c r="I349" s="1159"/>
      <c r="J349" s="1159"/>
      <c r="K349" s="1159"/>
      <c r="L349" s="1159"/>
      <c r="M349" s="1159"/>
      <c r="N349" s="1159"/>
      <c r="O349" s="1159"/>
      <c r="P349" s="1159"/>
      <c r="Q349" s="1159"/>
      <c r="R349" s="1159"/>
      <c r="S349" s="1159"/>
      <c r="T349" s="1159"/>
      <c r="U349" s="1159"/>
      <c r="V349" s="1159"/>
      <c r="W349" s="1159"/>
      <c r="X349" s="1159"/>
      <c r="Y349" s="1159"/>
      <c r="Z349" s="1159"/>
      <c r="AA349" s="1159"/>
      <c r="AB349" s="1160"/>
      <c r="AC349" s="1160"/>
      <c r="AD349" s="1160"/>
      <c r="AE349" s="1160"/>
    </row>
    <row r="350" ht="15.0" customHeight="1">
      <c r="A350" s="1158"/>
      <c r="B350" s="1158"/>
      <c r="C350" s="1159"/>
      <c r="D350" s="1159"/>
      <c r="E350" s="1159"/>
      <c r="F350" s="1159"/>
      <c r="G350" s="1159"/>
      <c r="H350" s="1159"/>
      <c r="I350" s="1159"/>
      <c r="J350" s="1159"/>
      <c r="K350" s="1159"/>
      <c r="L350" s="1159"/>
      <c r="M350" s="1159"/>
      <c r="N350" s="1159"/>
      <c r="O350" s="1159"/>
      <c r="P350" s="1159"/>
      <c r="Q350" s="1159"/>
      <c r="R350" s="1159"/>
      <c r="S350" s="1159"/>
      <c r="T350" s="1159"/>
      <c r="U350" s="1159"/>
      <c r="V350" s="1159"/>
      <c r="W350" s="1159"/>
      <c r="X350" s="1159"/>
      <c r="Y350" s="1159"/>
      <c r="Z350" s="1159"/>
      <c r="AA350" s="1159"/>
      <c r="AB350" s="1160"/>
      <c r="AC350" s="1160"/>
      <c r="AD350" s="1160"/>
      <c r="AE350" s="1160"/>
    </row>
    <row r="351" ht="15.0" customHeight="1">
      <c r="A351" s="1158"/>
      <c r="B351" s="1158"/>
      <c r="C351" s="1159"/>
      <c r="D351" s="1159"/>
      <c r="E351" s="1159"/>
      <c r="F351" s="1159"/>
      <c r="G351" s="1159"/>
      <c r="H351" s="1159"/>
      <c r="I351" s="1159"/>
      <c r="J351" s="1159"/>
      <c r="K351" s="1159"/>
      <c r="L351" s="1159"/>
      <c r="M351" s="1159"/>
      <c r="N351" s="1159"/>
      <c r="O351" s="1159"/>
      <c r="P351" s="1159"/>
      <c r="Q351" s="1159"/>
      <c r="R351" s="1159"/>
      <c r="S351" s="1159"/>
      <c r="T351" s="1159"/>
      <c r="U351" s="1159"/>
      <c r="V351" s="1159"/>
      <c r="W351" s="1159"/>
      <c r="X351" s="1159"/>
      <c r="Y351" s="1159"/>
      <c r="Z351" s="1159"/>
      <c r="AA351" s="1159"/>
      <c r="AB351" s="1160"/>
      <c r="AC351" s="1160"/>
      <c r="AD351" s="1160"/>
      <c r="AE351" s="1160"/>
    </row>
    <row r="352" ht="15.0" customHeight="1">
      <c r="A352" s="1158"/>
      <c r="B352" s="1158"/>
      <c r="C352" s="1159"/>
      <c r="D352" s="1159"/>
      <c r="E352" s="1159"/>
      <c r="F352" s="1159"/>
      <c r="G352" s="1159"/>
      <c r="H352" s="1159"/>
      <c r="I352" s="1159"/>
      <c r="J352" s="1159"/>
      <c r="K352" s="1159"/>
      <c r="L352" s="1159"/>
      <c r="M352" s="1159"/>
      <c r="N352" s="1159"/>
      <c r="O352" s="1159"/>
      <c r="P352" s="1159"/>
      <c r="Q352" s="1159"/>
      <c r="R352" s="1159"/>
      <c r="S352" s="1159"/>
      <c r="T352" s="1159"/>
      <c r="U352" s="1159"/>
      <c r="V352" s="1159"/>
      <c r="W352" s="1159"/>
      <c r="X352" s="1159"/>
      <c r="Y352" s="1159"/>
      <c r="Z352" s="1159"/>
      <c r="AA352" s="1159"/>
      <c r="AB352" s="1160"/>
      <c r="AC352" s="1160"/>
      <c r="AD352" s="1160"/>
      <c r="AE352" s="1160"/>
    </row>
    <row r="353" ht="15.0" customHeight="1">
      <c r="A353" s="1158"/>
      <c r="B353" s="1158"/>
      <c r="C353" s="1159"/>
      <c r="D353" s="1159"/>
      <c r="E353" s="1159"/>
      <c r="F353" s="1159"/>
      <c r="G353" s="1159"/>
      <c r="H353" s="1159"/>
      <c r="I353" s="1159"/>
      <c r="J353" s="1159"/>
      <c r="K353" s="1159"/>
      <c r="L353" s="1159"/>
      <c r="M353" s="1159"/>
      <c r="N353" s="1159"/>
      <c r="O353" s="1159"/>
      <c r="P353" s="1159"/>
      <c r="Q353" s="1159"/>
      <c r="R353" s="1159"/>
      <c r="S353" s="1159"/>
      <c r="T353" s="1159"/>
      <c r="U353" s="1159"/>
      <c r="V353" s="1159"/>
      <c r="W353" s="1159"/>
      <c r="X353" s="1159"/>
      <c r="Y353" s="1159"/>
      <c r="Z353" s="1159"/>
      <c r="AA353" s="1159"/>
      <c r="AB353" s="1160"/>
      <c r="AC353" s="1160"/>
      <c r="AD353" s="1160"/>
      <c r="AE353" s="1160"/>
    </row>
    <row r="354" ht="15.0" customHeight="1">
      <c r="A354" s="1209"/>
      <c r="B354" s="1209"/>
      <c r="C354" s="1210"/>
      <c r="D354" s="1160"/>
      <c r="E354" s="1160"/>
      <c r="F354" s="1160"/>
      <c r="G354" s="1160"/>
      <c r="H354" s="1160"/>
      <c r="I354" s="1160"/>
      <c r="J354" s="1160"/>
      <c r="K354" s="1160"/>
      <c r="L354" s="1160"/>
      <c r="M354" s="1160"/>
      <c r="N354" s="1160"/>
      <c r="O354" s="1160"/>
      <c r="P354" s="1160"/>
      <c r="Q354" s="1160"/>
      <c r="R354" s="1160"/>
      <c r="S354" s="1160"/>
      <c r="T354" s="1160"/>
      <c r="U354" s="1160"/>
      <c r="V354" s="1160"/>
      <c r="W354" s="1160"/>
      <c r="X354" s="1211"/>
      <c r="Y354" s="1160"/>
      <c r="Z354" s="1160"/>
      <c r="AA354" s="1160"/>
      <c r="AB354" s="1160"/>
      <c r="AC354" s="1160"/>
      <c r="AD354" s="1160"/>
      <c r="AE354" s="1160"/>
    </row>
    <row r="355" ht="15.0" customHeight="1">
      <c r="A355" s="1209"/>
      <c r="B355" s="1209"/>
      <c r="C355" s="1210"/>
      <c r="D355" s="1160"/>
      <c r="E355" s="1160"/>
      <c r="F355" s="1160"/>
      <c r="G355" s="1160"/>
      <c r="H355" s="1160"/>
      <c r="I355" s="1160"/>
      <c r="J355" s="1160"/>
      <c r="K355" s="1160"/>
      <c r="L355" s="1160"/>
      <c r="M355" s="1160"/>
      <c r="N355" s="1160"/>
      <c r="O355" s="1160"/>
      <c r="P355" s="1160"/>
      <c r="Q355" s="1160"/>
      <c r="R355" s="1160"/>
      <c r="S355" s="1160"/>
      <c r="T355" s="1160"/>
      <c r="U355" s="1160"/>
      <c r="V355" s="1160"/>
      <c r="W355" s="1160"/>
      <c r="X355" s="1211"/>
      <c r="Y355" s="1160"/>
      <c r="Z355" s="1160"/>
      <c r="AA355" s="1160"/>
      <c r="AB355" s="1160"/>
      <c r="AC355" s="1160"/>
      <c r="AD355" s="1160"/>
      <c r="AE355" s="1160"/>
    </row>
    <row r="356" ht="15.0" customHeight="1">
      <c r="A356" s="1209"/>
      <c r="B356" s="1209"/>
      <c r="C356" s="1210"/>
      <c r="D356" s="1160"/>
      <c r="E356" s="1160"/>
      <c r="F356" s="1160"/>
      <c r="G356" s="1160"/>
      <c r="H356" s="1160"/>
      <c r="I356" s="1160"/>
      <c r="J356" s="1160"/>
      <c r="K356" s="1160"/>
      <c r="L356" s="1160"/>
      <c r="M356" s="1160"/>
      <c r="N356" s="1160"/>
      <c r="O356" s="1160"/>
      <c r="P356" s="1160"/>
      <c r="Q356" s="1160"/>
      <c r="R356" s="1160"/>
      <c r="S356" s="1160"/>
      <c r="T356" s="1160"/>
      <c r="U356" s="1160"/>
      <c r="V356" s="1160"/>
      <c r="W356" s="1160"/>
      <c r="X356" s="1211"/>
      <c r="Y356" s="1160"/>
      <c r="Z356" s="1160"/>
      <c r="AA356" s="1160"/>
      <c r="AB356" s="1160"/>
      <c r="AC356" s="1160"/>
      <c r="AD356" s="1160"/>
      <c r="AE356" s="1160"/>
    </row>
    <row r="357" ht="15.0" customHeight="1">
      <c r="A357" s="1209"/>
      <c r="B357" s="1209"/>
      <c r="C357" s="1210"/>
      <c r="D357" s="1160"/>
      <c r="E357" s="1160"/>
      <c r="F357" s="1160"/>
      <c r="G357" s="1160"/>
      <c r="H357" s="1160"/>
      <c r="I357" s="1160"/>
      <c r="J357" s="1160"/>
      <c r="K357" s="1160"/>
      <c r="L357" s="1160"/>
      <c r="M357" s="1160"/>
      <c r="N357" s="1160"/>
      <c r="O357" s="1160"/>
      <c r="P357" s="1160"/>
      <c r="Q357" s="1160"/>
      <c r="R357" s="1160"/>
      <c r="S357" s="1160"/>
      <c r="T357" s="1160"/>
      <c r="U357" s="1160"/>
      <c r="V357" s="1160"/>
      <c r="W357" s="1160"/>
      <c r="X357" s="1211"/>
      <c r="Y357" s="1160"/>
      <c r="Z357" s="1160"/>
      <c r="AA357" s="1160"/>
      <c r="AB357" s="1160"/>
      <c r="AC357" s="1160"/>
      <c r="AD357" s="1160"/>
      <c r="AE357" s="1160"/>
    </row>
    <row r="358" ht="15.0" customHeight="1">
      <c r="A358" s="1209"/>
      <c r="B358" s="1209"/>
      <c r="C358" s="1210"/>
      <c r="D358" s="1160"/>
      <c r="E358" s="1160"/>
      <c r="F358" s="1160"/>
      <c r="G358" s="1160"/>
      <c r="H358" s="1160"/>
      <c r="I358" s="1160"/>
      <c r="J358" s="1160"/>
      <c r="K358" s="1160"/>
      <c r="L358" s="1160"/>
      <c r="M358" s="1160"/>
      <c r="N358" s="1160"/>
      <c r="O358" s="1160"/>
      <c r="P358" s="1160"/>
      <c r="Q358" s="1160"/>
      <c r="R358" s="1160"/>
      <c r="S358" s="1160"/>
      <c r="T358" s="1160"/>
      <c r="U358" s="1160"/>
      <c r="V358" s="1160"/>
      <c r="W358" s="1160"/>
      <c r="X358" s="1211"/>
      <c r="Y358" s="1160"/>
      <c r="Z358" s="1160"/>
      <c r="AA358" s="1160"/>
      <c r="AB358" s="1160"/>
      <c r="AC358" s="1160"/>
      <c r="AD358" s="1160"/>
      <c r="AE358" s="1160"/>
    </row>
    <row r="359" ht="15.0" customHeight="1">
      <c r="A359" s="1209"/>
      <c r="B359" s="1209"/>
      <c r="C359" s="1210"/>
      <c r="D359" s="1160"/>
      <c r="E359" s="1160"/>
      <c r="F359" s="1160"/>
      <c r="G359" s="1160"/>
      <c r="H359" s="1160"/>
      <c r="I359" s="1160"/>
      <c r="J359" s="1160"/>
      <c r="K359" s="1160"/>
      <c r="L359" s="1160"/>
      <c r="M359" s="1160"/>
      <c r="N359" s="1160"/>
      <c r="O359" s="1160"/>
      <c r="P359" s="1160"/>
      <c r="Q359" s="1160"/>
      <c r="R359" s="1160"/>
      <c r="S359" s="1160"/>
      <c r="T359" s="1160"/>
      <c r="U359" s="1160"/>
      <c r="V359" s="1160"/>
      <c r="W359" s="1160"/>
      <c r="X359" s="1211"/>
      <c r="Y359" s="1160"/>
      <c r="Z359" s="1160"/>
      <c r="AA359" s="1160"/>
      <c r="AB359" s="1160"/>
      <c r="AC359" s="1160"/>
      <c r="AD359" s="1160"/>
      <c r="AE359" s="1160"/>
    </row>
    <row r="360" ht="15.0" customHeight="1">
      <c r="A360" s="1209"/>
      <c r="B360" s="1209"/>
      <c r="C360" s="1210"/>
      <c r="D360" s="1160"/>
      <c r="E360" s="1160"/>
      <c r="F360" s="1160"/>
      <c r="G360" s="1160"/>
      <c r="H360" s="1160"/>
      <c r="I360" s="1160"/>
      <c r="J360" s="1160"/>
      <c r="K360" s="1160"/>
      <c r="L360" s="1160"/>
      <c r="M360" s="1160"/>
      <c r="N360" s="1160"/>
      <c r="O360" s="1160"/>
      <c r="P360" s="1160"/>
      <c r="Q360" s="1160"/>
      <c r="R360" s="1160"/>
      <c r="S360" s="1160"/>
      <c r="T360" s="1160"/>
      <c r="U360" s="1160"/>
      <c r="V360" s="1160"/>
      <c r="W360" s="1160"/>
      <c r="X360" s="1211"/>
      <c r="Y360" s="1160"/>
      <c r="Z360" s="1160"/>
      <c r="AA360" s="1160"/>
      <c r="AB360" s="1160"/>
      <c r="AC360" s="1160"/>
      <c r="AD360" s="1160"/>
      <c r="AE360" s="1160"/>
    </row>
    <row r="361" ht="15.0" customHeight="1">
      <c r="A361" s="1209"/>
      <c r="B361" s="1209"/>
      <c r="C361" s="1210"/>
      <c r="D361" s="1160"/>
      <c r="E361" s="1160"/>
      <c r="F361" s="1160"/>
      <c r="G361" s="1160"/>
      <c r="H361" s="1160"/>
      <c r="I361" s="1160"/>
      <c r="J361" s="1160"/>
      <c r="K361" s="1160"/>
      <c r="L361" s="1160"/>
      <c r="M361" s="1160"/>
      <c r="N361" s="1160"/>
      <c r="O361" s="1160"/>
      <c r="P361" s="1160"/>
      <c r="Q361" s="1160"/>
      <c r="R361" s="1160"/>
      <c r="S361" s="1160"/>
      <c r="T361" s="1160"/>
      <c r="U361" s="1160"/>
      <c r="V361" s="1160"/>
      <c r="W361" s="1160"/>
      <c r="X361" s="1211"/>
      <c r="Y361" s="1160"/>
      <c r="Z361" s="1160"/>
      <c r="AA361" s="1160"/>
      <c r="AB361" s="1160"/>
      <c r="AC361" s="1160"/>
      <c r="AD361" s="1160"/>
      <c r="AE361" s="1160"/>
    </row>
    <row r="362" ht="15.0" customHeight="1">
      <c r="A362" s="1209"/>
      <c r="B362" s="1209"/>
      <c r="C362" s="1210"/>
      <c r="D362" s="1160"/>
      <c r="E362" s="1160"/>
      <c r="F362" s="1160"/>
      <c r="G362" s="1160"/>
      <c r="H362" s="1160"/>
      <c r="I362" s="1160"/>
      <c r="J362" s="1160"/>
      <c r="K362" s="1160"/>
      <c r="L362" s="1160"/>
      <c r="M362" s="1160"/>
      <c r="N362" s="1160"/>
      <c r="O362" s="1160"/>
      <c r="P362" s="1160"/>
      <c r="Q362" s="1160"/>
      <c r="R362" s="1160"/>
      <c r="S362" s="1160"/>
      <c r="T362" s="1160"/>
      <c r="U362" s="1160"/>
      <c r="V362" s="1160"/>
      <c r="W362" s="1160"/>
      <c r="X362" s="1211"/>
      <c r="Y362" s="1160"/>
      <c r="Z362" s="1160"/>
      <c r="AA362" s="1160"/>
      <c r="AB362" s="1160"/>
      <c r="AC362" s="1160"/>
      <c r="AD362" s="1160"/>
      <c r="AE362" s="1160"/>
    </row>
    <row r="363" ht="15.0" customHeight="1">
      <c r="A363" s="1209"/>
      <c r="B363" s="1209"/>
      <c r="C363" s="1210"/>
      <c r="D363" s="1160"/>
      <c r="E363" s="1160"/>
      <c r="F363" s="1160"/>
      <c r="G363" s="1160"/>
      <c r="H363" s="1160"/>
      <c r="I363" s="1160"/>
      <c r="J363" s="1160"/>
      <c r="K363" s="1160"/>
      <c r="L363" s="1160"/>
      <c r="M363" s="1160"/>
      <c r="N363" s="1160"/>
      <c r="O363" s="1160"/>
      <c r="P363" s="1160"/>
      <c r="Q363" s="1160"/>
      <c r="R363" s="1160"/>
      <c r="S363" s="1160"/>
      <c r="T363" s="1160"/>
      <c r="U363" s="1160"/>
      <c r="V363" s="1160"/>
      <c r="W363" s="1160"/>
      <c r="X363" s="1211"/>
      <c r="Y363" s="1160"/>
      <c r="Z363" s="1160"/>
      <c r="AA363" s="1160"/>
      <c r="AB363" s="1160"/>
      <c r="AC363" s="1160"/>
      <c r="AD363" s="1160"/>
      <c r="AE363" s="1160"/>
    </row>
    <row r="364" ht="15.0" customHeight="1">
      <c r="A364" s="1209"/>
      <c r="B364" s="1209"/>
      <c r="C364" s="1210"/>
      <c r="D364" s="1160"/>
      <c r="E364" s="1160"/>
      <c r="F364" s="1160"/>
      <c r="G364" s="1160"/>
      <c r="H364" s="1160"/>
      <c r="I364" s="1160"/>
      <c r="J364" s="1160"/>
      <c r="K364" s="1160"/>
      <c r="L364" s="1160"/>
      <c r="M364" s="1160"/>
      <c r="N364" s="1160"/>
      <c r="O364" s="1160"/>
      <c r="P364" s="1160"/>
      <c r="Q364" s="1160"/>
      <c r="R364" s="1160"/>
      <c r="S364" s="1160"/>
      <c r="T364" s="1160"/>
      <c r="U364" s="1160"/>
      <c r="V364" s="1160"/>
      <c r="W364" s="1160"/>
      <c r="X364" s="1211"/>
      <c r="Y364" s="1160"/>
      <c r="Z364" s="1160"/>
      <c r="AA364" s="1160"/>
      <c r="AB364" s="1160"/>
      <c r="AC364" s="1160"/>
      <c r="AD364" s="1160"/>
      <c r="AE364" s="1160"/>
    </row>
    <row r="365" ht="15.0" customHeight="1">
      <c r="A365" s="1209"/>
      <c r="B365" s="1209"/>
      <c r="C365" s="1210"/>
      <c r="D365" s="1160"/>
      <c r="E365" s="1160"/>
      <c r="F365" s="1160"/>
      <c r="G365" s="1160"/>
      <c r="H365" s="1160"/>
      <c r="I365" s="1160"/>
      <c r="J365" s="1160"/>
      <c r="K365" s="1160"/>
      <c r="L365" s="1160"/>
      <c r="M365" s="1160"/>
      <c r="N365" s="1160"/>
      <c r="O365" s="1160"/>
      <c r="P365" s="1160"/>
      <c r="Q365" s="1160"/>
      <c r="R365" s="1160"/>
      <c r="S365" s="1160"/>
      <c r="T365" s="1160"/>
      <c r="U365" s="1160"/>
      <c r="V365" s="1160"/>
      <c r="W365" s="1160"/>
      <c r="X365" s="1211"/>
      <c r="Y365" s="1160"/>
      <c r="Z365" s="1160"/>
      <c r="AA365" s="1160"/>
      <c r="AB365" s="1160"/>
      <c r="AC365" s="1160"/>
      <c r="AD365" s="1160"/>
      <c r="AE365" s="1160"/>
    </row>
    <row r="366" ht="15.0" customHeight="1">
      <c r="A366" s="1209"/>
      <c r="B366" s="1209"/>
      <c r="C366" s="1210"/>
      <c r="D366" s="1160"/>
      <c r="E366" s="1160"/>
      <c r="F366" s="1160"/>
      <c r="G366" s="1160"/>
      <c r="H366" s="1160"/>
      <c r="I366" s="1160"/>
      <c r="J366" s="1160"/>
      <c r="K366" s="1160"/>
      <c r="L366" s="1160"/>
      <c r="M366" s="1160"/>
      <c r="N366" s="1160"/>
      <c r="O366" s="1160"/>
      <c r="P366" s="1160"/>
      <c r="Q366" s="1160"/>
      <c r="R366" s="1160"/>
      <c r="S366" s="1160"/>
      <c r="T366" s="1160"/>
      <c r="U366" s="1160"/>
      <c r="V366" s="1160"/>
      <c r="W366" s="1160"/>
      <c r="X366" s="1211"/>
      <c r="Y366" s="1160"/>
      <c r="Z366" s="1160"/>
      <c r="AA366" s="1160"/>
      <c r="AB366" s="1160"/>
      <c r="AC366" s="1160"/>
      <c r="AD366" s="1160"/>
      <c r="AE366" s="1160"/>
    </row>
    <row r="367" ht="15.0" customHeight="1">
      <c r="A367" s="1209"/>
      <c r="B367" s="1209"/>
      <c r="C367" s="1210"/>
      <c r="D367" s="1160"/>
      <c r="E367" s="1160"/>
      <c r="F367" s="1160"/>
      <c r="G367" s="1160"/>
      <c r="H367" s="1160"/>
      <c r="I367" s="1160"/>
      <c r="J367" s="1160"/>
      <c r="K367" s="1160"/>
      <c r="L367" s="1160"/>
      <c r="M367" s="1160"/>
      <c r="N367" s="1160"/>
      <c r="O367" s="1160"/>
      <c r="P367" s="1160"/>
      <c r="Q367" s="1160"/>
      <c r="R367" s="1160"/>
      <c r="S367" s="1160"/>
      <c r="T367" s="1160"/>
      <c r="U367" s="1160"/>
      <c r="V367" s="1160"/>
      <c r="W367" s="1160"/>
      <c r="X367" s="1211"/>
      <c r="Y367" s="1160"/>
      <c r="Z367" s="1160"/>
      <c r="AA367" s="1160"/>
      <c r="AB367" s="1160"/>
      <c r="AC367" s="1160"/>
      <c r="AD367" s="1160"/>
      <c r="AE367" s="1160"/>
    </row>
    <row r="368" ht="15.0" customHeight="1">
      <c r="A368" s="1209"/>
      <c r="B368" s="1209"/>
      <c r="C368" s="1210"/>
      <c r="D368" s="1160"/>
      <c r="E368" s="1160"/>
      <c r="F368" s="1160"/>
      <c r="G368" s="1160"/>
      <c r="H368" s="1160"/>
      <c r="I368" s="1160"/>
      <c r="J368" s="1160"/>
      <c r="K368" s="1160"/>
      <c r="L368" s="1160"/>
      <c r="M368" s="1160"/>
      <c r="N368" s="1160"/>
      <c r="O368" s="1160"/>
      <c r="P368" s="1160"/>
      <c r="Q368" s="1160"/>
      <c r="R368" s="1160"/>
      <c r="S368" s="1160"/>
      <c r="T368" s="1160"/>
      <c r="U368" s="1160"/>
      <c r="V368" s="1160"/>
      <c r="W368" s="1160"/>
      <c r="X368" s="1211"/>
      <c r="Y368" s="1160"/>
      <c r="Z368" s="1160"/>
      <c r="AA368" s="1160"/>
      <c r="AB368" s="1160"/>
      <c r="AC368" s="1160"/>
      <c r="AD368" s="1160"/>
      <c r="AE368" s="1160"/>
    </row>
    <row r="369" ht="15.0" customHeight="1">
      <c r="A369" s="1209"/>
      <c r="B369" s="1209"/>
      <c r="C369" s="1210"/>
      <c r="D369" s="1160"/>
      <c r="E369" s="1160"/>
      <c r="F369" s="1160"/>
      <c r="G369" s="1160"/>
      <c r="H369" s="1160"/>
      <c r="I369" s="1160"/>
      <c r="J369" s="1160"/>
      <c r="K369" s="1160"/>
      <c r="L369" s="1160"/>
      <c r="M369" s="1160"/>
      <c r="N369" s="1160"/>
      <c r="O369" s="1160"/>
      <c r="P369" s="1160"/>
      <c r="Q369" s="1160"/>
      <c r="R369" s="1160"/>
      <c r="S369" s="1160"/>
      <c r="T369" s="1160"/>
      <c r="U369" s="1160"/>
      <c r="V369" s="1160"/>
      <c r="W369" s="1160"/>
      <c r="X369" s="1211"/>
      <c r="Y369" s="1160"/>
      <c r="Z369" s="1160"/>
      <c r="AA369" s="1160"/>
      <c r="AB369" s="1160"/>
      <c r="AC369" s="1160"/>
      <c r="AD369" s="1160"/>
      <c r="AE369" s="1160"/>
    </row>
    <row r="370" ht="15.0" customHeight="1">
      <c r="A370" s="1209"/>
      <c r="B370" s="1209"/>
      <c r="C370" s="1210"/>
      <c r="D370" s="1160"/>
      <c r="E370" s="1160"/>
      <c r="F370" s="1160"/>
      <c r="G370" s="1160"/>
      <c r="H370" s="1160"/>
      <c r="I370" s="1160"/>
      <c r="J370" s="1160"/>
      <c r="K370" s="1160"/>
      <c r="L370" s="1160"/>
      <c r="M370" s="1160"/>
      <c r="N370" s="1160"/>
      <c r="O370" s="1160"/>
      <c r="P370" s="1160"/>
      <c r="Q370" s="1160"/>
      <c r="R370" s="1160"/>
      <c r="S370" s="1160"/>
      <c r="T370" s="1160"/>
      <c r="U370" s="1160"/>
      <c r="V370" s="1160"/>
      <c r="W370" s="1160"/>
      <c r="X370" s="1211"/>
      <c r="Y370" s="1160"/>
      <c r="Z370" s="1160"/>
      <c r="AA370" s="1160"/>
      <c r="AB370" s="1160"/>
      <c r="AC370" s="1160"/>
      <c r="AD370" s="1160"/>
      <c r="AE370" s="1160"/>
    </row>
    <row r="371" ht="15.0" customHeight="1">
      <c r="A371" s="1209"/>
      <c r="B371" s="1209"/>
      <c r="C371" s="1210"/>
      <c r="D371" s="1160"/>
      <c r="E371" s="1160"/>
      <c r="F371" s="1160"/>
      <c r="G371" s="1160"/>
      <c r="H371" s="1160"/>
      <c r="I371" s="1160"/>
      <c r="J371" s="1160"/>
      <c r="K371" s="1160"/>
      <c r="L371" s="1160"/>
      <c r="M371" s="1160"/>
      <c r="N371" s="1160"/>
      <c r="O371" s="1160"/>
      <c r="P371" s="1160"/>
      <c r="Q371" s="1160"/>
      <c r="R371" s="1160"/>
      <c r="S371" s="1160"/>
      <c r="T371" s="1160"/>
      <c r="U371" s="1160"/>
      <c r="V371" s="1160"/>
      <c r="W371" s="1160"/>
      <c r="X371" s="1211"/>
      <c r="Y371" s="1160"/>
      <c r="Z371" s="1160"/>
      <c r="AA371" s="1160"/>
      <c r="AB371" s="1160"/>
      <c r="AC371" s="1160"/>
      <c r="AD371" s="1160"/>
      <c r="AE371" s="1160"/>
    </row>
    <row r="372" ht="15.0" customHeight="1">
      <c r="A372" s="1209"/>
      <c r="B372" s="1209"/>
      <c r="C372" s="1210"/>
      <c r="D372" s="1160"/>
      <c r="E372" s="1160"/>
      <c r="F372" s="1160"/>
      <c r="G372" s="1160"/>
      <c r="H372" s="1160"/>
      <c r="I372" s="1160"/>
      <c r="J372" s="1160"/>
      <c r="K372" s="1160"/>
      <c r="L372" s="1160"/>
      <c r="M372" s="1160"/>
      <c r="N372" s="1160"/>
      <c r="O372" s="1160"/>
      <c r="P372" s="1160"/>
      <c r="Q372" s="1160"/>
      <c r="R372" s="1160"/>
      <c r="S372" s="1160"/>
      <c r="T372" s="1160"/>
      <c r="U372" s="1160"/>
      <c r="V372" s="1160"/>
      <c r="W372" s="1160"/>
      <c r="X372" s="1211"/>
      <c r="Y372" s="1160"/>
      <c r="Z372" s="1160"/>
      <c r="AA372" s="1160"/>
      <c r="AB372" s="1160"/>
      <c r="AC372" s="1160"/>
      <c r="AD372" s="1160"/>
      <c r="AE372" s="1160"/>
    </row>
    <row r="373" ht="15.0" customHeight="1">
      <c r="A373" s="1209"/>
      <c r="B373" s="1209"/>
      <c r="C373" s="1210"/>
      <c r="D373" s="1160"/>
      <c r="E373" s="1160"/>
      <c r="F373" s="1160"/>
      <c r="G373" s="1160"/>
      <c r="H373" s="1160"/>
      <c r="I373" s="1160"/>
      <c r="J373" s="1160"/>
      <c r="K373" s="1160"/>
      <c r="L373" s="1160"/>
      <c r="M373" s="1160"/>
      <c r="N373" s="1160"/>
      <c r="O373" s="1160"/>
      <c r="P373" s="1160"/>
      <c r="Q373" s="1160"/>
      <c r="R373" s="1160"/>
      <c r="S373" s="1160"/>
      <c r="T373" s="1160"/>
      <c r="U373" s="1160"/>
      <c r="V373" s="1160"/>
      <c r="W373" s="1160"/>
      <c r="X373" s="1211"/>
      <c r="Y373" s="1160"/>
      <c r="Z373" s="1160"/>
      <c r="AA373" s="1160"/>
      <c r="AB373" s="1160"/>
      <c r="AC373" s="1160"/>
      <c r="AD373" s="1160"/>
      <c r="AE373" s="1160"/>
    </row>
    <row r="374" ht="15.0" customHeight="1">
      <c r="A374" s="1209"/>
      <c r="B374" s="1209"/>
      <c r="C374" s="1210"/>
      <c r="D374" s="1160"/>
      <c r="E374" s="1160"/>
      <c r="F374" s="1160"/>
      <c r="G374" s="1160"/>
      <c r="H374" s="1160"/>
      <c r="I374" s="1160"/>
      <c r="J374" s="1160"/>
      <c r="K374" s="1160"/>
      <c r="L374" s="1160"/>
      <c r="M374" s="1160"/>
      <c r="N374" s="1160"/>
      <c r="O374" s="1160"/>
      <c r="P374" s="1160"/>
      <c r="Q374" s="1160"/>
      <c r="R374" s="1160"/>
      <c r="S374" s="1160"/>
      <c r="T374" s="1160"/>
      <c r="U374" s="1160"/>
      <c r="V374" s="1160"/>
      <c r="W374" s="1160"/>
      <c r="X374" s="1211"/>
      <c r="Y374" s="1160"/>
      <c r="Z374" s="1160"/>
      <c r="AA374" s="1160"/>
      <c r="AB374" s="1160"/>
      <c r="AC374" s="1160"/>
      <c r="AD374" s="1160"/>
      <c r="AE374" s="1160"/>
    </row>
    <row r="375" ht="15.0" customHeight="1">
      <c r="A375" s="1209"/>
      <c r="B375" s="1209"/>
      <c r="C375" s="1210"/>
      <c r="D375" s="1160"/>
      <c r="E375" s="1160"/>
      <c r="F375" s="1160"/>
      <c r="G375" s="1160"/>
      <c r="H375" s="1160"/>
      <c r="I375" s="1160"/>
      <c r="J375" s="1160"/>
      <c r="K375" s="1160"/>
      <c r="L375" s="1160"/>
      <c r="M375" s="1160"/>
      <c r="N375" s="1160"/>
      <c r="O375" s="1160"/>
      <c r="P375" s="1160"/>
      <c r="Q375" s="1160"/>
      <c r="R375" s="1160"/>
      <c r="S375" s="1160"/>
      <c r="T375" s="1160"/>
      <c r="U375" s="1160"/>
      <c r="V375" s="1160"/>
      <c r="W375" s="1160"/>
      <c r="X375" s="1211"/>
      <c r="Y375" s="1160"/>
      <c r="Z375" s="1160"/>
      <c r="AA375" s="1160"/>
      <c r="AB375" s="1160"/>
      <c r="AC375" s="1160"/>
      <c r="AD375" s="1160"/>
      <c r="AE375" s="1160"/>
    </row>
    <row r="376" ht="15.0" customHeight="1">
      <c r="A376" s="1209"/>
      <c r="B376" s="1209"/>
      <c r="C376" s="1210"/>
      <c r="D376" s="1160"/>
      <c r="E376" s="1160"/>
      <c r="F376" s="1160"/>
      <c r="G376" s="1160"/>
      <c r="H376" s="1160"/>
      <c r="I376" s="1160"/>
      <c r="J376" s="1160"/>
      <c r="K376" s="1160"/>
      <c r="L376" s="1160"/>
      <c r="M376" s="1160"/>
      <c r="N376" s="1160"/>
      <c r="O376" s="1160"/>
      <c r="P376" s="1160"/>
      <c r="Q376" s="1160"/>
      <c r="R376" s="1160"/>
      <c r="S376" s="1160"/>
      <c r="T376" s="1160"/>
      <c r="U376" s="1160"/>
      <c r="V376" s="1160"/>
      <c r="W376" s="1160"/>
      <c r="X376" s="1211"/>
      <c r="Y376" s="1160"/>
      <c r="Z376" s="1160"/>
      <c r="AA376" s="1160"/>
      <c r="AB376" s="1160"/>
      <c r="AC376" s="1160"/>
      <c r="AD376" s="1160"/>
      <c r="AE376" s="1160"/>
    </row>
    <row r="377" ht="15.0" customHeight="1">
      <c r="A377" s="1209"/>
      <c r="B377" s="1209"/>
      <c r="C377" s="1210"/>
      <c r="D377" s="1160"/>
      <c r="E377" s="1160"/>
      <c r="F377" s="1160"/>
      <c r="G377" s="1160"/>
      <c r="H377" s="1160"/>
      <c r="I377" s="1160"/>
      <c r="J377" s="1160"/>
      <c r="K377" s="1160"/>
      <c r="L377" s="1160"/>
      <c r="M377" s="1160"/>
      <c r="N377" s="1160"/>
      <c r="O377" s="1160"/>
      <c r="P377" s="1160"/>
      <c r="Q377" s="1160"/>
      <c r="R377" s="1160"/>
      <c r="S377" s="1160"/>
      <c r="T377" s="1160"/>
      <c r="U377" s="1160"/>
      <c r="V377" s="1160"/>
      <c r="W377" s="1160"/>
      <c r="X377" s="1211"/>
      <c r="Y377" s="1160"/>
      <c r="Z377" s="1160"/>
      <c r="AA377" s="1160"/>
      <c r="AB377" s="1160"/>
      <c r="AC377" s="1160"/>
      <c r="AD377" s="1160"/>
      <c r="AE377" s="1160"/>
    </row>
    <row r="378" ht="15.0" customHeight="1">
      <c r="A378" s="1209"/>
      <c r="B378" s="1209"/>
      <c r="C378" s="1210"/>
      <c r="D378" s="1160"/>
      <c r="E378" s="1160"/>
      <c r="F378" s="1160"/>
      <c r="G378" s="1160"/>
      <c r="H378" s="1160"/>
      <c r="I378" s="1160"/>
      <c r="J378" s="1160"/>
      <c r="K378" s="1160"/>
      <c r="L378" s="1160"/>
      <c r="M378" s="1160"/>
      <c r="N378" s="1160"/>
      <c r="O378" s="1160"/>
      <c r="P378" s="1160"/>
      <c r="Q378" s="1160"/>
      <c r="R378" s="1160"/>
      <c r="S378" s="1160"/>
      <c r="T378" s="1160"/>
      <c r="U378" s="1160"/>
      <c r="V378" s="1160"/>
      <c r="W378" s="1160"/>
      <c r="X378" s="1211"/>
      <c r="Y378" s="1160"/>
      <c r="Z378" s="1160"/>
      <c r="AA378" s="1160"/>
      <c r="AB378" s="1160"/>
      <c r="AC378" s="1160"/>
      <c r="AD378" s="1160"/>
      <c r="AE378" s="1160"/>
    </row>
    <row r="379" ht="15.0" customHeight="1">
      <c r="A379" s="1209"/>
      <c r="B379" s="1209"/>
      <c r="C379" s="1210"/>
      <c r="D379" s="1160"/>
      <c r="E379" s="1160"/>
      <c r="F379" s="1160"/>
      <c r="G379" s="1160"/>
      <c r="H379" s="1160"/>
      <c r="I379" s="1160"/>
      <c r="J379" s="1160"/>
      <c r="K379" s="1160"/>
      <c r="L379" s="1160"/>
      <c r="M379" s="1160"/>
      <c r="N379" s="1160"/>
      <c r="O379" s="1160"/>
      <c r="P379" s="1160"/>
      <c r="Q379" s="1160"/>
      <c r="R379" s="1160"/>
      <c r="S379" s="1160"/>
      <c r="T379" s="1160"/>
      <c r="U379" s="1160"/>
      <c r="V379" s="1160"/>
      <c r="W379" s="1160"/>
      <c r="X379" s="1211"/>
      <c r="Y379" s="1160"/>
      <c r="Z379" s="1160"/>
      <c r="AA379" s="1160"/>
      <c r="AB379" s="1160"/>
      <c r="AC379" s="1160"/>
      <c r="AD379" s="1160"/>
      <c r="AE379" s="1160"/>
    </row>
    <row r="380" ht="15.0" customHeight="1">
      <c r="A380" s="1209"/>
      <c r="B380" s="1209"/>
      <c r="C380" s="1210"/>
      <c r="D380" s="1160"/>
      <c r="E380" s="1160"/>
      <c r="F380" s="1160"/>
      <c r="G380" s="1160"/>
      <c r="H380" s="1160"/>
      <c r="I380" s="1160"/>
      <c r="J380" s="1160"/>
      <c r="K380" s="1160"/>
      <c r="L380" s="1160"/>
      <c r="M380" s="1160"/>
      <c r="N380" s="1160"/>
      <c r="O380" s="1160"/>
      <c r="P380" s="1160"/>
      <c r="Q380" s="1160"/>
      <c r="R380" s="1160"/>
      <c r="S380" s="1160"/>
      <c r="T380" s="1160"/>
      <c r="U380" s="1160"/>
      <c r="V380" s="1160"/>
      <c r="W380" s="1160"/>
      <c r="X380" s="1211"/>
      <c r="Y380" s="1160"/>
      <c r="Z380" s="1160"/>
      <c r="AA380" s="1160"/>
      <c r="AB380" s="1160"/>
      <c r="AC380" s="1160"/>
      <c r="AD380" s="1160"/>
      <c r="AE380" s="1160"/>
    </row>
    <row r="381" ht="15.0" customHeight="1">
      <c r="A381" s="1209"/>
      <c r="B381" s="1209"/>
      <c r="C381" s="1210"/>
      <c r="D381" s="1160"/>
      <c r="E381" s="1160"/>
      <c r="F381" s="1160"/>
      <c r="G381" s="1160"/>
      <c r="H381" s="1160"/>
      <c r="I381" s="1160"/>
      <c r="J381" s="1160"/>
      <c r="K381" s="1160"/>
      <c r="L381" s="1160"/>
      <c r="M381" s="1160"/>
      <c r="N381" s="1160"/>
      <c r="O381" s="1160"/>
      <c r="P381" s="1160"/>
      <c r="Q381" s="1160"/>
      <c r="R381" s="1160"/>
      <c r="S381" s="1160"/>
      <c r="T381" s="1160"/>
      <c r="U381" s="1160"/>
      <c r="V381" s="1160"/>
      <c r="W381" s="1160"/>
      <c r="X381" s="1211"/>
      <c r="Y381" s="1160"/>
      <c r="Z381" s="1160"/>
      <c r="AA381" s="1160"/>
      <c r="AB381" s="1160"/>
      <c r="AC381" s="1160"/>
      <c r="AD381" s="1160"/>
      <c r="AE381" s="1160"/>
    </row>
    <row r="382" ht="15.0" customHeight="1">
      <c r="A382" s="1209"/>
      <c r="B382" s="1209"/>
      <c r="C382" s="1210"/>
      <c r="D382" s="1160"/>
      <c r="E382" s="1160"/>
      <c r="F382" s="1160"/>
      <c r="G382" s="1160"/>
      <c r="H382" s="1160"/>
      <c r="I382" s="1160"/>
      <c r="J382" s="1160"/>
      <c r="K382" s="1160"/>
      <c r="L382" s="1160"/>
      <c r="M382" s="1160"/>
      <c r="N382" s="1160"/>
      <c r="O382" s="1160"/>
      <c r="P382" s="1160"/>
      <c r="Q382" s="1160"/>
      <c r="R382" s="1160"/>
      <c r="S382" s="1160"/>
      <c r="T382" s="1160"/>
      <c r="U382" s="1160"/>
      <c r="V382" s="1160"/>
      <c r="W382" s="1160"/>
      <c r="X382" s="1211"/>
      <c r="Y382" s="1160"/>
      <c r="Z382" s="1160"/>
      <c r="AA382" s="1160"/>
      <c r="AB382" s="1160"/>
      <c r="AC382" s="1160"/>
      <c r="AD382" s="1160"/>
      <c r="AE382" s="1160"/>
    </row>
    <row r="383" ht="15.0" customHeight="1">
      <c r="A383" s="1209"/>
      <c r="B383" s="1209"/>
      <c r="C383" s="1210"/>
      <c r="D383" s="1160"/>
      <c r="E383" s="1160"/>
      <c r="F383" s="1160"/>
      <c r="G383" s="1160"/>
      <c r="H383" s="1160"/>
      <c r="I383" s="1160"/>
      <c r="J383" s="1160"/>
      <c r="K383" s="1160"/>
      <c r="L383" s="1160"/>
      <c r="M383" s="1160"/>
      <c r="N383" s="1160"/>
      <c r="O383" s="1160"/>
      <c r="P383" s="1160"/>
      <c r="Q383" s="1160"/>
      <c r="R383" s="1160"/>
      <c r="S383" s="1160"/>
      <c r="T383" s="1160"/>
      <c r="U383" s="1160"/>
      <c r="V383" s="1160"/>
      <c r="W383" s="1160"/>
      <c r="X383" s="1211"/>
      <c r="Y383" s="1160"/>
      <c r="Z383" s="1160"/>
      <c r="AA383" s="1160"/>
      <c r="AB383" s="1160"/>
      <c r="AC383" s="1160"/>
      <c r="AD383" s="1160"/>
      <c r="AE383" s="1160"/>
    </row>
    <row r="384" ht="15.0" customHeight="1">
      <c r="A384" s="1209"/>
      <c r="B384" s="1209"/>
      <c r="C384" s="1210"/>
      <c r="D384" s="1160"/>
      <c r="E384" s="1160"/>
      <c r="F384" s="1160"/>
      <c r="G384" s="1160"/>
      <c r="H384" s="1160"/>
      <c r="I384" s="1160"/>
      <c r="J384" s="1160"/>
      <c r="K384" s="1160"/>
      <c r="L384" s="1160"/>
      <c r="M384" s="1160"/>
      <c r="N384" s="1160"/>
      <c r="O384" s="1160"/>
      <c r="P384" s="1160"/>
      <c r="Q384" s="1160"/>
      <c r="R384" s="1160"/>
      <c r="S384" s="1160"/>
      <c r="T384" s="1160"/>
      <c r="U384" s="1160"/>
      <c r="V384" s="1160"/>
      <c r="W384" s="1160"/>
      <c r="X384" s="1211"/>
      <c r="Y384" s="1160"/>
      <c r="Z384" s="1160"/>
      <c r="AA384" s="1160"/>
      <c r="AB384" s="1160"/>
      <c r="AC384" s="1160"/>
      <c r="AD384" s="1160"/>
      <c r="AE384" s="1160"/>
    </row>
    <row r="385" ht="15.0" customHeight="1">
      <c r="A385" s="1209"/>
      <c r="B385" s="1209"/>
      <c r="C385" s="1210"/>
      <c r="D385" s="1160"/>
      <c r="E385" s="1160"/>
      <c r="F385" s="1160"/>
      <c r="G385" s="1160"/>
      <c r="H385" s="1160"/>
      <c r="I385" s="1160"/>
      <c r="J385" s="1160"/>
      <c r="K385" s="1160"/>
      <c r="L385" s="1160"/>
      <c r="M385" s="1160"/>
      <c r="N385" s="1160"/>
      <c r="O385" s="1160"/>
      <c r="P385" s="1160"/>
      <c r="Q385" s="1160"/>
      <c r="R385" s="1160"/>
      <c r="S385" s="1160"/>
      <c r="T385" s="1160"/>
      <c r="U385" s="1160"/>
      <c r="V385" s="1160"/>
      <c r="W385" s="1160"/>
      <c r="X385" s="1211"/>
      <c r="Y385" s="1160"/>
      <c r="Z385" s="1160"/>
      <c r="AA385" s="1160"/>
      <c r="AB385" s="1160"/>
      <c r="AC385" s="1160"/>
      <c r="AD385" s="1160"/>
      <c r="AE385" s="1160"/>
    </row>
    <row r="386" ht="15.0" customHeight="1">
      <c r="A386" s="1209"/>
      <c r="B386" s="1209"/>
      <c r="C386" s="1210"/>
      <c r="D386" s="1160"/>
      <c r="E386" s="1160"/>
      <c r="F386" s="1160"/>
      <c r="G386" s="1160"/>
      <c r="H386" s="1160"/>
      <c r="I386" s="1160"/>
      <c r="J386" s="1160"/>
      <c r="K386" s="1160"/>
      <c r="L386" s="1160"/>
      <c r="M386" s="1160"/>
      <c r="N386" s="1160"/>
      <c r="O386" s="1160"/>
      <c r="P386" s="1160"/>
      <c r="Q386" s="1160"/>
      <c r="R386" s="1160"/>
      <c r="S386" s="1160"/>
      <c r="T386" s="1160"/>
      <c r="U386" s="1160"/>
      <c r="V386" s="1160"/>
      <c r="W386" s="1160"/>
      <c r="X386" s="1211"/>
      <c r="Y386" s="1160"/>
      <c r="Z386" s="1160"/>
      <c r="AA386" s="1160"/>
      <c r="AB386" s="1160"/>
      <c r="AC386" s="1160"/>
      <c r="AD386" s="1160"/>
      <c r="AE386" s="1160"/>
    </row>
    <row r="387" ht="15.0" customHeight="1">
      <c r="A387" s="1209"/>
      <c r="B387" s="1209"/>
      <c r="C387" s="1210"/>
      <c r="D387" s="1160"/>
      <c r="E387" s="1160"/>
      <c r="F387" s="1160"/>
      <c r="G387" s="1160"/>
      <c r="H387" s="1160"/>
      <c r="I387" s="1160"/>
      <c r="J387" s="1160"/>
      <c r="K387" s="1160"/>
      <c r="L387" s="1160"/>
      <c r="M387" s="1160"/>
      <c r="N387" s="1160"/>
      <c r="O387" s="1160"/>
      <c r="P387" s="1160"/>
      <c r="Q387" s="1160"/>
      <c r="R387" s="1160"/>
      <c r="S387" s="1160"/>
      <c r="T387" s="1160"/>
      <c r="U387" s="1160"/>
      <c r="V387" s="1160"/>
      <c r="W387" s="1160"/>
      <c r="X387" s="1211"/>
      <c r="Y387" s="1160"/>
      <c r="Z387" s="1160"/>
      <c r="AA387" s="1160"/>
      <c r="AB387" s="1160"/>
      <c r="AC387" s="1160"/>
      <c r="AD387" s="1160"/>
      <c r="AE387" s="1160"/>
    </row>
    <row r="388" ht="15.0" customHeight="1">
      <c r="A388" s="1209"/>
      <c r="B388" s="1209"/>
      <c r="C388" s="1210"/>
      <c r="D388" s="1160"/>
      <c r="E388" s="1160"/>
      <c r="F388" s="1160"/>
      <c r="G388" s="1160"/>
      <c r="H388" s="1160"/>
      <c r="I388" s="1160"/>
      <c r="J388" s="1160"/>
      <c r="K388" s="1160"/>
      <c r="L388" s="1160"/>
      <c r="M388" s="1160"/>
      <c r="N388" s="1160"/>
      <c r="O388" s="1160"/>
      <c r="P388" s="1160"/>
      <c r="Q388" s="1160"/>
      <c r="R388" s="1160"/>
      <c r="S388" s="1160"/>
      <c r="T388" s="1160"/>
      <c r="U388" s="1160"/>
      <c r="V388" s="1160"/>
      <c r="W388" s="1160"/>
      <c r="X388" s="1211"/>
      <c r="Y388" s="1160"/>
      <c r="Z388" s="1160"/>
      <c r="AA388" s="1160"/>
      <c r="AB388" s="1160"/>
      <c r="AC388" s="1160"/>
      <c r="AD388" s="1160"/>
      <c r="AE388" s="1160"/>
    </row>
    <row r="389" ht="15.0" customHeight="1">
      <c r="A389" s="1209"/>
      <c r="B389" s="1209"/>
      <c r="C389" s="1210"/>
      <c r="D389" s="1160"/>
      <c r="E389" s="1160"/>
      <c r="F389" s="1160"/>
      <c r="G389" s="1160"/>
      <c r="H389" s="1160"/>
      <c r="I389" s="1160"/>
      <c r="J389" s="1160"/>
      <c r="K389" s="1160"/>
      <c r="L389" s="1160"/>
      <c r="M389" s="1160"/>
      <c r="N389" s="1160"/>
      <c r="O389" s="1160"/>
      <c r="P389" s="1160"/>
      <c r="Q389" s="1160"/>
      <c r="R389" s="1160"/>
      <c r="S389" s="1160"/>
      <c r="T389" s="1160"/>
      <c r="U389" s="1160"/>
      <c r="V389" s="1160"/>
      <c r="W389" s="1160"/>
      <c r="X389" s="1211"/>
      <c r="Y389" s="1160"/>
      <c r="Z389" s="1160"/>
      <c r="AA389" s="1160"/>
      <c r="AB389" s="1160"/>
      <c r="AC389" s="1160"/>
      <c r="AD389" s="1160"/>
      <c r="AE389" s="1160"/>
    </row>
    <row r="390" ht="15.0" customHeight="1">
      <c r="A390" s="1209"/>
      <c r="B390" s="1209"/>
      <c r="C390" s="1210"/>
      <c r="D390" s="1160"/>
      <c r="E390" s="1160"/>
      <c r="F390" s="1160"/>
      <c r="G390" s="1160"/>
      <c r="H390" s="1160"/>
      <c r="I390" s="1160"/>
      <c r="J390" s="1160"/>
      <c r="K390" s="1160"/>
      <c r="L390" s="1160"/>
      <c r="M390" s="1160"/>
      <c r="N390" s="1160"/>
      <c r="O390" s="1160"/>
      <c r="P390" s="1160"/>
      <c r="Q390" s="1160"/>
      <c r="R390" s="1160"/>
      <c r="S390" s="1160"/>
      <c r="T390" s="1160"/>
      <c r="U390" s="1160"/>
      <c r="V390" s="1160"/>
      <c r="W390" s="1160"/>
      <c r="X390" s="1211"/>
      <c r="Y390" s="1160"/>
      <c r="Z390" s="1160"/>
      <c r="AA390" s="1160"/>
      <c r="AB390" s="1160"/>
      <c r="AC390" s="1160"/>
      <c r="AD390" s="1160"/>
      <c r="AE390" s="1160"/>
    </row>
    <row r="391" ht="15.0" customHeight="1">
      <c r="A391" s="1209"/>
      <c r="B391" s="1209"/>
      <c r="C391" s="1210"/>
      <c r="D391" s="1160"/>
      <c r="E391" s="1160"/>
      <c r="F391" s="1160"/>
      <c r="G391" s="1160"/>
      <c r="H391" s="1160"/>
      <c r="I391" s="1160"/>
      <c r="J391" s="1160"/>
      <c r="K391" s="1160"/>
      <c r="L391" s="1160"/>
      <c r="M391" s="1160"/>
      <c r="N391" s="1160"/>
      <c r="O391" s="1160"/>
      <c r="P391" s="1160"/>
      <c r="Q391" s="1160"/>
      <c r="R391" s="1160"/>
      <c r="S391" s="1160"/>
      <c r="T391" s="1160"/>
      <c r="U391" s="1160"/>
      <c r="V391" s="1160"/>
      <c r="W391" s="1160"/>
      <c r="X391" s="1211"/>
      <c r="Y391" s="1160"/>
      <c r="Z391" s="1160"/>
      <c r="AA391" s="1160"/>
      <c r="AB391" s="1160"/>
      <c r="AC391" s="1160"/>
      <c r="AD391" s="1160"/>
      <c r="AE391" s="1160"/>
    </row>
    <row r="392" ht="15.0" customHeight="1">
      <c r="A392" s="1209"/>
      <c r="B392" s="1209"/>
      <c r="C392" s="1210"/>
      <c r="D392" s="1160"/>
      <c r="E392" s="1160"/>
      <c r="F392" s="1160"/>
      <c r="G392" s="1160"/>
      <c r="H392" s="1160"/>
      <c r="I392" s="1160"/>
      <c r="J392" s="1160"/>
      <c r="K392" s="1160"/>
      <c r="L392" s="1160"/>
      <c r="M392" s="1160"/>
      <c r="N392" s="1160"/>
      <c r="O392" s="1160"/>
      <c r="P392" s="1160"/>
      <c r="Q392" s="1160"/>
      <c r="R392" s="1160"/>
      <c r="S392" s="1160"/>
      <c r="T392" s="1160"/>
      <c r="U392" s="1160"/>
      <c r="V392" s="1160"/>
      <c r="W392" s="1160"/>
      <c r="X392" s="1211"/>
      <c r="Y392" s="1160"/>
      <c r="Z392" s="1160"/>
      <c r="AA392" s="1160"/>
      <c r="AB392" s="1160"/>
      <c r="AC392" s="1160"/>
      <c r="AD392" s="1160"/>
      <c r="AE392" s="1160"/>
    </row>
    <row r="393" ht="15.0" customHeight="1">
      <c r="A393" s="1209"/>
      <c r="B393" s="1209"/>
      <c r="C393" s="1210"/>
      <c r="D393" s="1160"/>
      <c r="E393" s="1160"/>
      <c r="F393" s="1160"/>
      <c r="G393" s="1160"/>
      <c r="H393" s="1160"/>
      <c r="I393" s="1160"/>
      <c r="J393" s="1160"/>
      <c r="K393" s="1160"/>
      <c r="L393" s="1160"/>
      <c r="M393" s="1160"/>
      <c r="N393" s="1160"/>
      <c r="O393" s="1160"/>
      <c r="P393" s="1160"/>
      <c r="Q393" s="1160"/>
      <c r="R393" s="1160"/>
      <c r="S393" s="1160"/>
      <c r="T393" s="1160"/>
      <c r="U393" s="1160"/>
      <c r="V393" s="1160"/>
      <c r="W393" s="1160"/>
      <c r="X393" s="1211"/>
      <c r="Y393" s="1160"/>
      <c r="Z393" s="1160"/>
      <c r="AA393" s="1160"/>
      <c r="AB393" s="1160"/>
      <c r="AC393" s="1160"/>
      <c r="AD393" s="1160"/>
      <c r="AE393" s="1160"/>
    </row>
    <row r="394" ht="15.0" customHeight="1">
      <c r="A394" s="1209"/>
      <c r="B394" s="1209"/>
      <c r="C394" s="1210"/>
      <c r="D394" s="1160"/>
      <c r="E394" s="1160"/>
      <c r="F394" s="1160"/>
      <c r="G394" s="1160"/>
      <c r="H394" s="1160"/>
      <c r="I394" s="1160"/>
      <c r="J394" s="1160"/>
      <c r="K394" s="1160"/>
      <c r="L394" s="1160"/>
      <c r="M394" s="1160"/>
      <c r="N394" s="1160"/>
      <c r="O394" s="1160"/>
      <c r="P394" s="1160"/>
      <c r="Q394" s="1160"/>
      <c r="R394" s="1160"/>
      <c r="S394" s="1160"/>
      <c r="T394" s="1160"/>
      <c r="U394" s="1160"/>
      <c r="V394" s="1160"/>
      <c r="W394" s="1160"/>
      <c r="X394" s="1211"/>
      <c r="Y394" s="1160"/>
      <c r="Z394" s="1160"/>
      <c r="AA394" s="1160"/>
      <c r="AB394" s="1160"/>
      <c r="AC394" s="1160"/>
      <c r="AD394" s="1160"/>
      <c r="AE394" s="1160"/>
    </row>
    <row r="395" ht="15.0" customHeight="1">
      <c r="A395" s="1209"/>
      <c r="B395" s="1209"/>
      <c r="C395" s="1210"/>
      <c r="D395" s="1160"/>
      <c r="E395" s="1160"/>
      <c r="F395" s="1160"/>
      <c r="G395" s="1160"/>
      <c r="H395" s="1160"/>
      <c r="I395" s="1160"/>
      <c r="J395" s="1160"/>
      <c r="K395" s="1160"/>
      <c r="L395" s="1160"/>
      <c r="M395" s="1160"/>
      <c r="N395" s="1160"/>
      <c r="O395" s="1160"/>
      <c r="P395" s="1160"/>
      <c r="Q395" s="1160"/>
      <c r="R395" s="1160"/>
      <c r="S395" s="1160"/>
      <c r="T395" s="1160"/>
      <c r="U395" s="1160"/>
      <c r="V395" s="1160"/>
      <c r="W395" s="1160"/>
      <c r="X395" s="1211"/>
      <c r="Y395" s="1160"/>
      <c r="Z395" s="1160"/>
      <c r="AA395" s="1160"/>
      <c r="AB395" s="1160"/>
      <c r="AC395" s="1160"/>
      <c r="AD395" s="1160"/>
      <c r="AE395" s="1160"/>
    </row>
    <row r="396" ht="15.0" customHeight="1">
      <c r="A396" s="1209"/>
      <c r="B396" s="1209"/>
      <c r="C396" s="1210"/>
      <c r="D396" s="1160"/>
      <c r="E396" s="1160"/>
      <c r="F396" s="1160"/>
      <c r="G396" s="1160"/>
      <c r="H396" s="1160"/>
      <c r="I396" s="1160"/>
      <c r="J396" s="1160"/>
      <c r="K396" s="1160"/>
      <c r="L396" s="1160"/>
      <c r="M396" s="1160"/>
      <c r="N396" s="1160"/>
      <c r="O396" s="1160"/>
      <c r="P396" s="1160"/>
      <c r="Q396" s="1160"/>
      <c r="R396" s="1160"/>
      <c r="S396" s="1160"/>
      <c r="T396" s="1160"/>
      <c r="U396" s="1160"/>
      <c r="V396" s="1160"/>
      <c r="W396" s="1160"/>
      <c r="X396" s="1211"/>
      <c r="Y396" s="1160"/>
      <c r="Z396" s="1160"/>
      <c r="AA396" s="1160"/>
      <c r="AB396" s="1160"/>
      <c r="AC396" s="1160"/>
      <c r="AD396" s="1160"/>
      <c r="AE396" s="1160"/>
    </row>
    <row r="397" ht="15.0" customHeight="1">
      <c r="A397" s="1209"/>
      <c r="B397" s="1209"/>
      <c r="C397" s="1210"/>
      <c r="D397" s="1160"/>
      <c r="E397" s="1160"/>
      <c r="F397" s="1160"/>
      <c r="G397" s="1160"/>
      <c r="H397" s="1160"/>
      <c r="I397" s="1160"/>
      <c r="J397" s="1160"/>
      <c r="K397" s="1160"/>
      <c r="L397" s="1160"/>
      <c r="M397" s="1160"/>
      <c r="N397" s="1160"/>
      <c r="O397" s="1160"/>
      <c r="P397" s="1160"/>
      <c r="Q397" s="1160"/>
      <c r="R397" s="1160"/>
      <c r="S397" s="1160"/>
      <c r="T397" s="1160"/>
      <c r="U397" s="1160"/>
      <c r="V397" s="1160"/>
      <c r="W397" s="1160"/>
      <c r="X397" s="1211"/>
      <c r="Y397" s="1160"/>
      <c r="Z397" s="1160"/>
      <c r="AA397" s="1160"/>
      <c r="AB397" s="1160"/>
      <c r="AC397" s="1160"/>
      <c r="AD397" s="1160"/>
      <c r="AE397" s="1160"/>
    </row>
    <row r="398" ht="15.0" customHeight="1">
      <c r="A398" s="1209"/>
      <c r="B398" s="1209"/>
      <c r="C398" s="1210"/>
      <c r="D398" s="1160"/>
      <c r="E398" s="1160"/>
      <c r="F398" s="1160"/>
      <c r="G398" s="1160"/>
      <c r="H398" s="1160"/>
      <c r="I398" s="1160"/>
      <c r="J398" s="1160"/>
      <c r="K398" s="1160"/>
      <c r="L398" s="1160"/>
      <c r="M398" s="1160"/>
      <c r="N398" s="1160"/>
      <c r="O398" s="1160"/>
      <c r="P398" s="1160"/>
      <c r="Q398" s="1160"/>
      <c r="R398" s="1160"/>
      <c r="S398" s="1160"/>
      <c r="T398" s="1160"/>
      <c r="U398" s="1160"/>
      <c r="V398" s="1160"/>
      <c r="W398" s="1160"/>
      <c r="X398" s="1211"/>
      <c r="Y398" s="1160"/>
      <c r="Z398" s="1160"/>
      <c r="AA398" s="1160"/>
      <c r="AB398" s="1160"/>
      <c r="AC398" s="1160"/>
      <c r="AD398" s="1160"/>
      <c r="AE398" s="1160"/>
    </row>
    <row r="399" ht="15.0" customHeight="1">
      <c r="A399" s="1209"/>
      <c r="B399" s="1209"/>
      <c r="C399" s="1210"/>
      <c r="D399" s="1160"/>
      <c r="E399" s="1160"/>
      <c r="F399" s="1160"/>
      <c r="G399" s="1160"/>
      <c r="H399" s="1160"/>
      <c r="I399" s="1160"/>
      <c r="J399" s="1160"/>
      <c r="K399" s="1160"/>
      <c r="L399" s="1160"/>
      <c r="M399" s="1160"/>
      <c r="N399" s="1160"/>
      <c r="O399" s="1160"/>
      <c r="P399" s="1160"/>
      <c r="Q399" s="1160"/>
      <c r="R399" s="1160"/>
      <c r="S399" s="1160"/>
      <c r="T399" s="1160"/>
      <c r="U399" s="1160"/>
      <c r="V399" s="1160"/>
      <c r="W399" s="1160"/>
      <c r="X399" s="1211"/>
      <c r="Y399" s="1160"/>
      <c r="Z399" s="1160"/>
      <c r="AA399" s="1160"/>
      <c r="AB399" s="1160"/>
      <c r="AC399" s="1160"/>
      <c r="AD399" s="1160"/>
      <c r="AE399" s="1160"/>
    </row>
    <row r="400" ht="15.0" customHeight="1">
      <c r="A400" s="1209"/>
      <c r="B400" s="1209"/>
      <c r="C400" s="1210"/>
      <c r="D400" s="1160"/>
      <c r="E400" s="1160"/>
      <c r="F400" s="1160"/>
      <c r="G400" s="1160"/>
      <c r="H400" s="1160"/>
      <c r="I400" s="1160"/>
      <c r="J400" s="1160"/>
      <c r="K400" s="1160"/>
      <c r="L400" s="1160"/>
      <c r="M400" s="1160"/>
      <c r="N400" s="1160"/>
      <c r="O400" s="1160"/>
      <c r="P400" s="1160"/>
      <c r="Q400" s="1160"/>
      <c r="R400" s="1160"/>
      <c r="S400" s="1160"/>
      <c r="T400" s="1160"/>
      <c r="U400" s="1160"/>
      <c r="V400" s="1160"/>
      <c r="W400" s="1160"/>
      <c r="X400" s="1211"/>
      <c r="Y400" s="1160"/>
      <c r="Z400" s="1160"/>
      <c r="AA400" s="1160"/>
      <c r="AB400" s="1160"/>
      <c r="AC400" s="1160"/>
      <c r="AD400" s="1160"/>
      <c r="AE400" s="1160"/>
    </row>
    <row r="401" ht="15.0" customHeight="1">
      <c r="A401" s="1209"/>
      <c r="B401" s="1209"/>
      <c r="C401" s="1210"/>
      <c r="D401" s="1160"/>
      <c r="E401" s="1160"/>
      <c r="F401" s="1160"/>
      <c r="G401" s="1160"/>
      <c r="H401" s="1160"/>
      <c r="I401" s="1160"/>
      <c r="J401" s="1160"/>
      <c r="K401" s="1160"/>
      <c r="L401" s="1160"/>
      <c r="M401" s="1160"/>
      <c r="N401" s="1160"/>
      <c r="O401" s="1160"/>
      <c r="P401" s="1160"/>
      <c r="Q401" s="1160"/>
      <c r="R401" s="1160"/>
      <c r="S401" s="1160"/>
      <c r="T401" s="1160"/>
      <c r="U401" s="1160"/>
      <c r="V401" s="1160"/>
      <c r="W401" s="1160"/>
      <c r="X401" s="1211"/>
      <c r="Y401" s="1160"/>
      <c r="Z401" s="1160"/>
      <c r="AA401" s="1160"/>
      <c r="AB401" s="1160"/>
      <c r="AC401" s="1160"/>
      <c r="AD401" s="1160"/>
      <c r="AE401" s="1160"/>
    </row>
    <row r="402" ht="15.0" customHeight="1">
      <c r="A402" s="1209"/>
      <c r="B402" s="1209"/>
      <c r="C402" s="1210"/>
      <c r="D402" s="1160"/>
      <c r="E402" s="1160"/>
      <c r="F402" s="1160"/>
      <c r="G402" s="1160"/>
      <c r="H402" s="1160"/>
      <c r="I402" s="1160"/>
      <c r="J402" s="1160"/>
      <c r="K402" s="1160"/>
      <c r="L402" s="1160"/>
      <c r="M402" s="1160"/>
      <c r="N402" s="1160"/>
      <c r="O402" s="1160"/>
      <c r="P402" s="1160"/>
      <c r="Q402" s="1160"/>
      <c r="R402" s="1160"/>
      <c r="S402" s="1160"/>
      <c r="T402" s="1160"/>
      <c r="U402" s="1160"/>
      <c r="V402" s="1160"/>
      <c r="W402" s="1160"/>
      <c r="X402" s="1211"/>
      <c r="Y402" s="1160"/>
      <c r="Z402" s="1160"/>
      <c r="AA402" s="1160"/>
      <c r="AB402" s="1160"/>
      <c r="AC402" s="1160"/>
      <c r="AD402" s="1160"/>
      <c r="AE402" s="1160"/>
    </row>
    <row r="403" ht="15.0" customHeight="1">
      <c r="A403" s="1209"/>
      <c r="B403" s="1209"/>
      <c r="C403" s="1210"/>
      <c r="D403" s="1160"/>
      <c r="E403" s="1160"/>
      <c r="F403" s="1160"/>
      <c r="G403" s="1160"/>
      <c r="H403" s="1160"/>
      <c r="I403" s="1160"/>
      <c r="J403" s="1160"/>
      <c r="K403" s="1160"/>
      <c r="L403" s="1160"/>
      <c r="M403" s="1160"/>
      <c r="N403" s="1160"/>
      <c r="O403" s="1160"/>
      <c r="P403" s="1160"/>
      <c r="Q403" s="1160"/>
      <c r="R403" s="1160"/>
      <c r="S403" s="1160"/>
      <c r="T403" s="1160"/>
      <c r="U403" s="1160"/>
      <c r="V403" s="1160"/>
      <c r="W403" s="1160"/>
      <c r="X403" s="1211"/>
      <c r="Y403" s="1160"/>
      <c r="Z403" s="1160"/>
      <c r="AA403" s="1160"/>
      <c r="AB403" s="1160"/>
      <c r="AC403" s="1160"/>
      <c r="AD403" s="1160"/>
      <c r="AE403" s="1160"/>
    </row>
    <row r="404" ht="15.0" customHeight="1">
      <c r="A404" s="1209"/>
      <c r="B404" s="1209"/>
      <c r="C404" s="1210"/>
      <c r="D404" s="1160"/>
      <c r="E404" s="1160"/>
      <c r="F404" s="1160"/>
      <c r="G404" s="1160"/>
      <c r="H404" s="1160"/>
      <c r="I404" s="1160"/>
      <c r="J404" s="1160"/>
      <c r="K404" s="1160"/>
      <c r="L404" s="1160"/>
      <c r="M404" s="1160"/>
      <c r="N404" s="1160"/>
      <c r="O404" s="1160"/>
      <c r="P404" s="1160"/>
      <c r="Q404" s="1160"/>
      <c r="R404" s="1160"/>
      <c r="S404" s="1160"/>
      <c r="T404" s="1160"/>
      <c r="U404" s="1160"/>
      <c r="V404" s="1160"/>
      <c r="W404" s="1160"/>
      <c r="X404" s="1211"/>
      <c r="Y404" s="1160"/>
      <c r="Z404" s="1160"/>
      <c r="AA404" s="1160"/>
      <c r="AB404" s="1160"/>
      <c r="AC404" s="1160"/>
      <c r="AD404" s="1160"/>
      <c r="AE404" s="1160"/>
    </row>
    <row r="405" ht="15.0" customHeight="1">
      <c r="A405" s="1209"/>
      <c r="B405" s="1209"/>
      <c r="C405" s="1210"/>
      <c r="D405" s="1160"/>
      <c r="E405" s="1160"/>
      <c r="F405" s="1160"/>
      <c r="G405" s="1160"/>
      <c r="H405" s="1160"/>
      <c r="I405" s="1160"/>
      <c r="J405" s="1160"/>
      <c r="K405" s="1160"/>
      <c r="L405" s="1160"/>
      <c r="M405" s="1160"/>
      <c r="N405" s="1160"/>
      <c r="O405" s="1160"/>
      <c r="P405" s="1160"/>
      <c r="Q405" s="1160"/>
      <c r="R405" s="1160"/>
      <c r="S405" s="1160"/>
      <c r="T405" s="1160"/>
      <c r="U405" s="1160"/>
      <c r="V405" s="1160"/>
      <c r="W405" s="1160"/>
      <c r="X405" s="1211"/>
      <c r="Y405" s="1160"/>
      <c r="Z405" s="1160"/>
      <c r="AA405" s="1160"/>
      <c r="AB405" s="1160"/>
      <c r="AC405" s="1160"/>
      <c r="AD405" s="1160"/>
      <c r="AE405" s="1160"/>
    </row>
    <row r="406" ht="15.0" customHeight="1">
      <c r="A406" s="1209"/>
      <c r="B406" s="1209"/>
      <c r="C406" s="1210"/>
      <c r="D406" s="1160"/>
      <c r="E406" s="1160"/>
      <c r="F406" s="1160"/>
      <c r="G406" s="1160"/>
      <c r="H406" s="1160"/>
      <c r="I406" s="1160"/>
      <c r="J406" s="1160"/>
      <c r="K406" s="1160"/>
      <c r="L406" s="1160"/>
      <c r="M406" s="1160"/>
      <c r="N406" s="1160"/>
      <c r="O406" s="1160"/>
      <c r="P406" s="1160"/>
      <c r="Q406" s="1160"/>
      <c r="R406" s="1160"/>
      <c r="S406" s="1160"/>
      <c r="T406" s="1160"/>
      <c r="U406" s="1160"/>
      <c r="V406" s="1160"/>
      <c r="W406" s="1160"/>
      <c r="X406" s="1211"/>
      <c r="Y406" s="1160"/>
      <c r="Z406" s="1160"/>
      <c r="AA406" s="1160"/>
      <c r="AB406" s="1160"/>
      <c r="AC406" s="1160"/>
      <c r="AD406" s="1160"/>
      <c r="AE406" s="1160"/>
    </row>
    <row r="407" ht="15.0" customHeight="1">
      <c r="A407" s="1209"/>
      <c r="B407" s="1209"/>
      <c r="C407" s="1210"/>
      <c r="D407" s="1160"/>
      <c r="E407" s="1160"/>
      <c r="F407" s="1160"/>
      <c r="G407" s="1160"/>
      <c r="H407" s="1160"/>
      <c r="I407" s="1160"/>
      <c r="J407" s="1160"/>
      <c r="K407" s="1160"/>
      <c r="L407" s="1160"/>
      <c r="M407" s="1160"/>
      <c r="N407" s="1160"/>
      <c r="O407" s="1160"/>
      <c r="P407" s="1160"/>
      <c r="Q407" s="1160"/>
      <c r="R407" s="1160"/>
      <c r="S407" s="1160"/>
      <c r="T407" s="1160"/>
      <c r="U407" s="1160"/>
      <c r="V407" s="1160"/>
      <c r="W407" s="1160"/>
      <c r="X407" s="1211"/>
      <c r="Y407" s="1160"/>
      <c r="Z407" s="1160"/>
      <c r="AA407" s="1160"/>
      <c r="AB407" s="1160"/>
      <c r="AC407" s="1160"/>
      <c r="AD407" s="1160"/>
      <c r="AE407" s="1160"/>
    </row>
    <row r="408" ht="15.0" customHeight="1">
      <c r="A408" s="1209"/>
      <c r="B408" s="1209"/>
      <c r="C408" s="1210"/>
      <c r="D408" s="1160"/>
      <c r="E408" s="1160"/>
      <c r="F408" s="1160"/>
      <c r="G408" s="1160"/>
      <c r="H408" s="1160"/>
      <c r="I408" s="1160"/>
      <c r="J408" s="1160"/>
      <c r="K408" s="1160"/>
      <c r="L408" s="1160"/>
      <c r="M408" s="1160"/>
      <c r="N408" s="1160"/>
      <c r="O408" s="1160"/>
      <c r="P408" s="1160"/>
      <c r="Q408" s="1160"/>
      <c r="R408" s="1160"/>
      <c r="S408" s="1160"/>
      <c r="T408" s="1160"/>
      <c r="U408" s="1160"/>
      <c r="V408" s="1160"/>
      <c r="W408" s="1160"/>
      <c r="X408" s="1211"/>
      <c r="Y408" s="1160"/>
      <c r="Z408" s="1160"/>
      <c r="AA408" s="1160"/>
      <c r="AB408" s="1160"/>
      <c r="AC408" s="1160"/>
      <c r="AD408" s="1160"/>
      <c r="AE408" s="1160"/>
    </row>
    <row r="409" ht="15.0" customHeight="1">
      <c r="A409" s="1209"/>
      <c r="B409" s="1209"/>
      <c r="C409" s="1210"/>
      <c r="D409" s="1160"/>
      <c r="E409" s="1160"/>
      <c r="F409" s="1160"/>
      <c r="G409" s="1160"/>
      <c r="H409" s="1160"/>
      <c r="I409" s="1160"/>
      <c r="J409" s="1160"/>
      <c r="K409" s="1160"/>
      <c r="L409" s="1160"/>
      <c r="M409" s="1160"/>
      <c r="N409" s="1160"/>
      <c r="O409" s="1160"/>
      <c r="P409" s="1160"/>
      <c r="Q409" s="1160"/>
      <c r="R409" s="1160"/>
      <c r="S409" s="1160"/>
      <c r="T409" s="1160"/>
      <c r="U409" s="1160"/>
      <c r="V409" s="1160"/>
      <c r="W409" s="1160"/>
      <c r="X409" s="1211"/>
      <c r="Y409" s="1160"/>
      <c r="Z409" s="1160"/>
      <c r="AA409" s="1160"/>
      <c r="AB409" s="1160"/>
      <c r="AC409" s="1160"/>
      <c r="AD409" s="1160"/>
      <c r="AE409" s="1160"/>
    </row>
    <row r="410" ht="15.0" customHeight="1">
      <c r="A410" s="1209"/>
      <c r="B410" s="1209"/>
      <c r="C410" s="1210"/>
      <c r="D410" s="1160"/>
      <c r="E410" s="1160"/>
      <c r="F410" s="1160"/>
      <c r="G410" s="1160"/>
      <c r="H410" s="1160"/>
      <c r="I410" s="1160"/>
      <c r="J410" s="1160"/>
      <c r="K410" s="1160"/>
      <c r="L410" s="1160"/>
      <c r="M410" s="1160"/>
      <c r="N410" s="1160"/>
      <c r="O410" s="1160"/>
      <c r="P410" s="1160"/>
      <c r="Q410" s="1160"/>
      <c r="R410" s="1160"/>
      <c r="S410" s="1160"/>
      <c r="T410" s="1160"/>
      <c r="U410" s="1160"/>
      <c r="V410" s="1160"/>
      <c r="W410" s="1160"/>
      <c r="X410" s="1211"/>
      <c r="Y410" s="1160"/>
      <c r="Z410" s="1160"/>
      <c r="AA410" s="1160"/>
      <c r="AB410" s="1160"/>
      <c r="AC410" s="1160"/>
      <c r="AD410" s="1160"/>
      <c r="AE410" s="1160"/>
    </row>
    <row r="411" ht="15.0" customHeight="1">
      <c r="A411" s="1209"/>
      <c r="B411" s="1209"/>
      <c r="C411" s="1210"/>
      <c r="D411" s="1160"/>
      <c r="E411" s="1160"/>
      <c r="F411" s="1160"/>
      <c r="G411" s="1160"/>
      <c r="H411" s="1160"/>
      <c r="I411" s="1160"/>
      <c r="J411" s="1160"/>
      <c r="K411" s="1160"/>
      <c r="L411" s="1160"/>
      <c r="M411" s="1160"/>
      <c r="N411" s="1160"/>
      <c r="O411" s="1160"/>
      <c r="P411" s="1160"/>
      <c r="Q411" s="1160"/>
      <c r="R411" s="1160"/>
      <c r="S411" s="1160"/>
      <c r="T411" s="1160"/>
      <c r="U411" s="1160"/>
      <c r="V411" s="1160"/>
      <c r="W411" s="1160"/>
      <c r="X411" s="1211"/>
      <c r="Y411" s="1160"/>
      <c r="Z411" s="1160"/>
      <c r="AA411" s="1160"/>
      <c r="AB411" s="1160"/>
      <c r="AC411" s="1160"/>
      <c r="AD411" s="1160"/>
      <c r="AE411" s="1160"/>
    </row>
    <row r="412" ht="15.0" customHeight="1">
      <c r="A412" s="1209"/>
      <c r="B412" s="1209"/>
      <c r="C412" s="1210"/>
      <c r="D412" s="1160"/>
      <c r="E412" s="1160"/>
      <c r="F412" s="1160"/>
      <c r="G412" s="1160"/>
      <c r="H412" s="1160"/>
      <c r="I412" s="1160"/>
      <c r="J412" s="1160"/>
      <c r="K412" s="1160"/>
      <c r="L412" s="1160"/>
      <c r="M412" s="1160"/>
      <c r="N412" s="1160"/>
      <c r="O412" s="1160"/>
      <c r="P412" s="1160"/>
      <c r="Q412" s="1160"/>
      <c r="R412" s="1160"/>
      <c r="S412" s="1160"/>
      <c r="T412" s="1160"/>
      <c r="U412" s="1160"/>
      <c r="V412" s="1160"/>
      <c r="W412" s="1160"/>
      <c r="X412" s="1211"/>
      <c r="Y412" s="1160"/>
      <c r="Z412" s="1160"/>
      <c r="AA412" s="1160"/>
      <c r="AB412" s="1160"/>
      <c r="AC412" s="1160"/>
      <c r="AD412" s="1160"/>
      <c r="AE412" s="1160"/>
    </row>
    <row r="413" ht="15.0" customHeight="1">
      <c r="A413" s="1209"/>
      <c r="B413" s="1209"/>
      <c r="C413" s="1210"/>
      <c r="D413" s="1160"/>
      <c r="E413" s="1160"/>
      <c r="F413" s="1160"/>
      <c r="G413" s="1160"/>
      <c r="H413" s="1160"/>
      <c r="I413" s="1160"/>
      <c r="J413" s="1160"/>
      <c r="K413" s="1160"/>
      <c r="L413" s="1160"/>
      <c r="M413" s="1160"/>
      <c r="N413" s="1160"/>
      <c r="O413" s="1160"/>
      <c r="P413" s="1160"/>
      <c r="Q413" s="1160"/>
      <c r="R413" s="1160"/>
      <c r="S413" s="1160"/>
      <c r="T413" s="1160"/>
      <c r="U413" s="1160"/>
      <c r="V413" s="1160"/>
      <c r="W413" s="1160"/>
      <c r="X413" s="1211"/>
      <c r="Y413" s="1160"/>
      <c r="Z413" s="1160"/>
      <c r="AA413" s="1160"/>
      <c r="AB413" s="1160"/>
      <c r="AC413" s="1160"/>
      <c r="AD413" s="1160"/>
      <c r="AE413" s="1160"/>
    </row>
    <row r="414" ht="15.0" customHeight="1">
      <c r="A414" s="1209"/>
      <c r="B414" s="1209"/>
      <c r="C414" s="1210"/>
      <c r="D414" s="1160"/>
      <c r="E414" s="1160"/>
      <c r="F414" s="1160"/>
      <c r="G414" s="1160"/>
      <c r="H414" s="1160"/>
      <c r="I414" s="1160"/>
      <c r="J414" s="1160"/>
      <c r="K414" s="1160"/>
      <c r="L414" s="1160"/>
      <c r="M414" s="1160"/>
      <c r="N414" s="1160"/>
      <c r="O414" s="1160"/>
      <c r="P414" s="1160"/>
      <c r="Q414" s="1160"/>
      <c r="R414" s="1160"/>
      <c r="S414" s="1160"/>
      <c r="T414" s="1160"/>
      <c r="U414" s="1160"/>
      <c r="V414" s="1160"/>
      <c r="W414" s="1160"/>
      <c r="X414" s="1211"/>
      <c r="Y414" s="1160"/>
      <c r="Z414" s="1160"/>
      <c r="AA414" s="1160"/>
      <c r="AB414" s="1160"/>
      <c r="AC414" s="1160"/>
      <c r="AD414" s="1160"/>
      <c r="AE414" s="1160"/>
    </row>
    <row r="415" ht="15.0" customHeight="1">
      <c r="A415" s="1209"/>
      <c r="B415" s="1209"/>
      <c r="C415" s="1210"/>
      <c r="D415" s="1160"/>
      <c r="E415" s="1160"/>
      <c r="F415" s="1160"/>
      <c r="G415" s="1160"/>
      <c r="H415" s="1160"/>
      <c r="I415" s="1160"/>
      <c r="J415" s="1160"/>
      <c r="K415" s="1160"/>
      <c r="L415" s="1160"/>
      <c r="M415" s="1160"/>
      <c r="N415" s="1160"/>
      <c r="O415" s="1160"/>
      <c r="P415" s="1160"/>
      <c r="Q415" s="1160"/>
      <c r="R415" s="1160"/>
      <c r="S415" s="1160"/>
      <c r="T415" s="1160"/>
      <c r="U415" s="1160"/>
      <c r="V415" s="1160"/>
      <c r="W415" s="1160"/>
      <c r="X415" s="1211"/>
      <c r="Y415" s="1160"/>
      <c r="Z415" s="1160"/>
      <c r="AA415" s="1160"/>
      <c r="AB415" s="1160"/>
      <c r="AC415" s="1160"/>
      <c r="AD415" s="1160"/>
      <c r="AE415" s="1160"/>
    </row>
    <row r="416" ht="15.0" customHeight="1">
      <c r="A416" s="1209"/>
      <c r="B416" s="1209"/>
      <c r="C416" s="1210"/>
      <c r="D416" s="1160"/>
      <c r="E416" s="1160"/>
      <c r="F416" s="1160"/>
      <c r="G416" s="1160"/>
      <c r="H416" s="1160"/>
      <c r="I416" s="1160"/>
      <c r="J416" s="1160"/>
      <c r="K416" s="1160"/>
      <c r="L416" s="1160"/>
      <c r="M416" s="1160"/>
      <c r="N416" s="1160"/>
      <c r="O416" s="1160"/>
      <c r="P416" s="1160"/>
      <c r="Q416" s="1160"/>
      <c r="R416" s="1160"/>
      <c r="S416" s="1160"/>
      <c r="T416" s="1160"/>
      <c r="U416" s="1160"/>
      <c r="V416" s="1160"/>
      <c r="W416" s="1160"/>
      <c r="X416" s="1211"/>
      <c r="Y416" s="1160"/>
      <c r="Z416" s="1160"/>
      <c r="AA416" s="1160"/>
      <c r="AB416" s="1160"/>
      <c r="AC416" s="1160"/>
      <c r="AD416" s="1160"/>
      <c r="AE416" s="1160"/>
    </row>
    <row r="417" ht="15.0" customHeight="1">
      <c r="A417" s="1209"/>
      <c r="B417" s="1209"/>
      <c r="C417" s="1210"/>
      <c r="D417" s="1160"/>
      <c r="E417" s="1160"/>
      <c r="F417" s="1160"/>
      <c r="G417" s="1160"/>
      <c r="H417" s="1160"/>
      <c r="I417" s="1160"/>
      <c r="J417" s="1160"/>
      <c r="K417" s="1160"/>
      <c r="L417" s="1160"/>
      <c r="M417" s="1160"/>
      <c r="N417" s="1160"/>
      <c r="O417" s="1160"/>
      <c r="P417" s="1160"/>
      <c r="Q417" s="1160"/>
      <c r="R417" s="1160"/>
      <c r="S417" s="1160"/>
      <c r="T417" s="1160"/>
      <c r="U417" s="1160"/>
      <c r="V417" s="1160"/>
      <c r="W417" s="1160"/>
      <c r="X417" s="1211"/>
      <c r="Y417" s="1160"/>
      <c r="Z417" s="1160"/>
      <c r="AA417" s="1160"/>
      <c r="AB417" s="1160"/>
      <c r="AC417" s="1160"/>
      <c r="AD417" s="1160"/>
      <c r="AE417" s="1160"/>
    </row>
    <row r="418" ht="15.0" customHeight="1">
      <c r="A418" s="1209"/>
      <c r="B418" s="1209"/>
      <c r="C418" s="1210"/>
      <c r="D418" s="1160"/>
      <c r="E418" s="1160"/>
      <c r="F418" s="1160"/>
      <c r="G418" s="1160"/>
      <c r="H418" s="1160"/>
      <c r="I418" s="1160"/>
      <c r="J418" s="1160"/>
      <c r="K418" s="1160"/>
      <c r="L418" s="1160"/>
      <c r="M418" s="1160"/>
      <c r="N418" s="1160"/>
      <c r="O418" s="1160"/>
      <c r="P418" s="1160"/>
      <c r="Q418" s="1160"/>
      <c r="R418" s="1160"/>
      <c r="S418" s="1160"/>
      <c r="T418" s="1160"/>
      <c r="U418" s="1160"/>
      <c r="V418" s="1160"/>
      <c r="W418" s="1160"/>
      <c r="X418" s="1211"/>
      <c r="Y418" s="1160"/>
      <c r="Z418" s="1160"/>
      <c r="AA418" s="1160"/>
      <c r="AB418" s="1160"/>
      <c r="AC418" s="1160"/>
      <c r="AD418" s="1160"/>
      <c r="AE418" s="1160"/>
    </row>
    <row r="419" ht="15.0" customHeight="1">
      <c r="A419" s="1209"/>
      <c r="B419" s="1209"/>
      <c r="C419" s="1210"/>
      <c r="D419" s="1160"/>
      <c r="E419" s="1160"/>
      <c r="F419" s="1160"/>
      <c r="G419" s="1160"/>
      <c r="H419" s="1160"/>
      <c r="I419" s="1160"/>
      <c r="J419" s="1160"/>
      <c r="K419" s="1160"/>
      <c r="L419" s="1160"/>
      <c r="M419" s="1160"/>
      <c r="N419" s="1160"/>
      <c r="O419" s="1160"/>
      <c r="P419" s="1160"/>
      <c r="Q419" s="1160"/>
      <c r="R419" s="1160"/>
      <c r="S419" s="1160"/>
      <c r="T419" s="1160"/>
      <c r="U419" s="1160"/>
      <c r="V419" s="1160"/>
      <c r="W419" s="1160"/>
      <c r="X419" s="1211"/>
      <c r="Y419" s="1160"/>
      <c r="Z419" s="1160"/>
      <c r="AA419" s="1160"/>
      <c r="AB419" s="1160"/>
      <c r="AC419" s="1160"/>
      <c r="AD419" s="1160"/>
      <c r="AE419" s="1160"/>
    </row>
    <row r="420" ht="15.0" customHeight="1">
      <c r="A420" s="1209"/>
      <c r="B420" s="1209"/>
      <c r="C420" s="1210"/>
      <c r="D420" s="1160"/>
      <c r="E420" s="1160"/>
      <c r="F420" s="1160"/>
      <c r="G420" s="1160"/>
      <c r="H420" s="1160"/>
      <c r="I420" s="1160"/>
      <c r="J420" s="1160"/>
      <c r="K420" s="1160"/>
      <c r="L420" s="1160"/>
      <c r="M420" s="1160"/>
      <c r="N420" s="1160"/>
      <c r="O420" s="1160"/>
      <c r="P420" s="1160"/>
      <c r="Q420" s="1160"/>
      <c r="R420" s="1160"/>
      <c r="S420" s="1160"/>
      <c r="T420" s="1160"/>
      <c r="U420" s="1160"/>
      <c r="V420" s="1160"/>
      <c r="W420" s="1160"/>
      <c r="X420" s="1211"/>
      <c r="Y420" s="1160"/>
      <c r="Z420" s="1160"/>
      <c r="AA420" s="1160"/>
      <c r="AB420" s="1160"/>
      <c r="AC420" s="1160"/>
      <c r="AD420" s="1160"/>
      <c r="AE420" s="1160"/>
    </row>
    <row r="421" ht="15.0" customHeight="1">
      <c r="A421" s="1209"/>
      <c r="B421" s="1209"/>
      <c r="C421" s="1210"/>
      <c r="D421" s="1160"/>
      <c r="E421" s="1160"/>
      <c r="F421" s="1160"/>
      <c r="G421" s="1160"/>
      <c r="H421" s="1160"/>
      <c r="I421" s="1160"/>
      <c r="J421" s="1160"/>
      <c r="K421" s="1160"/>
      <c r="L421" s="1160"/>
      <c r="M421" s="1160"/>
      <c r="N421" s="1160"/>
      <c r="O421" s="1160"/>
      <c r="P421" s="1160"/>
      <c r="Q421" s="1160"/>
      <c r="R421" s="1160"/>
      <c r="S421" s="1160"/>
      <c r="T421" s="1160"/>
      <c r="U421" s="1160"/>
      <c r="V421" s="1160"/>
      <c r="W421" s="1160"/>
      <c r="X421" s="1211"/>
      <c r="Y421" s="1160"/>
      <c r="Z421" s="1160"/>
      <c r="AA421" s="1160"/>
      <c r="AB421" s="1160"/>
      <c r="AC421" s="1160"/>
      <c r="AD421" s="1160"/>
      <c r="AE421" s="1160"/>
    </row>
    <row r="422" ht="15.0" customHeight="1">
      <c r="A422" s="1209"/>
      <c r="B422" s="1209"/>
      <c r="C422" s="1210"/>
      <c r="D422" s="1160"/>
      <c r="E422" s="1160"/>
      <c r="F422" s="1160"/>
      <c r="G422" s="1160"/>
      <c r="H422" s="1160"/>
      <c r="I422" s="1160"/>
      <c r="J422" s="1160"/>
      <c r="K422" s="1160"/>
      <c r="L422" s="1160"/>
      <c r="M422" s="1160"/>
      <c r="N422" s="1160"/>
      <c r="O422" s="1160"/>
      <c r="P422" s="1160"/>
      <c r="Q422" s="1160"/>
      <c r="R422" s="1160"/>
      <c r="S422" s="1160"/>
      <c r="T422" s="1160"/>
      <c r="U422" s="1160"/>
      <c r="V422" s="1160"/>
      <c r="W422" s="1160"/>
      <c r="X422" s="1211"/>
      <c r="Y422" s="1160"/>
      <c r="Z422" s="1160"/>
      <c r="AA422" s="1160"/>
      <c r="AB422" s="1160"/>
      <c r="AC422" s="1160"/>
      <c r="AD422" s="1160"/>
      <c r="AE422" s="1160"/>
    </row>
    <row r="423" ht="15.0" customHeight="1">
      <c r="A423" s="1209"/>
      <c r="B423" s="1209"/>
      <c r="C423" s="1210"/>
      <c r="D423" s="1160"/>
      <c r="E423" s="1160"/>
      <c r="F423" s="1160"/>
      <c r="G423" s="1160"/>
      <c r="H423" s="1160"/>
      <c r="I423" s="1160"/>
      <c r="J423" s="1160"/>
      <c r="K423" s="1160"/>
      <c r="L423" s="1160"/>
      <c r="M423" s="1160"/>
      <c r="N423" s="1160"/>
      <c r="O423" s="1160"/>
      <c r="P423" s="1160"/>
      <c r="Q423" s="1160"/>
      <c r="R423" s="1160"/>
      <c r="S423" s="1160"/>
      <c r="T423" s="1160"/>
      <c r="U423" s="1160"/>
      <c r="V423" s="1160"/>
      <c r="W423" s="1160"/>
      <c r="X423" s="1211"/>
      <c r="Y423" s="1160"/>
      <c r="Z423" s="1160"/>
      <c r="AA423" s="1160"/>
      <c r="AB423" s="1160"/>
      <c r="AC423" s="1160"/>
      <c r="AD423" s="1160"/>
      <c r="AE423" s="1160"/>
    </row>
    <row r="424" ht="15.0" customHeight="1">
      <c r="A424" s="1209"/>
      <c r="B424" s="1209"/>
      <c r="C424" s="1210"/>
      <c r="D424" s="1160"/>
      <c r="E424" s="1160"/>
      <c r="F424" s="1160"/>
      <c r="G424" s="1160"/>
      <c r="H424" s="1160"/>
      <c r="I424" s="1160"/>
      <c r="J424" s="1160"/>
      <c r="K424" s="1160"/>
      <c r="L424" s="1160"/>
      <c r="M424" s="1160"/>
      <c r="N424" s="1160"/>
      <c r="O424" s="1160"/>
      <c r="P424" s="1160"/>
      <c r="Q424" s="1160"/>
      <c r="R424" s="1160"/>
      <c r="S424" s="1160"/>
      <c r="T424" s="1160"/>
      <c r="U424" s="1160"/>
      <c r="V424" s="1160"/>
      <c r="W424" s="1160"/>
      <c r="X424" s="1211"/>
      <c r="Y424" s="1160"/>
      <c r="Z424" s="1160"/>
      <c r="AA424" s="1160"/>
      <c r="AB424" s="1160"/>
      <c r="AC424" s="1160"/>
      <c r="AD424" s="1160"/>
      <c r="AE424" s="1160"/>
    </row>
    <row r="425" ht="15.0" customHeight="1">
      <c r="A425" s="1209"/>
      <c r="B425" s="1209"/>
      <c r="C425" s="1210"/>
      <c r="D425" s="1160"/>
      <c r="E425" s="1160"/>
      <c r="F425" s="1160"/>
      <c r="G425" s="1160"/>
      <c r="H425" s="1160"/>
      <c r="I425" s="1160"/>
      <c r="J425" s="1160"/>
      <c r="K425" s="1160"/>
      <c r="L425" s="1160"/>
      <c r="M425" s="1160"/>
      <c r="N425" s="1160"/>
      <c r="O425" s="1160"/>
      <c r="P425" s="1160"/>
      <c r="Q425" s="1160"/>
      <c r="R425" s="1160"/>
      <c r="S425" s="1160"/>
      <c r="T425" s="1160"/>
      <c r="U425" s="1160"/>
      <c r="V425" s="1160"/>
      <c r="W425" s="1160"/>
      <c r="X425" s="1211"/>
      <c r="Y425" s="1160"/>
      <c r="Z425" s="1160"/>
      <c r="AA425" s="1160"/>
      <c r="AB425" s="1160"/>
      <c r="AC425" s="1160"/>
      <c r="AD425" s="1160"/>
      <c r="AE425" s="1160"/>
    </row>
    <row r="426" ht="15.0" customHeight="1">
      <c r="A426" s="1209"/>
      <c r="B426" s="1209"/>
      <c r="C426" s="1210"/>
      <c r="D426" s="1160"/>
      <c r="E426" s="1160"/>
      <c r="F426" s="1160"/>
      <c r="G426" s="1160"/>
      <c r="H426" s="1160"/>
      <c r="I426" s="1160"/>
      <c r="J426" s="1160"/>
      <c r="K426" s="1160"/>
      <c r="L426" s="1160"/>
      <c r="M426" s="1160"/>
      <c r="N426" s="1160"/>
      <c r="O426" s="1160"/>
      <c r="P426" s="1160"/>
      <c r="Q426" s="1160"/>
      <c r="R426" s="1160"/>
      <c r="S426" s="1160"/>
      <c r="T426" s="1160"/>
      <c r="U426" s="1160"/>
      <c r="V426" s="1160"/>
      <c r="W426" s="1160"/>
      <c r="X426" s="1211"/>
      <c r="Y426" s="1160"/>
      <c r="Z426" s="1160"/>
      <c r="AA426" s="1160"/>
      <c r="AB426" s="1160"/>
      <c r="AC426" s="1160"/>
      <c r="AD426" s="1160"/>
      <c r="AE426" s="1160"/>
    </row>
    <row r="427" ht="15.0" customHeight="1">
      <c r="A427" s="1209"/>
      <c r="B427" s="1209"/>
      <c r="C427" s="1210"/>
      <c r="D427" s="1160"/>
      <c r="E427" s="1160"/>
      <c r="F427" s="1160"/>
      <c r="G427" s="1160"/>
      <c r="H427" s="1160"/>
      <c r="I427" s="1160"/>
      <c r="J427" s="1160"/>
      <c r="K427" s="1160"/>
      <c r="L427" s="1160"/>
      <c r="M427" s="1160"/>
      <c r="N427" s="1160"/>
      <c r="O427" s="1160"/>
      <c r="P427" s="1160"/>
      <c r="Q427" s="1160"/>
      <c r="R427" s="1160"/>
      <c r="S427" s="1160"/>
      <c r="T427" s="1160"/>
      <c r="U427" s="1160"/>
      <c r="V427" s="1160"/>
      <c r="W427" s="1160"/>
      <c r="X427" s="1211"/>
      <c r="Y427" s="1160"/>
      <c r="Z427" s="1160"/>
      <c r="AA427" s="1160"/>
      <c r="AB427" s="1160"/>
      <c r="AC427" s="1160"/>
      <c r="AD427" s="1160"/>
      <c r="AE427" s="1160"/>
    </row>
    <row r="428" ht="15.0" customHeight="1">
      <c r="A428" s="1209"/>
      <c r="B428" s="1209"/>
      <c r="C428" s="1210"/>
      <c r="D428" s="1160"/>
      <c r="E428" s="1160"/>
      <c r="F428" s="1160"/>
      <c r="G428" s="1160"/>
      <c r="H428" s="1160"/>
      <c r="I428" s="1160"/>
      <c r="J428" s="1160"/>
      <c r="K428" s="1160"/>
      <c r="L428" s="1160"/>
      <c r="M428" s="1160"/>
      <c r="N428" s="1160"/>
      <c r="O428" s="1160"/>
      <c r="P428" s="1160"/>
      <c r="Q428" s="1160"/>
      <c r="R428" s="1160"/>
      <c r="S428" s="1160"/>
      <c r="T428" s="1160"/>
      <c r="U428" s="1160"/>
      <c r="V428" s="1160"/>
      <c r="W428" s="1160"/>
      <c r="X428" s="1211"/>
      <c r="Y428" s="1160"/>
      <c r="Z428" s="1160"/>
      <c r="AA428" s="1160"/>
      <c r="AB428" s="1160"/>
      <c r="AC428" s="1160"/>
      <c r="AD428" s="1160"/>
      <c r="AE428" s="1160"/>
    </row>
    <row r="429" ht="15.0" customHeight="1">
      <c r="A429" s="1209"/>
      <c r="B429" s="1209"/>
      <c r="C429" s="1210"/>
      <c r="D429" s="1160"/>
      <c r="E429" s="1160"/>
      <c r="F429" s="1160"/>
      <c r="G429" s="1160"/>
      <c r="H429" s="1160"/>
      <c r="I429" s="1160"/>
      <c r="J429" s="1160"/>
      <c r="K429" s="1160"/>
      <c r="L429" s="1160"/>
      <c r="M429" s="1160"/>
      <c r="N429" s="1160"/>
      <c r="O429" s="1160"/>
      <c r="P429" s="1160"/>
      <c r="Q429" s="1160"/>
      <c r="R429" s="1160"/>
      <c r="S429" s="1160"/>
      <c r="T429" s="1160"/>
      <c r="U429" s="1160"/>
      <c r="V429" s="1160"/>
      <c r="W429" s="1160"/>
      <c r="X429" s="1211"/>
      <c r="Y429" s="1160"/>
      <c r="Z429" s="1160"/>
      <c r="AA429" s="1160"/>
      <c r="AB429" s="1160"/>
      <c r="AC429" s="1160"/>
      <c r="AD429" s="1160"/>
      <c r="AE429" s="1160"/>
    </row>
    <row r="430" ht="15.0" customHeight="1">
      <c r="A430" s="1209"/>
      <c r="B430" s="1209"/>
      <c r="C430" s="1210"/>
      <c r="D430" s="1160"/>
      <c r="E430" s="1160"/>
      <c r="F430" s="1160"/>
      <c r="G430" s="1160"/>
      <c r="H430" s="1160"/>
      <c r="I430" s="1160"/>
      <c r="J430" s="1160"/>
      <c r="K430" s="1160"/>
      <c r="L430" s="1160"/>
      <c r="M430" s="1160"/>
      <c r="N430" s="1160"/>
      <c r="O430" s="1160"/>
      <c r="P430" s="1160"/>
      <c r="Q430" s="1160"/>
      <c r="R430" s="1160"/>
      <c r="S430" s="1160"/>
      <c r="T430" s="1160"/>
      <c r="U430" s="1160"/>
      <c r="V430" s="1160"/>
      <c r="W430" s="1160"/>
      <c r="X430" s="1211"/>
      <c r="Y430" s="1160"/>
      <c r="Z430" s="1160"/>
      <c r="AA430" s="1160"/>
      <c r="AB430" s="1160"/>
      <c r="AC430" s="1160"/>
      <c r="AD430" s="1160"/>
      <c r="AE430" s="1160"/>
    </row>
    <row r="431" ht="15.0" customHeight="1">
      <c r="A431" s="1209"/>
      <c r="B431" s="1209"/>
      <c r="C431" s="1210"/>
      <c r="D431" s="1160"/>
      <c r="E431" s="1160"/>
      <c r="F431" s="1160"/>
      <c r="G431" s="1160"/>
      <c r="H431" s="1160"/>
      <c r="I431" s="1160"/>
      <c r="J431" s="1160"/>
      <c r="K431" s="1160"/>
      <c r="L431" s="1160"/>
      <c r="M431" s="1160"/>
      <c r="N431" s="1160"/>
      <c r="O431" s="1160"/>
      <c r="P431" s="1160"/>
      <c r="Q431" s="1160"/>
      <c r="R431" s="1160"/>
      <c r="S431" s="1160"/>
      <c r="T431" s="1160"/>
      <c r="U431" s="1160"/>
      <c r="V431" s="1160"/>
      <c r="W431" s="1160"/>
      <c r="X431" s="1211"/>
      <c r="Y431" s="1160"/>
      <c r="Z431" s="1160"/>
      <c r="AA431" s="1160"/>
      <c r="AB431" s="1160"/>
      <c r="AC431" s="1160"/>
      <c r="AD431" s="1160"/>
      <c r="AE431" s="1160"/>
    </row>
    <row r="432" ht="15.0" customHeight="1">
      <c r="A432" s="1209"/>
      <c r="B432" s="1209"/>
      <c r="C432" s="1210"/>
      <c r="D432" s="1160"/>
      <c r="E432" s="1160"/>
      <c r="F432" s="1160"/>
      <c r="G432" s="1160"/>
      <c r="H432" s="1160"/>
      <c r="I432" s="1160"/>
      <c r="J432" s="1160"/>
      <c r="K432" s="1160"/>
      <c r="L432" s="1160"/>
      <c r="M432" s="1160"/>
      <c r="N432" s="1160"/>
      <c r="O432" s="1160"/>
      <c r="P432" s="1160"/>
      <c r="Q432" s="1160"/>
      <c r="R432" s="1160"/>
      <c r="S432" s="1160"/>
      <c r="T432" s="1160"/>
      <c r="U432" s="1160"/>
      <c r="V432" s="1160"/>
      <c r="W432" s="1160"/>
      <c r="X432" s="1211"/>
      <c r="Y432" s="1160"/>
      <c r="Z432" s="1160"/>
      <c r="AA432" s="1160"/>
      <c r="AB432" s="1160"/>
      <c r="AC432" s="1160"/>
      <c r="AD432" s="1160"/>
      <c r="AE432" s="1160"/>
    </row>
    <row r="433" ht="15.0" customHeight="1">
      <c r="A433" s="1209"/>
      <c r="B433" s="1209"/>
      <c r="C433" s="1210"/>
      <c r="D433" s="1160"/>
      <c r="E433" s="1160"/>
      <c r="F433" s="1160"/>
      <c r="G433" s="1160"/>
      <c r="H433" s="1160"/>
      <c r="I433" s="1160"/>
      <c r="J433" s="1160"/>
      <c r="K433" s="1160"/>
      <c r="L433" s="1160"/>
      <c r="M433" s="1160"/>
      <c r="N433" s="1160"/>
      <c r="O433" s="1160"/>
      <c r="P433" s="1160"/>
      <c r="Q433" s="1160"/>
      <c r="R433" s="1160"/>
      <c r="S433" s="1160"/>
      <c r="T433" s="1160"/>
      <c r="U433" s="1160"/>
      <c r="V433" s="1160"/>
      <c r="W433" s="1160"/>
      <c r="X433" s="1211"/>
      <c r="Y433" s="1160"/>
      <c r="Z433" s="1160"/>
      <c r="AA433" s="1160"/>
      <c r="AB433" s="1160"/>
      <c r="AC433" s="1160"/>
      <c r="AD433" s="1160"/>
      <c r="AE433" s="1160"/>
    </row>
    <row r="434" ht="15.0" customHeight="1">
      <c r="A434" s="1209"/>
      <c r="B434" s="1209"/>
      <c r="C434" s="1210"/>
      <c r="D434" s="1160"/>
      <c r="E434" s="1160"/>
      <c r="F434" s="1160"/>
      <c r="G434" s="1160"/>
      <c r="H434" s="1160"/>
      <c r="I434" s="1160"/>
      <c r="J434" s="1160"/>
      <c r="K434" s="1160"/>
      <c r="L434" s="1160"/>
      <c r="M434" s="1160"/>
      <c r="N434" s="1160"/>
      <c r="O434" s="1160"/>
      <c r="P434" s="1160"/>
      <c r="Q434" s="1160"/>
      <c r="R434" s="1160"/>
      <c r="S434" s="1160"/>
      <c r="T434" s="1160"/>
      <c r="U434" s="1160"/>
      <c r="V434" s="1160"/>
      <c r="W434" s="1160"/>
      <c r="X434" s="1211"/>
      <c r="Y434" s="1160"/>
      <c r="Z434" s="1160"/>
      <c r="AA434" s="1160"/>
      <c r="AB434" s="1160"/>
      <c r="AC434" s="1160"/>
      <c r="AD434" s="1160"/>
      <c r="AE434" s="1160"/>
    </row>
    <row r="435" ht="15.0" customHeight="1">
      <c r="A435" s="1209"/>
      <c r="B435" s="1209"/>
      <c r="C435" s="1210"/>
      <c r="D435" s="1160"/>
      <c r="E435" s="1160"/>
      <c r="F435" s="1160"/>
      <c r="G435" s="1160"/>
      <c r="H435" s="1160"/>
      <c r="I435" s="1160"/>
      <c r="J435" s="1160"/>
      <c r="K435" s="1160"/>
      <c r="L435" s="1160"/>
      <c r="M435" s="1160"/>
      <c r="N435" s="1160"/>
      <c r="O435" s="1160"/>
      <c r="P435" s="1160"/>
      <c r="Q435" s="1160"/>
      <c r="R435" s="1160"/>
      <c r="S435" s="1160"/>
      <c r="T435" s="1160"/>
      <c r="U435" s="1160"/>
      <c r="V435" s="1160"/>
      <c r="W435" s="1160"/>
      <c r="X435" s="1211"/>
      <c r="Y435" s="1160"/>
      <c r="Z435" s="1160"/>
      <c r="AA435" s="1160"/>
      <c r="AB435" s="1160"/>
      <c r="AC435" s="1160"/>
      <c r="AD435" s="1160"/>
      <c r="AE435" s="1160"/>
    </row>
    <row r="436" ht="15.0" customHeight="1">
      <c r="A436" s="1209"/>
      <c r="B436" s="1209"/>
      <c r="C436" s="1210"/>
      <c r="D436" s="1160"/>
      <c r="E436" s="1160"/>
      <c r="F436" s="1160"/>
      <c r="G436" s="1160"/>
      <c r="H436" s="1160"/>
      <c r="I436" s="1160"/>
      <c r="J436" s="1160"/>
      <c r="K436" s="1160"/>
      <c r="L436" s="1160"/>
      <c r="M436" s="1160"/>
      <c r="N436" s="1160"/>
      <c r="O436" s="1160"/>
      <c r="P436" s="1160"/>
      <c r="Q436" s="1160"/>
      <c r="R436" s="1160"/>
      <c r="S436" s="1160"/>
      <c r="T436" s="1160"/>
      <c r="U436" s="1160"/>
      <c r="V436" s="1160"/>
      <c r="W436" s="1160"/>
      <c r="X436" s="1211"/>
      <c r="Y436" s="1160"/>
      <c r="Z436" s="1160"/>
      <c r="AA436" s="1160"/>
      <c r="AB436" s="1160"/>
      <c r="AC436" s="1160"/>
      <c r="AD436" s="1160"/>
      <c r="AE436" s="1160"/>
    </row>
    <row r="437" ht="15.0" customHeight="1">
      <c r="A437" s="1209"/>
      <c r="B437" s="1209"/>
      <c r="C437" s="1210"/>
      <c r="D437" s="1160"/>
      <c r="E437" s="1160"/>
      <c r="F437" s="1160"/>
      <c r="G437" s="1160"/>
      <c r="H437" s="1160"/>
      <c r="I437" s="1160"/>
      <c r="J437" s="1160"/>
      <c r="K437" s="1160"/>
      <c r="L437" s="1160"/>
      <c r="M437" s="1160"/>
      <c r="N437" s="1160"/>
      <c r="O437" s="1160"/>
      <c r="P437" s="1160"/>
      <c r="Q437" s="1160"/>
      <c r="R437" s="1160"/>
      <c r="S437" s="1160"/>
      <c r="T437" s="1160"/>
      <c r="U437" s="1160"/>
      <c r="V437" s="1160"/>
      <c r="W437" s="1160"/>
      <c r="X437" s="1211"/>
      <c r="Y437" s="1160"/>
      <c r="Z437" s="1160"/>
      <c r="AA437" s="1160"/>
      <c r="AB437" s="1160"/>
      <c r="AC437" s="1160"/>
      <c r="AD437" s="1160"/>
      <c r="AE437" s="1160"/>
    </row>
    <row r="438" ht="15.0" customHeight="1">
      <c r="A438" s="1209"/>
      <c r="B438" s="1209"/>
      <c r="C438" s="1210"/>
      <c r="D438" s="1160"/>
      <c r="E438" s="1160"/>
      <c r="F438" s="1160"/>
      <c r="G438" s="1160"/>
      <c r="H438" s="1160"/>
      <c r="I438" s="1160"/>
      <c r="J438" s="1160"/>
      <c r="K438" s="1160"/>
      <c r="L438" s="1160"/>
      <c r="M438" s="1160"/>
      <c r="N438" s="1160"/>
      <c r="O438" s="1160"/>
      <c r="P438" s="1160"/>
      <c r="Q438" s="1160"/>
      <c r="R438" s="1160"/>
      <c r="S438" s="1160"/>
      <c r="T438" s="1160"/>
      <c r="U438" s="1160"/>
      <c r="V438" s="1160"/>
      <c r="W438" s="1160"/>
      <c r="X438" s="1211"/>
      <c r="Y438" s="1160"/>
      <c r="Z438" s="1160"/>
      <c r="AA438" s="1160"/>
      <c r="AB438" s="1160"/>
      <c r="AC438" s="1160"/>
      <c r="AD438" s="1160"/>
      <c r="AE438" s="1160"/>
    </row>
    <row r="439" ht="15.0" customHeight="1">
      <c r="A439" s="1209"/>
      <c r="B439" s="1209"/>
      <c r="C439" s="1210"/>
      <c r="D439" s="1160"/>
      <c r="E439" s="1160"/>
      <c r="F439" s="1160"/>
      <c r="G439" s="1160"/>
      <c r="H439" s="1160"/>
      <c r="I439" s="1160"/>
      <c r="J439" s="1160"/>
      <c r="K439" s="1160"/>
      <c r="L439" s="1160"/>
      <c r="M439" s="1160"/>
      <c r="N439" s="1160"/>
      <c r="O439" s="1160"/>
      <c r="P439" s="1160"/>
      <c r="Q439" s="1160"/>
      <c r="R439" s="1160"/>
      <c r="S439" s="1160"/>
      <c r="T439" s="1160"/>
      <c r="U439" s="1160"/>
      <c r="V439" s="1160"/>
      <c r="W439" s="1160"/>
      <c r="X439" s="1211"/>
      <c r="Y439" s="1160"/>
      <c r="Z439" s="1160"/>
      <c r="AA439" s="1160"/>
      <c r="AB439" s="1160"/>
      <c r="AC439" s="1160"/>
      <c r="AD439" s="1160"/>
      <c r="AE439" s="1160"/>
    </row>
    <row r="440" ht="15.0" customHeight="1">
      <c r="A440" s="1209"/>
      <c r="B440" s="1209"/>
      <c r="C440" s="1210"/>
      <c r="D440" s="1160"/>
      <c r="E440" s="1160"/>
      <c r="F440" s="1160"/>
      <c r="G440" s="1160"/>
      <c r="H440" s="1160"/>
      <c r="I440" s="1160"/>
      <c r="J440" s="1160"/>
      <c r="K440" s="1160"/>
      <c r="L440" s="1160"/>
      <c r="M440" s="1160"/>
      <c r="N440" s="1160"/>
      <c r="O440" s="1160"/>
      <c r="P440" s="1160"/>
      <c r="Q440" s="1160"/>
      <c r="R440" s="1160"/>
      <c r="S440" s="1160"/>
      <c r="T440" s="1160"/>
      <c r="U440" s="1160"/>
      <c r="V440" s="1160"/>
      <c r="W440" s="1160"/>
      <c r="X440" s="1211"/>
      <c r="Y440" s="1160"/>
      <c r="Z440" s="1160"/>
      <c r="AA440" s="1160"/>
      <c r="AB440" s="1160"/>
      <c r="AC440" s="1160"/>
      <c r="AD440" s="1160"/>
      <c r="AE440" s="1160"/>
    </row>
    <row r="441" ht="15.0" customHeight="1">
      <c r="A441" s="1209"/>
      <c r="B441" s="1209"/>
      <c r="C441" s="1210"/>
      <c r="D441" s="1160"/>
      <c r="E441" s="1160"/>
      <c r="F441" s="1160"/>
      <c r="G441" s="1160"/>
      <c r="H441" s="1160"/>
      <c r="I441" s="1160"/>
      <c r="J441" s="1160"/>
      <c r="K441" s="1160"/>
      <c r="L441" s="1160"/>
      <c r="M441" s="1160"/>
      <c r="N441" s="1160"/>
      <c r="O441" s="1160"/>
      <c r="P441" s="1160"/>
      <c r="Q441" s="1160"/>
      <c r="R441" s="1160"/>
      <c r="S441" s="1160"/>
      <c r="T441" s="1160"/>
      <c r="U441" s="1160"/>
      <c r="V441" s="1160"/>
      <c r="W441" s="1160"/>
      <c r="X441" s="1211"/>
      <c r="Y441" s="1160"/>
      <c r="Z441" s="1160"/>
      <c r="AA441" s="1160"/>
      <c r="AB441" s="1160"/>
      <c r="AC441" s="1160"/>
      <c r="AD441" s="1160"/>
      <c r="AE441" s="1160"/>
    </row>
    <row r="442" ht="15.0" customHeight="1">
      <c r="A442" s="1209"/>
      <c r="B442" s="1209"/>
      <c r="C442" s="1210"/>
      <c r="D442" s="1160"/>
      <c r="E442" s="1160"/>
      <c r="F442" s="1160"/>
      <c r="G442" s="1160"/>
      <c r="H442" s="1160"/>
      <c r="I442" s="1160"/>
      <c r="J442" s="1160"/>
      <c r="K442" s="1160"/>
      <c r="L442" s="1160"/>
      <c r="M442" s="1160"/>
      <c r="N442" s="1160"/>
      <c r="O442" s="1160"/>
      <c r="P442" s="1160"/>
      <c r="Q442" s="1160"/>
      <c r="R442" s="1160"/>
      <c r="S442" s="1160"/>
      <c r="T442" s="1160"/>
      <c r="U442" s="1160"/>
      <c r="V442" s="1160"/>
      <c r="W442" s="1160"/>
      <c r="X442" s="1211"/>
      <c r="Y442" s="1160"/>
      <c r="Z442" s="1160"/>
      <c r="AA442" s="1160"/>
      <c r="AB442" s="1160"/>
      <c r="AC442" s="1160"/>
      <c r="AD442" s="1160"/>
      <c r="AE442" s="1160"/>
    </row>
    <row r="443" ht="15.0" customHeight="1">
      <c r="A443" s="1209"/>
      <c r="B443" s="1209"/>
      <c r="C443" s="1210"/>
      <c r="D443" s="1160"/>
      <c r="E443" s="1160"/>
      <c r="F443" s="1160"/>
      <c r="G443" s="1160"/>
      <c r="H443" s="1160"/>
      <c r="I443" s="1160"/>
      <c r="J443" s="1160"/>
      <c r="K443" s="1160"/>
      <c r="L443" s="1160"/>
      <c r="M443" s="1160"/>
      <c r="N443" s="1160"/>
      <c r="O443" s="1160"/>
      <c r="P443" s="1160"/>
      <c r="Q443" s="1160"/>
      <c r="R443" s="1160"/>
      <c r="S443" s="1160"/>
      <c r="T443" s="1160"/>
      <c r="U443" s="1160"/>
      <c r="V443" s="1160"/>
      <c r="W443" s="1160"/>
      <c r="X443" s="1211"/>
      <c r="Y443" s="1160"/>
      <c r="Z443" s="1160"/>
      <c r="AA443" s="1160"/>
      <c r="AB443" s="1160"/>
      <c r="AC443" s="1160"/>
      <c r="AD443" s="1160"/>
      <c r="AE443" s="1160"/>
    </row>
    <row r="444" ht="15.0" customHeight="1">
      <c r="A444" s="1209"/>
      <c r="B444" s="1209"/>
      <c r="C444" s="1210"/>
      <c r="D444" s="1160"/>
      <c r="E444" s="1160"/>
      <c r="F444" s="1160"/>
      <c r="G444" s="1160"/>
      <c r="H444" s="1160"/>
      <c r="I444" s="1160"/>
      <c r="J444" s="1160"/>
      <c r="K444" s="1160"/>
      <c r="L444" s="1160"/>
      <c r="M444" s="1160"/>
      <c r="N444" s="1160"/>
      <c r="O444" s="1160"/>
      <c r="P444" s="1160"/>
      <c r="Q444" s="1160"/>
      <c r="R444" s="1160"/>
      <c r="S444" s="1160"/>
      <c r="T444" s="1160"/>
      <c r="U444" s="1160"/>
      <c r="V444" s="1160"/>
      <c r="W444" s="1160"/>
      <c r="X444" s="1211"/>
      <c r="Y444" s="1160"/>
      <c r="Z444" s="1160"/>
      <c r="AA444" s="1160"/>
      <c r="AB444" s="1160"/>
      <c r="AC444" s="1160"/>
      <c r="AD444" s="1160"/>
      <c r="AE444" s="1160"/>
    </row>
    <row r="445" ht="15.0" customHeight="1">
      <c r="A445" s="1209"/>
      <c r="B445" s="1209"/>
      <c r="C445" s="1210"/>
      <c r="D445" s="1160"/>
      <c r="E445" s="1160"/>
      <c r="F445" s="1160"/>
      <c r="G445" s="1160"/>
      <c r="H445" s="1160"/>
      <c r="I445" s="1160"/>
      <c r="J445" s="1160"/>
      <c r="K445" s="1160"/>
      <c r="L445" s="1160"/>
      <c r="M445" s="1160"/>
      <c r="N445" s="1160"/>
      <c r="O445" s="1160"/>
      <c r="P445" s="1160"/>
      <c r="Q445" s="1160"/>
      <c r="R445" s="1160"/>
      <c r="S445" s="1160"/>
      <c r="T445" s="1160"/>
      <c r="U445" s="1160"/>
      <c r="V445" s="1160"/>
      <c r="W445" s="1160"/>
      <c r="X445" s="1211"/>
      <c r="Y445" s="1160"/>
      <c r="Z445" s="1160"/>
      <c r="AA445" s="1160"/>
      <c r="AB445" s="1160"/>
      <c r="AC445" s="1160"/>
      <c r="AD445" s="1160"/>
      <c r="AE445" s="1160"/>
    </row>
    <row r="446" ht="15.0" customHeight="1">
      <c r="A446" s="1209"/>
      <c r="B446" s="1209"/>
      <c r="C446" s="1210"/>
      <c r="D446" s="1160"/>
      <c r="E446" s="1160"/>
      <c r="F446" s="1160"/>
      <c r="G446" s="1160"/>
      <c r="H446" s="1160"/>
      <c r="I446" s="1160"/>
      <c r="J446" s="1160"/>
      <c r="K446" s="1160"/>
      <c r="L446" s="1160"/>
      <c r="M446" s="1160"/>
      <c r="N446" s="1160"/>
      <c r="O446" s="1160"/>
      <c r="P446" s="1160"/>
      <c r="Q446" s="1160"/>
      <c r="R446" s="1160"/>
      <c r="S446" s="1160"/>
      <c r="T446" s="1160"/>
      <c r="U446" s="1160"/>
      <c r="V446" s="1160"/>
      <c r="W446" s="1160"/>
      <c r="X446" s="1211"/>
      <c r="Y446" s="1160"/>
      <c r="Z446" s="1160"/>
      <c r="AA446" s="1160"/>
      <c r="AB446" s="1160"/>
      <c r="AC446" s="1160"/>
      <c r="AD446" s="1160"/>
      <c r="AE446" s="1160"/>
    </row>
    <row r="447" ht="15.0" customHeight="1">
      <c r="A447" s="1209"/>
      <c r="B447" s="1209"/>
      <c r="C447" s="1210"/>
      <c r="D447" s="1160"/>
      <c r="E447" s="1160"/>
      <c r="F447" s="1160"/>
      <c r="G447" s="1160"/>
      <c r="H447" s="1160"/>
      <c r="I447" s="1160"/>
      <c r="J447" s="1160"/>
      <c r="K447" s="1160"/>
      <c r="L447" s="1160"/>
      <c r="M447" s="1160"/>
      <c r="N447" s="1160"/>
      <c r="O447" s="1160"/>
      <c r="P447" s="1160"/>
      <c r="Q447" s="1160"/>
      <c r="R447" s="1160"/>
      <c r="S447" s="1160"/>
      <c r="T447" s="1160"/>
      <c r="U447" s="1160"/>
      <c r="V447" s="1160"/>
      <c r="W447" s="1160"/>
      <c r="X447" s="1211"/>
      <c r="Y447" s="1160"/>
      <c r="Z447" s="1160"/>
      <c r="AA447" s="1160"/>
      <c r="AB447" s="1160"/>
      <c r="AC447" s="1160"/>
      <c r="AD447" s="1160"/>
      <c r="AE447" s="1160"/>
    </row>
    <row r="448" ht="15.0" customHeight="1">
      <c r="A448" s="1209"/>
      <c r="B448" s="1209"/>
      <c r="C448" s="1210"/>
      <c r="D448" s="1160"/>
      <c r="E448" s="1160"/>
      <c r="F448" s="1160"/>
      <c r="G448" s="1160"/>
      <c r="H448" s="1160"/>
      <c r="I448" s="1160"/>
      <c r="J448" s="1160"/>
      <c r="K448" s="1160"/>
      <c r="L448" s="1160"/>
      <c r="M448" s="1160"/>
      <c r="N448" s="1160"/>
      <c r="O448" s="1160"/>
      <c r="P448" s="1160"/>
      <c r="Q448" s="1160"/>
      <c r="R448" s="1160"/>
      <c r="S448" s="1160"/>
      <c r="T448" s="1160"/>
      <c r="U448" s="1160"/>
      <c r="V448" s="1160"/>
      <c r="W448" s="1160"/>
      <c r="X448" s="1211"/>
      <c r="Y448" s="1160"/>
      <c r="Z448" s="1160"/>
      <c r="AA448" s="1160"/>
      <c r="AB448" s="1160"/>
      <c r="AC448" s="1160"/>
      <c r="AD448" s="1160"/>
      <c r="AE448" s="1160"/>
    </row>
    <row r="449" ht="15.0" customHeight="1">
      <c r="A449" s="1209"/>
      <c r="B449" s="1209"/>
      <c r="C449" s="1210"/>
      <c r="D449" s="1160"/>
      <c r="E449" s="1160"/>
      <c r="F449" s="1160"/>
      <c r="G449" s="1160"/>
      <c r="H449" s="1160"/>
      <c r="I449" s="1160"/>
      <c r="J449" s="1160"/>
      <c r="K449" s="1160"/>
      <c r="L449" s="1160"/>
      <c r="M449" s="1160"/>
      <c r="N449" s="1160"/>
      <c r="O449" s="1160"/>
      <c r="P449" s="1160"/>
      <c r="Q449" s="1160"/>
      <c r="R449" s="1160"/>
      <c r="S449" s="1160"/>
      <c r="T449" s="1160"/>
      <c r="U449" s="1160"/>
      <c r="V449" s="1160"/>
      <c r="W449" s="1160"/>
      <c r="X449" s="1211"/>
      <c r="Y449" s="1160"/>
      <c r="Z449" s="1160"/>
      <c r="AA449" s="1160"/>
      <c r="AB449" s="1160"/>
      <c r="AC449" s="1160"/>
      <c r="AD449" s="1160"/>
      <c r="AE449" s="1160"/>
    </row>
    <row r="450" ht="15.0" customHeight="1">
      <c r="A450" s="1209"/>
      <c r="B450" s="1209"/>
      <c r="C450" s="1210"/>
      <c r="D450" s="1160"/>
      <c r="E450" s="1160"/>
      <c r="F450" s="1160"/>
      <c r="G450" s="1160"/>
      <c r="H450" s="1160"/>
      <c r="I450" s="1160"/>
      <c r="J450" s="1160"/>
      <c r="K450" s="1160"/>
      <c r="L450" s="1160"/>
      <c r="M450" s="1160"/>
      <c r="N450" s="1160"/>
      <c r="O450" s="1160"/>
      <c r="P450" s="1160"/>
      <c r="Q450" s="1160"/>
      <c r="R450" s="1160"/>
      <c r="S450" s="1160"/>
      <c r="T450" s="1160"/>
      <c r="U450" s="1160"/>
      <c r="V450" s="1160"/>
      <c r="W450" s="1160"/>
      <c r="X450" s="1211"/>
      <c r="Y450" s="1160"/>
      <c r="Z450" s="1160"/>
      <c r="AA450" s="1160"/>
      <c r="AB450" s="1160"/>
      <c r="AC450" s="1160"/>
      <c r="AD450" s="1160"/>
      <c r="AE450" s="1160"/>
    </row>
    <row r="451" ht="15.0" customHeight="1">
      <c r="A451" s="1209"/>
      <c r="B451" s="1209"/>
      <c r="C451" s="1210"/>
      <c r="D451" s="1160"/>
      <c r="E451" s="1160"/>
      <c r="F451" s="1160"/>
      <c r="G451" s="1160"/>
      <c r="H451" s="1160"/>
      <c r="I451" s="1160"/>
      <c r="J451" s="1160"/>
      <c r="K451" s="1160"/>
      <c r="L451" s="1160"/>
      <c r="M451" s="1160"/>
      <c r="N451" s="1160"/>
      <c r="O451" s="1160"/>
      <c r="P451" s="1160"/>
      <c r="Q451" s="1160"/>
      <c r="R451" s="1160"/>
      <c r="S451" s="1160"/>
      <c r="T451" s="1160"/>
      <c r="U451" s="1160"/>
      <c r="V451" s="1160"/>
      <c r="W451" s="1160"/>
      <c r="X451" s="1211"/>
      <c r="Y451" s="1160"/>
      <c r="Z451" s="1160"/>
      <c r="AA451" s="1160"/>
      <c r="AB451" s="1160"/>
      <c r="AC451" s="1160"/>
      <c r="AD451" s="1160"/>
      <c r="AE451" s="1160"/>
    </row>
    <row r="452" ht="15.0" customHeight="1">
      <c r="A452" s="1209"/>
      <c r="B452" s="1209"/>
      <c r="C452" s="1210"/>
      <c r="D452" s="1160"/>
      <c r="E452" s="1160"/>
      <c r="F452" s="1160"/>
      <c r="G452" s="1160"/>
      <c r="H452" s="1160"/>
      <c r="I452" s="1160"/>
      <c r="J452" s="1160"/>
      <c r="K452" s="1160"/>
      <c r="L452" s="1160"/>
      <c r="M452" s="1160"/>
      <c r="N452" s="1160"/>
      <c r="O452" s="1160"/>
      <c r="P452" s="1160"/>
      <c r="Q452" s="1160"/>
      <c r="R452" s="1160"/>
      <c r="S452" s="1160"/>
      <c r="T452" s="1160"/>
      <c r="U452" s="1160"/>
      <c r="V452" s="1160"/>
      <c r="W452" s="1160"/>
      <c r="X452" s="1211"/>
      <c r="Y452" s="1160"/>
      <c r="Z452" s="1160"/>
      <c r="AA452" s="1160"/>
      <c r="AB452" s="1160"/>
      <c r="AC452" s="1160"/>
      <c r="AD452" s="1160"/>
      <c r="AE452" s="1160"/>
    </row>
    <row r="453" ht="15.0" customHeight="1">
      <c r="A453" s="1209"/>
      <c r="B453" s="1209"/>
      <c r="C453" s="1210"/>
      <c r="D453" s="1160"/>
      <c r="E453" s="1160"/>
      <c r="F453" s="1160"/>
      <c r="G453" s="1160"/>
      <c r="H453" s="1160"/>
      <c r="I453" s="1160"/>
      <c r="J453" s="1160"/>
      <c r="K453" s="1160"/>
      <c r="L453" s="1160"/>
      <c r="M453" s="1160"/>
      <c r="N453" s="1160"/>
      <c r="O453" s="1160"/>
      <c r="P453" s="1160"/>
      <c r="Q453" s="1160"/>
      <c r="R453" s="1160"/>
      <c r="S453" s="1160"/>
      <c r="T453" s="1160"/>
      <c r="U453" s="1160"/>
      <c r="V453" s="1160"/>
      <c r="W453" s="1160"/>
      <c r="X453" s="1211"/>
      <c r="Y453" s="1160"/>
      <c r="Z453" s="1160"/>
      <c r="AA453" s="1160"/>
      <c r="AB453" s="1160"/>
      <c r="AC453" s="1160"/>
      <c r="AD453" s="1160"/>
      <c r="AE453" s="1160"/>
    </row>
    <row r="454" ht="15.0" customHeight="1">
      <c r="A454" s="1209"/>
      <c r="B454" s="1209"/>
      <c r="C454" s="1210"/>
      <c r="D454" s="1160"/>
      <c r="E454" s="1160"/>
      <c r="F454" s="1160"/>
      <c r="G454" s="1160"/>
      <c r="H454" s="1160"/>
      <c r="I454" s="1160"/>
      <c r="J454" s="1160"/>
      <c r="K454" s="1160"/>
      <c r="L454" s="1160"/>
      <c r="M454" s="1160"/>
      <c r="N454" s="1160"/>
      <c r="O454" s="1160"/>
      <c r="P454" s="1160"/>
      <c r="Q454" s="1160"/>
      <c r="R454" s="1160"/>
      <c r="S454" s="1160"/>
      <c r="T454" s="1160"/>
      <c r="U454" s="1160"/>
      <c r="V454" s="1160"/>
      <c r="W454" s="1160"/>
      <c r="X454" s="1211"/>
      <c r="Y454" s="1160"/>
      <c r="Z454" s="1160"/>
      <c r="AA454" s="1160"/>
      <c r="AB454" s="1160"/>
      <c r="AC454" s="1160"/>
      <c r="AD454" s="1160"/>
      <c r="AE454" s="1160"/>
    </row>
    <row r="455" ht="15.0" customHeight="1">
      <c r="A455" s="1209"/>
      <c r="B455" s="1209"/>
      <c r="C455" s="1210"/>
      <c r="D455" s="1160"/>
      <c r="E455" s="1160"/>
      <c r="F455" s="1160"/>
      <c r="G455" s="1160"/>
      <c r="H455" s="1160"/>
      <c r="I455" s="1160"/>
      <c r="J455" s="1160"/>
      <c r="K455" s="1160"/>
      <c r="L455" s="1160"/>
      <c r="M455" s="1160"/>
      <c r="N455" s="1160"/>
      <c r="O455" s="1160"/>
      <c r="P455" s="1160"/>
      <c r="Q455" s="1160"/>
      <c r="R455" s="1160"/>
      <c r="S455" s="1160"/>
      <c r="T455" s="1160"/>
      <c r="U455" s="1160"/>
      <c r="V455" s="1160"/>
      <c r="W455" s="1160"/>
      <c r="X455" s="1211"/>
      <c r="Y455" s="1160"/>
      <c r="Z455" s="1160"/>
      <c r="AA455" s="1160"/>
      <c r="AB455" s="1160"/>
      <c r="AC455" s="1160"/>
      <c r="AD455" s="1160"/>
      <c r="AE455" s="1160"/>
    </row>
    <row r="456" ht="15.0" customHeight="1">
      <c r="A456" s="1209"/>
      <c r="B456" s="1209"/>
      <c r="C456" s="1210"/>
      <c r="D456" s="1160"/>
      <c r="E456" s="1160"/>
      <c r="F456" s="1160"/>
      <c r="G456" s="1160"/>
      <c r="H456" s="1160"/>
      <c r="I456" s="1160"/>
      <c r="J456" s="1160"/>
      <c r="K456" s="1160"/>
      <c r="L456" s="1160"/>
      <c r="M456" s="1160"/>
      <c r="N456" s="1160"/>
      <c r="O456" s="1160"/>
      <c r="P456" s="1160"/>
      <c r="Q456" s="1160"/>
      <c r="R456" s="1160"/>
      <c r="S456" s="1160"/>
      <c r="T456" s="1160"/>
      <c r="U456" s="1160"/>
      <c r="V456" s="1160"/>
      <c r="W456" s="1160"/>
      <c r="X456" s="1211"/>
      <c r="Y456" s="1160"/>
      <c r="Z456" s="1160"/>
      <c r="AA456" s="1160"/>
      <c r="AB456" s="1160"/>
      <c r="AC456" s="1160"/>
      <c r="AD456" s="1160"/>
      <c r="AE456" s="1160"/>
    </row>
    <row r="457" ht="15.0" customHeight="1">
      <c r="A457" s="1209"/>
      <c r="B457" s="1209"/>
      <c r="C457" s="1210"/>
      <c r="D457" s="1160"/>
      <c r="E457" s="1160"/>
      <c r="F457" s="1160"/>
      <c r="G457" s="1160"/>
      <c r="H457" s="1160"/>
      <c r="I457" s="1160"/>
      <c r="J457" s="1160"/>
      <c r="K457" s="1160"/>
      <c r="L457" s="1160"/>
      <c r="M457" s="1160"/>
      <c r="N457" s="1160"/>
      <c r="O457" s="1160"/>
      <c r="P457" s="1160"/>
      <c r="Q457" s="1160"/>
      <c r="R457" s="1160"/>
      <c r="S457" s="1160"/>
      <c r="T457" s="1160"/>
      <c r="U457" s="1160"/>
      <c r="V457" s="1160"/>
      <c r="W457" s="1160"/>
      <c r="X457" s="1211"/>
      <c r="Y457" s="1160"/>
      <c r="Z457" s="1160"/>
      <c r="AA457" s="1160"/>
      <c r="AB457" s="1160"/>
      <c r="AC457" s="1160"/>
      <c r="AD457" s="1160"/>
      <c r="AE457" s="1160"/>
    </row>
    <row r="458" ht="15.0" customHeight="1">
      <c r="A458" s="1209"/>
      <c r="B458" s="1209"/>
      <c r="C458" s="1210"/>
      <c r="D458" s="1160"/>
      <c r="E458" s="1160"/>
      <c r="F458" s="1160"/>
      <c r="G458" s="1160"/>
      <c r="H458" s="1160"/>
      <c r="I458" s="1160"/>
      <c r="J458" s="1160"/>
      <c r="K458" s="1160"/>
      <c r="L458" s="1160"/>
      <c r="M458" s="1160"/>
      <c r="N458" s="1160"/>
      <c r="O458" s="1160"/>
      <c r="P458" s="1160"/>
      <c r="Q458" s="1160"/>
      <c r="R458" s="1160"/>
      <c r="S458" s="1160"/>
      <c r="T458" s="1160"/>
      <c r="U458" s="1160"/>
      <c r="V458" s="1160"/>
      <c r="W458" s="1160"/>
      <c r="X458" s="1211"/>
      <c r="Y458" s="1160"/>
      <c r="Z458" s="1160"/>
      <c r="AA458" s="1160"/>
      <c r="AB458" s="1160"/>
      <c r="AC458" s="1160"/>
      <c r="AD458" s="1160"/>
      <c r="AE458" s="1160"/>
    </row>
    <row r="459" ht="15.0" customHeight="1">
      <c r="A459" s="1209"/>
      <c r="B459" s="1209"/>
      <c r="C459" s="1210"/>
      <c r="D459" s="1160"/>
      <c r="E459" s="1160"/>
      <c r="F459" s="1160"/>
      <c r="G459" s="1160"/>
      <c r="H459" s="1160"/>
      <c r="I459" s="1160"/>
      <c r="J459" s="1160"/>
      <c r="K459" s="1160"/>
      <c r="L459" s="1160"/>
      <c r="M459" s="1160"/>
      <c r="N459" s="1160"/>
      <c r="O459" s="1160"/>
      <c r="P459" s="1160"/>
      <c r="Q459" s="1160"/>
      <c r="R459" s="1160"/>
      <c r="S459" s="1160"/>
      <c r="T459" s="1160"/>
      <c r="U459" s="1160"/>
      <c r="V459" s="1160"/>
      <c r="W459" s="1160"/>
      <c r="X459" s="1211"/>
      <c r="Y459" s="1160"/>
      <c r="Z459" s="1160"/>
      <c r="AA459" s="1160"/>
      <c r="AB459" s="1160"/>
      <c r="AC459" s="1160"/>
      <c r="AD459" s="1160"/>
      <c r="AE459" s="1160"/>
    </row>
    <row r="460" ht="15.0" customHeight="1">
      <c r="A460" s="1209"/>
      <c r="B460" s="1209"/>
      <c r="C460" s="1210"/>
      <c r="D460" s="1160"/>
      <c r="E460" s="1160"/>
      <c r="F460" s="1160"/>
      <c r="G460" s="1160"/>
      <c r="H460" s="1160"/>
      <c r="I460" s="1160"/>
      <c r="J460" s="1160"/>
      <c r="K460" s="1160"/>
      <c r="L460" s="1160"/>
      <c r="M460" s="1160"/>
      <c r="N460" s="1160"/>
      <c r="O460" s="1160"/>
      <c r="P460" s="1160"/>
      <c r="Q460" s="1160"/>
      <c r="R460" s="1160"/>
      <c r="S460" s="1160"/>
      <c r="T460" s="1160"/>
      <c r="U460" s="1160"/>
      <c r="V460" s="1160"/>
      <c r="W460" s="1160"/>
      <c r="X460" s="1211"/>
      <c r="Y460" s="1160"/>
      <c r="Z460" s="1160"/>
      <c r="AA460" s="1160"/>
      <c r="AB460" s="1160"/>
      <c r="AC460" s="1160"/>
      <c r="AD460" s="1160"/>
      <c r="AE460" s="1160"/>
    </row>
    <row r="461" ht="15.0" customHeight="1">
      <c r="A461" s="1209"/>
      <c r="B461" s="1209"/>
      <c r="C461" s="1210"/>
      <c r="D461" s="1160"/>
      <c r="E461" s="1160"/>
      <c r="F461" s="1160"/>
      <c r="G461" s="1160"/>
      <c r="H461" s="1160"/>
      <c r="I461" s="1160"/>
      <c r="J461" s="1160"/>
      <c r="K461" s="1160"/>
      <c r="L461" s="1160"/>
      <c r="M461" s="1160"/>
      <c r="N461" s="1160"/>
      <c r="O461" s="1160"/>
      <c r="P461" s="1160"/>
      <c r="Q461" s="1160"/>
      <c r="R461" s="1160"/>
      <c r="S461" s="1160"/>
      <c r="T461" s="1160"/>
      <c r="U461" s="1160"/>
      <c r="V461" s="1160"/>
      <c r="W461" s="1160"/>
      <c r="X461" s="1211"/>
      <c r="Y461" s="1160"/>
      <c r="Z461" s="1160"/>
      <c r="AA461" s="1160"/>
      <c r="AB461" s="1160"/>
      <c r="AC461" s="1160"/>
      <c r="AD461" s="1160"/>
      <c r="AE461" s="1160"/>
    </row>
    <row r="462" ht="15.0" customHeight="1">
      <c r="A462" s="1209"/>
      <c r="B462" s="1209"/>
      <c r="C462" s="1210"/>
      <c r="D462" s="1160"/>
      <c r="E462" s="1160"/>
      <c r="F462" s="1160"/>
      <c r="G462" s="1160"/>
      <c r="H462" s="1160"/>
      <c r="I462" s="1160"/>
      <c r="J462" s="1160"/>
      <c r="K462" s="1160"/>
      <c r="L462" s="1160"/>
      <c r="M462" s="1160"/>
      <c r="N462" s="1160"/>
      <c r="O462" s="1160"/>
      <c r="P462" s="1160"/>
      <c r="Q462" s="1160"/>
      <c r="R462" s="1160"/>
      <c r="S462" s="1160"/>
      <c r="T462" s="1160"/>
      <c r="U462" s="1160"/>
      <c r="V462" s="1160"/>
      <c r="W462" s="1160"/>
      <c r="X462" s="1211"/>
      <c r="Y462" s="1160"/>
      <c r="Z462" s="1160"/>
      <c r="AA462" s="1160"/>
      <c r="AB462" s="1160"/>
      <c r="AC462" s="1160"/>
      <c r="AD462" s="1160"/>
      <c r="AE462" s="1160"/>
    </row>
    <row r="463" ht="15.0" customHeight="1">
      <c r="A463" s="1209"/>
      <c r="B463" s="1209"/>
      <c r="C463" s="1210"/>
      <c r="D463" s="1160"/>
      <c r="E463" s="1160"/>
      <c r="F463" s="1160"/>
      <c r="G463" s="1160"/>
      <c r="H463" s="1160"/>
      <c r="I463" s="1160"/>
      <c r="J463" s="1160"/>
      <c r="K463" s="1160"/>
      <c r="L463" s="1160"/>
      <c r="M463" s="1160"/>
      <c r="N463" s="1160"/>
      <c r="O463" s="1160"/>
      <c r="P463" s="1160"/>
      <c r="Q463" s="1160"/>
      <c r="R463" s="1160"/>
      <c r="S463" s="1160"/>
      <c r="T463" s="1160"/>
      <c r="U463" s="1160"/>
      <c r="V463" s="1160"/>
      <c r="W463" s="1160"/>
      <c r="X463" s="1211"/>
      <c r="Y463" s="1160"/>
      <c r="Z463" s="1160"/>
      <c r="AA463" s="1160"/>
      <c r="AB463" s="1160"/>
      <c r="AC463" s="1160"/>
      <c r="AD463" s="1160"/>
      <c r="AE463" s="1160"/>
    </row>
    <row r="464" ht="15.0" customHeight="1">
      <c r="A464" s="1209"/>
      <c r="B464" s="1209"/>
      <c r="C464" s="1210"/>
      <c r="D464" s="1160"/>
      <c r="E464" s="1160"/>
      <c r="F464" s="1160"/>
      <c r="G464" s="1160"/>
      <c r="H464" s="1160"/>
      <c r="I464" s="1160"/>
      <c r="J464" s="1160"/>
      <c r="K464" s="1160"/>
      <c r="L464" s="1160"/>
      <c r="M464" s="1160"/>
      <c r="N464" s="1160"/>
      <c r="O464" s="1160"/>
      <c r="P464" s="1160"/>
      <c r="Q464" s="1160"/>
      <c r="R464" s="1160"/>
      <c r="S464" s="1160"/>
      <c r="T464" s="1160"/>
      <c r="U464" s="1160"/>
      <c r="V464" s="1160"/>
      <c r="W464" s="1160"/>
      <c r="X464" s="1211"/>
      <c r="Y464" s="1160"/>
      <c r="Z464" s="1160"/>
      <c r="AA464" s="1160"/>
      <c r="AB464" s="1160"/>
      <c r="AC464" s="1160"/>
      <c r="AD464" s="1160"/>
      <c r="AE464" s="1160"/>
    </row>
    <row r="465" ht="15.0" customHeight="1">
      <c r="A465" s="1209"/>
      <c r="B465" s="1209"/>
      <c r="C465" s="1210"/>
      <c r="D465" s="1160"/>
      <c r="E465" s="1160"/>
      <c r="F465" s="1160"/>
      <c r="G465" s="1160"/>
      <c r="H465" s="1160"/>
      <c r="I465" s="1160"/>
      <c r="J465" s="1160"/>
      <c r="K465" s="1160"/>
      <c r="L465" s="1160"/>
      <c r="M465" s="1160"/>
      <c r="N465" s="1160"/>
      <c r="O465" s="1160"/>
      <c r="P465" s="1160"/>
      <c r="Q465" s="1160"/>
      <c r="R465" s="1160"/>
      <c r="S465" s="1160"/>
      <c r="T465" s="1160"/>
      <c r="U465" s="1160"/>
      <c r="V465" s="1160"/>
      <c r="W465" s="1160"/>
      <c r="X465" s="1211"/>
      <c r="Y465" s="1160"/>
      <c r="Z465" s="1160"/>
      <c r="AA465" s="1160"/>
      <c r="AB465" s="1160"/>
      <c r="AC465" s="1160"/>
      <c r="AD465" s="1160"/>
      <c r="AE465" s="1160"/>
    </row>
    <row r="466" ht="15.0" customHeight="1">
      <c r="A466" s="1209"/>
      <c r="B466" s="1209"/>
      <c r="C466" s="1210"/>
      <c r="D466" s="1160"/>
      <c r="E466" s="1160"/>
      <c r="F466" s="1160"/>
      <c r="G466" s="1160"/>
      <c r="H466" s="1160"/>
      <c r="I466" s="1160"/>
      <c r="J466" s="1160"/>
      <c r="K466" s="1160"/>
      <c r="L466" s="1160"/>
      <c r="M466" s="1160"/>
      <c r="N466" s="1160"/>
      <c r="O466" s="1160"/>
      <c r="P466" s="1160"/>
      <c r="Q466" s="1160"/>
      <c r="R466" s="1160"/>
      <c r="S466" s="1160"/>
      <c r="T466" s="1160"/>
      <c r="U466" s="1160"/>
      <c r="V466" s="1160"/>
      <c r="W466" s="1160"/>
      <c r="X466" s="1211"/>
      <c r="Y466" s="1160"/>
      <c r="Z466" s="1160"/>
      <c r="AA466" s="1160"/>
      <c r="AB466" s="1160"/>
      <c r="AC466" s="1160"/>
      <c r="AD466" s="1160"/>
      <c r="AE466" s="1160"/>
    </row>
    <row r="467" ht="15.0" customHeight="1">
      <c r="A467" s="1209"/>
      <c r="B467" s="1209"/>
      <c r="C467" s="1210"/>
      <c r="D467" s="1160"/>
      <c r="E467" s="1160"/>
      <c r="F467" s="1160"/>
      <c r="G467" s="1160"/>
      <c r="H467" s="1160"/>
      <c r="I467" s="1160"/>
      <c r="J467" s="1160"/>
      <c r="K467" s="1160"/>
      <c r="L467" s="1160"/>
      <c r="M467" s="1160"/>
      <c r="N467" s="1160"/>
      <c r="O467" s="1160"/>
      <c r="P467" s="1160"/>
      <c r="Q467" s="1160"/>
      <c r="R467" s="1160"/>
      <c r="S467" s="1160"/>
      <c r="T467" s="1160"/>
      <c r="U467" s="1160"/>
      <c r="V467" s="1160"/>
      <c r="W467" s="1160"/>
      <c r="X467" s="1211"/>
      <c r="Y467" s="1160"/>
      <c r="Z467" s="1160"/>
      <c r="AA467" s="1160"/>
      <c r="AB467" s="1160"/>
      <c r="AC467" s="1160"/>
      <c r="AD467" s="1160"/>
      <c r="AE467" s="1160"/>
    </row>
    <row r="468" ht="15.0" customHeight="1">
      <c r="A468" s="1209"/>
      <c r="B468" s="1209"/>
      <c r="C468" s="1210"/>
      <c r="D468" s="1160"/>
      <c r="E468" s="1160"/>
      <c r="F468" s="1160"/>
      <c r="G468" s="1160"/>
      <c r="H468" s="1160"/>
      <c r="I468" s="1160"/>
      <c r="J468" s="1160"/>
      <c r="K468" s="1160"/>
      <c r="L468" s="1160"/>
      <c r="M468" s="1160"/>
      <c r="N468" s="1160"/>
      <c r="O468" s="1160"/>
      <c r="P468" s="1160"/>
      <c r="Q468" s="1160"/>
      <c r="R468" s="1160"/>
      <c r="S468" s="1160"/>
      <c r="T468" s="1160"/>
      <c r="U468" s="1160"/>
      <c r="V468" s="1160"/>
      <c r="W468" s="1160"/>
      <c r="X468" s="1211"/>
      <c r="Y468" s="1160"/>
      <c r="Z468" s="1160"/>
      <c r="AA468" s="1160"/>
      <c r="AB468" s="1160"/>
      <c r="AC468" s="1160"/>
      <c r="AD468" s="1160"/>
      <c r="AE468" s="1160"/>
    </row>
    <row r="469" ht="15.0" customHeight="1">
      <c r="A469" s="1209"/>
      <c r="B469" s="1209"/>
      <c r="C469" s="1210"/>
      <c r="D469" s="1160"/>
      <c r="E469" s="1160"/>
      <c r="F469" s="1160"/>
      <c r="G469" s="1160"/>
      <c r="H469" s="1160"/>
      <c r="I469" s="1160"/>
      <c r="J469" s="1160"/>
      <c r="K469" s="1160"/>
      <c r="L469" s="1160"/>
      <c r="M469" s="1160"/>
      <c r="N469" s="1160"/>
      <c r="O469" s="1160"/>
      <c r="P469" s="1160"/>
      <c r="Q469" s="1160"/>
      <c r="R469" s="1160"/>
      <c r="S469" s="1160"/>
      <c r="T469" s="1160"/>
      <c r="U469" s="1160"/>
      <c r="V469" s="1160"/>
      <c r="W469" s="1160"/>
      <c r="X469" s="1211"/>
      <c r="Y469" s="1160"/>
      <c r="Z469" s="1160"/>
      <c r="AA469" s="1160"/>
      <c r="AB469" s="1160"/>
      <c r="AC469" s="1160"/>
      <c r="AD469" s="1160"/>
      <c r="AE469" s="1160"/>
    </row>
    <row r="470" ht="15.0" customHeight="1">
      <c r="A470" s="1209"/>
      <c r="B470" s="1209"/>
      <c r="C470" s="1210"/>
      <c r="D470" s="1160"/>
      <c r="E470" s="1160"/>
      <c r="F470" s="1160"/>
      <c r="G470" s="1160"/>
      <c r="H470" s="1160"/>
      <c r="I470" s="1160"/>
      <c r="J470" s="1160"/>
      <c r="K470" s="1160"/>
      <c r="L470" s="1160"/>
      <c r="M470" s="1160"/>
      <c r="N470" s="1160"/>
      <c r="O470" s="1160"/>
      <c r="P470" s="1160"/>
      <c r="Q470" s="1160"/>
      <c r="R470" s="1160"/>
      <c r="S470" s="1160"/>
      <c r="T470" s="1160"/>
      <c r="U470" s="1160"/>
      <c r="V470" s="1160"/>
      <c r="W470" s="1160"/>
      <c r="X470" s="1211"/>
      <c r="Y470" s="1160"/>
      <c r="Z470" s="1160"/>
      <c r="AA470" s="1160"/>
      <c r="AB470" s="1160"/>
      <c r="AC470" s="1160"/>
      <c r="AD470" s="1160"/>
      <c r="AE470" s="1160"/>
    </row>
    <row r="471" ht="15.0" customHeight="1">
      <c r="A471" s="1209"/>
      <c r="B471" s="1209"/>
      <c r="C471" s="1210"/>
      <c r="D471" s="1160"/>
      <c r="E471" s="1160"/>
      <c r="F471" s="1160"/>
      <c r="G471" s="1160"/>
      <c r="H471" s="1160"/>
      <c r="I471" s="1160"/>
      <c r="J471" s="1160"/>
      <c r="K471" s="1160"/>
      <c r="L471" s="1160"/>
      <c r="M471" s="1160"/>
      <c r="N471" s="1160"/>
      <c r="O471" s="1160"/>
      <c r="P471" s="1160"/>
      <c r="Q471" s="1160"/>
      <c r="R471" s="1160"/>
      <c r="S471" s="1160"/>
      <c r="T471" s="1160"/>
      <c r="U471" s="1160"/>
      <c r="V471" s="1160"/>
      <c r="W471" s="1160"/>
      <c r="X471" s="1211"/>
      <c r="Y471" s="1160"/>
      <c r="Z471" s="1160"/>
      <c r="AA471" s="1160"/>
      <c r="AB471" s="1160"/>
      <c r="AC471" s="1160"/>
      <c r="AD471" s="1160"/>
      <c r="AE471" s="1160"/>
    </row>
    <row r="472" ht="15.0" customHeight="1">
      <c r="A472" s="1209"/>
      <c r="B472" s="1209"/>
      <c r="C472" s="1210"/>
      <c r="D472" s="1160"/>
      <c r="E472" s="1160"/>
      <c r="F472" s="1160"/>
      <c r="G472" s="1160"/>
      <c r="H472" s="1160"/>
      <c r="I472" s="1160"/>
      <c r="J472" s="1160"/>
      <c r="K472" s="1160"/>
      <c r="L472" s="1160"/>
      <c r="M472" s="1160"/>
      <c r="N472" s="1160"/>
      <c r="O472" s="1160"/>
      <c r="P472" s="1160"/>
      <c r="Q472" s="1160"/>
      <c r="R472" s="1160"/>
      <c r="S472" s="1160"/>
      <c r="T472" s="1160"/>
      <c r="U472" s="1160"/>
      <c r="V472" s="1160"/>
      <c r="W472" s="1160"/>
      <c r="X472" s="1211"/>
      <c r="Y472" s="1160"/>
      <c r="Z472" s="1160"/>
      <c r="AA472" s="1160"/>
      <c r="AB472" s="1160"/>
      <c r="AC472" s="1160"/>
      <c r="AD472" s="1160"/>
      <c r="AE472" s="1160"/>
    </row>
    <row r="473" ht="15.0" customHeight="1">
      <c r="A473" s="1209"/>
      <c r="B473" s="1209"/>
      <c r="C473" s="1210"/>
      <c r="D473" s="1160"/>
      <c r="E473" s="1160"/>
      <c r="F473" s="1160"/>
      <c r="G473" s="1160"/>
      <c r="H473" s="1160"/>
      <c r="I473" s="1160"/>
      <c r="J473" s="1160"/>
      <c r="K473" s="1160"/>
      <c r="L473" s="1160"/>
      <c r="M473" s="1160"/>
      <c r="N473" s="1160"/>
      <c r="O473" s="1160"/>
      <c r="P473" s="1160"/>
      <c r="Q473" s="1160"/>
      <c r="R473" s="1160"/>
      <c r="S473" s="1160"/>
      <c r="T473" s="1160"/>
      <c r="U473" s="1160"/>
      <c r="V473" s="1160"/>
      <c r="W473" s="1160"/>
      <c r="X473" s="1211"/>
      <c r="Y473" s="1160"/>
      <c r="Z473" s="1160"/>
      <c r="AA473" s="1160"/>
      <c r="AB473" s="1160"/>
      <c r="AC473" s="1160"/>
      <c r="AD473" s="1160"/>
      <c r="AE473" s="1160"/>
    </row>
    <row r="474" ht="15.0" customHeight="1">
      <c r="A474" s="1209"/>
      <c r="B474" s="1209"/>
      <c r="C474" s="1210"/>
      <c r="D474" s="1160"/>
      <c r="E474" s="1160"/>
      <c r="F474" s="1160"/>
      <c r="G474" s="1160"/>
      <c r="H474" s="1160"/>
      <c r="I474" s="1160"/>
      <c r="J474" s="1160"/>
      <c r="K474" s="1160"/>
      <c r="L474" s="1160"/>
      <c r="M474" s="1160"/>
      <c r="N474" s="1160"/>
      <c r="O474" s="1160"/>
      <c r="P474" s="1160"/>
      <c r="Q474" s="1160"/>
      <c r="R474" s="1160"/>
      <c r="S474" s="1160"/>
      <c r="T474" s="1160"/>
      <c r="U474" s="1160"/>
      <c r="V474" s="1160"/>
      <c r="W474" s="1160"/>
      <c r="X474" s="1211"/>
      <c r="Y474" s="1160"/>
      <c r="Z474" s="1160"/>
      <c r="AA474" s="1160"/>
      <c r="AB474" s="1160"/>
      <c r="AC474" s="1160"/>
      <c r="AD474" s="1160"/>
      <c r="AE474" s="1160"/>
    </row>
    <row r="475" ht="15.0" customHeight="1">
      <c r="A475" s="1209"/>
      <c r="B475" s="1209"/>
      <c r="C475" s="1210"/>
      <c r="D475" s="1160"/>
      <c r="E475" s="1160"/>
      <c r="F475" s="1160"/>
      <c r="G475" s="1160"/>
      <c r="H475" s="1160"/>
      <c r="I475" s="1160"/>
      <c r="J475" s="1160"/>
      <c r="K475" s="1160"/>
      <c r="L475" s="1160"/>
      <c r="M475" s="1160"/>
      <c r="N475" s="1160"/>
      <c r="O475" s="1160"/>
      <c r="P475" s="1160"/>
      <c r="Q475" s="1160"/>
      <c r="R475" s="1160"/>
      <c r="S475" s="1160"/>
      <c r="T475" s="1160"/>
      <c r="U475" s="1160"/>
      <c r="V475" s="1160"/>
      <c r="W475" s="1160"/>
      <c r="X475" s="1211"/>
      <c r="Y475" s="1160"/>
      <c r="Z475" s="1160"/>
      <c r="AA475" s="1160"/>
      <c r="AB475" s="1160"/>
      <c r="AC475" s="1160"/>
      <c r="AD475" s="1160"/>
      <c r="AE475" s="1160"/>
    </row>
    <row r="476" ht="15.0" customHeight="1">
      <c r="A476" s="1209"/>
      <c r="B476" s="1209"/>
      <c r="C476" s="1210"/>
      <c r="D476" s="1160"/>
      <c r="E476" s="1160"/>
      <c r="F476" s="1160"/>
      <c r="G476" s="1160"/>
      <c r="H476" s="1160"/>
      <c r="I476" s="1160"/>
      <c r="J476" s="1160"/>
      <c r="K476" s="1160"/>
      <c r="L476" s="1160"/>
      <c r="M476" s="1160"/>
      <c r="N476" s="1160"/>
      <c r="O476" s="1160"/>
      <c r="P476" s="1160"/>
      <c r="Q476" s="1160"/>
      <c r="R476" s="1160"/>
      <c r="S476" s="1160"/>
      <c r="T476" s="1160"/>
      <c r="U476" s="1160"/>
      <c r="V476" s="1160"/>
      <c r="W476" s="1160"/>
      <c r="X476" s="1211"/>
      <c r="Y476" s="1160"/>
      <c r="Z476" s="1160"/>
      <c r="AA476" s="1160"/>
      <c r="AB476" s="1160"/>
      <c r="AC476" s="1160"/>
      <c r="AD476" s="1160"/>
      <c r="AE476" s="1160"/>
    </row>
    <row r="477" ht="15.0" customHeight="1">
      <c r="A477" s="1209"/>
      <c r="B477" s="1209"/>
      <c r="C477" s="1210"/>
      <c r="D477" s="1160"/>
      <c r="E477" s="1160"/>
      <c r="F477" s="1160"/>
      <c r="G477" s="1160"/>
      <c r="H477" s="1160"/>
      <c r="I477" s="1160"/>
      <c r="J477" s="1160"/>
      <c r="K477" s="1160"/>
      <c r="L477" s="1160"/>
      <c r="M477" s="1160"/>
      <c r="N477" s="1160"/>
      <c r="O477" s="1160"/>
      <c r="P477" s="1160"/>
      <c r="Q477" s="1160"/>
      <c r="R477" s="1160"/>
      <c r="S477" s="1160"/>
      <c r="T477" s="1160"/>
      <c r="U477" s="1160"/>
      <c r="V477" s="1160"/>
      <c r="W477" s="1160"/>
      <c r="X477" s="1211"/>
      <c r="Y477" s="1160"/>
      <c r="Z477" s="1160"/>
      <c r="AA477" s="1160"/>
      <c r="AB477" s="1160"/>
      <c r="AC477" s="1160"/>
      <c r="AD477" s="1160"/>
      <c r="AE477" s="1160"/>
    </row>
    <row r="478" ht="15.0" customHeight="1">
      <c r="A478" s="1209"/>
      <c r="B478" s="1209"/>
      <c r="C478" s="1210"/>
      <c r="D478" s="1160"/>
      <c r="E478" s="1160"/>
      <c r="F478" s="1160"/>
      <c r="G478" s="1160"/>
      <c r="H478" s="1160"/>
      <c r="I478" s="1160"/>
      <c r="J478" s="1160"/>
      <c r="K478" s="1160"/>
      <c r="L478" s="1160"/>
      <c r="M478" s="1160"/>
      <c r="N478" s="1160"/>
      <c r="O478" s="1160"/>
      <c r="P478" s="1160"/>
      <c r="Q478" s="1160"/>
      <c r="R478" s="1160"/>
      <c r="S478" s="1160"/>
      <c r="T478" s="1160"/>
      <c r="U478" s="1160"/>
      <c r="V478" s="1160"/>
      <c r="W478" s="1160"/>
      <c r="X478" s="1211"/>
      <c r="Y478" s="1160"/>
      <c r="Z478" s="1160"/>
      <c r="AA478" s="1160"/>
      <c r="AB478" s="1160"/>
      <c r="AC478" s="1160"/>
      <c r="AD478" s="1160"/>
      <c r="AE478" s="1160"/>
    </row>
    <row r="479" ht="15.0" customHeight="1">
      <c r="A479" s="1209"/>
      <c r="B479" s="1209"/>
      <c r="C479" s="1210"/>
      <c r="D479" s="1160"/>
      <c r="E479" s="1160"/>
      <c r="F479" s="1160"/>
      <c r="G479" s="1160"/>
      <c r="H479" s="1160"/>
      <c r="I479" s="1160"/>
      <c r="J479" s="1160"/>
      <c r="K479" s="1160"/>
      <c r="L479" s="1160"/>
      <c r="M479" s="1160"/>
      <c r="N479" s="1160"/>
      <c r="O479" s="1160"/>
      <c r="P479" s="1160"/>
      <c r="Q479" s="1160"/>
      <c r="R479" s="1160"/>
      <c r="S479" s="1160"/>
      <c r="T479" s="1160"/>
      <c r="U479" s="1160"/>
      <c r="V479" s="1160"/>
      <c r="W479" s="1160"/>
      <c r="X479" s="1211"/>
      <c r="Y479" s="1160"/>
      <c r="Z479" s="1160"/>
      <c r="AA479" s="1160"/>
      <c r="AB479" s="1160"/>
      <c r="AC479" s="1160"/>
      <c r="AD479" s="1160"/>
      <c r="AE479" s="1160"/>
    </row>
    <row r="480" ht="15.0" customHeight="1">
      <c r="A480" s="1209"/>
      <c r="B480" s="1209"/>
      <c r="C480" s="1210"/>
      <c r="D480" s="1160"/>
      <c r="E480" s="1160"/>
      <c r="F480" s="1160"/>
      <c r="G480" s="1160"/>
      <c r="H480" s="1160"/>
      <c r="I480" s="1160"/>
      <c r="J480" s="1160"/>
      <c r="K480" s="1160"/>
      <c r="L480" s="1160"/>
      <c r="M480" s="1160"/>
      <c r="N480" s="1160"/>
      <c r="O480" s="1160"/>
      <c r="P480" s="1160"/>
      <c r="Q480" s="1160"/>
      <c r="R480" s="1160"/>
      <c r="S480" s="1160"/>
      <c r="T480" s="1160"/>
      <c r="U480" s="1160"/>
      <c r="V480" s="1160"/>
      <c r="W480" s="1160"/>
      <c r="X480" s="1211"/>
      <c r="Y480" s="1160"/>
      <c r="Z480" s="1160"/>
      <c r="AA480" s="1160"/>
      <c r="AB480" s="1160"/>
      <c r="AC480" s="1160"/>
      <c r="AD480" s="1160"/>
      <c r="AE480" s="1160"/>
    </row>
    <row r="481" ht="15.0" customHeight="1">
      <c r="A481" s="1209"/>
      <c r="B481" s="1209"/>
      <c r="C481" s="1210"/>
      <c r="D481" s="1160"/>
      <c r="E481" s="1160"/>
      <c r="F481" s="1160"/>
      <c r="G481" s="1160"/>
      <c r="H481" s="1160"/>
      <c r="I481" s="1160"/>
      <c r="J481" s="1160"/>
      <c r="K481" s="1160"/>
      <c r="L481" s="1160"/>
      <c r="M481" s="1160"/>
      <c r="N481" s="1160"/>
      <c r="O481" s="1160"/>
      <c r="P481" s="1160"/>
      <c r="Q481" s="1160"/>
      <c r="R481" s="1160"/>
      <c r="S481" s="1160"/>
      <c r="T481" s="1160"/>
      <c r="U481" s="1160"/>
      <c r="V481" s="1160"/>
      <c r="W481" s="1160"/>
      <c r="X481" s="1211"/>
      <c r="Y481" s="1160"/>
      <c r="Z481" s="1160"/>
      <c r="AA481" s="1160"/>
      <c r="AB481" s="1160"/>
      <c r="AC481" s="1160"/>
      <c r="AD481" s="1160"/>
      <c r="AE481" s="1160"/>
    </row>
    <row r="482" ht="15.0" customHeight="1">
      <c r="A482" s="1209"/>
      <c r="B482" s="1209"/>
      <c r="C482" s="1210"/>
      <c r="D482" s="1160"/>
      <c r="E482" s="1160"/>
      <c r="F482" s="1160"/>
      <c r="G482" s="1160"/>
      <c r="H482" s="1160"/>
      <c r="I482" s="1160"/>
      <c r="J482" s="1160"/>
      <c r="K482" s="1160"/>
      <c r="L482" s="1160"/>
      <c r="M482" s="1160"/>
      <c r="N482" s="1160"/>
      <c r="O482" s="1160"/>
      <c r="P482" s="1160"/>
      <c r="Q482" s="1160"/>
      <c r="R482" s="1160"/>
      <c r="S482" s="1160"/>
      <c r="T482" s="1160"/>
      <c r="U482" s="1160"/>
      <c r="V482" s="1160"/>
      <c r="W482" s="1160"/>
      <c r="X482" s="1211"/>
      <c r="Y482" s="1160"/>
      <c r="Z482" s="1160"/>
      <c r="AA482" s="1160"/>
      <c r="AB482" s="1160"/>
      <c r="AC482" s="1160"/>
      <c r="AD482" s="1160"/>
      <c r="AE482" s="1160"/>
    </row>
    <row r="483" ht="15.0" customHeight="1">
      <c r="A483" s="1209"/>
      <c r="B483" s="1209"/>
      <c r="C483" s="1210"/>
      <c r="D483" s="1160"/>
      <c r="E483" s="1160"/>
      <c r="F483" s="1160"/>
      <c r="G483" s="1160"/>
      <c r="H483" s="1160"/>
      <c r="I483" s="1160"/>
      <c r="J483" s="1160"/>
      <c r="K483" s="1160"/>
      <c r="L483" s="1160"/>
      <c r="M483" s="1160"/>
      <c r="N483" s="1160"/>
      <c r="O483" s="1160"/>
      <c r="P483" s="1160"/>
      <c r="Q483" s="1160"/>
      <c r="R483" s="1160"/>
      <c r="S483" s="1160"/>
      <c r="T483" s="1160"/>
      <c r="U483" s="1160"/>
      <c r="V483" s="1160"/>
      <c r="W483" s="1160"/>
      <c r="X483" s="1211"/>
      <c r="Y483" s="1160"/>
      <c r="Z483" s="1160"/>
      <c r="AA483" s="1160"/>
      <c r="AB483" s="1160"/>
      <c r="AC483" s="1160"/>
      <c r="AD483" s="1160"/>
      <c r="AE483" s="1160"/>
    </row>
    <row r="484" ht="15.0" customHeight="1">
      <c r="A484" s="1209"/>
      <c r="B484" s="1209"/>
      <c r="C484" s="1210"/>
      <c r="D484" s="1160"/>
      <c r="E484" s="1160"/>
      <c r="F484" s="1160"/>
      <c r="G484" s="1160"/>
      <c r="H484" s="1160"/>
      <c r="I484" s="1160"/>
      <c r="J484" s="1160"/>
      <c r="K484" s="1160"/>
      <c r="L484" s="1160"/>
      <c r="M484" s="1160"/>
      <c r="N484" s="1160"/>
      <c r="O484" s="1160"/>
      <c r="P484" s="1160"/>
      <c r="Q484" s="1160"/>
      <c r="R484" s="1160"/>
      <c r="S484" s="1160"/>
      <c r="T484" s="1160"/>
      <c r="U484" s="1160"/>
      <c r="V484" s="1160"/>
      <c r="W484" s="1160"/>
      <c r="X484" s="1211"/>
      <c r="Y484" s="1160"/>
      <c r="Z484" s="1160"/>
      <c r="AA484" s="1160"/>
      <c r="AB484" s="1160"/>
      <c r="AC484" s="1160"/>
      <c r="AD484" s="1160"/>
      <c r="AE484" s="1160"/>
    </row>
    <row r="485" ht="15.0" customHeight="1">
      <c r="A485" s="1209"/>
      <c r="B485" s="1209"/>
      <c r="C485" s="1210"/>
      <c r="D485" s="1160"/>
      <c r="E485" s="1160"/>
      <c r="F485" s="1160"/>
      <c r="G485" s="1160"/>
      <c r="H485" s="1160"/>
      <c r="I485" s="1160"/>
      <c r="J485" s="1160"/>
      <c r="K485" s="1160"/>
      <c r="L485" s="1160"/>
      <c r="M485" s="1160"/>
      <c r="N485" s="1160"/>
      <c r="O485" s="1160"/>
      <c r="P485" s="1160"/>
      <c r="Q485" s="1160"/>
      <c r="R485" s="1160"/>
      <c r="S485" s="1160"/>
      <c r="T485" s="1160"/>
      <c r="U485" s="1160"/>
      <c r="V485" s="1160"/>
      <c r="W485" s="1160"/>
      <c r="X485" s="1211"/>
      <c r="Y485" s="1160"/>
      <c r="Z485" s="1160"/>
      <c r="AA485" s="1160"/>
      <c r="AB485" s="1160"/>
      <c r="AC485" s="1160"/>
      <c r="AD485" s="1160"/>
      <c r="AE485" s="1160"/>
    </row>
    <row r="486" ht="15.0" customHeight="1">
      <c r="A486" s="1209"/>
      <c r="B486" s="1209"/>
      <c r="C486" s="1210"/>
      <c r="D486" s="1160"/>
      <c r="E486" s="1160"/>
      <c r="F486" s="1160"/>
      <c r="G486" s="1160"/>
      <c r="H486" s="1160"/>
      <c r="I486" s="1160"/>
      <c r="J486" s="1160"/>
      <c r="K486" s="1160"/>
      <c r="L486" s="1160"/>
      <c r="M486" s="1160"/>
      <c r="N486" s="1160"/>
      <c r="O486" s="1160"/>
      <c r="P486" s="1160"/>
      <c r="Q486" s="1160"/>
      <c r="R486" s="1160"/>
      <c r="S486" s="1160"/>
      <c r="T486" s="1160"/>
      <c r="U486" s="1160"/>
      <c r="V486" s="1160"/>
      <c r="W486" s="1160"/>
      <c r="X486" s="1211"/>
      <c r="Y486" s="1160"/>
      <c r="Z486" s="1160"/>
      <c r="AA486" s="1160"/>
      <c r="AB486" s="1160"/>
      <c r="AC486" s="1160"/>
      <c r="AD486" s="1160"/>
      <c r="AE486" s="1160"/>
    </row>
    <row r="487" ht="15.0" customHeight="1">
      <c r="A487" s="1209"/>
      <c r="B487" s="1209"/>
      <c r="C487" s="1210"/>
      <c r="D487" s="1160"/>
      <c r="E487" s="1160"/>
      <c r="F487" s="1160"/>
      <c r="G487" s="1160"/>
      <c r="H487" s="1160"/>
      <c r="I487" s="1160"/>
      <c r="J487" s="1160"/>
      <c r="K487" s="1160"/>
      <c r="L487" s="1160"/>
      <c r="M487" s="1160"/>
      <c r="N487" s="1160"/>
      <c r="O487" s="1160"/>
      <c r="P487" s="1160"/>
      <c r="Q487" s="1160"/>
      <c r="R487" s="1160"/>
      <c r="S487" s="1160"/>
      <c r="T487" s="1160"/>
      <c r="U487" s="1160"/>
      <c r="V487" s="1160"/>
      <c r="W487" s="1160"/>
      <c r="X487" s="1211"/>
      <c r="Y487" s="1160"/>
      <c r="Z487" s="1160"/>
      <c r="AA487" s="1160"/>
      <c r="AB487" s="1160"/>
      <c r="AC487" s="1160"/>
      <c r="AD487" s="1160"/>
      <c r="AE487" s="1160"/>
    </row>
    <row r="488" ht="15.0" customHeight="1">
      <c r="A488" s="1209"/>
      <c r="B488" s="1209"/>
      <c r="C488" s="1210"/>
      <c r="D488" s="1160"/>
      <c r="E488" s="1160"/>
      <c r="F488" s="1160"/>
      <c r="G488" s="1160"/>
      <c r="H488" s="1160"/>
      <c r="I488" s="1160"/>
      <c r="J488" s="1160"/>
      <c r="K488" s="1160"/>
      <c r="L488" s="1160"/>
      <c r="M488" s="1160"/>
      <c r="N488" s="1160"/>
      <c r="O488" s="1160"/>
      <c r="P488" s="1160"/>
      <c r="Q488" s="1160"/>
      <c r="R488" s="1160"/>
      <c r="S488" s="1160"/>
      <c r="T488" s="1160"/>
      <c r="U488" s="1160"/>
      <c r="V488" s="1160"/>
      <c r="W488" s="1160"/>
      <c r="X488" s="1211"/>
      <c r="Y488" s="1160"/>
      <c r="Z488" s="1160"/>
      <c r="AA488" s="1160"/>
      <c r="AB488" s="1160"/>
      <c r="AC488" s="1160"/>
      <c r="AD488" s="1160"/>
      <c r="AE488" s="1160"/>
    </row>
    <row r="489" ht="15.0" customHeight="1">
      <c r="A489" s="1209"/>
      <c r="B489" s="1209"/>
      <c r="C489" s="1210"/>
      <c r="D489" s="1160"/>
      <c r="E489" s="1160"/>
      <c r="F489" s="1160"/>
      <c r="G489" s="1160"/>
      <c r="H489" s="1160"/>
      <c r="I489" s="1160"/>
      <c r="J489" s="1160"/>
      <c r="K489" s="1160"/>
      <c r="L489" s="1160"/>
      <c r="M489" s="1160"/>
      <c r="N489" s="1160"/>
      <c r="O489" s="1160"/>
      <c r="P489" s="1160"/>
      <c r="Q489" s="1160"/>
      <c r="R489" s="1160"/>
      <c r="S489" s="1160"/>
      <c r="T489" s="1160"/>
      <c r="U489" s="1160"/>
      <c r="V489" s="1160"/>
      <c r="W489" s="1160"/>
      <c r="X489" s="1211"/>
      <c r="Y489" s="1160"/>
      <c r="Z489" s="1160"/>
      <c r="AA489" s="1160"/>
      <c r="AB489" s="1160"/>
      <c r="AC489" s="1160"/>
      <c r="AD489" s="1160"/>
      <c r="AE489" s="1160"/>
    </row>
    <row r="490" ht="15.0" customHeight="1">
      <c r="A490" s="1209"/>
      <c r="B490" s="1209"/>
      <c r="C490" s="1210"/>
      <c r="D490" s="1160"/>
      <c r="E490" s="1160"/>
      <c r="F490" s="1160"/>
      <c r="G490" s="1160"/>
      <c r="H490" s="1160"/>
      <c r="I490" s="1160"/>
      <c r="J490" s="1160"/>
      <c r="K490" s="1160"/>
      <c r="L490" s="1160"/>
      <c r="M490" s="1160"/>
      <c r="N490" s="1160"/>
      <c r="O490" s="1160"/>
      <c r="P490" s="1160"/>
      <c r="Q490" s="1160"/>
      <c r="R490" s="1160"/>
      <c r="S490" s="1160"/>
      <c r="T490" s="1160"/>
      <c r="U490" s="1160"/>
      <c r="V490" s="1160"/>
      <c r="W490" s="1160"/>
      <c r="X490" s="1211"/>
      <c r="Y490" s="1160"/>
      <c r="Z490" s="1160"/>
      <c r="AA490" s="1160"/>
      <c r="AB490" s="1160"/>
      <c r="AC490" s="1160"/>
      <c r="AD490" s="1160"/>
      <c r="AE490" s="1160"/>
    </row>
    <row r="491" ht="15.0" customHeight="1">
      <c r="A491" s="1209"/>
      <c r="B491" s="1209"/>
      <c r="C491" s="1210"/>
      <c r="D491" s="1160"/>
      <c r="E491" s="1160"/>
      <c r="F491" s="1160"/>
      <c r="G491" s="1160"/>
      <c r="H491" s="1160"/>
      <c r="I491" s="1160"/>
      <c r="J491" s="1160"/>
      <c r="K491" s="1160"/>
      <c r="L491" s="1160"/>
      <c r="M491" s="1160"/>
      <c r="N491" s="1160"/>
      <c r="O491" s="1160"/>
      <c r="P491" s="1160"/>
      <c r="Q491" s="1160"/>
      <c r="R491" s="1160"/>
      <c r="S491" s="1160"/>
      <c r="T491" s="1160"/>
      <c r="U491" s="1160"/>
      <c r="V491" s="1160"/>
      <c r="W491" s="1160"/>
      <c r="X491" s="1211"/>
      <c r="Y491" s="1160"/>
      <c r="Z491" s="1160"/>
      <c r="AA491" s="1160"/>
      <c r="AB491" s="1160"/>
      <c r="AC491" s="1160"/>
      <c r="AD491" s="1160"/>
      <c r="AE491" s="1160"/>
    </row>
    <row r="492" ht="15.0" customHeight="1">
      <c r="A492" s="1209"/>
      <c r="B492" s="1209"/>
      <c r="C492" s="1210"/>
      <c r="D492" s="1160"/>
      <c r="E492" s="1160"/>
      <c r="F492" s="1160"/>
      <c r="G492" s="1160"/>
      <c r="H492" s="1160"/>
      <c r="I492" s="1160"/>
      <c r="J492" s="1160"/>
      <c r="K492" s="1160"/>
      <c r="L492" s="1160"/>
      <c r="M492" s="1160"/>
      <c r="N492" s="1160"/>
      <c r="O492" s="1160"/>
      <c r="P492" s="1160"/>
      <c r="Q492" s="1160"/>
      <c r="R492" s="1160"/>
      <c r="S492" s="1160"/>
      <c r="T492" s="1160"/>
      <c r="U492" s="1160"/>
      <c r="V492" s="1160"/>
      <c r="W492" s="1160"/>
      <c r="X492" s="1211"/>
      <c r="Y492" s="1160"/>
      <c r="Z492" s="1160"/>
      <c r="AA492" s="1160"/>
      <c r="AB492" s="1160"/>
      <c r="AC492" s="1160"/>
      <c r="AD492" s="1160"/>
      <c r="AE492" s="1160"/>
    </row>
    <row r="493" ht="15.0" customHeight="1">
      <c r="A493" s="1209"/>
      <c r="B493" s="1209"/>
      <c r="C493" s="1210"/>
      <c r="D493" s="1160"/>
      <c r="E493" s="1160"/>
      <c r="F493" s="1160"/>
      <c r="G493" s="1160"/>
      <c r="H493" s="1160"/>
      <c r="I493" s="1160"/>
      <c r="J493" s="1160"/>
      <c r="K493" s="1160"/>
      <c r="L493" s="1160"/>
      <c r="M493" s="1160"/>
      <c r="N493" s="1160"/>
      <c r="O493" s="1160"/>
      <c r="P493" s="1160"/>
      <c r="Q493" s="1160"/>
      <c r="R493" s="1160"/>
      <c r="S493" s="1160"/>
      <c r="T493" s="1160"/>
      <c r="U493" s="1160"/>
      <c r="V493" s="1160"/>
      <c r="W493" s="1160"/>
      <c r="X493" s="1211"/>
      <c r="Y493" s="1160"/>
      <c r="Z493" s="1160"/>
      <c r="AA493" s="1160"/>
      <c r="AB493" s="1160"/>
      <c r="AC493" s="1160"/>
      <c r="AD493" s="1160"/>
      <c r="AE493" s="1160"/>
    </row>
    <row r="494" ht="15.0" customHeight="1">
      <c r="A494" s="1209"/>
      <c r="B494" s="1209"/>
      <c r="C494" s="1210"/>
      <c r="D494" s="1160"/>
      <c r="E494" s="1160"/>
      <c r="F494" s="1160"/>
      <c r="G494" s="1160"/>
      <c r="H494" s="1160"/>
      <c r="I494" s="1160"/>
      <c r="J494" s="1160"/>
      <c r="K494" s="1160"/>
      <c r="L494" s="1160"/>
      <c r="M494" s="1160"/>
      <c r="N494" s="1160"/>
      <c r="O494" s="1160"/>
      <c r="P494" s="1160"/>
      <c r="Q494" s="1160"/>
      <c r="R494" s="1160"/>
      <c r="S494" s="1160"/>
      <c r="T494" s="1160"/>
      <c r="U494" s="1160"/>
      <c r="V494" s="1160"/>
      <c r="W494" s="1160"/>
      <c r="X494" s="1211"/>
      <c r="Y494" s="1160"/>
      <c r="Z494" s="1160"/>
      <c r="AA494" s="1160"/>
      <c r="AB494" s="1160"/>
      <c r="AC494" s="1160"/>
      <c r="AD494" s="1160"/>
      <c r="AE494" s="1160"/>
    </row>
    <row r="495" ht="15.0" customHeight="1">
      <c r="A495" s="1209"/>
      <c r="B495" s="1209"/>
      <c r="C495" s="1210"/>
      <c r="D495" s="1160"/>
      <c r="E495" s="1160"/>
      <c r="F495" s="1160"/>
      <c r="G495" s="1160"/>
      <c r="H495" s="1160"/>
      <c r="I495" s="1160"/>
      <c r="J495" s="1160"/>
      <c r="K495" s="1160"/>
      <c r="L495" s="1160"/>
      <c r="M495" s="1160"/>
      <c r="N495" s="1160"/>
      <c r="O495" s="1160"/>
      <c r="P495" s="1160"/>
      <c r="Q495" s="1160"/>
      <c r="R495" s="1160"/>
      <c r="S495" s="1160"/>
      <c r="T495" s="1160"/>
      <c r="U495" s="1160"/>
      <c r="V495" s="1160"/>
      <c r="W495" s="1160"/>
      <c r="X495" s="1211"/>
      <c r="Y495" s="1160"/>
      <c r="Z495" s="1160"/>
      <c r="AA495" s="1160"/>
      <c r="AB495" s="1160"/>
      <c r="AC495" s="1160"/>
      <c r="AD495" s="1160"/>
      <c r="AE495" s="1160"/>
    </row>
    <row r="496" ht="15.0" customHeight="1">
      <c r="A496" s="1209"/>
      <c r="B496" s="1209"/>
      <c r="C496" s="1210"/>
      <c r="D496" s="1160"/>
      <c r="E496" s="1160"/>
      <c r="F496" s="1160"/>
      <c r="G496" s="1160"/>
      <c r="H496" s="1160"/>
      <c r="I496" s="1160"/>
      <c r="J496" s="1160"/>
      <c r="K496" s="1160"/>
      <c r="L496" s="1160"/>
      <c r="M496" s="1160"/>
      <c r="N496" s="1160"/>
      <c r="O496" s="1160"/>
      <c r="P496" s="1160"/>
      <c r="Q496" s="1160"/>
      <c r="R496" s="1160"/>
      <c r="S496" s="1160"/>
      <c r="T496" s="1160"/>
      <c r="U496" s="1160"/>
      <c r="V496" s="1160"/>
      <c r="W496" s="1160"/>
      <c r="X496" s="1211"/>
      <c r="Y496" s="1160"/>
      <c r="Z496" s="1160"/>
      <c r="AA496" s="1160"/>
      <c r="AB496" s="1160"/>
      <c r="AC496" s="1160"/>
      <c r="AD496" s="1160"/>
      <c r="AE496" s="1160"/>
    </row>
    <row r="497" ht="15.0" customHeight="1">
      <c r="A497" s="1209"/>
      <c r="B497" s="1209"/>
      <c r="C497" s="1210"/>
      <c r="D497" s="1160"/>
      <c r="E497" s="1160"/>
      <c r="F497" s="1160"/>
      <c r="G497" s="1160"/>
      <c r="H497" s="1160"/>
      <c r="I497" s="1160"/>
      <c r="J497" s="1160"/>
      <c r="K497" s="1160"/>
      <c r="L497" s="1160"/>
      <c r="M497" s="1160"/>
      <c r="N497" s="1160"/>
      <c r="O497" s="1160"/>
      <c r="P497" s="1160"/>
      <c r="Q497" s="1160"/>
      <c r="R497" s="1160"/>
      <c r="S497" s="1160"/>
      <c r="T497" s="1160"/>
      <c r="U497" s="1160"/>
      <c r="V497" s="1160"/>
      <c r="W497" s="1160"/>
      <c r="X497" s="1211"/>
      <c r="Y497" s="1160"/>
      <c r="Z497" s="1160"/>
      <c r="AA497" s="1160"/>
      <c r="AB497" s="1160"/>
      <c r="AC497" s="1160"/>
      <c r="AD497" s="1160"/>
      <c r="AE497" s="1160"/>
    </row>
    <row r="498" ht="15.0" customHeight="1">
      <c r="A498" s="1209"/>
      <c r="B498" s="1209"/>
      <c r="C498" s="1210"/>
      <c r="D498" s="1160"/>
      <c r="E498" s="1160"/>
      <c r="F498" s="1160"/>
      <c r="G498" s="1160"/>
      <c r="H498" s="1160"/>
      <c r="I498" s="1160"/>
      <c r="J498" s="1160"/>
      <c r="K498" s="1160"/>
      <c r="L498" s="1160"/>
      <c r="M498" s="1160"/>
      <c r="N498" s="1160"/>
      <c r="O498" s="1160"/>
      <c r="P498" s="1160"/>
      <c r="Q498" s="1160"/>
      <c r="R498" s="1160"/>
      <c r="S498" s="1160"/>
      <c r="T498" s="1160"/>
      <c r="U498" s="1160"/>
      <c r="V498" s="1160"/>
      <c r="W498" s="1160"/>
      <c r="X498" s="1211"/>
      <c r="Y498" s="1160"/>
      <c r="Z498" s="1160"/>
      <c r="AA498" s="1160"/>
      <c r="AB498" s="1160"/>
      <c r="AC498" s="1160"/>
      <c r="AD498" s="1160"/>
      <c r="AE498" s="1160"/>
    </row>
    <row r="499" ht="15.0" customHeight="1">
      <c r="A499" s="1209"/>
      <c r="B499" s="1209"/>
      <c r="C499" s="1210"/>
      <c r="D499" s="1160"/>
      <c r="E499" s="1160"/>
      <c r="F499" s="1160"/>
      <c r="G499" s="1160"/>
      <c r="H499" s="1160"/>
      <c r="I499" s="1160"/>
      <c r="J499" s="1160"/>
      <c r="K499" s="1160"/>
      <c r="L499" s="1160"/>
      <c r="M499" s="1160"/>
      <c r="N499" s="1160"/>
      <c r="O499" s="1160"/>
      <c r="P499" s="1160"/>
      <c r="Q499" s="1160"/>
      <c r="R499" s="1160"/>
      <c r="S499" s="1160"/>
      <c r="T499" s="1160"/>
      <c r="U499" s="1160"/>
      <c r="V499" s="1160"/>
      <c r="W499" s="1160"/>
      <c r="X499" s="1211"/>
      <c r="Y499" s="1160"/>
      <c r="Z499" s="1160"/>
      <c r="AA499" s="1160"/>
      <c r="AB499" s="1160"/>
      <c r="AC499" s="1160"/>
      <c r="AD499" s="1160"/>
      <c r="AE499" s="1160"/>
    </row>
    <row r="500" ht="15.0" customHeight="1">
      <c r="A500" s="1209"/>
      <c r="B500" s="1209"/>
      <c r="C500" s="1210"/>
      <c r="D500" s="1160"/>
      <c r="E500" s="1160"/>
      <c r="F500" s="1160"/>
      <c r="G500" s="1160"/>
      <c r="H500" s="1160"/>
      <c r="I500" s="1160"/>
      <c r="J500" s="1160"/>
      <c r="K500" s="1160"/>
      <c r="L500" s="1160"/>
      <c r="M500" s="1160"/>
      <c r="N500" s="1160"/>
      <c r="O500" s="1160"/>
      <c r="P500" s="1160"/>
      <c r="Q500" s="1160"/>
      <c r="R500" s="1160"/>
      <c r="S500" s="1160"/>
      <c r="T500" s="1160"/>
      <c r="U500" s="1160"/>
      <c r="V500" s="1160"/>
      <c r="W500" s="1160"/>
      <c r="X500" s="1211"/>
      <c r="Y500" s="1160"/>
      <c r="Z500" s="1160"/>
      <c r="AA500" s="1160"/>
      <c r="AB500" s="1160"/>
      <c r="AC500" s="1160"/>
      <c r="AD500" s="1160"/>
      <c r="AE500" s="1160"/>
    </row>
    <row r="501" ht="15.0" customHeight="1">
      <c r="A501" s="1209"/>
      <c r="B501" s="1209"/>
      <c r="C501" s="1210"/>
      <c r="D501" s="1160"/>
      <c r="E501" s="1160"/>
      <c r="F501" s="1160"/>
      <c r="G501" s="1160"/>
      <c r="H501" s="1160"/>
      <c r="I501" s="1160"/>
      <c r="J501" s="1160"/>
      <c r="K501" s="1160"/>
      <c r="L501" s="1160"/>
      <c r="M501" s="1160"/>
      <c r="N501" s="1160"/>
      <c r="O501" s="1160"/>
      <c r="P501" s="1160"/>
      <c r="Q501" s="1160"/>
      <c r="R501" s="1160"/>
      <c r="S501" s="1160"/>
      <c r="T501" s="1160"/>
      <c r="U501" s="1160"/>
      <c r="V501" s="1160"/>
      <c r="W501" s="1160"/>
      <c r="X501" s="1211"/>
      <c r="Y501" s="1160"/>
      <c r="Z501" s="1160"/>
      <c r="AA501" s="1160"/>
      <c r="AB501" s="1160"/>
      <c r="AC501" s="1160"/>
      <c r="AD501" s="1160"/>
      <c r="AE501" s="1160"/>
    </row>
    <row r="502" ht="15.0" customHeight="1">
      <c r="A502" s="1209"/>
      <c r="B502" s="1209"/>
      <c r="C502" s="1210"/>
      <c r="D502" s="1160"/>
      <c r="E502" s="1160"/>
      <c r="F502" s="1160"/>
      <c r="G502" s="1160"/>
      <c r="H502" s="1160"/>
      <c r="I502" s="1160"/>
      <c r="J502" s="1160"/>
      <c r="K502" s="1160"/>
      <c r="L502" s="1160"/>
      <c r="M502" s="1160"/>
      <c r="N502" s="1160"/>
      <c r="O502" s="1160"/>
      <c r="P502" s="1160"/>
      <c r="Q502" s="1160"/>
      <c r="R502" s="1160"/>
      <c r="S502" s="1160"/>
      <c r="T502" s="1160"/>
      <c r="U502" s="1160"/>
      <c r="V502" s="1160"/>
      <c r="W502" s="1160"/>
      <c r="X502" s="1211"/>
      <c r="Y502" s="1160"/>
      <c r="Z502" s="1160"/>
      <c r="AA502" s="1160"/>
      <c r="AB502" s="1160"/>
      <c r="AC502" s="1160"/>
      <c r="AD502" s="1160"/>
      <c r="AE502" s="1160"/>
    </row>
    <row r="503" ht="15.0" customHeight="1">
      <c r="A503" s="1209"/>
      <c r="B503" s="1209"/>
      <c r="C503" s="1210"/>
      <c r="D503" s="1160"/>
      <c r="E503" s="1160"/>
      <c r="F503" s="1160"/>
      <c r="G503" s="1160"/>
      <c r="H503" s="1160"/>
      <c r="I503" s="1160"/>
      <c r="J503" s="1160"/>
      <c r="K503" s="1160"/>
      <c r="L503" s="1160"/>
      <c r="M503" s="1160"/>
      <c r="N503" s="1160"/>
      <c r="O503" s="1160"/>
      <c r="P503" s="1160"/>
      <c r="Q503" s="1160"/>
      <c r="R503" s="1160"/>
      <c r="S503" s="1160"/>
      <c r="T503" s="1160"/>
      <c r="U503" s="1160"/>
      <c r="V503" s="1160"/>
      <c r="W503" s="1160"/>
      <c r="X503" s="1211"/>
      <c r="Y503" s="1160"/>
      <c r="Z503" s="1160"/>
      <c r="AA503" s="1160"/>
      <c r="AB503" s="1160"/>
      <c r="AC503" s="1160"/>
      <c r="AD503" s="1160"/>
      <c r="AE503" s="1160"/>
    </row>
    <row r="504" ht="15.0" customHeight="1">
      <c r="A504" s="1209"/>
      <c r="B504" s="1209"/>
      <c r="C504" s="1210"/>
      <c r="D504" s="1160"/>
      <c r="E504" s="1160"/>
      <c r="F504" s="1160"/>
      <c r="G504" s="1160"/>
      <c r="H504" s="1160"/>
      <c r="I504" s="1160"/>
      <c r="J504" s="1160"/>
      <c r="K504" s="1160"/>
      <c r="L504" s="1160"/>
      <c r="M504" s="1160"/>
      <c r="N504" s="1160"/>
      <c r="O504" s="1160"/>
      <c r="P504" s="1160"/>
      <c r="Q504" s="1160"/>
      <c r="R504" s="1160"/>
      <c r="S504" s="1160"/>
      <c r="T504" s="1160"/>
      <c r="U504" s="1160"/>
      <c r="V504" s="1160"/>
      <c r="W504" s="1160"/>
      <c r="X504" s="1211"/>
      <c r="Y504" s="1160"/>
      <c r="Z504" s="1160"/>
      <c r="AA504" s="1160"/>
      <c r="AB504" s="1160"/>
      <c r="AC504" s="1160"/>
      <c r="AD504" s="1160"/>
      <c r="AE504" s="1160"/>
    </row>
    <row r="505" ht="15.0" customHeight="1">
      <c r="A505" s="1209"/>
      <c r="B505" s="1209"/>
      <c r="C505" s="1210"/>
      <c r="D505" s="1160"/>
      <c r="E505" s="1160"/>
      <c r="F505" s="1160"/>
      <c r="G505" s="1160"/>
      <c r="H505" s="1160"/>
      <c r="I505" s="1160"/>
      <c r="J505" s="1160"/>
      <c r="K505" s="1160"/>
      <c r="L505" s="1160"/>
      <c r="M505" s="1160"/>
      <c r="N505" s="1160"/>
      <c r="O505" s="1160"/>
      <c r="P505" s="1160"/>
      <c r="Q505" s="1160"/>
      <c r="R505" s="1160"/>
      <c r="S505" s="1160"/>
      <c r="T505" s="1160"/>
      <c r="U505" s="1160"/>
      <c r="V505" s="1160"/>
      <c r="W505" s="1160"/>
      <c r="X505" s="1211"/>
      <c r="Y505" s="1160"/>
      <c r="Z505" s="1160"/>
      <c r="AA505" s="1160"/>
      <c r="AB505" s="1160"/>
      <c r="AC505" s="1160"/>
      <c r="AD505" s="1160"/>
      <c r="AE505" s="1160"/>
    </row>
    <row r="506" ht="15.0" customHeight="1">
      <c r="A506" s="1209"/>
      <c r="B506" s="1209"/>
      <c r="C506" s="1210"/>
      <c r="D506" s="1160"/>
      <c r="E506" s="1160"/>
      <c r="F506" s="1160"/>
      <c r="G506" s="1160"/>
      <c r="H506" s="1160"/>
      <c r="I506" s="1160"/>
      <c r="J506" s="1160"/>
      <c r="K506" s="1160"/>
      <c r="L506" s="1160"/>
      <c r="M506" s="1160"/>
      <c r="N506" s="1160"/>
      <c r="O506" s="1160"/>
      <c r="P506" s="1160"/>
      <c r="Q506" s="1160"/>
      <c r="R506" s="1160"/>
      <c r="S506" s="1160"/>
      <c r="T506" s="1160"/>
      <c r="U506" s="1160"/>
      <c r="V506" s="1160"/>
      <c r="W506" s="1160"/>
      <c r="X506" s="1211"/>
      <c r="Y506" s="1160"/>
      <c r="Z506" s="1160"/>
      <c r="AA506" s="1160"/>
      <c r="AB506" s="1160"/>
      <c r="AC506" s="1160"/>
      <c r="AD506" s="1160"/>
      <c r="AE506" s="1160"/>
    </row>
    <row r="507" ht="15.0" customHeight="1">
      <c r="A507" s="1209"/>
      <c r="B507" s="1209"/>
      <c r="C507" s="1210"/>
      <c r="D507" s="1160"/>
      <c r="E507" s="1160"/>
      <c r="F507" s="1160"/>
      <c r="G507" s="1160"/>
      <c r="H507" s="1160"/>
      <c r="I507" s="1160"/>
      <c r="J507" s="1160"/>
      <c r="K507" s="1160"/>
      <c r="L507" s="1160"/>
      <c r="M507" s="1160"/>
      <c r="N507" s="1160"/>
      <c r="O507" s="1160"/>
      <c r="P507" s="1160"/>
      <c r="Q507" s="1160"/>
      <c r="R507" s="1160"/>
      <c r="S507" s="1160"/>
      <c r="T507" s="1160"/>
      <c r="U507" s="1160"/>
      <c r="V507" s="1160"/>
      <c r="W507" s="1160"/>
      <c r="X507" s="1211"/>
      <c r="Y507" s="1160"/>
      <c r="Z507" s="1160"/>
      <c r="AA507" s="1160"/>
      <c r="AB507" s="1160"/>
      <c r="AC507" s="1160"/>
      <c r="AD507" s="1160"/>
      <c r="AE507" s="1160"/>
    </row>
    <row r="508" ht="15.0" customHeight="1">
      <c r="A508" s="1209"/>
      <c r="B508" s="1209"/>
      <c r="C508" s="1210"/>
      <c r="D508" s="1160"/>
      <c r="E508" s="1160"/>
      <c r="F508" s="1160"/>
      <c r="G508" s="1160"/>
      <c r="H508" s="1160"/>
      <c r="I508" s="1160"/>
      <c r="J508" s="1160"/>
      <c r="K508" s="1160"/>
      <c r="L508" s="1160"/>
      <c r="M508" s="1160"/>
      <c r="N508" s="1160"/>
      <c r="O508" s="1160"/>
      <c r="P508" s="1160"/>
      <c r="Q508" s="1160"/>
      <c r="R508" s="1160"/>
      <c r="S508" s="1160"/>
      <c r="T508" s="1160"/>
      <c r="U508" s="1160"/>
      <c r="V508" s="1160"/>
      <c r="W508" s="1160"/>
      <c r="X508" s="1211"/>
      <c r="Y508" s="1160"/>
      <c r="Z508" s="1160"/>
      <c r="AA508" s="1160"/>
      <c r="AB508" s="1160"/>
      <c r="AC508" s="1160"/>
      <c r="AD508" s="1160"/>
      <c r="AE508" s="1160"/>
    </row>
    <row r="509" ht="15.0" customHeight="1">
      <c r="A509" s="1209"/>
      <c r="B509" s="1209"/>
      <c r="C509" s="1210"/>
      <c r="D509" s="1160"/>
      <c r="E509" s="1160"/>
      <c r="F509" s="1160"/>
      <c r="G509" s="1160"/>
      <c r="H509" s="1160"/>
      <c r="I509" s="1160"/>
      <c r="J509" s="1160"/>
      <c r="K509" s="1160"/>
      <c r="L509" s="1160"/>
      <c r="M509" s="1160"/>
      <c r="N509" s="1160"/>
      <c r="O509" s="1160"/>
      <c r="P509" s="1160"/>
      <c r="Q509" s="1160"/>
      <c r="R509" s="1160"/>
      <c r="S509" s="1160"/>
      <c r="T509" s="1160"/>
      <c r="U509" s="1160"/>
      <c r="V509" s="1160"/>
      <c r="W509" s="1160"/>
      <c r="X509" s="1211"/>
      <c r="Y509" s="1160"/>
      <c r="Z509" s="1160"/>
      <c r="AA509" s="1160"/>
      <c r="AB509" s="1160"/>
      <c r="AC509" s="1160"/>
      <c r="AD509" s="1160"/>
      <c r="AE509" s="1160"/>
    </row>
    <row r="510" ht="15.0" customHeight="1">
      <c r="A510" s="1209"/>
      <c r="B510" s="1209"/>
      <c r="C510" s="1210"/>
      <c r="D510" s="1160"/>
      <c r="E510" s="1160"/>
      <c r="F510" s="1160"/>
      <c r="G510" s="1160"/>
      <c r="H510" s="1160"/>
      <c r="I510" s="1160"/>
      <c r="J510" s="1160"/>
      <c r="K510" s="1160"/>
      <c r="L510" s="1160"/>
      <c r="M510" s="1160"/>
      <c r="N510" s="1160"/>
      <c r="O510" s="1160"/>
      <c r="P510" s="1160"/>
      <c r="Q510" s="1160"/>
      <c r="R510" s="1160"/>
      <c r="S510" s="1160"/>
      <c r="T510" s="1160"/>
      <c r="U510" s="1160"/>
      <c r="V510" s="1160"/>
      <c r="W510" s="1160"/>
      <c r="X510" s="1211"/>
      <c r="Y510" s="1160"/>
      <c r="Z510" s="1160"/>
      <c r="AA510" s="1160"/>
      <c r="AB510" s="1160"/>
      <c r="AC510" s="1160"/>
      <c r="AD510" s="1160"/>
      <c r="AE510" s="1160"/>
    </row>
    <row r="511" ht="15.0" customHeight="1">
      <c r="A511" s="1209"/>
      <c r="B511" s="1209"/>
      <c r="C511" s="1210"/>
      <c r="D511" s="1160"/>
      <c r="E511" s="1160"/>
      <c r="F511" s="1160"/>
      <c r="G511" s="1160"/>
      <c r="H511" s="1160"/>
      <c r="I511" s="1160"/>
      <c r="J511" s="1160"/>
      <c r="K511" s="1160"/>
      <c r="L511" s="1160"/>
      <c r="M511" s="1160"/>
      <c r="N511" s="1160"/>
      <c r="O511" s="1160"/>
      <c r="P511" s="1160"/>
      <c r="Q511" s="1160"/>
      <c r="R511" s="1160"/>
      <c r="S511" s="1160"/>
      <c r="T511" s="1160"/>
      <c r="U511" s="1160"/>
      <c r="V511" s="1160"/>
      <c r="W511" s="1160"/>
      <c r="X511" s="1211"/>
      <c r="Y511" s="1160"/>
      <c r="Z511" s="1160"/>
      <c r="AA511" s="1160"/>
      <c r="AB511" s="1160"/>
      <c r="AC511" s="1160"/>
      <c r="AD511" s="1160"/>
      <c r="AE511" s="1160"/>
    </row>
    <row r="512" ht="15.0" customHeight="1">
      <c r="A512" s="1209"/>
      <c r="B512" s="1209"/>
      <c r="C512" s="1210"/>
      <c r="D512" s="1160"/>
      <c r="E512" s="1160"/>
      <c r="F512" s="1160"/>
      <c r="G512" s="1160"/>
      <c r="H512" s="1160"/>
      <c r="I512" s="1160"/>
      <c r="J512" s="1160"/>
      <c r="K512" s="1160"/>
      <c r="L512" s="1160"/>
      <c r="M512" s="1160"/>
      <c r="N512" s="1160"/>
      <c r="O512" s="1160"/>
      <c r="P512" s="1160"/>
      <c r="Q512" s="1160"/>
      <c r="R512" s="1160"/>
      <c r="S512" s="1160"/>
      <c r="T512" s="1160"/>
      <c r="U512" s="1160"/>
      <c r="V512" s="1160"/>
      <c r="W512" s="1160"/>
      <c r="X512" s="1211"/>
      <c r="Y512" s="1160"/>
      <c r="Z512" s="1160"/>
      <c r="AA512" s="1160"/>
      <c r="AB512" s="1160"/>
      <c r="AC512" s="1160"/>
      <c r="AD512" s="1160"/>
      <c r="AE512" s="1160"/>
    </row>
    <row r="513" ht="15.0" customHeight="1">
      <c r="A513" s="1209"/>
      <c r="B513" s="1209"/>
      <c r="C513" s="1210"/>
      <c r="D513" s="1160"/>
      <c r="E513" s="1160"/>
      <c r="F513" s="1160"/>
      <c r="G513" s="1160"/>
      <c r="H513" s="1160"/>
      <c r="I513" s="1160"/>
      <c r="J513" s="1160"/>
      <c r="K513" s="1160"/>
      <c r="L513" s="1160"/>
      <c r="M513" s="1160"/>
      <c r="N513" s="1160"/>
      <c r="O513" s="1160"/>
      <c r="P513" s="1160"/>
      <c r="Q513" s="1160"/>
      <c r="R513" s="1160"/>
      <c r="S513" s="1160"/>
      <c r="T513" s="1160"/>
      <c r="U513" s="1160"/>
      <c r="V513" s="1160"/>
      <c r="W513" s="1160"/>
      <c r="X513" s="1211"/>
      <c r="Y513" s="1160"/>
      <c r="Z513" s="1160"/>
      <c r="AA513" s="1160"/>
      <c r="AB513" s="1160"/>
      <c r="AC513" s="1160"/>
      <c r="AD513" s="1160"/>
      <c r="AE513" s="1160"/>
    </row>
    <row r="514" ht="15.0" customHeight="1">
      <c r="A514" s="1209"/>
      <c r="B514" s="1209"/>
      <c r="C514" s="1210"/>
      <c r="D514" s="1160"/>
      <c r="E514" s="1160"/>
      <c r="F514" s="1160"/>
      <c r="G514" s="1160"/>
      <c r="H514" s="1160"/>
      <c r="I514" s="1160"/>
      <c r="J514" s="1160"/>
      <c r="K514" s="1160"/>
      <c r="L514" s="1160"/>
      <c r="M514" s="1160"/>
      <c r="N514" s="1160"/>
      <c r="O514" s="1160"/>
      <c r="P514" s="1160"/>
      <c r="Q514" s="1160"/>
      <c r="R514" s="1160"/>
      <c r="S514" s="1160"/>
      <c r="T514" s="1160"/>
      <c r="U514" s="1160"/>
      <c r="V514" s="1160"/>
      <c r="W514" s="1160"/>
      <c r="X514" s="1211"/>
      <c r="Y514" s="1160"/>
      <c r="Z514" s="1160"/>
      <c r="AA514" s="1160"/>
      <c r="AB514" s="1160"/>
      <c r="AC514" s="1160"/>
      <c r="AD514" s="1160"/>
      <c r="AE514" s="1160"/>
    </row>
    <row r="515" ht="15.0" customHeight="1">
      <c r="A515" s="1209"/>
      <c r="B515" s="1209"/>
      <c r="C515" s="1210"/>
      <c r="D515" s="1160"/>
      <c r="E515" s="1160"/>
      <c r="F515" s="1160"/>
      <c r="G515" s="1160"/>
      <c r="H515" s="1160"/>
      <c r="I515" s="1160"/>
      <c r="J515" s="1160"/>
      <c r="K515" s="1160"/>
      <c r="L515" s="1160"/>
      <c r="M515" s="1160"/>
      <c r="N515" s="1160"/>
      <c r="O515" s="1160"/>
      <c r="P515" s="1160"/>
      <c r="Q515" s="1160"/>
      <c r="R515" s="1160"/>
      <c r="S515" s="1160"/>
      <c r="T515" s="1160"/>
      <c r="U515" s="1160"/>
      <c r="V515" s="1160"/>
      <c r="W515" s="1160"/>
      <c r="X515" s="1211"/>
      <c r="Y515" s="1160"/>
      <c r="Z515" s="1160"/>
      <c r="AA515" s="1160"/>
      <c r="AB515" s="1160"/>
      <c r="AC515" s="1160"/>
      <c r="AD515" s="1160"/>
      <c r="AE515" s="1160"/>
    </row>
    <row r="516" ht="15.0" customHeight="1">
      <c r="A516" s="1209"/>
      <c r="B516" s="1209"/>
      <c r="C516" s="1210"/>
      <c r="D516" s="1160"/>
      <c r="E516" s="1160"/>
      <c r="F516" s="1160"/>
      <c r="G516" s="1160"/>
      <c r="H516" s="1160"/>
      <c r="I516" s="1160"/>
      <c r="J516" s="1160"/>
      <c r="K516" s="1160"/>
      <c r="L516" s="1160"/>
      <c r="M516" s="1160"/>
      <c r="N516" s="1160"/>
      <c r="O516" s="1160"/>
      <c r="P516" s="1160"/>
      <c r="Q516" s="1160"/>
      <c r="R516" s="1160"/>
      <c r="S516" s="1160"/>
      <c r="T516" s="1160"/>
      <c r="U516" s="1160"/>
      <c r="V516" s="1160"/>
      <c r="W516" s="1160"/>
      <c r="X516" s="1211"/>
      <c r="Y516" s="1160"/>
      <c r="Z516" s="1160"/>
      <c r="AA516" s="1160"/>
      <c r="AB516" s="1160"/>
      <c r="AC516" s="1160"/>
      <c r="AD516" s="1160"/>
      <c r="AE516" s="1160"/>
    </row>
    <row r="517" ht="15.0" customHeight="1">
      <c r="A517" s="1209"/>
      <c r="B517" s="1209"/>
      <c r="C517" s="1210"/>
      <c r="D517" s="1160"/>
      <c r="E517" s="1160"/>
      <c r="F517" s="1160"/>
      <c r="G517" s="1160"/>
      <c r="H517" s="1160"/>
      <c r="I517" s="1160"/>
      <c r="J517" s="1160"/>
      <c r="K517" s="1160"/>
      <c r="L517" s="1160"/>
      <c r="M517" s="1160"/>
      <c r="N517" s="1160"/>
      <c r="O517" s="1160"/>
      <c r="P517" s="1160"/>
      <c r="Q517" s="1160"/>
      <c r="R517" s="1160"/>
      <c r="S517" s="1160"/>
      <c r="T517" s="1160"/>
      <c r="U517" s="1160"/>
      <c r="V517" s="1160"/>
      <c r="W517" s="1160"/>
      <c r="X517" s="1211"/>
      <c r="Y517" s="1160"/>
      <c r="Z517" s="1160"/>
      <c r="AA517" s="1160"/>
      <c r="AB517" s="1160"/>
      <c r="AC517" s="1160"/>
      <c r="AD517" s="1160"/>
      <c r="AE517" s="1160"/>
    </row>
    <row r="518" ht="15.0" customHeight="1">
      <c r="A518" s="1209"/>
      <c r="B518" s="1209"/>
      <c r="C518" s="1210"/>
      <c r="D518" s="1160"/>
      <c r="E518" s="1160"/>
      <c r="F518" s="1160"/>
      <c r="G518" s="1160"/>
      <c r="H518" s="1160"/>
      <c r="I518" s="1160"/>
      <c r="J518" s="1160"/>
      <c r="K518" s="1160"/>
      <c r="L518" s="1160"/>
      <c r="M518" s="1160"/>
      <c r="N518" s="1160"/>
      <c r="O518" s="1160"/>
      <c r="P518" s="1160"/>
      <c r="Q518" s="1160"/>
      <c r="R518" s="1160"/>
      <c r="S518" s="1160"/>
      <c r="T518" s="1160"/>
      <c r="U518" s="1160"/>
      <c r="V518" s="1160"/>
      <c r="W518" s="1160"/>
      <c r="X518" s="1211"/>
      <c r="Y518" s="1160"/>
      <c r="Z518" s="1160"/>
      <c r="AA518" s="1160"/>
      <c r="AB518" s="1160"/>
      <c r="AC518" s="1160"/>
      <c r="AD518" s="1160"/>
      <c r="AE518" s="1160"/>
    </row>
    <row r="519" ht="15.0" customHeight="1">
      <c r="A519" s="1209"/>
      <c r="B519" s="1209"/>
      <c r="C519" s="1210"/>
      <c r="D519" s="1160"/>
      <c r="E519" s="1160"/>
      <c r="F519" s="1160"/>
      <c r="G519" s="1160"/>
      <c r="H519" s="1160"/>
      <c r="I519" s="1160"/>
      <c r="J519" s="1160"/>
      <c r="K519" s="1160"/>
      <c r="L519" s="1160"/>
      <c r="M519" s="1160"/>
      <c r="N519" s="1160"/>
      <c r="O519" s="1160"/>
      <c r="P519" s="1160"/>
      <c r="Q519" s="1160"/>
      <c r="R519" s="1160"/>
      <c r="S519" s="1160"/>
      <c r="T519" s="1160"/>
      <c r="U519" s="1160"/>
      <c r="V519" s="1160"/>
      <c r="W519" s="1160"/>
      <c r="X519" s="1211"/>
      <c r="Y519" s="1160"/>
      <c r="Z519" s="1160"/>
      <c r="AA519" s="1160"/>
      <c r="AB519" s="1160"/>
      <c r="AC519" s="1160"/>
      <c r="AD519" s="1160"/>
      <c r="AE519" s="1160"/>
    </row>
    <row r="520" ht="15.0" customHeight="1">
      <c r="A520" s="1209"/>
      <c r="B520" s="1209"/>
      <c r="C520" s="1210"/>
      <c r="D520" s="1160"/>
      <c r="E520" s="1160"/>
      <c r="F520" s="1160"/>
      <c r="G520" s="1160"/>
      <c r="H520" s="1160"/>
      <c r="I520" s="1160"/>
      <c r="J520" s="1160"/>
      <c r="K520" s="1160"/>
      <c r="L520" s="1160"/>
      <c r="M520" s="1160"/>
      <c r="N520" s="1160"/>
      <c r="O520" s="1160"/>
      <c r="P520" s="1160"/>
      <c r="Q520" s="1160"/>
      <c r="R520" s="1160"/>
      <c r="S520" s="1160"/>
      <c r="T520" s="1160"/>
      <c r="U520" s="1160"/>
      <c r="V520" s="1160"/>
      <c r="W520" s="1160"/>
      <c r="X520" s="1211"/>
      <c r="Y520" s="1160"/>
      <c r="Z520" s="1160"/>
      <c r="AA520" s="1160"/>
      <c r="AB520" s="1160"/>
      <c r="AC520" s="1160"/>
      <c r="AD520" s="1160"/>
      <c r="AE520" s="1160"/>
    </row>
    <row r="521" ht="15.0" customHeight="1">
      <c r="A521" s="1209"/>
      <c r="B521" s="1209"/>
      <c r="C521" s="1210"/>
      <c r="D521" s="1160"/>
      <c r="E521" s="1160"/>
      <c r="F521" s="1160"/>
      <c r="G521" s="1160"/>
      <c r="H521" s="1160"/>
      <c r="I521" s="1160"/>
      <c r="J521" s="1160"/>
      <c r="K521" s="1160"/>
      <c r="L521" s="1160"/>
      <c r="M521" s="1160"/>
      <c r="N521" s="1160"/>
      <c r="O521" s="1160"/>
      <c r="P521" s="1160"/>
      <c r="Q521" s="1160"/>
      <c r="R521" s="1160"/>
      <c r="S521" s="1160"/>
      <c r="T521" s="1160"/>
      <c r="U521" s="1160"/>
      <c r="V521" s="1160"/>
      <c r="W521" s="1160"/>
      <c r="X521" s="1211"/>
      <c r="Y521" s="1160"/>
      <c r="Z521" s="1160"/>
      <c r="AA521" s="1160"/>
      <c r="AB521" s="1160"/>
      <c r="AC521" s="1160"/>
      <c r="AD521" s="1160"/>
      <c r="AE521" s="1160"/>
    </row>
    <row r="522" ht="15.0" customHeight="1">
      <c r="A522" s="1209"/>
      <c r="B522" s="1209"/>
      <c r="C522" s="1210"/>
      <c r="D522" s="1160"/>
      <c r="E522" s="1160"/>
      <c r="F522" s="1160"/>
      <c r="G522" s="1160"/>
      <c r="H522" s="1160"/>
      <c r="I522" s="1160"/>
      <c r="J522" s="1160"/>
      <c r="K522" s="1160"/>
      <c r="L522" s="1160"/>
      <c r="M522" s="1160"/>
      <c r="N522" s="1160"/>
      <c r="O522" s="1160"/>
      <c r="P522" s="1160"/>
      <c r="Q522" s="1160"/>
      <c r="R522" s="1160"/>
      <c r="S522" s="1160"/>
      <c r="T522" s="1160"/>
      <c r="U522" s="1160"/>
      <c r="V522" s="1160"/>
      <c r="W522" s="1160"/>
      <c r="X522" s="1211"/>
      <c r="Y522" s="1160"/>
      <c r="Z522" s="1160"/>
      <c r="AA522" s="1160"/>
      <c r="AB522" s="1160"/>
      <c r="AC522" s="1160"/>
      <c r="AD522" s="1160"/>
      <c r="AE522" s="1160"/>
    </row>
    <row r="523" ht="15.0" customHeight="1">
      <c r="A523" s="1209"/>
      <c r="B523" s="1209"/>
      <c r="C523" s="1210"/>
      <c r="D523" s="1160"/>
      <c r="E523" s="1160"/>
      <c r="F523" s="1160"/>
      <c r="G523" s="1160"/>
      <c r="H523" s="1160"/>
      <c r="I523" s="1160"/>
      <c r="J523" s="1160"/>
      <c r="K523" s="1160"/>
      <c r="L523" s="1160"/>
      <c r="M523" s="1160"/>
      <c r="N523" s="1160"/>
      <c r="O523" s="1160"/>
      <c r="P523" s="1160"/>
      <c r="Q523" s="1160"/>
      <c r="R523" s="1160"/>
      <c r="S523" s="1160"/>
      <c r="T523" s="1160"/>
      <c r="U523" s="1160"/>
      <c r="V523" s="1160"/>
      <c r="W523" s="1160"/>
      <c r="X523" s="1211"/>
      <c r="Y523" s="1160"/>
      <c r="Z523" s="1160"/>
      <c r="AA523" s="1160"/>
      <c r="AB523" s="1160"/>
      <c r="AC523" s="1160"/>
      <c r="AD523" s="1160"/>
      <c r="AE523" s="1160"/>
    </row>
    <row r="524" ht="15.0" customHeight="1">
      <c r="A524" s="1209"/>
      <c r="B524" s="1209"/>
      <c r="C524" s="1210"/>
      <c r="D524" s="1160"/>
      <c r="E524" s="1160"/>
      <c r="F524" s="1160"/>
      <c r="G524" s="1160"/>
      <c r="H524" s="1160"/>
      <c r="I524" s="1160"/>
      <c r="J524" s="1160"/>
      <c r="K524" s="1160"/>
      <c r="L524" s="1160"/>
      <c r="M524" s="1160"/>
      <c r="N524" s="1160"/>
      <c r="O524" s="1160"/>
      <c r="P524" s="1160"/>
      <c r="Q524" s="1160"/>
      <c r="R524" s="1160"/>
      <c r="S524" s="1160"/>
      <c r="T524" s="1160"/>
      <c r="U524" s="1160"/>
      <c r="V524" s="1160"/>
      <c r="W524" s="1160"/>
      <c r="X524" s="1211"/>
      <c r="Y524" s="1160"/>
      <c r="Z524" s="1160"/>
      <c r="AA524" s="1160"/>
      <c r="AB524" s="1160"/>
      <c r="AC524" s="1160"/>
      <c r="AD524" s="1160"/>
      <c r="AE524" s="1160"/>
    </row>
    <row r="525" ht="15.0" customHeight="1">
      <c r="A525" s="1209"/>
      <c r="B525" s="1209"/>
      <c r="C525" s="1210"/>
      <c r="D525" s="1160"/>
      <c r="E525" s="1160"/>
      <c r="F525" s="1160"/>
      <c r="G525" s="1160"/>
      <c r="H525" s="1160"/>
      <c r="I525" s="1160"/>
      <c r="J525" s="1160"/>
      <c r="K525" s="1160"/>
      <c r="L525" s="1160"/>
      <c r="M525" s="1160"/>
      <c r="N525" s="1160"/>
      <c r="O525" s="1160"/>
      <c r="P525" s="1160"/>
      <c r="Q525" s="1160"/>
      <c r="R525" s="1160"/>
      <c r="S525" s="1160"/>
      <c r="T525" s="1160"/>
      <c r="U525" s="1160"/>
      <c r="V525" s="1160"/>
      <c r="W525" s="1160"/>
      <c r="X525" s="1211"/>
      <c r="Y525" s="1160"/>
      <c r="Z525" s="1160"/>
      <c r="AA525" s="1160"/>
      <c r="AB525" s="1160"/>
      <c r="AC525" s="1160"/>
      <c r="AD525" s="1160"/>
      <c r="AE525" s="1160"/>
    </row>
    <row r="526" ht="15.0" customHeight="1">
      <c r="A526" s="1209"/>
      <c r="B526" s="1209"/>
      <c r="C526" s="1210"/>
      <c r="D526" s="1160"/>
      <c r="E526" s="1160"/>
      <c r="F526" s="1160"/>
      <c r="G526" s="1160"/>
      <c r="H526" s="1160"/>
      <c r="I526" s="1160"/>
      <c r="J526" s="1160"/>
      <c r="K526" s="1160"/>
      <c r="L526" s="1160"/>
      <c r="M526" s="1160"/>
      <c r="N526" s="1160"/>
      <c r="O526" s="1160"/>
      <c r="P526" s="1160"/>
      <c r="Q526" s="1160"/>
      <c r="R526" s="1160"/>
      <c r="S526" s="1160"/>
      <c r="T526" s="1160"/>
      <c r="U526" s="1160"/>
      <c r="V526" s="1160"/>
      <c r="W526" s="1160"/>
      <c r="X526" s="1211"/>
      <c r="Y526" s="1160"/>
      <c r="Z526" s="1160"/>
      <c r="AA526" s="1160"/>
      <c r="AB526" s="1160"/>
      <c r="AC526" s="1160"/>
      <c r="AD526" s="1160"/>
      <c r="AE526" s="1160"/>
    </row>
    <row r="527" ht="15.0" customHeight="1">
      <c r="A527" s="1209"/>
      <c r="B527" s="1209"/>
      <c r="C527" s="1210"/>
      <c r="D527" s="1160"/>
      <c r="E527" s="1160"/>
      <c r="F527" s="1160"/>
      <c r="G527" s="1160"/>
      <c r="H527" s="1160"/>
      <c r="I527" s="1160"/>
      <c r="J527" s="1160"/>
      <c r="K527" s="1160"/>
      <c r="L527" s="1160"/>
      <c r="M527" s="1160"/>
      <c r="N527" s="1160"/>
      <c r="O527" s="1160"/>
      <c r="P527" s="1160"/>
      <c r="Q527" s="1160"/>
      <c r="R527" s="1160"/>
      <c r="S527" s="1160"/>
      <c r="T527" s="1160"/>
      <c r="U527" s="1160"/>
      <c r="V527" s="1160"/>
      <c r="W527" s="1160"/>
      <c r="X527" s="1211"/>
      <c r="Y527" s="1160"/>
      <c r="Z527" s="1160"/>
      <c r="AA527" s="1160"/>
      <c r="AB527" s="1160"/>
      <c r="AC527" s="1160"/>
      <c r="AD527" s="1160"/>
      <c r="AE527" s="1160"/>
    </row>
    <row r="528" ht="15.0" customHeight="1">
      <c r="A528" s="1209"/>
      <c r="B528" s="1209"/>
      <c r="C528" s="1210"/>
      <c r="D528" s="1160"/>
      <c r="E528" s="1160"/>
      <c r="F528" s="1160"/>
      <c r="G528" s="1160"/>
      <c r="H528" s="1160"/>
      <c r="I528" s="1160"/>
      <c r="J528" s="1160"/>
      <c r="K528" s="1160"/>
      <c r="L528" s="1160"/>
      <c r="M528" s="1160"/>
      <c r="N528" s="1160"/>
      <c r="O528" s="1160"/>
      <c r="P528" s="1160"/>
      <c r="Q528" s="1160"/>
      <c r="R528" s="1160"/>
      <c r="S528" s="1160"/>
      <c r="T528" s="1160"/>
      <c r="U528" s="1160"/>
      <c r="V528" s="1160"/>
      <c r="W528" s="1160"/>
      <c r="X528" s="1211"/>
      <c r="Y528" s="1160"/>
      <c r="Z528" s="1160"/>
      <c r="AA528" s="1160"/>
      <c r="AB528" s="1160"/>
      <c r="AC528" s="1160"/>
      <c r="AD528" s="1160"/>
      <c r="AE528" s="1160"/>
    </row>
    <row r="529" ht="15.0" customHeight="1">
      <c r="A529" s="1209"/>
      <c r="B529" s="1209"/>
      <c r="C529" s="1210"/>
      <c r="D529" s="1160"/>
      <c r="E529" s="1160"/>
      <c r="F529" s="1160"/>
      <c r="G529" s="1160"/>
      <c r="H529" s="1160"/>
      <c r="I529" s="1160"/>
      <c r="J529" s="1160"/>
      <c r="K529" s="1160"/>
      <c r="L529" s="1160"/>
      <c r="M529" s="1160"/>
      <c r="N529" s="1160"/>
      <c r="O529" s="1160"/>
      <c r="P529" s="1160"/>
      <c r="Q529" s="1160"/>
      <c r="R529" s="1160"/>
      <c r="S529" s="1160"/>
      <c r="T529" s="1160"/>
      <c r="U529" s="1160"/>
      <c r="V529" s="1160"/>
      <c r="W529" s="1160"/>
      <c r="X529" s="1211"/>
      <c r="Y529" s="1160"/>
      <c r="Z529" s="1160"/>
      <c r="AA529" s="1160"/>
      <c r="AB529" s="1160"/>
      <c r="AC529" s="1160"/>
      <c r="AD529" s="1160"/>
      <c r="AE529" s="1160"/>
    </row>
    <row r="530" ht="15.0" customHeight="1">
      <c r="A530" s="1209"/>
      <c r="B530" s="1209"/>
      <c r="C530" s="1210"/>
      <c r="D530" s="1160"/>
      <c r="E530" s="1160"/>
      <c r="F530" s="1160"/>
      <c r="G530" s="1160"/>
      <c r="H530" s="1160"/>
      <c r="I530" s="1160"/>
      <c r="J530" s="1160"/>
      <c r="K530" s="1160"/>
      <c r="L530" s="1160"/>
      <c r="M530" s="1160"/>
      <c r="N530" s="1160"/>
      <c r="O530" s="1160"/>
      <c r="P530" s="1160"/>
      <c r="Q530" s="1160"/>
      <c r="R530" s="1160"/>
      <c r="S530" s="1160"/>
      <c r="T530" s="1160"/>
      <c r="U530" s="1160"/>
      <c r="V530" s="1160"/>
      <c r="W530" s="1160"/>
      <c r="X530" s="1211"/>
      <c r="Y530" s="1160"/>
      <c r="Z530" s="1160"/>
      <c r="AA530" s="1160"/>
      <c r="AB530" s="1160"/>
      <c r="AC530" s="1160"/>
      <c r="AD530" s="1160"/>
      <c r="AE530" s="1160"/>
    </row>
    <row r="531" ht="15.0" customHeight="1">
      <c r="A531" s="1209"/>
      <c r="B531" s="1209"/>
      <c r="C531" s="1210"/>
      <c r="D531" s="1160"/>
      <c r="E531" s="1160"/>
      <c r="F531" s="1160"/>
      <c r="G531" s="1160"/>
      <c r="H531" s="1160"/>
      <c r="I531" s="1160"/>
      <c r="J531" s="1160"/>
      <c r="K531" s="1160"/>
      <c r="L531" s="1160"/>
      <c r="M531" s="1160"/>
      <c r="N531" s="1160"/>
      <c r="O531" s="1160"/>
      <c r="P531" s="1160"/>
      <c r="Q531" s="1160"/>
      <c r="R531" s="1160"/>
      <c r="S531" s="1160"/>
      <c r="T531" s="1160"/>
      <c r="U531" s="1160"/>
      <c r="V531" s="1160"/>
      <c r="W531" s="1160"/>
      <c r="X531" s="1211"/>
      <c r="Y531" s="1160"/>
      <c r="Z531" s="1160"/>
      <c r="AA531" s="1160"/>
      <c r="AB531" s="1160"/>
      <c r="AC531" s="1160"/>
      <c r="AD531" s="1160"/>
      <c r="AE531" s="1160"/>
    </row>
    <row r="532" ht="15.0" customHeight="1">
      <c r="A532" s="1209"/>
      <c r="B532" s="1209"/>
      <c r="C532" s="1210"/>
      <c r="D532" s="1160"/>
      <c r="E532" s="1160"/>
      <c r="F532" s="1160"/>
      <c r="G532" s="1160"/>
      <c r="H532" s="1160"/>
      <c r="I532" s="1160"/>
      <c r="J532" s="1160"/>
      <c r="K532" s="1160"/>
      <c r="L532" s="1160"/>
      <c r="M532" s="1160"/>
      <c r="N532" s="1160"/>
      <c r="O532" s="1160"/>
      <c r="P532" s="1160"/>
      <c r="Q532" s="1160"/>
      <c r="R532" s="1160"/>
      <c r="S532" s="1160"/>
      <c r="T532" s="1160"/>
      <c r="U532" s="1160"/>
      <c r="V532" s="1160"/>
      <c r="W532" s="1160"/>
      <c r="X532" s="1211"/>
      <c r="Y532" s="1160"/>
      <c r="Z532" s="1160"/>
      <c r="AA532" s="1160"/>
      <c r="AB532" s="1160"/>
      <c r="AC532" s="1160"/>
      <c r="AD532" s="1160"/>
      <c r="AE532" s="1160"/>
    </row>
    <row r="533" ht="15.0" customHeight="1">
      <c r="A533" s="1209"/>
      <c r="B533" s="1209"/>
      <c r="C533" s="1210"/>
      <c r="D533" s="1160"/>
      <c r="E533" s="1160"/>
      <c r="F533" s="1160"/>
      <c r="G533" s="1160"/>
      <c r="H533" s="1160"/>
      <c r="I533" s="1160"/>
      <c r="J533" s="1160"/>
      <c r="K533" s="1160"/>
      <c r="L533" s="1160"/>
      <c r="M533" s="1160"/>
      <c r="N533" s="1160"/>
      <c r="O533" s="1160"/>
      <c r="P533" s="1160"/>
      <c r="Q533" s="1160"/>
      <c r="R533" s="1160"/>
      <c r="S533" s="1160"/>
      <c r="T533" s="1160"/>
      <c r="U533" s="1160"/>
      <c r="V533" s="1160"/>
      <c r="W533" s="1160"/>
      <c r="X533" s="1211"/>
      <c r="Y533" s="1160"/>
      <c r="Z533" s="1160"/>
      <c r="AA533" s="1160"/>
      <c r="AB533" s="1160"/>
      <c r="AC533" s="1160"/>
      <c r="AD533" s="1160"/>
      <c r="AE533" s="1160"/>
    </row>
    <row r="534" ht="15.0" customHeight="1">
      <c r="A534" s="1209"/>
      <c r="B534" s="1209"/>
      <c r="C534" s="1210"/>
      <c r="D534" s="1160"/>
      <c r="E534" s="1160"/>
      <c r="F534" s="1160"/>
      <c r="G534" s="1160"/>
      <c r="H534" s="1160"/>
      <c r="I534" s="1160"/>
      <c r="J534" s="1160"/>
      <c r="K534" s="1160"/>
      <c r="L534" s="1160"/>
      <c r="M534" s="1160"/>
      <c r="N534" s="1160"/>
      <c r="O534" s="1160"/>
      <c r="P534" s="1160"/>
      <c r="Q534" s="1160"/>
      <c r="R534" s="1160"/>
      <c r="S534" s="1160"/>
      <c r="T534" s="1160"/>
      <c r="U534" s="1160"/>
      <c r="V534" s="1160"/>
      <c r="W534" s="1160"/>
      <c r="X534" s="1211"/>
      <c r="Y534" s="1160"/>
      <c r="Z534" s="1160"/>
      <c r="AA534" s="1160"/>
      <c r="AB534" s="1160"/>
      <c r="AC534" s="1160"/>
      <c r="AD534" s="1160"/>
      <c r="AE534" s="1160"/>
    </row>
    <row r="535" ht="15.0" customHeight="1">
      <c r="A535" s="1209"/>
      <c r="B535" s="1209"/>
      <c r="C535" s="1210"/>
      <c r="D535" s="1160"/>
      <c r="E535" s="1160"/>
      <c r="F535" s="1160"/>
      <c r="G535" s="1160"/>
      <c r="H535" s="1160"/>
      <c r="I535" s="1160"/>
      <c r="J535" s="1160"/>
      <c r="K535" s="1160"/>
      <c r="L535" s="1160"/>
      <c r="M535" s="1160"/>
      <c r="N535" s="1160"/>
      <c r="O535" s="1160"/>
      <c r="P535" s="1160"/>
      <c r="Q535" s="1160"/>
      <c r="R535" s="1160"/>
      <c r="S535" s="1160"/>
      <c r="T535" s="1160"/>
      <c r="U535" s="1160"/>
      <c r="V535" s="1160"/>
      <c r="W535" s="1160"/>
      <c r="X535" s="1211"/>
      <c r="Y535" s="1160"/>
      <c r="Z535" s="1160"/>
      <c r="AA535" s="1160"/>
      <c r="AB535" s="1160"/>
      <c r="AC535" s="1160"/>
      <c r="AD535" s="1160"/>
      <c r="AE535" s="1160"/>
    </row>
    <row r="536" ht="15.0" customHeight="1">
      <c r="A536" s="1209"/>
      <c r="B536" s="1209"/>
      <c r="C536" s="1210"/>
      <c r="D536" s="1160"/>
      <c r="E536" s="1160"/>
      <c r="F536" s="1160"/>
      <c r="G536" s="1160"/>
      <c r="H536" s="1160"/>
      <c r="I536" s="1160"/>
      <c r="J536" s="1160"/>
      <c r="K536" s="1160"/>
      <c r="L536" s="1160"/>
      <c r="M536" s="1160"/>
      <c r="N536" s="1160"/>
      <c r="O536" s="1160"/>
      <c r="P536" s="1160"/>
      <c r="Q536" s="1160"/>
      <c r="R536" s="1160"/>
      <c r="S536" s="1160"/>
      <c r="T536" s="1160"/>
      <c r="U536" s="1160"/>
      <c r="V536" s="1160"/>
      <c r="W536" s="1160"/>
      <c r="X536" s="1211"/>
      <c r="Y536" s="1160"/>
      <c r="Z536" s="1160"/>
      <c r="AA536" s="1160"/>
      <c r="AB536" s="1160"/>
      <c r="AC536" s="1160"/>
      <c r="AD536" s="1160"/>
      <c r="AE536" s="1160"/>
    </row>
    <row r="537" ht="15.0" customHeight="1">
      <c r="A537" s="1209"/>
      <c r="B537" s="1209"/>
      <c r="C537" s="1210"/>
      <c r="D537" s="1160"/>
      <c r="E537" s="1160"/>
      <c r="F537" s="1160"/>
      <c r="G537" s="1160"/>
      <c r="H537" s="1160"/>
      <c r="I537" s="1160"/>
      <c r="J537" s="1160"/>
      <c r="K537" s="1160"/>
      <c r="L537" s="1160"/>
      <c r="M537" s="1160"/>
      <c r="N537" s="1160"/>
      <c r="O537" s="1160"/>
      <c r="P537" s="1160"/>
      <c r="Q537" s="1160"/>
      <c r="R537" s="1160"/>
      <c r="S537" s="1160"/>
      <c r="T537" s="1160"/>
      <c r="U537" s="1160"/>
      <c r="V537" s="1160"/>
      <c r="W537" s="1160"/>
      <c r="X537" s="1211"/>
      <c r="Y537" s="1160"/>
      <c r="Z537" s="1160"/>
      <c r="AA537" s="1160"/>
      <c r="AB537" s="1160"/>
      <c r="AC537" s="1160"/>
      <c r="AD537" s="1160"/>
      <c r="AE537" s="1160"/>
    </row>
    <row r="538" ht="15.0" customHeight="1">
      <c r="A538" s="1209"/>
      <c r="B538" s="1209"/>
      <c r="C538" s="1210"/>
      <c r="D538" s="1160"/>
      <c r="E538" s="1160"/>
      <c r="F538" s="1160"/>
      <c r="G538" s="1160"/>
      <c r="H538" s="1160"/>
      <c r="I538" s="1160"/>
      <c r="J538" s="1160"/>
      <c r="K538" s="1160"/>
      <c r="L538" s="1160"/>
      <c r="M538" s="1160"/>
      <c r="N538" s="1160"/>
      <c r="O538" s="1160"/>
      <c r="P538" s="1160"/>
      <c r="Q538" s="1160"/>
      <c r="R538" s="1160"/>
      <c r="S538" s="1160"/>
      <c r="T538" s="1160"/>
      <c r="U538" s="1160"/>
      <c r="V538" s="1160"/>
      <c r="W538" s="1160"/>
      <c r="X538" s="1211"/>
      <c r="Y538" s="1160"/>
      <c r="Z538" s="1160"/>
      <c r="AA538" s="1160"/>
      <c r="AB538" s="1160"/>
      <c r="AC538" s="1160"/>
      <c r="AD538" s="1160"/>
      <c r="AE538" s="1160"/>
    </row>
    <row r="539" ht="15.0" customHeight="1">
      <c r="A539" s="1209"/>
      <c r="B539" s="1209"/>
      <c r="C539" s="1210"/>
      <c r="D539" s="1160"/>
      <c r="E539" s="1160"/>
      <c r="F539" s="1160"/>
      <c r="G539" s="1160"/>
      <c r="H539" s="1160"/>
      <c r="I539" s="1160"/>
      <c r="J539" s="1160"/>
      <c r="K539" s="1160"/>
      <c r="L539" s="1160"/>
      <c r="M539" s="1160"/>
      <c r="N539" s="1160"/>
      <c r="O539" s="1160"/>
      <c r="P539" s="1160"/>
      <c r="Q539" s="1160"/>
      <c r="R539" s="1160"/>
      <c r="S539" s="1160"/>
      <c r="T539" s="1160"/>
      <c r="U539" s="1160"/>
      <c r="V539" s="1160"/>
      <c r="W539" s="1160"/>
      <c r="X539" s="1211"/>
      <c r="Y539" s="1160"/>
      <c r="Z539" s="1160"/>
      <c r="AA539" s="1160"/>
      <c r="AB539" s="1160"/>
      <c r="AC539" s="1160"/>
      <c r="AD539" s="1160"/>
      <c r="AE539" s="1160"/>
    </row>
    <row r="540" ht="15.0" customHeight="1">
      <c r="A540" s="1209"/>
      <c r="B540" s="1209"/>
      <c r="C540" s="1210"/>
      <c r="D540" s="1160"/>
      <c r="E540" s="1160"/>
      <c r="F540" s="1160"/>
      <c r="G540" s="1160"/>
      <c r="H540" s="1160"/>
      <c r="I540" s="1160"/>
      <c r="J540" s="1160"/>
      <c r="K540" s="1160"/>
      <c r="L540" s="1160"/>
      <c r="M540" s="1160"/>
      <c r="N540" s="1160"/>
      <c r="O540" s="1160"/>
      <c r="P540" s="1160"/>
      <c r="Q540" s="1160"/>
      <c r="R540" s="1160"/>
      <c r="S540" s="1160"/>
      <c r="T540" s="1160"/>
      <c r="U540" s="1160"/>
      <c r="V540" s="1160"/>
      <c r="W540" s="1160"/>
      <c r="X540" s="1211"/>
      <c r="Y540" s="1160"/>
      <c r="Z540" s="1160"/>
      <c r="AA540" s="1160"/>
      <c r="AB540" s="1160"/>
      <c r="AC540" s="1160"/>
      <c r="AD540" s="1160"/>
      <c r="AE540" s="1160"/>
    </row>
    <row r="541" ht="15.0" customHeight="1">
      <c r="A541" s="1209"/>
      <c r="B541" s="1209"/>
      <c r="C541" s="1210"/>
      <c r="D541" s="1160"/>
      <c r="E541" s="1160"/>
      <c r="F541" s="1160"/>
      <c r="G541" s="1160"/>
      <c r="H541" s="1160"/>
      <c r="I541" s="1160"/>
      <c r="J541" s="1160"/>
      <c r="K541" s="1160"/>
      <c r="L541" s="1160"/>
      <c r="M541" s="1160"/>
      <c r="N541" s="1160"/>
      <c r="O541" s="1160"/>
      <c r="P541" s="1160"/>
      <c r="Q541" s="1160"/>
      <c r="R541" s="1160"/>
      <c r="S541" s="1160"/>
      <c r="T541" s="1160"/>
      <c r="U541" s="1160"/>
      <c r="V541" s="1160"/>
      <c r="W541" s="1160"/>
      <c r="X541" s="1211"/>
      <c r="Y541" s="1160"/>
      <c r="Z541" s="1160"/>
      <c r="AA541" s="1160"/>
      <c r="AB541" s="1160"/>
      <c r="AC541" s="1160"/>
      <c r="AD541" s="1160"/>
      <c r="AE541" s="1160"/>
    </row>
    <row r="542" ht="15.0" customHeight="1">
      <c r="A542" s="1209"/>
      <c r="B542" s="1209"/>
      <c r="C542" s="1210"/>
      <c r="D542" s="1160"/>
      <c r="E542" s="1160"/>
      <c r="F542" s="1160"/>
      <c r="G542" s="1160"/>
      <c r="H542" s="1160"/>
      <c r="I542" s="1160"/>
      <c r="J542" s="1160"/>
      <c r="K542" s="1160"/>
      <c r="L542" s="1160"/>
      <c r="M542" s="1160"/>
      <c r="N542" s="1160"/>
      <c r="O542" s="1160"/>
      <c r="P542" s="1160"/>
      <c r="Q542" s="1160"/>
      <c r="R542" s="1160"/>
      <c r="S542" s="1160"/>
      <c r="T542" s="1160"/>
      <c r="U542" s="1160"/>
      <c r="V542" s="1160"/>
      <c r="W542" s="1160"/>
      <c r="X542" s="1211"/>
      <c r="Y542" s="1160"/>
      <c r="Z542" s="1160"/>
      <c r="AA542" s="1160"/>
      <c r="AB542" s="1160"/>
      <c r="AC542" s="1160"/>
      <c r="AD542" s="1160"/>
      <c r="AE542" s="1160"/>
    </row>
    <row r="543" ht="15.0" customHeight="1">
      <c r="A543" s="1209"/>
      <c r="B543" s="1209"/>
      <c r="C543" s="1210"/>
      <c r="D543" s="1160"/>
      <c r="E543" s="1160"/>
      <c r="F543" s="1160"/>
      <c r="G543" s="1160"/>
      <c r="H543" s="1160"/>
      <c r="I543" s="1160"/>
      <c r="J543" s="1160"/>
      <c r="K543" s="1160"/>
      <c r="L543" s="1160"/>
      <c r="M543" s="1160"/>
      <c r="N543" s="1160"/>
      <c r="O543" s="1160"/>
      <c r="P543" s="1160"/>
      <c r="Q543" s="1160"/>
      <c r="R543" s="1160"/>
      <c r="S543" s="1160"/>
      <c r="T543" s="1160"/>
      <c r="U543" s="1160"/>
      <c r="V543" s="1160"/>
      <c r="W543" s="1160"/>
      <c r="X543" s="1211"/>
      <c r="Y543" s="1160"/>
      <c r="Z543" s="1160"/>
      <c r="AA543" s="1160"/>
      <c r="AB543" s="1160"/>
      <c r="AC543" s="1160"/>
      <c r="AD543" s="1160"/>
      <c r="AE543" s="1160"/>
    </row>
    <row r="544" ht="15.0" customHeight="1">
      <c r="A544" s="1209"/>
      <c r="B544" s="1209"/>
      <c r="C544" s="1210"/>
      <c r="D544" s="1160"/>
      <c r="E544" s="1160"/>
      <c r="F544" s="1160"/>
      <c r="G544" s="1160"/>
      <c r="H544" s="1160"/>
      <c r="I544" s="1160"/>
      <c r="J544" s="1160"/>
      <c r="K544" s="1160"/>
      <c r="L544" s="1160"/>
      <c r="M544" s="1160"/>
      <c r="N544" s="1160"/>
      <c r="O544" s="1160"/>
      <c r="P544" s="1160"/>
      <c r="Q544" s="1160"/>
      <c r="R544" s="1160"/>
      <c r="S544" s="1160"/>
      <c r="T544" s="1160"/>
      <c r="U544" s="1160"/>
      <c r="V544" s="1160"/>
      <c r="W544" s="1160"/>
      <c r="X544" s="1211"/>
      <c r="Y544" s="1160"/>
      <c r="Z544" s="1160"/>
      <c r="AA544" s="1160"/>
      <c r="AB544" s="1160"/>
      <c r="AC544" s="1160"/>
      <c r="AD544" s="1160"/>
      <c r="AE544" s="1160"/>
    </row>
    <row r="545" ht="15.0" customHeight="1">
      <c r="A545" s="1209"/>
      <c r="B545" s="1209"/>
      <c r="C545" s="1210"/>
      <c r="D545" s="1160"/>
      <c r="E545" s="1160"/>
      <c r="F545" s="1160"/>
      <c r="G545" s="1160"/>
      <c r="H545" s="1160"/>
      <c r="I545" s="1160"/>
      <c r="J545" s="1160"/>
      <c r="K545" s="1160"/>
      <c r="L545" s="1160"/>
      <c r="M545" s="1160"/>
      <c r="N545" s="1160"/>
      <c r="O545" s="1160"/>
      <c r="P545" s="1160"/>
      <c r="Q545" s="1160"/>
      <c r="R545" s="1160"/>
      <c r="S545" s="1160"/>
      <c r="T545" s="1160"/>
      <c r="U545" s="1160"/>
      <c r="V545" s="1160"/>
      <c r="W545" s="1160"/>
      <c r="X545" s="1211"/>
      <c r="Y545" s="1160"/>
      <c r="Z545" s="1160"/>
      <c r="AA545" s="1160"/>
      <c r="AB545" s="1160"/>
      <c r="AC545" s="1160"/>
      <c r="AD545" s="1160"/>
      <c r="AE545" s="1160"/>
    </row>
    <row r="546" ht="15.0" customHeight="1">
      <c r="A546" s="1209"/>
      <c r="B546" s="1209"/>
      <c r="C546" s="1210"/>
      <c r="D546" s="1160"/>
      <c r="E546" s="1160"/>
      <c r="F546" s="1160"/>
      <c r="G546" s="1160"/>
      <c r="H546" s="1160"/>
      <c r="I546" s="1160"/>
      <c r="J546" s="1160"/>
      <c r="K546" s="1160"/>
      <c r="L546" s="1160"/>
      <c r="M546" s="1160"/>
      <c r="N546" s="1160"/>
      <c r="O546" s="1160"/>
      <c r="P546" s="1160"/>
      <c r="Q546" s="1160"/>
      <c r="R546" s="1160"/>
      <c r="S546" s="1160"/>
      <c r="T546" s="1160"/>
      <c r="U546" s="1160"/>
      <c r="V546" s="1160"/>
      <c r="W546" s="1160"/>
      <c r="X546" s="1211"/>
      <c r="Y546" s="1160"/>
      <c r="Z546" s="1160"/>
      <c r="AA546" s="1160"/>
      <c r="AB546" s="1160"/>
      <c r="AC546" s="1160"/>
      <c r="AD546" s="1160"/>
      <c r="AE546" s="1160"/>
    </row>
    <row r="547" ht="15.0" customHeight="1">
      <c r="A547" s="1209"/>
      <c r="B547" s="1209"/>
      <c r="C547" s="1210"/>
      <c r="D547" s="1160"/>
      <c r="E547" s="1160"/>
      <c r="F547" s="1160"/>
      <c r="G547" s="1160"/>
      <c r="H547" s="1160"/>
      <c r="I547" s="1160"/>
      <c r="J547" s="1160"/>
      <c r="K547" s="1160"/>
      <c r="L547" s="1160"/>
      <c r="M547" s="1160"/>
      <c r="N547" s="1160"/>
      <c r="O547" s="1160"/>
      <c r="P547" s="1160"/>
      <c r="Q547" s="1160"/>
      <c r="R547" s="1160"/>
      <c r="S547" s="1160"/>
      <c r="T547" s="1160"/>
      <c r="U547" s="1160"/>
      <c r="V547" s="1160"/>
      <c r="W547" s="1160"/>
      <c r="X547" s="1211"/>
      <c r="Y547" s="1160"/>
      <c r="Z547" s="1160"/>
      <c r="AA547" s="1160"/>
      <c r="AB547" s="1160"/>
      <c r="AC547" s="1160"/>
      <c r="AD547" s="1160"/>
      <c r="AE547" s="1160"/>
    </row>
    <row r="548" ht="15.0" customHeight="1">
      <c r="A548" s="1209"/>
      <c r="B548" s="1209"/>
      <c r="C548" s="1210"/>
      <c r="D548" s="1160"/>
      <c r="E548" s="1160"/>
      <c r="F548" s="1160"/>
      <c r="G548" s="1160"/>
      <c r="H548" s="1160"/>
      <c r="I548" s="1160"/>
      <c r="J548" s="1160"/>
      <c r="K548" s="1160"/>
      <c r="L548" s="1160"/>
      <c r="M548" s="1160"/>
      <c r="N548" s="1160"/>
      <c r="O548" s="1160"/>
      <c r="P548" s="1160"/>
      <c r="Q548" s="1160"/>
      <c r="R548" s="1160"/>
      <c r="S548" s="1160"/>
      <c r="T548" s="1160"/>
      <c r="U548" s="1160"/>
      <c r="V548" s="1160"/>
      <c r="W548" s="1160"/>
      <c r="X548" s="1211"/>
      <c r="Y548" s="1160"/>
      <c r="Z548" s="1160"/>
      <c r="AA548" s="1160"/>
      <c r="AB548" s="1160"/>
      <c r="AC548" s="1160"/>
      <c r="AD548" s="1160"/>
      <c r="AE548" s="1160"/>
    </row>
    <row r="549" ht="15.0" customHeight="1">
      <c r="A549" s="1209"/>
      <c r="B549" s="1209"/>
      <c r="C549" s="1210"/>
      <c r="D549" s="1160"/>
      <c r="E549" s="1160"/>
      <c r="F549" s="1160"/>
      <c r="G549" s="1160"/>
      <c r="H549" s="1160"/>
      <c r="I549" s="1160"/>
      <c r="J549" s="1160"/>
      <c r="K549" s="1160"/>
      <c r="L549" s="1160"/>
      <c r="M549" s="1160"/>
      <c r="N549" s="1160"/>
      <c r="O549" s="1160"/>
      <c r="P549" s="1160"/>
      <c r="Q549" s="1160"/>
      <c r="R549" s="1160"/>
      <c r="S549" s="1160"/>
      <c r="T549" s="1160"/>
      <c r="U549" s="1160"/>
      <c r="V549" s="1160"/>
      <c r="W549" s="1160"/>
      <c r="X549" s="1211"/>
      <c r="Y549" s="1160"/>
      <c r="Z549" s="1160"/>
      <c r="AA549" s="1160"/>
      <c r="AB549" s="1160"/>
      <c r="AC549" s="1160"/>
      <c r="AD549" s="1160"/>
      <c r="AE549" s="1160"/>
    </row>
    <row r="550" ht="15.0" customHeight="1">
      <c r="A550" s="1209"/>
      <c r="B550" s="1209"/>
      <c r="C550" s="1210"/>
      <c r="D550" s="1160"/>
      <c r="E550" s="1160"/>
      <c r="F550" s="1160"/>
      <c r="G550" s="1160"/>
      <c r="H550" s="1160"/>
      <c r="I550" s="1160"/>
      <c r="J550" s="1160"/>
      <c r="K550" s="1160"/>
      <c r="L550" s="1160"/>
      <c r="M550" s="1160"/>
      <c r="N550" s="1160"/>
      <c r="O550" s="1160"/>
      <c r="P550" s="1160"/>
      <c r="Q550" s="1160"/>
      <c r="R550" s="1160"/>
      <c r="S550" s="1160"/>
      <c r="T550" s="1160"/>
      <c r="U550" s="1160"/>
      <c r="V550" s="1160"/>
      <c r="W550" s="1160"/>
      <c r="X550" s="1211"/>
      <c r="Y550" s="1160"/>
      <c r="Z550" s="1160"/>
      <c r="AA550" s="1160"/>
      <c r="AB550" s="1160"/>
      <c r="AC550" s="1160"/>
      <c r="AD550" s="1160"/>
      <c r="AE550" s="1160"/>
    </row>
    <row r="551" ht="15.0" customHeight="1">
      <c r="A551" s="1209"/>
      <c r="B551" s="1209"/>
      <c r="C551" s="1210"/>
      <c r="D551" s="1160"/>
      <c r="E551" s="1160"/>
      <c r="F551" s="1160"/>
      <c r="G551" s="1160"/>
      <c r="H551" s="1160"/>
      <c r="I551" s="1160"/>
      <c r="J551" s="1160"/>
      <c r="K551" s="1160"/>
      <c r="L551" s="1160"/>
      <c r="M551" s="1160"/>
      <c r="N551" s="1160"/>
      <c r="O551" s="1160"/>
      <c r="P551" s="1160"/>
      <c r="Q551" s="1160"/>
      <c r="R551" s="1160"/>
      <c r="S551" s="1160"/>
      <c r="T551" s="1160"/>
      <c r="U551" s="1160"/>
      <c r="V551" s="1160"/>
      <c r="W551" s="1160"/>
      <c r="X551" s="1211"/>
      <c r="Y551" s="1160"/>
      <c r="Z551" s="1160"/>
      <c r="AA551" s="1160"/>
      <c r="AB551" s="1160"/>
      <c r="AC551" s="1160"/>
      <c r="AD551" s="1160"/>
      <c r="AE551" s="1160"/>
    </row>
    <row r="552" ht="15.0" customHeight="1">
      <c r="A552" s="1209"/>
      <c r="B552" s="1209"/>
      <c r="C552" s="1210"/>
      <c r="D552" s="1160"/>
      <c r="E552" s="1160"/>
      <c r="F552" s="1160"/>
      <c r="G552" s="1160"/>
      <c r="H552" s="1160"/>
      <c r="I552" s="1160"/>
      <c r="J552" s="1160"/>
      <c r="K552" s="1160"/>
      <c r="L552" s="1160"/>
      <c r="M552" s="1160"/>
      <c r="N552" s="1160"/>
      <c r="O552" s="1160"/>
      <c r="P552" s="1160"/>
      <c r="Q552" s="1160"/>
      <c r="R552" s="1160"/>
      <c r="S552" s="1160"/>
      <c r="T552" s="1160"/>
      <c r="U552" s="1160"/>
      <c r="V552" s="1160"/>
      <c r="W552" s="1160"/>
      <c r="X552" s="1211"/>
      <c r="Y552" s="1160"/>
      <c r="Z552" s="1160"/>
      <c r="AA552" s="1160"/>
      <c r="AB552" s="1160"/>
      <c r="AC552" s="1160"/>
      <c r="AD552" s="1160"/>
      <c r="AE552" s="1160"/>
    </row>
    <row r="553" ht="15.0" customHeight="1">
      <c r="A553" s="1209"/>
      <c r="B553" s="1209"/>
      <c r="C553" s="1210"/>
      <c r="D553" s="1160"/>
      <c r="E553" s="1160"/>
      <c r="F553" s="1160"/>
      <c r="G553" s="1160"/>
      <c r="H553" s="1160"/>
      <c r="I553" s="1160"/>
      <c r="J553" s="1160"/>
      <c r="K553" s="1160"/>
      <c r="L553" s="1160"/>
      <c r="M553" s="1160"/>
      <c r="N553" s="1160"/>
      <c r="O553" s="1160"/>
      <c r="P553" s="1160"/>
      <c r="Q553" s="1160"/>
      <c r="R553" s="1160"/>
      <c r="S553" s="1160"/>
      <c r="T553" s="1160"/>
      <c r="U553" s="1160"/>
      <c r="V553" s="1160"/>
      <c r="W553" s="1160"/>
      <c r="X553" s="1211"/>
      <c r="Y553" s="1160"/>
      <c r="Z553" s="1160"/>
      <c r="AA553" s="1160"/>
      <c r="AB553" s="1160"/>
      <c r="AC553" s="1160"/>
      <c r="AD553" s="1160"/>
      <c r="AE553" s="1160"/>
    </row>
    <row r="554" ht="15.0" customHeight="1">
      <c r="A554" s="1209"/>
      <c r="B554" s="1209"/>
      <c r="C554" s="1210"/>
      <c r="D554" s="1160"/>
      <c r="E554" s="1160"/>
      <c r="F554" s="1160"/>
      <c r="G554" s="1160"/>
      <c r="H554" s="1160"/>
      <c r="I554" s="1160"/>
      <c r="J554" s="1160"/>
      <c r="K554" s="1160"/>
      <c r="L554" s="1160"/>
      <c r="M554" s="1160"/>
      <c r="N554" s="1160"/>
      <c r="O554" s="1160"/>
      <c r="P554" s="1160"/>
      <c r="Q554" s="1160"/>
      <c r="R554" s="1160"/>
      <c r="S554" s="1160"/>
      <c r="T554" s="1160"/>
      <c r="U554" s="1160"/>
      <c r="V554" s="1160"/>
      <c r="W554" s="1160"/>
      <c r="X554" s="1211"/>
      <c r="Y554" s="1160"/>
      <c r="Z554" s="1160"/>
      <c r="AA554" s="1160"/>
      <c r="AB554" s="1160"/>
      <c r="AC554" s="1160"/>
      <c r="AD554" s="1160"/>
      <c r="AE554" s="1160"/>
    </row>
    <row r="555" ht="15.0" customHeight="1">
      <c r="A555" s="1209"/>
      <c r="B555" s="1209"/>
      <c r="C555" s="1210"/>
      <c r="D555" s="1160"/>
      <c r="E555" s="1160"/>
      <c r="F555" s="1160"/>
      <c r="G555" s="1160"/>
      <c r="H555" s="1160"/>
      <c r="I555" s="1160"/>
      <c r="J555" s="1160"/>
      <c r="K555" s="1160"/>
      <c r="L555" s="1160"/>
      <c r="M555" s="1160"/>
      <c r="N555" s="1160"/>
      <c r="O555" s="1160"/>
      <c r="P555" s="1160"/>
      <c r="Q555" s="1160"/>
      <c r="R555" s="1160"/>
      <c r="S555" s="1160"/>
      <c r="T555" s="1160"/>
      <c r="U555" s="1160"/>
      <c r="V555" s="1160"/>
      <c r="W555" s="1160"/>
      <c r="X555" s="1211"/>
      <c r="Y555" s="1160"/>
      <c r="Z555" s="1160"/>
      <c r="AA555" s="1160"/>
      <c r="AB555" s="1160"/>
      <c r="AC555" s="1160"/>
      <c r="AD555" s="1160"/>
      <c r="AE555" s="1160"/>
    </row>
    <row r="556" ht="15.0" customHeight="1">
      <c r="A556" s="1209"/>
      <c r="B556" s="1209"/>
      <c r="C556" s="1210"/>
      <c r="D556" s="1160"/>
      <c r="E556" s="1160"/>
      <c r="F556" s="1160"/>
      <c r="G556" s="1160"/>
      <c r="H556" s="1160"/>
      <c r="I556" s="1160"/>
      <c r="J556" s="1160"/>
      <c r="K556" s="1160"/>
      <c r="L556" s="1160"/>
      <c r="M556" s="1160"/>
      <c r="N556" s="1160"/>
      <c r="O556" s="1160"/>
      <c r="P556" s="1160"/>
      <c r="Q556" s="1160"/>
      <c r="R556" s="1160"/>
      <c r="S556" s="1160"/>
      <c r="T556" s="1160"/>
      <c r="U556" s="1160"/>
      <c r="V556" s="1160"/>
      <c r="W556" s="1160"/>
      <c r="X556" s="1211"/>
      <c r="Y556" s="1160"/>
      <c r="Z556" s="1160"/>
      <c r="AA556" s="1160"/>
      <c r="AB556" s="1160"/>
      <c r="AC556" s="1160"/>
      <c r="AD556" s="1160"/>
      <c r="AE556" s="1160"/>
    </row>
    <row r="557" ht="15.0" customHeight="1">
      <c r="A557" s="1209"/>
      <c r="B557" s="1209"/>
      <c r="C557" s="1210"/>
      <c r="D557" s="1160"/>
      <c r="E557" s="1160"/>
      <c r="F557" s="1160"/>
      <c r="G557" s="1160"/>
      <c r="H557" s="1160"/>
      <c r="I557" s="1160"/>
      <c r="J557" s="1160"/>
      <c r="K557" s="1160"/>
      <c r="L557" s="1160"/>
      <c r="M557" s="1160"/>
      <c r="N557" s="1160"/>
      <c r="O557" s="1160"/>
      <c r="P557" s="1160"/>
      <c r="Q557" s="1160"/>
      <c r="R557" s="1160"/>
      <c r="S557" s="1160"/>
      <c r="T557" s="1160"/>
      <c r="U557" s="1160"/>
      <c r="V557" s="1160"/>
      <c r="W557" s="1160"/>
      <c r="X557" s="1211"/>
      <c r="Y557" s="1160"/>
      <c r="Z557" s="1160"/>
      <c r="AA557" s="1160"/>
      <c r="AB557" s="1160"/>
      <c r="AC557" s="1160"/>
      <c r="AD557" s="1160"/>
      <c r="AE557" s="1160"/>
    </row>
    <row r="558" ht="15.0" customHeight="1">
      <c r="A558" s="1209"/>
      <c r="B558" s="1209"/>
      <c r="C558" s="1210"/>
      <c r="D558" s="1160"/>
      <c r="E558" s="1160"/>
      <c r="F558" s="1160"/>
      <c r="G558" s="1160"/>
      <c r="H558" s="1160"/>
      <c r="I558" s="1160"/>
      <c r="J558" s="1160"/>
      <c r="K558" s="1160"/>
      <c r="L558" s="1160"/>
      <c r="M558" s="1160"/>
      <c r="N558" s="1160"/>
      <c r="O558" s="1160"/>
      <c r="P558" s="1160"/>
      <c r="Q558" s="1160"/>
      <c r="R558" s="1160"/>
      <c r="S558" s="1160"/>
      <c r="T558" s="1160"/>
      <c r="U558" s="1160"/>
      <c r="V558" s="1160"/>
      <c r="W558" s="1160"/>
      <c r="X558" s="1211"/>
      <c r="Y558" s="1160"/>
      <c r="Z558" s="1160"/>
      <c r="AA558" s="1160"/>
      <c r="AB558" s="1160"/>
      <c r="AC558" s="1160"/>
      <c r="AD558" s="1160"/>
      <c r="AE558" s="1160"/>
    </row>
    <row r="559" ht="15.0" customHeight="1">
      <c r="A559" s="1209"/>
      <c r="B559" s="1209"/>
      <c r="C559" s="1210"/>
      <c r="D559" s="1160"/>
      <c r="E559" s="1160"/>
      <c r="F559" s="1160"/>
      <c r="G559" s="1160"/>
      <c r="H559" s="1160"/>
      <c r="I559" s="1160"/>
      <c r="J559" s="1160"/>
      <c r="K559" s="1160"/>
      <c r="L559" s="1160"/>
      <c r="M559" s="1160"/>
      <c r="N559" s="1160"/>
      <c r="O559" s="1160"/>
      <c r="P559" s="1160"/>
      <c r="Q559" s="1160"/>
      <c r="R559" s="1160"/>
      <c r="S559" s="1160"/>
      <c r="T559" s="1160"/>
      <c r="U559" s="1160"/>
      <c r="V559" s="1160"/>
      <c r="W559" s="1160"/>
      <c r="X559" s="1211"/>
      <c r="Y559" s="1160"/>
      <c r="Z559" s="1160"/>
      <c r="AA559" s="1160"/>
      <c r="AB559" s="1160"/>
      <c r="AC559" s="1160"/>
      <c r="AD559" s="1160"/>
      <c r="AE559" s="1160"/>
    </row>
    <row r="560" ht="15.0" customHeight="1">
      <c r="A560" s="1209"/>
      <c r="B560" s="1209"/>
      <c r="C560" s="1210"/>
      <c r="D560" s="1160"/>
      <c r="E560" s="1160"/>
      <c r="F560" s="1160"/>
      <c r="G560" s="1160"/>
      <c r="H560" s="1160"/>
      <c r="I560" s="1160"/>
      <c r="J560" s="1160"/>
      <c r="K560" s="1160"/>
      <c r="L560" s="1160"/>
      <c r="M560" s="1160"/>
      <c r="N560" s="1160"/>
      <c r="O560" s="1160"/>
      <c r="P560" s="1160"/>
      <c r="Q560" s="1160"/>
      <c r="R560" s="1160"/>
      <c r="S560" s="1160"/>
      <c r="T560" s="1160"/>
      <c r="U560" s="1160"/>
      <c r="V560" s="1160"/>
      <c r="W560" s="1160"/>
      <c r="X560" s="1211"/>
      <c r="Y560" s="1160"/>
      <c r="Z560" s="1160"/>
      <c r="AA560" s="1160"/>
      <c r="AB560" s="1160"/>
      <c r="AC560" s="1160"/>
      <c r="AD560" s="1160"/>
      <c r="AE560" s="1160"/>
    </row>
    <row r="561" ht="15.0" customHeight="1">
      <c r="A561" s="1209"/>
      <c r="B561" s="1209"/>
      <c r="C561" s="1210"/>
      <c r="D561" s="1160"/>
      <c r="E561" s="1160"/>
      <c r="F561" s="1160"/>
      <c r="G561" s="1160"/>
      <c r="H561" s="1160"/>
      <c r="I561" s="1160"/>
      <c r="J561" s="1160"/>
      <c r="K561" s="1160"/>
      <c r="L561" s="1160"/>
      <c r="M561" s="1160"/>
      <c r="N561" s="1160"/>
      <c r="O561" s="1160"/>
      <c r="P561" s="1160"/>
      <c r="Q561" s="1160"/>
      <c r="R561" s="1160"/>
      <c r="S561" s="1160"/>
      <c r="T561" s="1160"/>
      <c r="U561" s="1160"/>
      <c r="V561" s="1160"/>
      <c r="W561" s="1160"/>
      <c r="X561" s="1211"/>
      <c r="Y561" s="1160"/>
      <c r="Z561" s="1160"/>
      <c r="AA561" s="1160"/>
      <c r="AB561" s="1160"/>
      <c r="AC561" s="1160"/>
      <c r="AD561" s="1160"/>
      <c r="AE561" s="1160"/>
    </row>
    <row r="562" ht="15.0" customHeight="1">
      <c r="A562" s="1209"/>
      <c r="B562" s="1209"/>
      <c r="C562" s="1210"/>
      <c r="D562" s="1160"/>
      <c r="E562" s="1160"/>
      <c r="F562" s="1160"/>
      <c r="G562" s="1160"/>
      <c r="H562" s="1160"/>
      <c r="I562" s="1160"/>
      <c r="J562" s="1160"/>
      <c r="K562" s="1160"/>
      <c r="L562" s="1160"/>
      <c r="M562" s="1160"/>
      <c r="N562" s="1160"/>
      <c r="O562" s="1160"/>
      <c r="P562" s="1160"/>
      <c r="Q562" s="1160"/>
      <c r="R562" s="1160"/>
      <c r="S562" s="1160"/>
      <c r="T562" s="1160"/>
      <c r="U562" s="1160"/>
      <c r="V562" s="1160"/>
      <c r="W562" s="1160"/>
      <c r="X562" s="1211"/>
      <c r="Y562" s="1160"/>
      <c r="Z562" s="1160"/>
      <c r="AA562" s="1160"/>
      <c r="AB562" s="1160"/>
      <c r="AC562" s="1160"/>
      <c r="AD562" s="1160"/>
      <c r="AE562" s="1160"/>
    </row>
    <row r="563" ht="15.0" customHeight="1">
      <c r="A563" s="1209"/>
      <c r="B563" s="1209"/>
      <c r="C563" s="1210"/>
      <c r="D563" s="1160"/>
      <c r="E563" s="1160"/>
      <c r="F563" s="1160"/>
      <c r="G563" s="1160"/>
      <c r="H563" s="1160"/>
      <c r="I563" s="1160"/>
      <c r="J563" s="1160"/>
      <c r="K563" s="1160"/>
      <c r="L563" s="1160"/>
      <c r="M563" s="1160"/>
      <c r="N563" s="1160"/>
      <c r="O563" s="1160"/>
      <c r="P563" s="1160"/>
      <c r="Q563" s="1160"/>
      <c r="R563" s="1160"/>
      <c r="S563" s="1160"/>
      <c r="T563" s="1160"/>
      <c r="U563" s="1160"/>
      <c r="V563" s="1160"/>
      <c r="W563" s="1160"/>
      <c r="X563" s="1211"/>
      <c r="Y563" s="1160"/>
      <c r="Z563" s="1160"/>
      <c r="AA563" s="1160"/>
      <c r="AB563" s="1160"/>
      <c r="AC563" s="1160"/>
      <c r="AD563" s="1160"/>
      <c r="AE563" s="1160"/>
    </row>
    <row r="564" ht="15.0" customHeight="1">
      <c r="A564" s="1209"/>
      <c r="B564" s="1209"/>
      <c r="C564" s="1210"/>
      <c r="D564" s="1160"/>
      <c r="E564" s="1160"/>
      <c r="F564" s="1160"/>
      <c r="G564" s="1160"/>
      <c r="H564" s="1160"/>
      <c r="I564" s="1160"/>
      <c r="J564" s="1160"/>
      <c r="K564" s="1160"/>
      <c r="L564" s="1160"/>
      <c r="M564" s="1160"/>
      <c r="N564" s="1160"/>
      <c r="O564" s="1160"/>
      <c r="P564" s="1160"/>
      <c r="Q564" s="1160"/>
      <c r="R564" s="1160"/>
      <c r="S564" s="1160"/>
      <c r="T564" s="1160"/>
      <c r="U564" s="1160"/>
      <c r="V564" s="1160"/>
      <c r="W564" s="1160"/>
      <c r="X564" s="1211"/>
      <c r="Y564" s="1160"/>
      <c r="Z564" s="1160"/>
      <c r="AA564" s="1160"/>
      <c r="AB564" s="1160"/>
      <c r="AC564" s="1160"/>
      <c r="AD564" s="1160"/>
      <c r="AE564" s="1160"/>
    </row>
    <row r="565" ht="15.0" customHeight="1">
      <c r="A565" s="1209"/>
      <c r="B565" s="1209"/>
      <c r="C565" s="1210"/>
      <c r="D565" s="1160"/>
      <c r="E565" s="1160"/>
      <c r="F565" s="1160"/>
      <c r="G565" s="1160"/>
      <c r="H565" s="1160"/>
      <c r="I565" s="1160"/>
      <c r="J565" s="1160"/>
      <c r="K565" s="1160"/>
      <c r="L565" s="1160"/>
      <c r="M565" s="1160"/>
      <c r="N565" s="1160"/>
      <c r="O565" s="1160"/>
      <c r="P565" s="1160"/>
      <c r="Q565" s="1160"/>
      <c r="R565" s="1160"/>
      <c r="S565" s="1160"/>
      <c r="T565" s="1160"/>
      <c r="U565" s="1160"/>
      <c r="V565" s="1160"/>
      <c r="W565" s="1160"/>
      <c r="X565" s="1211"/>
      <c r="Y565" s="1160"/>
      <c r="Z565" s="1160"/>
      <c r="AA565" s="1160"/>
      <c r="AB565" s="1160"/>
      <c r="AC565" s="1160"/>
      <c r="AD565" s="1160"/>
      <c r="AE565" s="1160"/>
    </row>
    <row r="566" ht="15.0" customHeight="1">
      <c r="A566" s="1209"/>
      <c r="B566" s="1209"/>
      <c r="C566" s="1210"/>
      <c r="D566" s="1160"/>
      <c r="E566" s="1160"/>
      <c r="F566" s="1160"/>
      <c r="G566" s="1160"/>
      <c r="H566" s="1160"/>
      <c r="I566" s="1160"/>
      <c r="J566" s="1160"/>
      <c r="K566" s="1160"/>
      <c r="L566" s="1160"/>
      <c r="M566" s="1160"/>
      <c r="N566" s="1160"/>
      <c r="O566" s="1160"/>
      <c r="P566" s="1160"/>
      <c r="Q566" s="1160"/>
      <c r="R566" s="1160"/>
      <c r="S566" s="1160"/>
      <c r="T566" s="1160"/>
      <c r="U566" s="1160"/>
      <c r="V566" s="1160"/>
      <c r="W566" s="1160"/>
      <c r="X566" s="1211"/>
      <c r="Y566" s="1160"/>
      <c r="Z566" s="1160"/>
      <c r="AA566" s="1160"/>
      <c r="AB566" s="1160"/>
      <c r="AC566" s="1160"/>
      <c r="AD566" s="1160"/>
      <c r="AE566" s="1160"/>
    </row>
    <row r="567" ht="15.0" customHeight="1">
      <c r="A567" s="1209"/>
      <c r="B567" s="1209"/>
      <c r="C567" s="1210"/>
      <c r="D567" s="1160"/>
      <c r="E567" s="1160"/>
      <c r="F567" s="1160"/>
      <c r="G567" s="1160"/>
      <c r="H567" s="1160"/>
      <c r="I567" s="1160"/>
      <c r="J567" s="1160"/>
      <c r="K567" s="1160"/>
      <c r="L567" s="1160"/>
      <c r="M567" s="1160"/>
      <c r="N567" s="1160"/>
      <c r="O567" s="1160"/>
      <c r="P567" s="1160"/>
      <c r="Q567" s="1160"/>
      <c r="R567" s="1160"/>
      <c r="S567" s="1160"/>
      <c r="T567" s="1160"/>
      <c r="U567" s="1160"/>
      <c r="V567" s="1160"/>
      <c r="W567" s="1160"/>
      <c r="X567" s="1211"/>
      <c r="Y567" s="1160"/>
      <c r="Z567" s="1160"/>
      <c r="AA567" s="1160"/>
      <c r="AB567" s="1160"/>
      <c r="AC567" s="1160"/>
      <c r="AD567" s="1160"/>
      <c r="AE567" s="1160"/>
    </row>
    <row r="568" ht="15.0" customHeight="1">
      <c r="A568" s="1209"/>
      <c r="B568" s="1209"/>
      <c r="C568" s="1210"/>
      <c r="D568" s="1160"/>
      <c r="E568" s="1160"/>
      <c r="F568" s="1160"/>
      <c r="G568" s="1160"/>
      <c r="H568" s="1160"/>
      <c r="I568" s="1160"/>
      <c r="J568" s="1160"/>
      <c r="K568" s="1160"/>
      <c r="L568" s="1160"/>
      <c r="M568" s="1160"/>
      <c r="N568" s="1160"/>
      <c r="O568" s="1160"/>
      <c r="P568" s="1160"/>
      <c r="Q568" s="1160"/>
      <c r="R568" s="1160"/>
      <c r="S568" s="1160"/>
      <c r="T568" s="1160"/>
      <c r="U568" s="1160"/>
      <c r="V568" s="1160"/>
      <c r="W568" s="1160"/>
      <c r="X568" s="1211"/>
      <c r="Y568" s="1160"/>
      <c r="Z568" s="1160"/>
      <c r="AA568" s="1160"/>
      <c r="AB568" s="1160"/>
      <c r="AC568" s="1160"/>
      <c r="AD568" s="1160"/>
      <c r="AE568" s="1160"/>
    </row>
    <row r="569" ht="15.0" customHeight="1">
      <c r="A569" s="1209"/>
      <c r="B569" s="1209"/>
      <c r="C569" s="1210"/>
      <c r="D569" s="1160"/>
      <c r="E569" s="1160"/>
      <c r="F569" s="1160"/>
      <c r="G569" s="1160"/>
      <c r="H569" s="1160"/>
      <c r="I569" s="1160"/>
      <c r="J569" s="1160"/>
      <c r="K569" s="1160"/>
      <c r="L569" s="1160"/>
      <c r="M569" s="1160"/>
      <c r="N569" s="1160"/>
      <c r="O569" s="1160"/>
      <c r="P569" s="1160"/>
      <c r="Q569" s="1160"/>
      <c r="R569" s="1160"/>
      <c r="S569" s="1160"/>
      <c r="T569" s="1160"/>
      <c r="U569" s="1160"/>
      <c r="V569" s="1160"/>
      <c r="W569" s="1160"/>
      <c r="X569" s="1211"/>
      <c r="Y569" s="1160"/>
      <c r="Z569" s="1160"/>
      <c r="AA569" s="1160"/>
      <c r="AB569" s="1160"/>
      <c r="AC569" s="1160"/>
      <c r="AD569" s="1160"/>
      <c r="AE569" s="1160"/>
    </row>
    <row r="570" ht="15.0" customHeight="1">
      <c r="A570" s="1209"/>
      <c r="B570" s="1209"/>
      <c r="C570" s="1210"/>
      <c r="D570" s="1160"/>
      <c r="E570" s="1160"/>
      <c r="F570" s="1160"/>
      <c r="G570" s="1160"/>
      <c r="H570" s="1160"/>
      <c r="I570" s="1160"/>
      <c r="J570" s="1160"/>
      <c r="K570" s="1160"/>
      <c r="L570" s="1160"/>
      <c r="M570" s="1160"/>
      <c r="N570" s="1160"/>
      <c r="O570" s="1160"/>
      <c r="P570" s="1160"/>
      <c r="Q570" s="1160"/>
      <c r="R570" s="1160"/>
      <c r="S570" s="1160"/>
      <c r="T570" s="1160"/>
      <c r="U570" s="1160"/>
      <c r="V570" s="1160"/>
      <c r="W570" s="1160"/>
      <c r="X570" s="1211"/>
      <c r="Y570" s="1160"/>
      <c r="Z570" s="1160"/>
      <c r="AA570" s="1160"/>
      <c r="AB570" s="1160"/>
      <c r="AC570" s="1160"/>
      <c r="AD570" s="1160"/>
      <c r="AE570" s="1160"/>
    </row>
    <row r="571" ht="15.0" customHeight="1">
      <c r="A571" s="1209"/>
      <c r="B571" s="1209"/>
      <c r="C571" s="1210"/>
      <c r="D571" s="1160"/>
      <c r="E571" s="1160"/>
      <c r="F571" s="1160"/>
      <c r="G571" s="1160"/>
      <c r="H571" s="1160"/>
      <c r="I571" s="1160"/>
      <c r="J571" s="1160"/>
      <c r="K571" s="1160"/>
      <c r="L571" s="1160"/>
      <c r="M571" s="1160"/>
      <c r="N571" s="1160"/>
      <c r="O571" s="1160"/>
      <c r="P571" s="1160"/>
      <c r="Q571" s="1160"/>
      <c r="R571" s="1160"/>
      <c r="S571" s="1160"/>
      <c r="T571" s="1160"/>
      <c r="U571" s="1160"/>
      <c r="V571" s="1160"/>
      <c r="W571" s="1160"/>
      <c r="X571" s="1211"/>
      <c r="Y571" s="1160"/>
      <c r="Z571" s="1160"/>
      <c r="AA571" s="1160"/>
      <c r="AB571" s="1160"/>
      <c r="AC571" s="1160"/>
      <c r="AD571" s="1160"/>
      <c r="AE571" s="1160"/>
    </row>
    <row r="572" ht="15.0" customHeight="1">
      <c r="A572" s="1209"/>
      <c r="B572" s="1209"/>
      <c r="C572" s="1210"/>
      <c r="D572" s="1160"/>
      <c r="E572" s="1160"/>
      <c r="F572" s="1160"/>
      <c r="G572" s="1160"/>
      <c r="H572" s="1160"/>
      <c r="I572" s="1160"/>
      <c r="J572" s="1160"/>
      <c r="K572" s="1160"/>
      <c r="L572" s="1160"/>
      <c r="M572" s="1160"/>
      <c r="N572" s="1160"/>
      <c r="O572" s="1160"/>
      <c r="P572" s="1160"/>
      <c r="Q572" s="1160"/>
      <c r="R572" s="1160"/>
      <c r="S572" s="1160"/>
      <c r="T572" s="1160"/>
      <c r="U572" s="1160"/>
      <c r="V572" s="1160"/>
      <c r="W572" s="1160"/>
      <c r="X572" s="1211"/>
      <c r="Y572" s="1160"/>
      <c r="Z572" s="1160"/>
      <c r="AA572" s="1160"/>
      <c r="AB572" s="1160"/>
      <c r="AC572" s="1160"/>
      <c r="AD572" s="1160"/>
      <c r="AE572" s="1160"/>
    </row>
    <row r="573" ht="15.0" customHeight="1">
      <c r="A573" s="1209"/>
      <c r="B573" s="1209"/>
      <c r="C573" s="1210"/>
      <c r="D573" s="1160"/>
      <c r="E573" s="1160"/>
      <c r="F573" s="1160"/>
      <c r="G573" s="1160"/>
      <c r="H573" s="1160"/>
      <c r="I573" s="1160"/>
      <c r="J573" s="1160"/>
      <c r="K573" s="1160"/>
      <c r="L573" s="1160"/>
      <c r="M573" s="1160"/>
      <c r="N573" s="1160"/>
      <c r="O573" s="1160"/>
      <c r="P573" s="1160"/>
      <c r="Q573" s="1160"/>
      <c r="R573" s="1160"/>
      <c r="S573" s="1160"/>
      <c r="T573" s="1160"/>
      <c r="U573" s="1160"/>
      <c r="V573" s="1160"/>
      <c r="W573" s="1160"/>
      <c r="X573" s="1211"/>
      <c r="Y573" s="1160"/>
      <c r="Z573" s="1160"/>
      <c r="AA573" s="1160"/>
      <c r="AB573" s="1160"/>
      <c r="AC573" s="1160"/>
      <c r="AD573" s="1160"/>
      <c r="AE573" s="1160"/>
    </row>
    <row r="574" ht="15.0" customHeight="1">
      <c r="A574" s="1209"/>
      <c r="B574" s="1209"/>
      <c r="C574" s="1210"/>
      <c r="D574" s="1160"/>
      <c r="E574" s="1160"/>
      <c r="F574" s="1160"/>
      <c r="G574" s="1160"/>
      <c r="H574" s="1160"/>
      <c r="I574" s="1160"/>
      <c r="J574" s="1160"/>
      <c r="K574" s="1160"/>
      <c r="L574" s="1160"/>
      <c r="M574" s="1160"/>
      <c r="N574" s="1160"/>
      <c r="O574" s="1160"/>
      <c r="P574" s="1160"/>
      <c r="Q574" s="1160"/>
      <c r="R574" s="1160"/>
      <c r="S574" s="1160"/>
      <c r="T574" s="1160"/>
      <c r="U574" s="1160"/>
      <c r="V574" s="1160"/>
      <c r="W574" s="1160"/>
      <c r="X574" s="1211"/>
      <c r="Y574" s="1160"/>
      <c r="Z574" s="1160"/>
      <c r="AA574" s="1160"/>
      <c r="AB574" s="1160"/>
      <c r="AC574" s="1160"/>
      <c r="AD574" s="1160"/>
      <c r="AE574" s="1160"/>
    </row>
    <row r="575" ht="15.0" customHeight="1">
      <c r="A575" s="1209"/>
      <c r="B575" s="1209"/>
      <c r="C575" s="1210"/>
      <c r="D575" s="1160"/>
      <c r="E575" s="1160"/>
      <c r="F575" s="1160"/>
      <c r="G575" s="1160"/>
      <c r="H575" s="1160"/>
      <c r="I575" s="1160"/>
      <c r="J575" s="1160"/>
      <c r="K575" s="1160"/>
      <c r="L575" s="1160"/>
      <c r="M575" s="1160"/>
      <c r="N575" s="1160"/>
      <c r="O575" s="1160"/>
      <c r="P575" s="1160"/>
      <c r="Q575" s="1160"/>
      <c r="R575" s="1160"/>
      <c r="S575" s="1160"/>
      <c r="T575" s="1160"/>
      <c r="U575" s="1160"/>
      <c r="V575" s="1160"/>
      <c r="W575" s="1160"/>
      <c r="X575" s="1211"/>
      <c r="Y575" s="1160"/>
      <c r="Z575" s="1160"/>
      <c r="AA575" s="1160"/>
      <c r="AB575" s="1160"/>
      <c r="AC575" s="1160"/>
      <c r="AD575" s="1160"/>
      <c r="AE575" s="1160"/>
    </row>
    <row r="576" ht="15.0" customHeight="1">
      <c r="A576" s="1209"/>
      <c r="B576" s="1209"/>
      <c r="C576" s="1210"/>
      <c r="D576" s="1160"/>
      <c r="E576" s="1160"/>
      <c r="F576" s="1160"/>
      <c r="G576" s="1160"/>
      <c r="H576" s="1160"/>
      <c r="I576" s="1160"/>
      <c r="J576" s="1160"/>
      <c r="K576" s="1160"/>
      <c r="L576" s="1160"/>
      <c r="M576" s="1160"/>
      <c r="N576" s="1160"/>
      <c r="O576" s="1160"/>
      <c r="P576" s="1160"/>
      <c r="Q576" s="1160"/>
      <c r="R576" s="1160"/>
      <c r="S576" s="1160"/>
      <c r="T576" s="1160"/>
      <c r="U576" s="1160"/>
      <c r="V576" s="1160"/>
      <c r="W576" s="1160"/>
      <c r="X576" s="1211"/>
      <c r="Y576" s="1160"/>
      <c r="Z576" s="1160"/>
      <c r="AA576" s="1160"/>
      <c r="AB576" s="1160"/>
      <c r="AC576" s="1160"/>
      <c r="AD576" s="1160"/>
      <c r="AE576" s="1160"/>
    </row>
    <row r="577" ht="15.0" customHeight="1">
      <c r="A577" s="1209"/>
      <c r="B577" s="1209"/>
      <c r="C577" s="1210"/>
      <c r="D577" s="1160"/>
      <c r="E577" s="1160"/>
      <c r="F577" s="1160"/>
      <c r="G577" s="1160"/>
      <c r="H577" s="1160"/>
      <c r="I577" s="1160"/>
      <c r="J577" s="1160"/>
      <c r="K577" s="1160"/>
      <c r="L577" s="1160"/>
      <c r="M577" s="1160"/>
      <c r="N577" s="1160"/>
      <c r="O577" s="1160"/>
      <c r="P577" s="1160"/>
      <c r="Q577" s="1160"/>
      <c r="R577" s="1160"/>
      <c r="S577" s="1160"/>
      <c r="T577" s="1160"/>
      <c r="U577" s="1160"/>
      <c r="V577" s="1160"/>
      <c r="W577" s="1160"/>
      <c r="X577" s="1211"/>
      <c r="Y577" s="1160"/>
      <c r="Z577" s="1160"/>
      <c r="AA577" s="1160"/>
      <c r="AB577" s="1160"/>
      <c r="AC577" s="1160"/>
      <c r="AD577" s="1160"/>
      <c r="AE577" s="1160"/>
    </row>
    <row r="578" ht="15.0" customHeight="1">
      <c r="A578" s="1209"/>
      <c r="B578" s="1209"/>
      <c r="C578" s="1210"/>
      <c r="D578" s="1160"/>
      <c r="E578" s="1160"/>
      <c r="F578" s="1160"/>
      <c r="G578" s="1160"/>
      <c r="H578" s="1160"/>
      <c r="I578" s="1160"/>
      <c r="J578" s="1160"/>
      <c r="K578" s="1160"/>
      <c r="L578" s="1160"/>
      <c r="M578" s="1160"/>
      <c r="N578" s="1160"/>
      <c r="O578" s="1160"/>
      <c r="P578" s="1160"/>
      <c r="Q578" s="1160"/>
      <c r="R578" s="1160"/>
      <c r="S578" s="1160"/>
      <c r="T578" s="1160"/>
      <c r="U578" s="1160"/>
      <c r="V578" s="1160"/>
      <c r="W578" s="1160"/>
      <c r="X578" s="1211"/>
      <c r="Y578" s="1160"/>
      <c r="Z578" s="1160"/>
      <c r="AA578" s="1160"/>
      <c r="AB578" s="1160"/>
      <c r="AC578" s="1160"/>
      <c r="AD578" s="1160"/>
      <c r="AE578" s="1160"/>
    </row>
    <row r="579" ht="15.0" customHeight="1">
      <c r="A579" s="1209"/>
      <c r="B579" s="1209"/>
      <c r="C579" s="1210"/>
      <c r="D579" s="1160"/>
      <c r="E579" s="1160"/>
      <c r="F579" s="1160"/>
      <c r="G579" s="1160"/>
      <c r="H579" s="1160"/>
      <c r="I579" s="1160"/>
      <c r="J579" s="1160"/>
      <c r="K579" s="1160"/>
      <c r="L579" s="1160"/>
      <c r="M579" s="1160"/>
      <c r="N579" s="1160"/>
      <c r="O579" s="1160"/>
      <c r="P579" s="1160"/>
      <c r="Q579" s="1160"/>
      <c r="R579" s="1160"/>
      <c r="S579" s="1160"/>
      <c r="T579" s="1160"/>
      <c r="U579" s="1160"/>
      <c r="V579" s="1160"/>
      <c r="W579" s="1160"/>
      <c r="X579" s="1211"/>
      <c r="Y579" s="1160"/>
      <c r="Z579" s="1160"/>
      <c r="AA579" s="1160"/>
      <c r="AB579" s="1160"/>
      <c r="AC579" s="1160"/>
      <c r="AD579" s="1160"/>
      <c r="AE579" s="1160"/>
    </row>
    <row r="580" ht="15.0" customHeight="1">
      <c r="A580" s="1209"/>
      <c r="B580" s="1209"/>
      <c r="C580" s="1210"/>
      <c r="D580" s="1160"/>
      <c r="E580" s="1160"/>
      <c r="F580" s="1160"/>
      <c r="G580" s="1160"/>
      <c r="H580" s="1160"/>
      <c r="I580" s="1160"/>
      <c r="J580" s="1160"/>
      <c r="K580" s="1160"/>
      <c r="L580" s="1160"/>
      <c r="M580" s="1160"/>
      <c r="N580" s="1160"/>
      <c r="O580" s="1160"/>
      <c r="P580" s="1160"/>
      <c r="Q580" s="1160"/>
      <c r="R580" s="1160"/>
      <c r="S580" s="1160"/>
      <c r="T580" s="1160"/>
      <c r="U580" s="1160"/>
      <c r="V580" s="1160"/>
      <c r="W580" s="1160"/>
      <c r="X580" s="1211"/>
      <c r="Y580" s="1160"/>
      <c r="Z580" s="1160"/>
      <c r="AA580" s="1160"/>
      <c r="AB580" s="1160"/>
      <c r="AC580" s="1160"/>
      <c r="AD580" s="1160"/>
      <c r="AE580" s="1160"/>
    </row>
    <row r="581" ht="15.0" customHeight="1">
      <c r="A581" s="1209"/>
      <c r="B581" s="1209"/>
      <c r="C581" s="1210"/>
      <c r="D581" s="1160"/>
      <c r="E581" s="1160"/>
      <c r="F581" s="1160"/>
      <c r="G581" s="1160"/>
      <c r="H581" s="1160"/>
      <c r="I581" s="1160"/>
      <c r="J581" s="1160"/>
      <c r="K581" s="1160"/>
      <c r="L581" s="1160"/>
      <c r="M581" s="1160"/>
      <c r="N581" s="1160"/>
      <c r="O581" s="1160"/>
      <c r="P581" s="1160"/>
      <c r="Q581" s="1160"/>
      <c r="R581" s="1160"/>
      <c r="S581" s="1160"/>
      <c r="T581" s="1160"/>
      <c r="U581" s="1160"/>
      <c r="V581" s="1160"/>
      <c r="W581" s="1160"/>
      <c r="X581" s="1211"/>
      <c r="Y581" s="1160"/>
      <c r="Z581" s="1160"/>
      <c r="AA581" s="1160"/>
      <c r="AB581" s="1160"/>
      <c r="AC581" s="1160"/>
      <c r="AD581" s="1160"/>
      <c r="AE581" s="1160"/>
    </row>
    <row r="582" ht="15.0" customHeight="1">
      <c r="A582" s="1209"/>
      <c r="B582" s="1209"/>
      <c r="C582" s="1210"/>
      <c r="D582" s="1160"/>
      <c r="E582" s="1160"/>
      <c r="F582" s="1160"/>
      <c r="G582" s="1160"/>
      <c r="H582" s="1160"/>
      <c r="I582" s="1160"/>
      <c r="J582" s="1160"/>
      <c r="K582" s="1160"/>
      <c r="L582" s="1160"/>
      <c r="M582" s="1160"/>
      <c r="N582" s="1160"/>
      <c r="O582" s="1160"/>
      <c r="P582" s="1160"/>
      <c r="Q582" s="1160"/>
      <c r="R582" s="1160"/>
      <c r="S582" s="1160"/>
      <c r="T582" s="1160"/>
      <c r="U582" s="1160"/>
      <c r="V582" s="1160"/>
      <c r="W582" s="1160"/>
      <c r="X582" s="1211"/>
      <c r="Y582" s="1160"/>
      <c r="Z582" s="1160"/>
      <c r="AA582" s="1160"/>
      <c r="AB582" s="1160"/>
      <c r="AC582" s="1160"/>
      <c r="AD582" s="1160"/>
      <c r="AE582" s="1160"/>
    </row>
    <row r="583" ht="15.0" customHeight="1">
      <c r="A583" s="1209"/>
      <c r="B583" s="1209"/>
      <c r="C583" s="1210"/>
      <c r="D583" s="1160"/>
      <c r="E583" s="1160"/>
      <c r="F583" s="1160"/>
      <c r="G583" s="1160"/>
      <c r="H583" s="1160"/>
      <c r="I583" s="1160"/>
      <c r="J583" s="1160"/>
      <c r="K583" s="1160"/>
      <c r="L583" s="1160"/>
      <c r="M583" s="1160"/>
      <c r="N583" s="1160"/>
      <c r="O583" s="1160"/>
      <c r="P583" s="1160"/>
      <c r="Q583" s="1160"/>
      <c r="R583" s="1160"/>
      <c r="S583" s="1160"/>
      <c r="T583" s="1160"/>
      <c r="U583" s="1160"/>
      <c r="V583" s="1160"/>
      <c r="W583" s="1160"/>
      <c r="X583" s="1211"/>
      <c r="Y583" s="1160"/>
      <c r="Z583" s="1160"/>
      <c r="AA583" s="1160"/>
      <c r="AB583" s="1160"/>
      <c r="AC583" s="1160"/>
      <c r="AD583" s="1160"/>
      <c r="AE583" s="1160"/>
    </row>
    <row r="584" ht="15.0" customHeight="1">
      <c r="A584" s="1209"/>
      <c r="B584" s="1209"/>
      <c r="C584" s="1210"/>
      <c r="D584" s="1160"/>
      <c r="E584" s="1160"/>
      <c r="F584" s="1160"/>
      <c r="G584" s="1160"/>
      <c r="H584" s="1160"/>
      <c r="I584" s="1160"/>
      <c r="J584" s="1160"/>
      <c r="K584" s="1160"/>
      <c r="L584" s="1160"/>
      <c r="M584" s="1160"/>
      <c r="N584" s="1160"/>
      <c r="O584" s="1160"/>
      <c r="P584" s="1160"/>
      <c r="Q584" s="1160"/>
      <c r="R584" s="1160"/>
      <c r="S584" s="1160"/>
      <c r="T584" s="1160"/>
      <c r="U584" s="1160"/>
      <c r="V584" s="1160"/>
      <c r="W584" s="1160"/>
      <c r="X584" s="1211"/>
      <c r="Y584" s="1160"/>
      <c r="Z584" s="1160"/>
      <c r="AA584" s="1160"/>
      <c r="AB584" s="1160"/>
      <c r="AC584" s="1160"/>
      <c r="AD584" s="1160"/>
      <c r="AE584" s="1160"/>
    </row>
    <row r="585" ht="15.0" customHeight="1">
      <c r="A585" s="1209"/>
      <c r="B585" s="1209"/>
      <c r="C585" s="1210"/>
      <c r="D585" s="1160"/>
      <c r="E585" s="1160"/>
      <c r="F585" s="1160"/>
      <c r="G585" s="1160"/>
      <c r="H585" s="1160"/>
      <c r="I585" s="1160"/>
      <c r="J585" s="1160"/>
      <c r="K585" s="1160"/>
      <c r="L585" s="1160"/>
      <c r="M585" s="1160"/>
      <c r="N585" s="1160"/>
      <c r="O585" s="1160"/>
      <c r="P585" s="1160"/>
      <c r="Q585" s="1160"/>
      <c r="R585" s="1160"/>
      <c r="S585" s="1160"/>
      <c r="T585" s="1160"/>
      <c r="U585" s="1160"/>
      <c r="V585" s="1160"/>
      <c r="W585" s="1160"/>
      <c r="X585" s="1211"/>
      <c r="Y585" s="1160"/>
      <c r="Z585" s="1160"/>
      <c r="AA585" s="1160"/>
      <c r="AB585" s="1160"/>
      <c r="AC585" s="1160"/>
      <c r="AD585" s="1160"/>
      <c r="AE585" s="1160"/>
    </row>
    <row r="586" ht="15.0" customHeight="1">
      <c r="A586" s="1209"/>
      <c r="B586" s="1209"/>
      <c r="C586" s="1210"/>
      <c r="D586" s="1160"/>
      <c r="E586" s="1160"/>
      <c r="F586" s="1160"/>
      <c r="G586" s="1160"/>
      <c r="H586" s="1160"/>
      <c r="I586" s="1160"/>
      <c r="J586" s="1160"/>
      <c r="K586" s="1160"/>
      <c r="L586" s="1160"/>
      <c r="M586" s="1160"/>
      <c r="N586" s="1160"/>
      <c r="O586" s="1160"/>
      <c r="P586" s="1160"/>
      <c r="Q586" s="1160"/>
      <c r="R586" s="1160"/>
      <c r="S586" s="1160"/>
      <c r="T586" s="1160"/>
      <c r="U586" s="1160"/>
      <c r="V586" s="1160"/>
      <c r="W586" s="1160"/>
      <c r="X586" s="1211"/>
      <c r="Y586" s="1160"/>
      <c r="Z586" s="1160"/>
      <c r="AA586" s="1160"/>
      <c r="AB586" s="1160"/>
      <c r="AC586" s="1160"/>
      <c r="AD586" s="1160"/>
      <c r="AE586" s="1160"/>
    </row>
    <row r="587" ht="15.0" customHeight="1">
      <c r="A587" s="1209"/>
      <c r="B587" s="1209"/>
      <c r="C587" s="1210"/>
      <c r="D587" s="1160"/>
      <c r="E587" s="1160"/>
      <c r="F587" s="1160"/>
      <c r="G587" s="1160"/>
      <c r="H587" s="1160"/>
      <c r="I587" s="1160"/>
      <c r="J587" s="1160"/>
      <c r="K587" s="1160"/>
      <c r="L587" s="1160"/>
      <c r="M587" s="1160"/>
      <c r="N587" s="1160"/>
      <c r="O587" s="1160"/>
      <c r="P587" s="1160"/>
      <c r="Q587" s="1160"/>
      <c r="R587" s="1160"/>
      <c r="S587" s="1160"/>
      <c r="T587" s="1160"/>
      <c r="U587" s="1160"/>
      <c r="V587" s="1160"/>
      <c r="W587" s="1160"/>
      <c r="X587" s="1211"/>
      <c r="Y587" s="1160"/>
      <c r="Z587" s="1160"/>
      <c r="AA587" s="1160"/>
      <c r="AB587" s="1160"/>
      <c r="AC587" s="1160"/>
      <c r="AD587" s="1160"/>
      <c r="AE587" s="1160"/>
    </row>
    <row r="588" ht="15.0" customHeight="1">
      <c r="A588" s="1209"/>
      <c r="B588" s="1209"/>
      <c r="C588" s="1210"/>
      <c r="D588" s="1160"/>
      <c r="E588" s="1160"/>
      <c r="F588" s="1160"/>
      <c r="G588" s="1160"/>
      <c r="H588" s="1160"/>
      <c r="I588" s="1160"/>
      <c r="J588" s="1160"/>
      <c r="K588" s="1160"/>
      <c r="L588" s="1160"/>
      <c r="M588" s="1160"/>
      <c r="N588" s="1160"/>
      <c r="O588" s="1160"/>
      <c r="P588" s="1160"/>
      <c r="Q588" s="1160"/>
      <c r="R588" s="1160"/>
      <c r="S588" s="1160"/>
      <c r="T588" s="1160"/>
      <c r="U588" s="1160"/>
      <c r="V588" s="1160"/>
      <c r="W588" s="1160"/>
      <c r="X588" s="1211"/>
      <c r="Y588" s="1160"/>
      <c r="Z588" s="1160"/>
      <c r="AA588" s="1160"/>
      <c r="AB588" s="1160"/>
      <c r="AC588" s="1160"/>
      <c r="AD588" s="1160"/>
      <c r="AE588" s="1160"/>
    </row>
    <row r="589" ht="15.0" customHeight="1">
      <c r="A589" s="1209"/>
      <c r="B589" s="1209"/>
      <c r="C589" s="1210"/>
      <c r="D589" s="1160"/>
      <c r="E589" s="1160"/>
      <c r="F589" s="1160"/>
      <c r="G589" s="1160"/>
      <c r="H589" s="1160"/>
      <c r="I589" s="1160"/>
      <c r="J589" s="1160"/>
      <c r="K589" s="1160"/>
      <c r="L589" s="1160"/>
      <c r="M589" s="1160"/>
      <c r="N589" s="1160"/>
      <c r="O589" s="1160"/>
      <c r="P589" s="1160"/>
      <c r="Q589" s="1160"/>
      <c r="R589" s="1160"/>
      <c r="S589" s="1160"/>
      <c r="T589" s="1160"/>
      <c r="U589" s="1160"/>
      <c r="V589" s="1160"/>
      <c r="W589" s="1160"/>
      <c r="X589" s="1211"/>
      <c r="Y589" s="1160"/>
      <c r="Z589" s="1160"/>
      <c r="AA589" s="1160"/>
      <c r="AB589" s="1160"/>
      <c r="AC589" s="1160"/>
      <c r="AD589" s="1160"/>
      <c r="AE589" s="1160"/>
    </row>
    <row r="590" ht="15.0" customHeight="1">
      <c r="A590" s="1209"/>
      <c r="B590" s="1209"/>
      <c r="C590" s="1210"/>
      <c r="D590" s="1160"/>
      <c r="E590" s="1160"/>
      <c r="F590" s="1160"/>
      <c r="G590" s="1160"/>
      <c r="H590" s="1160"/>
      <c r="I590" s="1160"/>
      <c r="J590" s="1160"/>
      <c r="K590" s="1160"/>
      <c r="L590" s="1160"/>
      <c r="M590" s="1160"/>
      <c r="N590" s="1160"/>
      <c r="O590" s="1160"/>
      <c r="P590" s="1160"/>
      <c r="Q590" s="1160"/>
      <c r="R590" s="1160"/>
      <c r="S590" s="1160"/>
      <c r="T590" s="1160"/>
      <c r="U590" s="1160"/>
      <c r="V590" s="1160"/>
      <c r="W590" s="1160"/>
      <c r="X590" s="1211"/>
      <c r="Y590" s="1160"/>
      <c r="Z590" s="1160"/>
      <c r="AA590" s="1160"/>
      <c r="AB590" s="1160"/>
      <c r="AC590" s="1160"/>
      <c r="AD590" s="1160"/>
      <c r="AE590" s="1160"/>
    </row>
    <row r="591" ht="15.0" customHeight="1">
      <c r="A591" s="1209"/>
      <c r="B591" s="1209"/>
      <c r="C591" s="1210"/>
      <c r="D591" s="1160"/>
      <c r="E591" s="1160"/>
      <c r="F591" s="1160"/>
      <c r="G591" s="1160"/>
      <c r="H591" s="1160"/>
      <c r="I591" s="1160"/>
      <c r="J591" s="1160"/>
      <c r="K591" s="1160"/>
      <c r="L591" s="1160"/>
      <c r="M591" s="1160"/>
      <c r="N591" s="1160"/>
      <c r="O591" s="1160"/>
      <c r="P591" s="1160"/>
      <c r="Q591" s="1160"/>
      <c r="R591" s="1160"/>
      <c r="S591" s="1160"/>
      <c r="T591" s="1160"/>
      <c r="U591" s="1160"/>
      <c r="V591" s="1160"/>
      <c r="W591" s="1160"/>
      <c r="X591" s="1211"/>
      <c r="Y591" s="1160"/>
      <c r="Z591" s="1160"/>
      <c r="AA591" s="1160"/>
      <c r="AB591" s="1160"/>
      <c r="AC591" s="1160"/>
      <c r="AD591" s="1160"/>
      <c r="AE591" s="1160"/>
    </row>
    <row r="592" ht="15.0" customHeight="1">
      <c r="A592" s="1209"/>
      <c r="B592" s="1209"/>
      <c r="C592" s="1210"/>
      <c r="D592" s="1160"/>
      <c r="E592" s="1160"/>
      <c r="F592" s="1160"/>
      <c r="G592" s="1160"/>
      <c r="H592" s="1160"/>
      <c r="I592" s="1160"/>
      <c r="J592" s="1160"/>
      <c r="K592" s="1160"/>
      <c r="L592" s="1160"/>
      <c r="M592" s="1160"/>
      <c r="N592" s="1160"/>
      <c r="O592" s="1160"/>
      <c r="P592" s="1160"/>
      <c r="Q592" s="1160"/>
      <c r="R592" s="1160"/>
      <c r="S592" s="1160"/>
      <c r="T592" s="1160"/>
      <c r="U592" s="1160"/>
      <c r="V592" s="1160"/>
      <c r="W592" s="1160"/>
      <c r="X592" s="1211"/>
      <c r="Y592" s="1160"/>
      <c r="Z592" s="1160"/>
      <c r="AA592" s="1160"/>
      <c r="AB592" s="1160"/>
      <c r="AC592" s="1160"/>
      <c r="AD592" s="1160"/>
      <c r="AE592" s="1160"/>
    </row>
    <row r="593" ht="15.0" customHeight="1">
      <c r="A593" s="1209"/>
      <c r="B593" s="1209"/>
      <c r="C593" s="1210"/>
      <c r="D593" s="1160"/>
      <c r="E593" s="1160"/>
      <c r="F593" s="1160"/>
      <c r="G593" s="1160"/>
      <c r="H593" s="1160"/>
      <c r="I593" s="1160"/>
      <c r="J593" s="1160"/>
      <c r="K593" s="1160"/>
      <c r="L593" s="1160"/>
      <c r="M593" s="1160"/>
      <c r="N593" s="1160"/>
      <c r="O593" s="1160"/>
      <c r="P593" s="1160"/>
      <c r="Q593" s="1160"/>
      <c r="R593" s="1160"/>
      <c r="S593" s="1160"/>
      <c r="T593" s="1160"/>
      <c r="U593" s="1160"/>
      <c r="V593" s="1160"/>
      <c r="W593" s="1160"/>
      <c r="X593" s="1211"/>
      <c r="Y593" s="1160"/>
      <c r="Z593" s="1160"/>
      <c r="AA593" s="1160"/>
      <c r="AB593" s="1160"/>
      <c r="AC593" s="1160"/>
      <c r="AD593" s="1160"/>
      <c r="AE593" s="1160"/>
    </row>
    <row r="594" ht="15.0" customHeight="1">
      <c r="A594" s="1209"/>
      <c r="B594" s="1209"/>
      <c r="C594" s="1210"/>
      <c r="D594" s="1160"/>
      <c r="E594" s="1160"/>
      <c r="F594" s="1160"/>
      <c r="G594" s="1160"/>
      <c r="H594" s="1160"/>
      <c r="I594" s="1160"/>
      <c r="J594" s="1160"/>
      <c r="K594" s="1160"/>
      <c r="L594" s="1160"/>
      <c r="M594" s="1160"/>
      <c r="N594" s="1160"/>
      <c r="O594" s="1160"/>
      <c r="P594" s="1160"/>
      <c r="Q594" s="1160"/>
      <c r="R594" s="1160"/>
      <c r="S594" s="1160"/>
      <c r="T594" s="1160"/>
      <c r="U594" s="1160"/>
      <c r="V594" s="1160"/>
      <c r="W594" s="1160"/>
      <c r="X594" s="1211"/>
      <c r="Y594" s="1160"/>
      <c r="Z594" s="1160"/>
      <c r="AA594" s="1160"/>
      <c r="AB594" s="1160"/>
      <c r="AC594" s="1160"/>
      <c r="AD594" s="1160"/>
      <c r="AE594" s="1160"/>
    </row>
    <row r="595" ht="15.0" customHeight="1">
      <c r="A595" s="1209"/>
      <c r="B595" s="1209"/>
      <c r="C595" s="1210"/>
      <c r="D595" s="1160"/>
      <c r="E595" s="1160"/>
      <c r="F595" s="1160"/>
      <c r="G595" s="1160"/>
      <c r="H595" s="1160"/>
      <c r="I595" s="1160"/>
      <c r="J595" s="1160"/>
      <c r="K595" s="1160"/>
      <c r="L595" s="1160"/>
      <c r="M595" s="1160"/>
      <c r="N595" s="1160"/>
      <c r="O595" s="1160"/>
      <c r="P595" s="1160"/>
      <c r="Q595" s="1160"/>
      <c r="R595" s="1160"/>
      <c r="S595" s="1160"/>
      <c r="T595" s="1160"/>
      <c r="U595" s="1160"/>
      <c r="V595" s="1160"/>
      <c r="W595" s="1160"/>
      <c r="X595" s="1211"/>
      <c r="Y595" s="1160"/>
      <c r="Z595" s="1160"/>
      <c r="AA595" s="1160"/>
      <c r="AB595" s="1160"/>
      <c r="AC595" s="1160"/>
      <c r="AD595" s="1160"/>
      <c r="AE595" s="1160"/>
    </row>
    <row r="596" ht="15.0" customHeight="1">
      <c r="A596" s="1209"/>
      <c r="B596" s="1209"/>
      <c r="C596" s="1210"/>
      <c r="D596" s="1160"/>
      <c r="E596" s="1160"/>
      <c r="F596" s="1160"/>
      <c r="G596" s="1160"/>
      <c r="H596" s="1160"/>
      <c r="I596" s="1160"/>
      <c r="J596" s="1160"/>
      <c r="K596" s="1160"/>
      <c r="L596" s="1160"/>
      <c r="M596" s="1160"/>
      <c r="N596" s="1160"/>
      <c r="O596" s="1160"/>
      <c r="P596" s="1160"/>
      <c r="Q596" s="1160"/>
      <c r="R596" s="1160"/>
      <c r="S596" s="1160"/>
      <c r="T596" s="1160"/>
      <c r="U596" s="1160"/>
      <c r="V596" s="1160"/>
      <c r="W596" s="1160"/>
      <c r="X596" s="1211"/>
      <c r="Y596" s="1160"/>
      <c r="Z596" s="1160"/>
      <c r="AA596" s="1160"/>
      <c r="AB596" s="1160"/>
      <c r="AC596" s="1160"/>
      <c r="AD596" s="1160"/>
      <c r="AE596" s="1160"/>
    </row>
    <row r="597" ht="15.0" customHeight="1">
      <c r="A597" s="1209"/>
      <c r="B597" s="1209"/>
      <c r="C597" s="1210"/>
      <c r="D597" s="1160"/>
      <c r="E597" s="1160"/>
      <c r="F597" s="1160"/>
      <c r="G597" s="1160"/>
      <c r="H597" s="1160"/>
      <c r="I597" s="1160"/>
      <c r="J597" s="1160"/>
      <c r="K597" s="1160"/>
      <c r="L597" s="1160"/>
      <c r="M597" s="1160"/>
      <c r="N597" s="1160"/>
      <c r="O597" s="1160"/>
      <c r="P597" s="1160"/>
      <c r="Q597" s="1160"/>
      <c r="R597" s="1160"/>
      <c r="S597" s="1160"/>
      <c r="T597" s="1160"/>
      <c r="U597" s="1160"/>
      <c r="V597" s="1160"/>
      <c r="W597" s="1160"/>
      <c r="X597" s="1211"/>
      <c r="Y597" s="1160"/>
      <c r="Z597" s="1160"/>
      <c r="AA597" s="1160"/>
      <c r="AB597" s="1160"/>
      <c r="AC597" s="1160"/>
      <c r="AD597" s="1160"/>
      <c r="AE597" s="1160"/>
    </row>
    <row r="598" ht="15.0" customHeight="1">
      <c r="A598" s="1209"/>
      <c r="B598" s="1209"/>
      <c r="C598" s="1210"/>
      <c r="D598" s="1160"/>
      <c r="E598" s="1160"/>
      <c r="F598" s="1160"/>
      <c r="G598" s="1160"/>
      <c r="H598" s="1160"/>
      <c r="I598" s="1160"/>
      <c r="J598" s="1160"/>
      <c r="K598" s="1160"/>
      <c r="L598" s="1160"/>
      <c r="M598" s="1160"/>
      <c r="N598" s="1160"/>
      <c r="O598" s="1160"/>
      <c r="P598" s="1160"/>
      <c r="Q598" s="1160"/>
      <c r="R598" s="1160"/>
      <c r="S598" s="1160"/>
      <c r="T598" s="1160"/>
      <c r="U598" s="1160"/>
      <c r="V598" s="1160"/>
      <c r="W598" s="1160"/>
      <c r="X598" s="1211"/>
      <c r="Y598" s="1160"/>
      <c r="Z598" s="1160"/>
      <c r="AA598" s="1160"/>
      <c r="AB598" s="1160"/>
      <c r="AC598" s="1160"/>
      <c r="AD598" s="1160"/>
      <c r="AE598" s="1160"/>
    </row>
    <row r="599" ht="15.0" customHeight="1">
      <c r="A599" s="1209"/>
      <c r="B599" s="1209"/>
      <c r="C599" s="1210"/>
      <c r="D599" s="1160"/>
      <c r="E599" s="1160"/>
      <c r="F599" s="1160"/>
      <c r="G599" s="1160"/>
      <c r="H599" s="1160"/>
      <c r="I599" s="1160"/>
      <c r="J599" s="1160"/>
      <c r="K599" s="1160"/>
      <c r="L599" s="1160"/>
      <c r="M599" s="1160"/>
      <c r="N599" s="1160"/>
      <c r="O599" s="1160"/>
      <c r="P599" s="1160"/>
      <c r="Q599" s="1160"/>
      <c r="R599" s="1160"/>
      <c r="S599" s="1160"/>
      <c r="T599" s="1160"/>
      <c r="U599" s="1160"/>
      <c r="V599" s="1160"/>
      <c r="W599" s="1160"/>
      <c r="X599" s="1211"/>
      <c r="Y599" s="1160"/>
      <c r="Z599" s="1160"/>
      <c r="AA599" s="1160"/>
      <c r="AB599" s="1160"/>
      <c r="AC599" s="1160"/>
      <c r="AD599" s="1160"/>
      <c r="AE599" s="1160"/>
    </row>
    <row r="600" ht="15.0" customHeight="1">
      <c r="A600" s="1209"/>
      <c r="B600" s="1209"/>
      <c r="C600" s="1210"/>
      <c r="D600" s="1160"/>
      <c r="E600" s="1160"/>
      <c r="F600" s="1160"/>
      <c r="G600" s="1160"/>
      <c r="H600" s="1160"/>
      <c r="I600" s="1160"/>
      <c r="J600" s="1160"/>
      <c r="K600" s="1160"/>
      <c r="L600" s="1160"/>
      <c r="M600" s="1160"/>
      <c r="N600" s="1160"/>
      <c r="O600" s="1160"/>
      <c r="P600" s="1160"/>
      <c r="Q600" s="1160"/>
      <c r="R600" s="1160"/>
      <c r="S600" s="1160"/>
      <c r="T600" s="1160"/>
      <c r="U600" s="1160"/>
      <c r="V600" s="1160"/>
      <c r="W600" s="1160"/>
      <c r="X600" s="1211"/>
      <c r="Y600" s="1160"/>
      <c r="Z600" s="1160"/>
      <c r="AA600" s="1160"/>
      <c r="AB600" s="1160"/>
      <c r="AC600" s="1160"/>
      <c r="AD600" s="1160"/>
      <c r="AE600" s="1160"/>
    </row>
    <row r="601" ht="15.0" customHeight="1">
      <c r="A601" s="1209"/>
      <c r="B601" s="1209"/>
      <c r="C601" s="1210"/>
      <c r="D601" s="1160"/>
      <c r="E601" s="1160"/>
      <c r="F601" s="1160"/>
      <c r="G601" s="1160"/>
      <c r="H601" s="1160"/>
      <c r="I601" s="1160"/>
      <c r="J601" s="1160"/>
      <c r="K601" s="1160"/>
      <c r="L601" s="1160"/>
      <c r="M601" s="1160"/>
      <c r="N601" s="1160"/>
      <c r="O601" s="1160"/>
      <c r="P601" s="1160"/>
      <c r="Q601" s="1160"/>
      <c r="R601" s="1160"/>
      <c r="S601" s="1160"/>
      <c r="T601" s="1160"/>
      <c r="U601" s="1160"/>
      <c r="V601" s="1160"/>
      <c r="W601" s="1160"/>
      <c r="X601" s="1211"/>
      <c r="Y601" s="1160"/>
      <c r="Z601" s="1160"/>
      <c r="AA601" s="1160"/>
      <c r="AB601" s="1160"/>
      <c r="AC601" s="1160"/>
      <c r="AD601" s="1160"/>
      <c r="AE601" s="1160"/>
    </row>
    <row r="602" ht="15.0" customHeight="1">
      <c r="A602" s="1209"/>
      <c r="B602" s="1209"/>
      <c r="C602" s="1210"/>
      <c r="D602" s="1160"/>
      <c r="E602" s="1160"/>
      <c r="F602" s="1160"/>
      <c r="G602" s="1160"/>
      <c r="H602" s="1160"/>
      <c r="I602" s="1160"/>
      <c r="J602" s="1160"/>
      <c r="K602" s="1160"/>
      <c r="L602" s="1160"/>
      <c r="M602" s="1160"/>
      <c r="N602" s="1160"/>
      <c r="O602" s="1160"/>
      <c r="P602" s="1160"/>
      <c r="Q602" s="1160"/>
      <c r="R602" s="1160"/>
      <c r="S602" s="1160"/>
      <c r="T602" s="1160"/>
      <c r="U602" s="1160"/>
      <c r="V602" s="1160"/>
      <c r="W602" s="1160"/>
      <c r="X602" s="1211"/>
      <c r="Y602" s="1160"/>
      <c r="Z602" s="1160"/>
      <c r="AA602" s="1160"/>
      <c r="AB602" s="1160"/>
      <c r="AC602" s="1160"/>
      <c r="AD602" s="1160"/>
      <c r="AE602" s="1160"/>
    </row>
    <row r="603" ht="15.0" customHeight="1">
      <c r="A603" s="1209"/>
      <c r="B603" s="1209"/>
      <c r="C603" s="1210"/>
      <c r="D603" s="1160"/>
      <c r="E603" s="1160"/>
      <c r="F603" s="1160"/>
      <c r="G603" s="1160"/>
      <c r="H603" s="1160"/>
      <c r="I603" s="1160"/>
      <c r="J603" s="1160"/>
      <c r="K603" s="1160"/>
      <c r="L603" s="1160"/>
      <c r="M603" s="1160"/>
      <c r="N603" s="1160"/>
      <c r="O603" s="1160"/>
      <c r="P603" s="1160"/>
      <c r="Q603" s="1160"/>
      <c r="R603" s="1160"/>
      <c r="S603" s="1160"/>
      <c r="T603" s="1160"/>
      <c r="U603" s="1160"/>
      <c r="V603" s="1160"/>
      <c r="W603" s="1160"/>
      <c r="X603" s="1211"/>
      <c r="Y603" s="1160"/>
      <c r="Z603" s="1160"/>
      <c r="AA603" s="1160"/>
      <c r="AB603" s="1160"/>
      <c r="AC603" s="1160"/>
      <c r="AD603" s="1160"/>
      <c r="AE603" s="1160"/>
    </row>
    <row r="604" ht="15.0" customHeight="1">
      <c r="A604" s="1209"/>
      <c r="B604" s="1209"/>
      <c r="C604" s="1210"/>
      <c r="D604" s="1160"/>
      <c r="E604" s="1160"/>
      <c r="F604" s="1160"/>
      <c r="G604" s="1160"/>
      <c r="H604" s="1160"/>
      <c r="I604" s="1160"/>
      <c r="J604" s="1160"/>
      <c r="K604" s="1160"/>
      <c r="L604" s="1160"/>
      <c r="M604" s="1160"/>
      <c r="N604" s="1160"/>
      <c r="O604" s="1160"/>
      <c r="P604" s="1160"/>
      <c r="Q604" s="1160"/>
      <c r="R604" s="1160"/>
      <c r="S604" s="1160"/>
      <c r="T604" s="1160"/>
      <c r="U604" s="1160"/>
      <c r="V604" s="1160"/>
      <c r="W604" s="1160"/>
      <c r="X604" s="1211"/>
      <c r="Y604" s="1160"/>
      <c r="Z604" s="1160"/>
      <c r="AA604" s="1160"/>
      <c r="AB604" s="1160"/>
      <c r="AC604" s="1160"/>
      <c r="AD604" s="1160"/>
      <c r="AE604" s="1160"/>
    </row>
    <row r="605" ht="15.0" customHeight="1">
      <c r="A605" s="1209"/>
      <c r="B605" s="1209"/>
      <c r="C605" s="1210"/>
      <c r="D605" s="1160"/>
      <c r="E605" s="1160"/>
      <c r="F605" s="1160"/>
      <c r="G605" s="1160"/>
      <c r="H605" s="1160"/>
      <c r="I605" s="1160"/>
      <c r="J605" s="1160"/>
      <c r="K605" s="1160"/>
      <c r="L605" s="1160"/>
      <c r="M605" s="1160"/>
      <c r="N605" s="1160"/>
      <c r="O605" s="1160"/>
      <c r="P605" s="1160"/>
      <c r="Q605" s="1160"/>
      <c r="R605" s="1160"/>
      <c r="S605" s="1160"/>
      <c r="T605" s="1160"/>
      <c r="U605" s="1160"/>
      <c r="V605" s="1160"/>
      <c r="W605" s="1160"/>
      <c r="X605" s="1211"/>
      <c r="Y605" s="1160"/>
      <c r="Z605" s="1160"/>
      <c r="AA605" s="1160"/>
      <c r="AB605" s="1160"/>
      <c r="AC605" s="1160"/>
      <c r="AD605" s="1160"/>
      <c r="AE605" s="1160"/>
    </row>
    <row r="606" ht="15.0" customHeight="1">
      <c r="A606" s="1209"/>
      <c r="B606" s="1209"/>
      <c r="C606" s="1210"/>
      <c r="D606" s="1160"/>
      <c r="E606" s="1160"/>
      <c r="F606" s="1160"/>
      <c r="G606" s="1160"/>
      <c r="H606" s="1160"/>
      <c r="I606" s="1160"/>
      <c r="J606" s="1160"/>
      <c r="K606" s="1160"/>
      <c r="L606" s="1160"/>
      <c r="M606" s="1160"/>
      <c r="N606" s="1160"/>
      <c r="O606" s="1160"/>
      <c r="P606" s="1160"/>
      <c r="Q606" s="1160"/>
      <c r="R606" s="1160"/>
      <c r="S606" s="1160"/>
      <c r="T606" s="1160"/>
      <c r="U606" s="1160"/>
      <c r="V606" s="1160"/>
      <c r="W606" s="1160"/>
      <c r="X606" s="1211"/>
      <c r="Y606" s="1160"/>
      <c r="Z606" s="1160"/>
      <c r="AA606" s="1160"/>
      <c r="AB606" s="1160"/>
      <c r="AC606" s="1160"/>
      <c r="AD606" s="1160"/>
      <c r="AE606" s="1160"/>
    </row>
    <row r="607" ht="15.0" customHeight="1">
      <c r="A607" s="1209"/>
      <c r="B607" s="1209"/>
      <c r="C607" s="1210"/>
      <c r="D607" s="1160"/>
      <c r="E607" s="1160"/>
      <c r="F607" s="1160"/>
      <c r="G607" s="1160"/>
      <c r="H607" s="1160"/>
      <c r="I607" s="1160"/>
      <c r="J607" s="1160"/>
      <c r="K607" s="1160"/>
      <c r="L607" s="1160"/>
      <c r="M607" s="1160"/>
      <c r="N607" s="1160"/>
      <c r="O607" s="1160"/>
      <c r="P607" s="1160"/>
      <c r="Q607" s="1160"/>
      <c r="R607" s="1160"/>
      <c r="S607" s="1160"/>
      <c r="T607" s="1160"/>
      <c r="U607" s="1160"/>
      <c r="V607" s="1160"/>
      <c r="W607" s="1160"/>
      <c r="X607" s="1211"/>
      <c r="Y607" s="1160"/>
      <c r="Z607" s="1160"/>
      <c r="AA607" s="1160"/>
      <c r="AB607" s="1160"/>
      <c r="AC607" s="1160"/>
      <c r="AD607" s="1160"/>
      <c r="AE607" s="1160"/>
    </row>
    <row r="608" ht="15.0" customHeight="1">
      <c r="A608" s="1209"/>
      <c r="B608" s="1209"/>
      <c r="C608" s="1210"/>
      <c r="D608" s="1160"/>
      <c r="E608" s="1160"/>
      <c r="F608" s="1160"/>
      <c r="G608" s="1160"/>
      <c r="H608" s="1160"/>
      <c r="I608" s="1160"/>
      <c r="J608" s="1160"/>
      <c r="K608" s="1160"/>
      <c r="L608" s="1160"/>
      <c r="M608" s="1160"/>
      <c r="N608" s="1160"/>
      <c r="O608" s="1160"/>
      <c r="P608" s="1160"/>
      <c r="Q608" s="1160"/>
      <c r="R608" s="1160"/>
      <c r="S608" s="1160"/>
      <c r="T608" s="1160"/>
      <c r="U608" s="1160"/>
      <c r="V608" s="1160"/>
      <c r="W608" s="1160"/>
      <c r="X608" s="1211"/>
      <c r="Y608" s="1160"/>
      <c r="Z608" s="1160"/>
      <c r="AA608" s="1160"/>
      <c r="AB608" s="1160"/>
      <c r="AC608" s="1160"/>
      <c r="AD608" s="1160"/>
      <c r="AE608" s="1160"/>
    </row>
    <row r="609" ht="15.0" customHeight="1">
      <c r="A609" s="1209"/>
      <c r="B609" s="1209"/>
      <c r="C609" s="1210"/>
      <c r="D609" s="1160"/>
      <c r="E609" s="1160"/>
      <c r="F609" s="1160"/>
      <c r="G609" s="1160"/>
      <c r="H609" s="1160"/>
      <c r="I609" s="1160"/>
      <c r="J609" s="1160"/>
      <c r="K609" s="1160"/>
      <c r="L609" s="1160"/>
      <c r="M609" s="1160"/>
      <c r="N609" s="1160"/>
      <c r="O609" s="1160"/>
      <c r="P609" s="1160"/>
      <c r="Q609" s="1160"/>
      <c r="R609" s="1160"/>
      <c r="S609" s="1160"/>
      <c r="T609" s="1160"/>
      <c r="U609" s="1160"/>
      <c r="V609" s="1160"/>
      <c r="W609" s="1160"/>
      <c r="X609" s="1211"/>
      <c r="Y609" s="1160"/>
      <c r="Z609" s="1160"/>
      <c r="AA609" s="1160"/>
      <c r="AB609" s="1160"/>
      <c r="AC609" s="1160"/>
      <c r="AD609" s="1160"/>
      <c r="AE609" s="1160"/>
    </row>
    <row r="610" ht="15.0" customHeight="1">
      <c r="A610" s="1209"/>
      <c r="B610" s="1209"/>
      <c r="C610" s="1210"/>
      <c r="D610" s="1160"/>
      <c r="E610" s="1160"/>
      <c r="F610" s="1160"/>
      <c r="G610" s="1160"/>
      <c r="H610" s="1160"/>
      <c r="I610" s="1160"/>
      <c r="J610" s="1160"/>
      <c r="K610" s="1160"/>
      <c r="L610" s="1160"/>
      <c r="M610" s="1160"/>
      <c r="N610" s="1160"/>
      <c r="O610" s="1160"/>
      <c r="P610" s="1160"/>
      <c r="Q610" s="1160"/>
      <c r="R610" s="1160"/>
      <c r="S610" s="1160"/>
      <c r="T610" s="1160"/>
      <c r="U610" s="1160"/>
      <c r="V610" s="1160"/>
      <c r="W610" s="1160"/>
      <c r="X610" s="1211"/>
      <c r="Y610" s="1160"/>
      <c r="Z610" s="1160"/>
      <c r="AA610" s="1160"/>
      <c r="AB610" s="1160"/>
      <c r="AC610" s="1160"/>
      <c r="AD610" s="1160"/>
      <c r="AE610" s="1160"/>
    </row>
    <row r="611" ht="15.0" customHeight="1">
      <c r="A611" s="1209"/>
      <c r="B611" s="1209"/>
      <c r="C611" s="1210"/>
      <c r="D611" s="1160"/>
      <c r="E611" s="1160"/>
      <c r="F611" s="1160"/>
      <c r="G611" s="1160"/>
      <c r="H611" s="1160"/>
      <c r="I611" s="1160"/>
      <c r="J611" s="1160"/>
      <c r="K611" s="1160"/>
      <c r="L611" s="1160"/>
      <c r="M611" s="1160"/>
      <c r="N611" s="1160"/>
      <c r="O611" s="1160"/>
      <c r="P611" s="1160"/>
      <c r="Q611" s="1160"/>
      <c r="R611" s="1160"/>
      <c r="S611" s="1160"/>
      <c r="T611" s="1160"/>
      <c r="U611" s="1160"/>
      <c r="V611" s="1160"/>
      <c r="W611" s="1160"/>
      <c r="X611" s="1211"/>
      <c r="Y611" s="1160"/>
      <c r="Z611" s="1160"/>
      <c r="AA611" s="1160"/>
      <c r="AB611" s="1160"/>
      <c r="AC611" s="1160"/>
      <c r="AD611" s="1160"/>
      <c r="AE611" s="1160"/>
    </row>
    <row r="612" ht="15.0" customHeight="1">
      <c r="A612" s="1209"/>
      <c r="B612" s="1209"/>
      <c r="C612" s="1210"/>
      <c r="D612" s="1160"/>
      <c r="E612" s="1160"/>
      <c r="F612" s="1160"/>
      <c r="G612" s="1160"/>
      <c r="H612" s="1160"/>
      <c r="I612" s="1160"/>
      <c r="J612" s="1160"/>
      <c r="K612" s="1160"/>
      <c r="L612" s="1160"/>
      <c r="M612" s="1160"/>
      <c r="N612" s="1160"/>
      <c r="O612" s="1160"/>
      <c r="P612" s="1160"/>
      <c r="Q612" s="1160"/>
      <c r="R612" s="1160"/>
      <c r="S612" s="1160"/>
      <c r="T612" s="1160"/>
      <c r="U612" s="1160"/>
      <c r="V612" s="1160"/>
      <c r="W612" s="1160"/>
      <c r="X612" s="1211"/>
      <c r="Y612" s="1160"/>
      <c r="Z612" s="1160"/>
      <c r="AA612" s="1160"/>
      <c r="AB612" s="1160"/>
      <c r="AC612" s="1160"/>
      <c r="AD612" s="1160"/>
      <c r="AE612" s="1160"/>
    </row>
    <row r="613" ht="15.0" customHeight="1">
      <c r="A613" s="1209"/>
      <c r="B613" s="1209"/>
      <c r="C613" s="1210"/>
      <c r="D613" s="1160"/>
      <c r="E613" s="1160"/>
      <c r="F613" s="1160"/>
      <c r="G613" s="1160"/>
      <c r="H613" s="1160"/>
      <c r="I613" s="1160"/>
      <c r="J613" s="1160"/>
      <c r="K613" s="1160"/>
      <c r="L613" s="1160"/>
      <c r="M613" s="1160"/>
      <c r="N613" s="1160"/>
      <c r="O613" s="1160"/>
      <c r="P613" s="1160"/>
      <c r="Q613" s="1160"/>
      <c r="R613" s="1160"/>
      <c r="S613" s="1160"/>
      <c r="T613" s="1160"/>
      <c r="U613" s="1160"/>
      <c r="V613" s="1160"/>
      <c r="W613" s="1160"/>
      <c r="X613" s="1211"/>
      <c r="Y613" s="1160"/>
      <c r="Z613" s="1160"/>
      <c r="AA613" s="1160"/>
      <c r="AB613" s="1160"/>
      <c r="AC613" s="1160"/>
      <c r="AD613" s="1160"/>
      <c r="AE613" s="1160"/>
    </row>
    <row r="614" ht="15.0" customHeight="1">
      <c r="A614" s="1209"/>
      <c r="B614" s="1209"/>
      <c r="C614" s="1210"/>
      <c r="D614" s="1160"/>
      <c r="E614" s="1160"/>
      <c r="F614" s="1160"/>
      <c r="G614" s="1160"/>
      <c r="H614" s="1160"/>
      <c r="I614" s="1160"/>
      <c r="J614" s="1160"/>
      <c r="K614" s="1160"/>
      <c r="L614" s="1160"/>
      <c r="M614" s="1160"/>
      <c r="N614" s="1160"/>
      <c r="O614" s="1160"/>
      <c r="P614" s="1160"/>
      <c r="Q614" s="1160"/>
      <c r="R614" s="1160"/>
      <c r="S614" s="1160"/>
      <c r="T614" s="1160"/>
      <c r="U614" s="1160"/>
      <c r="V614" s="1160"/>
      <c r="W614" s="1160"/>
      <c r="X614" s="1211"/>
      <c r="Y614" s="1160"/>
      <c r="Z614" s="1160"/>
      <c r="AA614" s="1160"/>
      <c r="AB614" s="1160"/>
      <c r="AC614" s="1160"/>
      <c r="AD614" s="1160"/>
      <c r="AE614" s="1160"/>
    </row>
    <row r="615" ht="15.0" customHeight="1">
      <c r="A615" s="1209"/>
      <c r="B615" s="1209"/>
      <c r="C615" s="1210"/>
      <c r="D615" s="1160"/>
      <c r="E615" s="1160"/>
      <c r="F615" s="1160"/>
      <c r="G615" s="1160"/>
      <c r="H615" s="1160"/>
      <c r="I615" s="1160"/>
      <c r="J615" s="1160"/>
      <c r="K615" s="1160"/>
      <c r="L615" s="1160"/>
      <c r="M615" s="1160"/>
      <c r="N615" s="1160"/>
      <c r="O615" s="1160"/>
      <c r="P615" s="1160"/>
      <c r="Q615" s="1160"/>
      <c r="R615" s="1160"/>
      <c r="S615" s="1160"/>
      <c r="T615" s="1160"/>
      <c r="U615" s="1160"/>
      <c r="V615" s="1160"/>
      <c r="W615" s="1160"/>
      <c r="X615" s="1211"/>
      <c r="Y615" s="1160"/>
      <c r="Z615" s="1160"/>
      <c r="AA615" s="1160"/>
      <c r="AB615" s="1160"/>
      <c r="AC615" s="1160"/>
      <c r="AD615" s="1160"/>
      <c r="AE615" s="1160"/>
    </row>
    <row r="616" ht="15.0" customHeight="1">
      <c r="A616" s="1209"/>
      <c r="B616" s="1209"/>
      <c r="C616" s="1210"/>
      <c r="D616" s="1160"/>
      <c r="E616" s="1160"/>
      <c r="F616" s="1160"/>
      <c r="G616" s="1160"/>
      <c r="H616" s="1160"/>
      <c r="I616" s="1160"/>
      <c r="J616" s="1160"/>
      <c r="K616" s="1160"/>
      <c r="L616" s="1160"/>
      <c r="M616" s="1160"/>
      <c r="N616" s="1160"/>
      <c r="O616" s="1160"/>
      <c r="P616" s="1160"/>
      <c r="Q616" s="1160"/>
      <c r="R616" s="1160"/>
      <c r="S616" s="1160"/>
      <c r="T616" s="1160"/>
      <c r="U616" s="1160"/>
      <c r="V616" s="1160"/>
      <c r="W616" s="1160"/>
      <c r="X616" s="1211"/>
      <c r="Y616" s="1160"/>
      <c r="Z616" s="1160"/>
      <c r="AA616" s="1160"/>
      <c r="AB616" s="1160"/>
      <c r="AC616" s="1160"/>
      <c r="AD616" s="1160"/>
      <c r="AE616" s="1160"/>
    </row>
    <row r="617" ht="15.0" customHeight="1">
      <c r="A617" s="1209"/>
      <c r="B617" s="1209"/>
      <c r="C617" s="1210"/>
      <c r="D617" s="1160"/>
      <c r="E617" s="1160"/>
      <c r="F617" s="1160"/>
      <c r="G617" s="1160"/>
      <c r="H617" s="1160"/>
      <c r="I617" s="1160"/>
      <c r="J617" s="1160"/>
      <c r="K617" s="1160"/>
      <c r="L617" s="1160"/>
      <c r="M617" s="1160"/>
      <c r="N617" s="1160"/>
      <c r="O617" s="1160"/>
      <c r="P617" s="1160"/>
      <c r="Q617" s="1160"/>
      <c r="R617" s="1160"/>
      <c r="S617" s="1160"/>
      <c r="T617" s="1160"/>
      <c r="U617" s="1160"/>
      <c r="V617" s="1160"/>
      <c r="W617" s="1160"/>
      <c r="X617" s="1211"/>
      <c r="Y617" s="1160"/>
      <c r="Z617" s="1160"/>
      <c r="AA617" s="1160"/>
      <c r="AB617" s="1160"/>
      <c r="AC617" s="1160"/>
      <c r="AD617" s="1160"/>
      <c r="AE617" s="1160"/>
    </row>
    <row r="618" ht="15.0" customHeight="1">
      <c r="A618" s="1209"/>
      <c r="B618" s="1209"/>
      <c r="C618" s="1210"/>
      <c r="D618" s="1160"/>
      <c r="E618" s="1160"/>
      <c r="F618" s="1160"/>
      <c r="G618" s="1160"/>
      <c r="H618" s="1160"/>
      <c r="I618" s="1160"/>
      <c r="J618" s="1160"/>
      <c r="K618" s="1160"/>
      <c r="L618" s="1160"/>
      <c r="M618" s="1160"/>
      <c r="N618" s="1160"/>
      <c r="O618" s="1160"/>
      <c r="P618" s="1160"/>
      <c r="Q618" s="1160"/>
      <c r="R618" s="1160"/>
      <c r="S618" s="1160"/>
      <c r="T618" s="1160"/>
      <c r="U618" s="1160"/>
      <c r="V618" s="1160"/>
      <c r="W618" s="1160"/>
      <c r="X618" s="1211"/>
      <c r="Y618" s="1160"/>
      <c r="Z618" s="1160"/>
      <c r="AA618" s="1160"/>
      <c r="AB618" s="1160"/>
      <c r="AC618" s="1160"/>
      <c r="AD618" s="1160"/>
      <c r="AE618" s="1160"/>
    </row>
    <row r="619" ht="15.0" customHeight="1">
      <c r="A619" s="1209"/>
      <c r="B619" s="1209"/>
      <c r="C619" s="1210"/>
      <c r="D619" s="1160"/>
      <c r="E619" s="1160"/>
      <c r="F619" s="1160"/>
      <c r="G619" s="1160"/>
      <c r="H619" s="1160"/>
      <c r="I619" s="1160"/>
      <c r="J619" s="1160"/>
      <c r="K619" s="1160"/>
      <c r="L619" s="1160"/>
      <c r="M619" s="1160"/>
      <c r="N619" s="1160"/>
      <c r="O619" s="1160"/>
      <c r="P619" s="1160"/>
      <c r="Q619" s="1160"/>
      <c r="R619" s="1160"/>
      <c r="S619" s="1160"/>
      <c r="T619" s="1160"/>
      <c r="U619" s="1160"/>
      <c r="V619" s="1160"/>
      <c r="W619" s="1160"/>
      <c r="X619" s="1211"/>
      <c r="Y619" s="1160"/>
      <c r="Z619" s="1160"/>
      <c r="AA619" s="1160"/>
      <c r="AB619" s="1160"/>
      <c r="AC619" s="1160"/>
      <c r="AD619" s="1160"/>
      <c r="AE619" s="1160"/>
    </row>
    <row r="620" ht="15.0" customHeight="1">
      <c r="A620" s="1209"/>
      <c r="B620" s="1209"/>
      <c r="C620" s="1210"/>
      <c r="D620" s="1160"/>
      <c r="E620" s="1160"/>
      <c r="F620" s="1160"/>
      <c r="G620" s="1160"/>
      <c r="H620" s="1160"/>
      <c r="I620" s="1160"/>
      <c r="J620" s="1160"/>
      <c r="K620" s="1160"/>
      <c r="L620" s="1160"/>
      <c r="M620" s="1160"/>
      <c r="N620" s="1160"/>
      <c r="O620" s="1160"/>
      <c r="P620" s="1160"/>
      <c r="Q620" s="1160"/>
      <c r="R620" s="1160"/>
      <c r="S620" s="1160"/>
      <c r="T620" s="1160"/>
      <c r="U620" s="1160"/>
      <c r="V620" s="1160"/>
      <c r="W620" s="1160"/>
      <c r="X620" s="1211"/>
      <c r="Y620" s="1160"/>
      <c r="Z620" s="1160"/>
      <c r="AA620" s="1160"/>
      <c r="AB620" s="1160"/>
      <c r="AC620" s="1160"/>
      <c r="AD620" s="1160"/>
      <c r="AE620" s="1160"/>
    </row>
    <row r="621" ht="15.0" customHeight="1">
      <c r="A621" s="1209"/>
      <c r="B621" s="1209"/>
      <c r="C621" s="1210"/>
      <c r="D621" s="1160"/>
      <c r="E621" s="1160"/>
      <c r="F621" s="1160"/>
      <c r="G621" s="1160"/>
      <c r="H621" s="1160"/>
      <c r="I621" s="1160"/>
      <c r="J621" s="1160"/>
      <c r="K621" s="1160"/>
      <c r="L621" s="1160"/>
      <c r="M621" s="1160"/>
      <c r="N621" s="1160"/>
      <c r="O621" s="1160"/>
      <c r="P621" s="1160"/>
      <c r="Q621" s="1160"/>
      <c r="R621" s="1160"/>
      <c r="S621" s="1160"/>
      <c r="T621" s="1160"/>
      <c r="U621" s="1160"/>
      <c r="V621" s="1160"/>
      <c r="W621" s="1160"/>
      <c r="X621" s="1211"/>
      <c r="Y621" s="1160"/>
      <c r="Z621" s="1160"/>
      <c r="AA621" s="1160"/>
      <c r="AB621" s="1160"/>
      <c r="AC621" s="1160"/>
      <c r="AD621" s="1160"/>
      <c r="AE621" s="1160"/>
    </row>
    <row r="622" ht="15.0" customHeight="1">
      <c r="A622" s="1209"/>
      <c r="B622" s="1209"/>
      <c r="C622" s="1210"/>
      <c r="D622" s="1160"/>
      <c r="E622" s="1160"/>
      <c r="F622" s="1160"/>
      <c r="G622" s="1160"/>
      <c r="H622" s="1160"/>
      <c r="I622" s="1160"/>
      <c r="J622" s="1160"/>
      <c r="K622" s="1160"/>
      <c r="L622" s="1160"/>
      <c r="M622" s="1160"/>
      <c r="N622" s="1160"/>
      <c r="O622" s="1160"/>
      <c r="P622" s="1160"/>
      <c r="Q622" s="1160"/>
      <c r="R622" s="1160"/>
      <c r="S622" s="1160"/>
      <c r="T622" s="1160"/>
      <c r="U622" s="1160"/>
      <c r="V622" s="1160"/>
      <c r="W622" s="1160"/>
      <c r="X622" s="1211"/>
      <c r="Y622" s="1160"/>
      <c r="Z622" s="1160"/>
      <c r="AA622" s="1160"/>
      <c r="AB622" s="1160"/>
      <c r="AC622" s="1160"/>
      <c r="AD622" s="1160"/>
      <c r="AE622" s="1160"/>
    </row>
    <row r="623" ht="15.0" customHeight="1">
      <c r="A623" s="1209"/>
      <c r="B623" s="1209"/>
      <c r="C623" s="1210"/>
      <c r="D623" s="1160"/>
      <c r="E623" s="1160"/>
      <c r="F623" s="1160"/>
      <c r="G623" s="1160"/>
      <c r="H623" s="1160"/>
      <c r="I623" s="1160"/>
      <c r="J623" s="1160"/>
      <c r="K623" s="1160"/>
      <c r="L623" s="1160"/>
      <c r="M623" s="1160"/>
      <c r="N623" s="1160"/>
      <c r="O623" s="1160"/>
      <c r="P623" s="1160"/>
      <c r="Q623" s="1160"/>
      <c r="R623" s="1160"/>
      <c r="S623" s="1160"/>
      <c r="T623" s="1160"/>
      <c r="U623" s="1160"/>
      <c r="V623" s="1160"/>
      <c r="W623" s="1160"/>
      <c r="X623" s="1211"/>
      <c r="Y623" s="1160"/>
      <c r="Z623" s="1160"/>
      <c r="AA623" s="1160"/>
      <c r="AB623" s="1160"/>
      <c r="AC623" s="1160"/>
      <c r="AD623" s="1160"/>
      <c r="AE623" s="1160"/>
    </row>
    <row r="624" ht="15.0" customHeight="1">
      <c r="A624" s="1209"/>
      <c r="B624" s="1209"/>
      <c r="C624" s="1210"/>
      <c r="D624" s="1160"/>
      <c r="E624" s="1160"/>
      <c r="F624" s="1160"/>
      <c r="G624" s="1160"/>
      <c r="H624" s="1160"/>
      <c r="I624" s="1160"/>
      <c r="J624" s="1160"/>
      <c r="K624" s="1160"/>
      <c r="L624" s="1160"/>
      <c r="M624" s="1160"/>
      <c r="N624" s="1160"/>
      <c r="O624" s="1160"/>
      <c r="P624" s="1160"/>
      <c r="Q624" s="1160"/>
      <c r="R624" s="1160"/>
      <c r="S624" s="1160"/>
      <c r="T624" s="1160"/>
      <c r="U624" s="1160"/>
      <c r="V624" s="1160"/>
      <c r="W624" s="1160"/>
      <c r="X624" s="1211"/>
      <c r="Y624" s="1160"/>
      <c r="Z624" s="1160"/>
      <c r="AA624" s="1160"/>
      <c r="AB624" s="1160"/>
      <c r="AC624" s="1160"/>
      <c r="AD624" s="1160"/>
      <c r="AE624" s="1160"/>
    </row>
    <row r="625" ht="15.0" customHeight="1">
      <c r="A625" s="1209"/>
      <c r="B625" s="1209"/>
      <c r="C625" s="1210"/>
      <c r="D625" s="1160"/>
      <c r="E625" s="1160"/>
      <c r="F625" s="1160"/>
      <c r="G625" s="1160"/>
      <c r="H625" s="1160"/>
      <c r="I625" s="1160"/>
      <c r="J625" s="1160"/>
      <c r="K625" s="1160"/>
      <c r="L625" s="1160"/>
      <c r="M625" s="1160"/>
      <c r="N625" s="1160"/>
      <c r="O625" s="1160"/>
      <c r="P625" s="1160"/>
      <c r="Q625" s="1160"/>
      <c r="R625" s="1160"/>
      <c r="S625" s="1160"/>
      <c r="T625" s="1160"/>
      <c r="U625" s="1160"/>
      <c r="V625" s="1160"/>
      <c r="W625" s="1160"/>
      <c r="X625" s="1211"/>
      <c r="Y625" s="1160"/>
      <c r="Z625" s="1160"/>
      <c r="AA625" s="1160"/>
      <c r="AB625" s="1160"/>
      <c r="AC625" s="1160"/>
      <c r="AD625" s="1160"/>
      <c r="AE625" s="1160"/>
    </row>
    <row r="626" ht="15.0" customHeight="1">
      <c r="A626" s="1209"/>
      <c r="B626" s="1209"/>
      <c r="C626" s="1210"/>
      <c r="D626" s="1160"/>
      <c r="E626" s="1160"/>
      <c r="F626" s="1160"/>
      <c r="G626" s="1160"/>
      <c r="H626" s="1160"/>
      <c r="I626" s="1160"/>
      <c r="J626" s="1160"/>
      <c r="K626" s="1160"/>
      <c r="L626" s="1160"/>
      <c r="M626" s="1160"/>
      <c r="N626" s="1160"/>
      <c r="O626" s="1160"/>
      <c r="P626" s="1160"/>
      <c r="Q626" s="1160"/>
      <c r="R626" s="1160"/>
      <c r="S626" s="1160"/>
      <c r="T626" s="1160"/>
      <c r="U626" s="1160"/>
      <c r="V626" s="1160"/>
      <c r="W626" s="1160"/>
      <c r="X626" s="1211"/>
      <c r="Y626" s="1160"/>
      <c r="Z626" s="1160"/>
      <c r="AA626" s="1160"/>
      <c r="AB626" s="1160"/>
      <c r="AC626" s="1160"/>
      <c r="AD626" s="1160"/>
      <c r="AE626" s="1160"/>
    </row>
    <row r="627" ht="15.0" customHeight="1">
      <c r="A627" s="1209"/>
      <c r="B627" s="1209"/>
      <c r="C627" s="1210"/>
      <c r="D627" s="1160"/>
      <c r="E627" s="1160"/>
      <c r="F627" s="1160"/>
      <c r="G627" s="1160"/>
      <c r="H627" s="1160"/>
      <c r="I627" s="1160"/>
      <c r="J627" s="1160"/>
      <c r="K627" s="1160"/>
      <c r="L627" s="1160"/>
      <c r="M627" s="1160"/>
      <c r="N627" s="1160"/>
      <c r="O627" s="1160"/>
      <c r="P627" s="1160"/>
      <c r="Q627" s="1160"/>
      <c r="R627" s="1160"/>
      <c r="S627" s="1160"/>
      <c r="T627" s="1160"/>
      <c r="U627" s="1160"/>
      <c r="V627" s="1160"/>
      <c r="W627" s="1160"/>
      <c r="X627" s="1211"/>
      <c r="Y627" s="1160"/>
      <c r="Z627" s="1160"/>
      <c r="AA627" s="1160"/>
      <c r="AB627" s="1160"/>
      <c r="AC627" s="1160"/>
      <c r="AD627" s="1160"/>
      <c r="AE627" s="1160"/>
    </row>
    <row r="628" ht="15.0" customHeight="1">
      <c r="A628" s="1209"/>
      <c r="B628" s="1209"/>
      <c r="C628" s="1210"/>
      <c r="D628" s="1160"/>
      <c r="E628" s="1160"/>
      <c r="F628" s="1160"/>
      <c r="G628" s="1160"/>
      <c r="H628" s="1160"/>
      <c r="I628" s="1160"/>
      <c r="J628" s="1160"/>
      <c r="K628" s="1160"/>
      <c r="L628" s="1160"/>
      <c r="M628" s="1160"/>
      <c r="N628" s="1160"/>
      <c r="O628" s="1160"/>
      <c r="P628" s="1160"/>
      <c r="Q628" s="1160"/>
      <c r="R628" s="1160"/>
      <c r="S628" s="1160"/>
      <c r="T628" s="1160"/>
      <c r="U628" s="1160"/>
      <c r="V628" s="1160"/>
      <c r="W628" s="1160"/>
      <c r="X628" s="1211"/>
      <c r="Y628" s="1160"/>
      <c r="Z628" s="1160"/>
      <c r="AA628" s="1160"/>
      <c r="AB628" s="1160"/>
      <c r="AC628" s="1160"/>
      <c r="AD628" s="1160"/>
      <c r="AE628" s="1160"/>
    </row>
    <row r="629" ht="15.0" customHeight="1">
      <c r="A629" s="1209"/>
      <c r="B629" s="1209"/>
      <c r="C629" s="1210"/>
      <c r="D629" s="1160"/>
      <c r="E629" s="1160"/>
      <c r="F629" s="1160"/>
      <c r="G629" s="1160"/>
      <c r="H629" s="1160"/>
      <c r="I629" s="1160"/>
      <c r="J629" s="1160"/>
      <c r="K629" s="1160"/>
      <c r="L629" s="1160"/>
      <c r="M629" s="1160"/>
      <c r="N629" s="1160"/>
      <c r="O629" s="1160"/>
      <c r="P629" s="1160"/>
      <c r="Q629" s="1160"/>
      <c r="R629" s="1160"/>
      <c r="S629" s="1160"/>
      <c r="T629" s="1160"/>
      <c r="U629" s="1160"/>
      <c r="V629" s="1160"/>
      <c r="W629" s="1160"/>
      <c r="X629" s="1211"/>
      <c r="Y629" s="1160"/>
      <c r="Z629" s="1160"/>
      <c r="AA629" s="1160"/>
      <c r="AB629" s="1160"/>
      <c r="AC629" s="1160"/>
      <c r="AD629" s="1160"/>
      <c r="AE629" s="1160"/>
    </row>
    <row r="630" ht="15.0" customHeight="1">
      <c r="A630" s="1209"/>
      <c r="B630" s="1209"/>
      <c r="C630" s="1210"/>
      <c r="D630" s="1160"/>
      <c r="E630" s="1160"/>
      <c r="F630" s="1160"/>
      <c r="G630" s="1160"/>
      <c r="H630" s="1160"/>
      <c r="I630" s="1160"/>
      <c r="J630" s="1160"/>
      <c r="K630" s="1160"/>
      <c r="L630" s="1160"/>
      <c r="M630" s="1160"/>
      <c r="N630" s="1160"/>
      <c r="O630" s="1160"/>
      <c r="P630" s="1160"/>
      <c r="Q630" s="1160"/>
      <c r="R630" s="1160"/>
      <c r="S630" s="1160"/>
      <c r="T630" s="1160"/>
      <c r="U630" s="1160"/>
      <c r="V630" s="1160"/>
      <c r="W630" s="1160"/>
      <c r="X630" s="1211"/>
      <c r="Y630" s="1160"/>
      <c r="Z630" s="1160"/>
      <c r="AA630" s="1160"/>
      <c r="AB630" s="1160"/>
      <c r="AC630" s="1160"/>
      <c r="AD630" s="1160"/>
      <c r="AE630" s="1160"/>
    </row>
    <row r="631" ht="15.0" customHeight="1">
      <c r="A631" s="1209"/>
      <c r="B631" s="1209"/>
      <c r="C631" s="1210"/>
      <c r="D631" s="1160"/>
      <c r="E631" s="1160"/>
      <c r="F631" s="1160"/>
      <c r="G631" s="1160"/>
      <c r="H631" s="1160"/>
      <c r="I631" s="1160"/>
      <c r="J631" s="1160"/>
      <c r="K631" s="1160"/>
      <c r="L631" s="1160"/>
      <c r="M631" s="1160"/>
      <c r="N631" s="1160"/>
      <c r="O631" s="1160"/>
      <c r="P631" s="1160"/>
      <c r="Q631" s="1160"/>
      <c r="R631" s="1160"/>
      <c r="S631" s="1160"/>
      <c r="T631" s="1160"/>
      <c r="U631" s="1160"/>
      <c r="V631" s="1160"/>
      <c r="W631" s="1160"/>
      <c r="X631" s="1211"/>
      <c r="Y631" s="1160"/>
      <c r="Z631" s="1160"/>
      <c r="AA631" s="1160"/>
      <c r="AB631" s="1160"/>
      <c r="AC631" s="1160"/>
      <c r="AD631" s="1160"/>
      <c r="AE631" s="1160"/>
    </row>
    <row r="632" ht="15.0" customHeight="1">
      <c r="A632" s="1209"/>
      <c r="B632" s="1209"/>
      <c r="C632" s="1210"/>
      <c r="D632" s="1160"/>
      <c r="E632" s="1160"/>
      <c r="F632" s="1160"/>
      <c r="G632" s="1160"/>
      <c r="H632" s="1160"/>
      <c r="I632" s="1160"/>
      <c r="J632" s="1160"/>
      <c r="K632" s="1160"/>
      <c r="L632" s="1160"/>
      <c r="M632" s="1160"/>
      <c r="N632" s="1160"/>
      <c r="O632" s="1160"/>
      <c r="P632" s="1160"/>
      <c r="Q632" s="1160"/>
      <c r="R632" s="1160"/>
      <c r="S632" s="1160"/>
      <c r="T632" s="1160"/>
      <c r="U632" s="1160"/>
      <c r="V632" s="1160"/>
      <c r="W632" s="1160"/>
      <c r="X632" s="1211"/>
      <c r="Y632" s="1160"/>
      <c r="Z632" s="1160"/>
      <c r="AA632" s="1160"/>
      <c r="AB632" s="1160"/>
      <c r="AC632" s="1160"/>
      <c r="AD632" s="1160"/>
      <c r="AE632" s="1160"/>
    </row>
    <row r="633" ht="15.0" customHeight="1">
      <c r="A633" s="1209"/>
      <c r="B633" s="1209"/>
      <c r="C633" s="1210"/>
      <c r="D633" s="1160"/>
      <c r="E633" s="1160"/>
      <c r="F633" s="1160"/>
      <c r="G633" s="1160"/>
      <c r="H633" s="1160"/>
      <c r="I633" s="1160"/>
      <c r="J633" s="1160"/>
      <c r="K633" s="1160"/>
      <c r="L633" s="1160"/>
      <c r="M633" s="1160"/>
      <c r="N633" s="1160"/>
      <c r="O633" s="1160"/>
      <c r="P633" s="1160"/>
      <c r="Q633" s="1160"/>
      <c r="R633" s="1160"/>
      <c r="S633" s="1160"/>
      <c r="T633" s="1160"/>
      <c r="U633" s="1160"/>
      <c r="V633" s="1160"/>
      <c r="W633" s="1160"/>
      <c r="X633" s="1211"/>
      <c r="Y633" s="1160"/>
      <c r="Z633" s="1160"/>
      <c r="AA633" s="1160"/>
      <c r="AB633" s="1160"/>
      <c r="AC633" s="1160"/>
      <c r="AD633" s="1160"/>
      <c r="AE633" s="1160"/>
    </row>
    <row r="634" ht="15.0" customHeight="1">
      <c r="A634" s="1209"/>
      <c r="B634" s="1209"/>
      <c r="C634" s="1210"/>
      <c r="D634" s="1160"/>
      <c r="E634" s="1160"/>
      <c r="F634" s="1160"/>
      <c r="G634" s="1160"/>
      <c r="H634" s="1160"/>
      <c r="I634" s="1160"/>
      <c r="J634" s="1160"/>
      <c r="K634" s="1160"/>
      <c r="L634" s="1160"/>
      <c r="M634" s="1160"/>
      <c r="N634" s="1160"/>
      <c r="O634" s="1160"/>
      <c r="P634" s="1160"/>
      <c r="Q634" s="1160"/>
      <c r="R634" s="1160"/>
      <c r="S634" s="1160"/>
      <c r="T634" s="1160"/>
      <c r="U634" s="1160"/>
      <c r="V634" s="1160"/>
      <c r="W634" s="1160"/>
      <c r="X634" s="1211"/>
      <c r="Y634" s="1160"/>
      <c r="Z634" s="1160"/>
      <c r="AA634" s="1160"/>
      <c r="AB634" s="1160"/>
      <c r="AC634" s="1160"/>
      <c r="AD634" s="1160"/>
      <c r="AE634" s="1160"/>
    </row>
    <row r="635" ht="15.0" customHeight="1">
      <c r="A635" s="1209"/>
      <c r="B635" s="1209"/>
      <c r="C635" s="1210"/>
      <c r="D635" s="1160"/>
      <c r="E635" s="1160"/>
      <c r="F635" s="1160"/>
      <c r="G635" s="1160"/>
      <c r="H635" s="1160"/>
      <c r="I635" s="1160"/>
      <c r="J635" s="1160"/>
      <c r="K635" s="1160"/>
      <c r="L635" s="1160"/>
      <c r="M635" s="1160"/>
      <c r="N635" s="1160"/>
      <c r="O635" s="1160"/>
      <c r="P635" s="1160"/>
      <c r="Q635" s="1160"/>
      <c r="R635" s="1160"/>
      <c r="S635" s="1160"/>
      <c r="T635" s="1160"/>
      <c r="U635" s="1160"/>
      <c r="V635" s="1160"/>
      <c r="W635" s="1160"/>
      <c r="X635" s="1211"/>
      <c r="Y635" s="1160"/>
      <c r="Z635" s="1160"/>
      <c r="AA635" s="1160"/>
      <c r="AB635" s="1160"/>
      <c r="AC635" s="1160"/>
      <c r="AD635" s="1160"/>
      <c r="AE635" s="1160"/>
    </row>
    <row r="636" ht="15.0" customHeight="1">
      <c r="A636" s="1209"/>
      <c r="B636" s="1209"/>
      <c r="C636" s="1210"/>
      <c r="D636" s="1160"/>
      <c r="E636" s="1160"/>
      <c r="F636" s="1160"/>
      <c r="G636" s="1160"/>
      <c r="H636" s="1160"/>
      <c r="I636" s="1160"/>
      <c r="J636" s="1160"/>
      <c r="K636" s="1160"/>
      <c r="L636" s="1160"/>
      <c r="M636" s="1160"/>
      <c r="N636" s="1160"/>
      <c r="O636" s="1160"/>
      <c r="P636" s="1160"/>
      <c r="Q636" s="1160"/>
      <c r="R636" s="1160"/>
      <c r="S636" s="1160"/>
      <c r="T636" s="1160"/>
      <c r="U636" s="1160"/>
      <c r="V636" s="1160"/>
      <c r="W636" s="1160"/>
      <c r="X636" s="1211"/>
      <c r="Y636" s="1160"/>
      <c r="Z636" s="1160"/>
      <c r="AA636" s="1160"/>
      <c r="AB636" s="1160"/>
      <c r="AC636" s="1160"/>
      <c r="AD636" s="1160"/>
      <c r="AE636" s="1160"/>
    </row>
    <row r="637" ht="15.0" customHeight="1">
      <c r="A637" s="1209"/>
      <c r="B637" s="1209"/>
      <c r="C637" s="1210"/>
      <c r="D637" s="1160"/>
      <c r="E637" s="1160"/>
      <c r="F637" s="1160"/>
      <c r="G637" s="1160"/>
      <c r="H637" s="1160"/>
      <c r="I637" s="1160"/>
      <c r="J637" s="1160"/>
      <c r="K637" s="1160"/>
      <c r="L637" s="1160"/>
      <c r="M637" s="1160"/>
      <c r="N637" s="1160"/>
      <c r="O637" s="1160"/>
      <c r="P637" s="1160"/>
      <c r="Q637" s="1160"/>
      <c r="R637" s="1160"/>
      <c r="S637" s="1160"/>
      <c r="T637" s="1160"/>
      <c r="U637" s="1160"/>
      <c r="V637" s="1160"/>
      <c r="W637" s="1160"/>
      <c r="X637" s="1211"/>
      <c r="Y637" s="1160"/>
      <c r="Z637" s="1160"/>
      <c r="AA637" s="1160"/>
      <c r="AB637" s="1160"/>
      <c r="AC637" s="1160"/>
      <c r="AD637" s="1160"/>
      <c r="AE637" s="1160"/>
    </row>
    <row r="638" ht="15.0" customHeight="1">
      <c r="A638" s="1209"/>
      <c r="B638" s="1209"/>
      <c r="C638" s="1210"/>
      <c r="D638" s="1160"/>
      <c r="E638" s="1160"/>
      <c r="F638" s="1160"/>
      <c r="G638" s="1160"/>
      <c r="H638" s="1160"/>
      <c r="I638" s="1160"/>
      <c r="J638" s="1160"/>
      <c r="K638" s="1160"/>
      <c r="L638" s="1160"/>
      <c r="M638" s="1160"/>
      <c r="N638" s="1160"/>
      <c r="O638" s="1160"/>
      <c r="P638" s="1160"/>
      <c r="Q638" s="1160"/>
      <c r="R638" s="1160"/>
      <c r="S638" s="1160"/>
      <c r="T638" s="1160"/>
      <c r="U638" s="1160"/>
      <c r="V638" s="1160"/>
      <c r="W638" s="1160"/>
      <c r="X638" s="1211"/>
      <c r="Y638" s="1160"/>
      <c r="Z638" s="1160"/>
      <c r="AA638" s="1160"/>
      <c r="AB638" s="1160"/>
      <c r="AC638" s="1160"/>
      <c r="AD638" s="1160"/>
      <c r="AE638" s="1160"/>
    </row>
    <row r="639" ht="15.0" customHeight="1">
      <c r="A639" s="1209"/>
      <c r="B639" s="1209"/>
      <c r="C639" s="1210"/>
      <c r="D639" s="1160"/>
      <c r="E639" s="1160"/>
      <c r="F639" s="1160"/>
      <c r="G639" s="1160"/>
      <c r="H639" s="1160"/>
      <c r="I639" s="1160"/>
      <c r="J639" s="1160"/>
      <c r="K639" s="1160"/>
      <c r="L639" s="1160"/>
      <c r="M639" s="1160"/>
      <c r="N639" s="1160"/>
      <c r="O639" s="1160"/>
      <c r="P639" s="1160"/>
      <c r="Q639" s="1160"/>
      <c r="R639" s="1160"/>
      <c r="S639" s="1160"/>
      <c r="T639" s="1160"/>
      <c r="U639" s="1160"/>
      <c r="V639" s="1160"/>
      <c r="W639" s="1160"/>
      <c r="X639" s="1211"/>
      <c r="Y639" s="1160"/>
      <c r="Z639" s="1160"/>
      <c r="AA639" s="1160"/>
      <c r="AB639" s="1160"/>
      <c r="AC639" s="1160"/>
      <c r="AD639" s="1160"/>
      <c r="AE639" s="1160"/>
    </row>
    <row r="640" ht="15.0" customHeight="1">
      <c r="A640" s="1209"/>
      <c r="B640" s="1209"/>
      <c r="C640" s="1210"/>
      <c r="D640" s="1160"/>
      <c r="E640" s="1160"/>
      <c r="F640" s="1160"/>
      <c r="G640" s="1160"/>
      <c r="H640" s="1160"/>
      <c r="I640" s="1160"/>
      <c r="J640" s="1160"/>
      <c r="K640" s="1160"/>
      <c r="L640" s="1160"/>
      <c r="M640" s="1160"/>
      <c r="N640" s="1160"/>
      <c r="O640" s="1160"/>
      <c r="P640" s="1160"/>
      <c r="Q640" s="1160"/>
      <c r="R640" s="1160"/>
      <c r="S640" s="1160"/>
      <c r="T640" s="1160"/>
      <c r="U640" s="1160"/>
      <c r="V640" s="1160"/>
      <c r="W640" s="1160"/>
      <c r="X640" s="1211"/>
      <c r="Y640" s="1160"/>
      <c r="Z640" s="1160"/>
      <c r="AA640" s="1160"/>
      <c r="AB640" s="1160"/>
      <c r="AC640" s="1160"/>
      <c r="AD640" s="1160"/>
      <c r="AE640" s="1160"/>
    </row>
    <row r="641" ht="15.0" customHeight="1">
      <c r="A641" s="1209"/>
      <c r="B641" s="1209"/>
      <c r="C641" s="1210"/>
      <c r="D641" s="1160"/>
      <c r="E641" s="1160"/>
      <c r="F641" s="1160"/>
      <c r="G641" s="1160"/>
      <c r="H641" s="1160"/>
      <c r="I641" s="1160"/>
      <c r="J641" s="1160"/>
      <c r="K641" s="1160"/>
      <c r="L641" s="1160"/>
      <c r="M641" s="1160"/>
      <c r="N641" s="1160"/>
      <c r="O641" s="1160"/>
      <c r="P641" s="1160"/>
      <c r="Q641" s="1160"/>
      <c r="R641" s="1160"/>
      <c r="S641" s="1160"/>
      <c r="T641" s="1160"/>
      <c r="U641" s="1160"/>
      <c r="V641" s="1160"/>
      <c r="W641" s="1160"/>
      <c r="X641" s="1211"/>
      <c r="Y641" s="1160"/>
      <c r="Z641" s="1160"/>
      <c r="AA641" s="1160"/>
      <c r="AB641" s="1160"/>
      <c r="AC641" s="1160"/>
      <c r="AD641" s="1160"/>
      <c r="AE641" s="1160"/>
    </row>
    <row r="642" ht="15.0" customHeight="1">
      <c r="A642" s="1209"/>
      <c r="B642" s="1209"/>
      <c r="C642" s="1210"/>
      <c r="D642" s="1160"/>
      <c r="E642" s="1160"/>
      <c r="F642" s="1160"/>
      <c r="G642" s="1160"/>
      <c r="H642" s="1160"/>
      <c r="I642" s="1160"/>
      <c r="J642" s="1160"/>
      <c r="K642" s="1160"/>
      <c r="L642" s="1160"/>
      <c r="M642" s="1160"/>
      <c r="N642" s="1160"/>
      <c r="O642" s="1160"/>
      <c r="P642" s="1160"/>
      <c r="Q642" s="1160"/>
      <c r="R642" s="1160"/>
      <c r="S642" s="1160"/>
      <c r="T642" s="1160"/>
      <c r="U642" s="1160"/>
      <c r="V642" s="1160"/>
      <c r="W642" s="1160"/>
      <c r="X642" s="1211"/>
      <c r="Y642" s="1160"/>
      <c r="Z642" s="1160"/>
      <c r="AA642" s="1160"/>
      <c r="AB642" s="1160"/>
      <c r="AC642" s="1160"/>
      <c r="AD642" s="1160"/>
      <c r="AE642" s="1160"/>
    </row>
    <row r="643" ht="15.0" customHeight="1">
      <c r="A643" s="1209"/>
      <c r="B643" s="1209"/>
      <c r="C643" s="1210"/>
      <c r="D643" s="1160"/>
      <c r="E643" s="1160"/>
      <c r="F643" s="1160"/>
      <c r="G643" s="1160"/>
      <c r="H643" s="1160"/>
      <c r="I643" s="1160"/>
      <c r="J643" s="1160"/>
      <c r="K643" s="1160"/>
      <c r="L643" s="1160"/>
      <c r="M643" s="1160"/>
      <c r="N643" s="1160"/>
      <c r="O643" s="1160"/>
      <c r="P643" s="1160"/>
      <c r="Q643" s="1160"/>
      <c r="R643" s="1160"/>
      <c r="S643" s="1160"/>
      <c r="T643" s="1160"/>
      <c r="U643" s="1160"/>
      <c r="V643" s="1160"/>
      <c r="W643" s="1160"/>
      <c r="X643" s="1211"/>
      <c r="Y643" s="1160"/>
      <c r="Z643" s="1160"/>
      <c r="AA643" s="1160"/>
      <c r="AB643" s="1160"/>
      <c r="AC643" s="1160"/>
      <c r="AD643" s="1160"/>
      <c r="AE643" s="1160"/>
    </row>
    <row r="644" ht="15.0" customHeight="1">
      <c r="A644" s="1209"/>
      <c r="B644" s="1209"/>
      <c r="C644" s="1210"/>
      <c r="D644" s="1160"/>
      <c r="E644" s="1160"/>
      <c r="F644" s="1160"/>
      <c r="G644" s="1160"/>
      <c r="H644" s="1160"/>
      <c r="I644" s="1160"/>
      <c r="J644" s="1160"/>
      <c r="K644" s="1160"/>
      <c r="L644" s="1160"/>
      <c r="M644" s="1160"/>
      <c r="N644" s="1160"/>
      <c r="O644" s="1160"/>
      <c r="P644" s="1160"/>
      <c r="Q644" s="1160"/>
      <c r="R644" s="1160"/>
      <c r="S644" s="1160"/>
      <c r="T644" s="1160"/>
      <c r="U644" s="1160"/>
      <c r="V644" s="1160"/>
      <c r="W644" s="1160"/>
      <c r="X644" s="1211"/>
      <c r="Y644" s="1160"/>
      <c r="Z644" s="1160"/>
      <c r="AA644" s="1160"/>
      <c r="AB644" s="1160"/>
      <c r="AC644" s="1160"/>
      <c r="AD644" s="1160"/>
      <c r="AE644" s="1160"/>
    </row>
    <row r="645" ht="15.0" customHeight="1">
      <c r="A645" s="1209"/>
      <c r="B645" s="1209"/>
      <c r="C645" s="1210"/>
      <c r="D645" s="1160"/>
      <c r="E645" s="1160"/>
      <c r="F645" s="1160"/>
      <c r="G645" s="1160"/>
      <c r="H645" s="1160"/>
      <c r="I645" s="1160"/>
      <c r="J645" s="1160"/>
      <c r="K645" s="1160"/>
      <c r="L645" s="1160"/>
      <c r="M645" s="1160"/>
      <c r="N645" s="1160"/>
      <c r="O645" s="1160"/>
      <c r="P645" s="1160"/>
      <c r="Q645" s="1160"/>
      <c r="R645" s="1160"/>
      <c r="S645" s="1160"/>
      <c r="T645" s="1160"/>
      <c r="U645" s="1160"/>
      <c r="V645" s="1160"/>
      <c r="W645" s="1160"/>
      <c r="X645" s="1211"/>
      <c r="Y645" s="1160"/>
      <c r="Z645" s="1160"/>
      <c r="AA645" s="1160"/>
      <c r="AB645" s="1160"/>
      <c r="AC645" s="1160"/>
      <c r="AD645" s="1160"/>
      <c r="AE645" s="1160"/>
    </row>
    <row r="646" ht="15.0" customHeight="1">
      <c r="A646" s="1209"/>
      <c r="B646" s="1209"/>
      <c r="C646" s="1210"/>
      <c r="D646" s="1160"/>
      <c r="E646" s="1160"/>
      <c r="F646" s="1160"/>
      <c r="G646" s="1160"/>
      <c r="H646" s="1160"/>
      <c r="I646" s="1160"/>
      <c r="J646" s="1160"/>
      <c r="K646" s="1160"/>
      <c r="L646" s="1160"/>
      <c r="M646" s="1160"/>
      <c r="N646" s="1160"/>
      <c r="O646" s="1160"/>
      <c r="P646" s="1160"/>
      <c r="Q646" s="1160"/>
      <c r="R646" s="1160"/>
      <c r="S646" s="1160"/>
      <c r="T646" s="1160"/>
      <c r="U646" s="1160"/>
      <c r="V646" s="1160"/>
      <c r="W646" s="1160"/>
      <c r="X646" s="1211"/>
      <c r="Y646" s="1160"/>
      <c r="Z646" s="1160"/>
      <c r="AA646" s="1160"/>
      <c r="AB646" s="1160"/>
      <c r="AC646" s="1160"/>
      <c r="AD646" s="1160"/>
      <c r="AE646" s="1160"/>
    </row>
    <row r="647" ht="15.0" customHeight="1">
      <c r="A647" s="1209"/>
      <c r="B647" s="1209"/>
      <c r="C647" s="1210"/>
      <c r="D647" s="1160"/>
      <c r="E647" s="1160"/>
      <c r="F647" s="1160"/>
      <c r="G647" s="1160"/>
      <c r="H647" s="1160"/>
      <c r="I647" s="1160"/>
      <c r="J647" s="1160"/>
      <c r="K647" s="1160"/>
      <c r="L647" s="1160"/>
      <c r="M647" s="1160"/>
      <c r="N647" s="1160"/>
      <c r="O647" s="1160"/>
      <c r="P647" s="1160"/>
      <c r="Q647" s="1160"/>
      <c r="R647" s="1160"/>
      <c r="S647" s="1160"/>
      <c r="T647" s="1160"/>
      <c r="U647" s="1160"/>
      <c r="V647" s="1160"/>
      <c r="W647" s="1160"/>
      <c r="X647" s="1211"/>
      <c r="Y647" s="1160"/>
      <c r="Z647" s="1160"/>
      <c r="AA647" s="1160"/>
      <c r="AB647" s="1160"/>
      <c r="AC647" s="1160"/>
      <c r="AD647" s="1160"/>
      <c r="AE647" s="1160"/>
    </row>
    <row r="648" ht="15.0" customHeight="1">
      <c r="A648" s="1209"/>
      <c r="B648" s="1209"/>
      <c r="C648" s="1210"/>
      <c r="D648" s="1160"/>
      <c r="E648" s="1160"/>
      <c r="F648" s="1160"/>
      <c r="G648" s="1160"/>
      <c r="H648" s="1160"/>
      <c r="I648" s="1160"/>
      <c r="J648" s="1160"/>
      <c r="K648" s="1160"/>
      <c r="L648" s="1160"/>
      <c r="M648" s="1160"/>
      <c r="N648" s="1160"/>
      <c r="O648" s="1160"/>
      <c r="P648" s="1160"/>
      <c r="Q648" s="1160"/>
      <c r="R648" s="1160"/>
      <c r="S648" s="1160"/>
      <c r="T648" s="1160"/>
      <c r="U648" s="1160"/>
      <c r="V648" s="1160"/>
      <c r="W648" s="1160"/>
      <c r="X648" s="1211"/>
      <c r="Y648" s="1160"/>
      <c r="Z648" s="1160"/>
      <c r="AA648" s="1160"/>
      <c r="AB648" s="1160"/>
      <c r="AC648" s="1160"/>
      <c r="AD648" s="1160"/>
      <c r="AE648" s="1160"/>
    </row>
    <row r="649" ht="15.0" customHeight="1">
      <c r="A649" s="1209"/>
      <c r="B649" s="1209"/>
      <c r="C649" s="1210"/>
      <c r="D649" s="1160"/>
      <c r="E649" s="1160"/>
      <c r="F649" s="1160"/>
      <c r="G649" s="1160"/>
      <c r="H649" s="1160"/>
      <c r="I649" s="1160"/>
      <c r="J649" s="1160"/>
      <c r="K649" s="1160"/>
      <c r="L649" s="1160"/>
      <c r="M649" s="1160"/>
      <c r="N649" s="1160"/>
      <c r="O649" s="1160"/>
      <c r="P649" s="1160"/>
      <c r="Q649" s="1160"/>
      <c r="R649" s="1160"/>
      <c r="S649" s="1160"/>
      <c r="T649" s="1160"/>
      <c r="U649" s="1160"/>
      <c r="V649" s="1160"/>
      <c r="W649" s="1160"/>
      <c r="X649" s="1211"/>
      <c r="Y649" s="1160"/>
      <c r="Z649" s="1160"/>
      <c r="AA649" s="1160"/>
      <c r="AB649" s="1160"/>
      <c r="AC649" s="1160"/>
      <c r="AD649" s="1160"/>
      <c r="AE649" s="1160"/>
    </row>
    <row r="650" ht="15.0" customHeight="1">
      <c r="A650" s="1209"/>
      <c r="B650" s="1209"/>
      <c r="C650" s="1210"/>
      <c r="D650" s="1160"/>
      <c r="E650" s="1160"/>
      <c r="F650" s="1160"/>
      <c r="G650" s="1160"/>
      <c r="H650" s="1160"/>
      <c r="I650" s="1160"/>
      <c r="J650" s="1160"/>
      <c r="K650" s="1160"/>
      <c r="L650" s="1160"/>
      <c r="M650" s="1160"/>
      <c r="N650" s="1160"/>
      <c r="O650" s="1160"/>
      <c r="P650" s="1160"/>
      <c r="Q650" s="1160"/>
      <c r="R650" s="1160"/>
      <c r="S650" s="1160"/>
      <c r="T650" s="1160"/>
      <c r="U650" s="1160"/>
      <c r="V650" s="1160"/>
      <c r="W650" s="1160"/>
      <c r="X650" s="1211"/>
      <c r="Y650" s="1160"/>
      <c r="Z650" s="1160"/>
      <c r="AA650" s="1160"/>
      <c r="AB650" s="1160"/>
      <c r="AC650" s="1160"/>
      <c r="AD650" s="1160"/>
      <c r="AE650" s="1160"/>
    </row>
    <row r="651" ht="15.0" customHeight="1">
      <c r="A651" s="1209"/>
      <c r="B651" s="1209"/>
      <c r="C651" s="1210"/>
      <c r="D651" s="1160"/>
      <c r="E651" s="1160"/>
      <c r="F651" s="1160"/>
      <c r="G651" s="1160"/>
      <c r="H651" s="1160"/>
      <c r="I651" s="1160"/>
      <c r="J651" s="1160"/>
      <c r="K651" s="1160"/>
      <c r="L651" s="1160"/>
      <c r="M651" s="1160"/>
      <c r="N651" s="1160"/>
      <c r="O651" s="1160"/>
      <c r="P651" s="1160"/>
      <c r="Q651" s="1160"/>
      <c r="R651" s="1160"/>
      <c r="S651" s="1160"/>
      <c r="T651" s="1160"/>
      <c r="U651" s="1160"/>
      <c r="V651" s="1160"/>
      <c r="W651" s="1160"/>
      <c r="X651" s="1211"/>
      <c r="Y651" s="1160"/>
      <c r="Z651" s="1160"/>
      <c r="AA651" s="1160"/>
      <c r="AB651" s="1160"/>
      <c r="AC651" s="1160"/>
      <c r="AD651" s="1160"/>
      <c r="AE651" s="1160"/>
    </row>
    <row r="652" ht="15.0" customHeight="1">
      <c r="A652" s="1209"/>
      <c r="B652" s="1209"/>
      <c r="C652" s="1210"/>
      <c r="D652" s="1160"/>
      <c r="E652" s="1160"/>
      <c r="F652" s="1160"/>
      <c r="G652" s="1160"/>
      <c r="H652" s="1160"/>
      <c r="I652" s="1160"/>
      <c r="J652" s="1160"/>
      <c r="K652" s="1160"/>
      <c r="L652" s="1160"/>
      <c r="M652" s="1160"/>
      <c r="N652" s="1160"/>
      <c r="O652" s="1160"/>
      <c r="P652" s="1160"/>
      <c r="Q652" s="1160"/>
      <c r="R652" s="1160"/>
      <c r="S652" s="1160"/>
      <c r="T652" s="1160"/>
      <c r="U652" s="1160"/>
      <c r="V652" s="1160"/>
      <c r="W652" s="1160"/>
      <c r="X652" s="1211"/>
      <c r="Y652" s="1160"/>
      <c r="Z652" s="1160"/>
      <c r="AA652" s="1160"/>
      <c r="AB652" s="1160"/>
      <c r="AC652" s="1160"/>
      <c r="AD652" s="1160"/>
      <c r="AE652" s="1160"/>
    </row>
    <row r="653" ht="15.0" customHeight="1">
      <c r="A653" s="1209"/>
      <c r="B653" s="1209"/>
      <c r="C653" s="1210"/>
      <c r="D653" s="1160"/>
      <c r="E653" s="1160"/>
      <c r="F653" s="1160"/>
      <c r="G653" s="1160"/>
      <c r="H653" s="1160"/>
      <c r="I653" s="1160"/>
      <c r="J653" s="1160"/>
      <c r="K653" s="1160"/>
      <c r="L653" s="1160"/>
      <c r="M653" s="1160"/>
      <c r="N653" s="1160"/>
      <c r="O653" s="1160"/>
      <c r="P653" s="1160"/>
      <c r="Q653" s="1160"/>
      <c r="R653" s="1160"/>
      <c r="S653" s="1160"/>
      <c r="T653" s="1160"/>
      <c r="U653" s="1160"/>
      <c r="V653" s="1160"/>
      <c r="W653" s="1160"/>
      <c r="X653" s="1211"/>
      <c r="Y653" s="1160"/>
      <c r="Z653" s="1160"/>
      <c r="AA653" s="1160"/>
      <c r="AB653" s="1160"/>
      <c r="AC653" s="1160"/>
      <c r="AD653" s="1160"/>
      <c r="AE653" s="1160"/>
    </row>
    <row r="654" ht="15.0" customHeight="1">
      <c r="A654" s="1209"/>
      <c r="B654" s="1209"/>
      <c r="C654" s="1210"/>
      <c r="D654" s="1160"/>
      <c r="E654" s="1160"/>
      <c r="F654" s="1160"/>
      <c r="G654" s="1160"/>
      <c r="H654" s="1160"/>
      <c r="I654" s="1160"/>
      <c r="J654" s="1160"/>
      <c r="K654" s="1160"/>
      <c r="L654" s="1160"/>
      <c r="M654" s="1160"/>
      <c r="N654" s="1160"/>
      <c r="O654" s="1160"/>
      <c r="P654" s="1160"/>
      <c r="Q654" s="1160"/>
      <c r="R654" s="1160"/>
      <c r="S654" s="1160"/>
      <c r="T654" s="1160"/>
      <c r="U654" s="1160"/>
      <c r="V654" s="1160"/>
      <c r="W654" s="1160"/>
      <c r="X654" s="1211"/>
      <c r="Y654" s="1160"/>
      <c r="Z654" s="1160"/>
      <c r="AA654" s="1160"/>
      <c r="AB654" s="1160"/>
      <c r="AC654" s="1160"/>
      <c r="AD654" s="1160"/>
      <c r="AE654" s="1160"/>
    </row>
    <row r="655" ht="15.0" customHeight="1">
      <c r="A655" s="1209"/>
      <c r="B655" s="1209"/>
      <c r="C655" s="1210"/>
      <c r="D655" s="1160"/>
      <c r="E655" s="1160"/>
      <c r="F655" s="1160"/>
      <c r="G655" s="1160"/>
      <c r="H655" s="1160"/>
      <c r="I655" s="1160"/>
      <c r="J655" s="1160"/>
      <c r="K655" s="1160"/>
      <c r="L655" s="1160"/>
      <c r="M655" s="1160"/>
      <c r="N655" s="1160"/>
      <c r="O655" s="1160"/>
      <c r="P655" s="1160"/>
      <c r="Q655" s="1160"/>
      <c r="R655" s="1160"/>
      <c r="S655" s="1160"/>
      <c r="T655" s="1160"/>
      <c r="U655" s="1160"/>
      <c r="V655" s="1160"/>
      <c r="W655" s="1160"/>
      <c r="X655" s="1211"/>
      <c r="Y655" s="1160"/>
      <c r="Z655" s="1160"/>
      <c r="AA655" s="1160"/>
      <c r="AB655" s="1160"/>
      <c r="AC655" s="1160"/>
      <c r="AD655" s="1160"/>
      <c r="AE655" s="1160"/>
    </row>
    <row r="656" ht="15.0" customHeight="1">
      <c r="A656" s="1209"/>
      <c r="B656" s="1209"/>
      <c r="C656" s="1210"/>
      <c r="D656" s="1160"/>
      <c r="E656" s="1160"/>
      <c r="F656" s="1160"/>
      <c r="G656" s="1160"/>
      <c r="H656" s="1160"/>
      <c r="I656" s="1160"/>
      <c r="J656" s="1160"/>
      <c r="K656" s="1160"/>
      <c r="L656" s="1160"/>
      <c r="M656" s="1160"/>
      <c r="N656" s="1160"/>
      <c r="O656" s="1160"/>
      <c r="P656" s="1160"/>
      <c r="Q656" s="1160"/>
      <c r="R656" s="1160"/>
      <c r="S656" s="1160"/>
      <c r="T656" s="1160"/>
      <c r="U656" s="1160"/>
      <c r="V656" s="1160"/>
      <c r="W656" s="1160"/>
      <c r="X656" s="1211"/>
      <c r="Y656" s="1160"/>
      <c r="Z656" s="1160"/>
      <c r="AA656" s="1160"/>
      <c r="AB656" s="1160"/>
      <c r="AC656" s="1160"/>
      <c r="AD656" s="1160"/>
      <c r="AE656" s="1160"/>
    </row>
    <row r="657" ht="15.0" customHeight="1">
      <c r="A657" s="1209"/>
      <c r="B657" s="1209"/>
      <c r="C657" s="1210"/>
      <c r="D657" s="1160"/>
      <c r="E657" s="1160"/>
      <c r="F657" s="1160"/>
      <c r="G657" s="1160"/>
      <c r="H657" s="1160"/>
      <c r="I657" s="1160"/>
      <c r="J657" s="1160"/>
      <c r="K657" s="1160"/>
      <c r="L657" s="1160"/>
      <c r="M657" s="1160"/>
      <c r="N657" s="1160"/>
      <c r="O657" s="1160"/>
      <c r="P657" s="1160"/>
      <c r="Q657" s="1160"/>
      <c r="R657" s="1160"/>
      <c r="S657" s="1160"/>
      <c r="T657" s="1160"/>
      <c r="U657" s="1160"/>
      <c r="V657" s="1160"/>
      <c r="W657" s="1160"/>
      <c r="X657" s="1211"/>
      <c r="Y657" s="1160"/>
      <c r="Z657" s="1160"/>
      <c r="AA657" s="1160"/>
      <c r="AB657" s="1160"/>
      <c r="AC657" s="1160"/>
      <c r="AD657" s="1160"/>
      <c r="AE657" s="1160"/>
    </row>
    <row r="658" ht="15.0" customHeight="1">
      <c r="A658" s="1209"/>
      <c r="B658" s="1209"/>
      <c r="C658" s="1210"/>
      <c r="D658" s="1160"/>
      <c r="E658" s="1160"/>
      <c r="F658" s="1160"/>
      <c r="G658" s="1160"/>
      <c r="H658" s="1160"/>
      <c r="I658" s="1160"/>
      <c r="J658" s="1160"/>
      <c r="K658" s="1160"/>
      <c r="L658" s="1160"/>
      <c r="M658" s="1160"/>
      <c r="N658" s="1160"/>
      <c r="O658" s="1160"/>
      <c r="P658" s="1160"/>
      <c r="Q658" s="1160"/>
      <c r="R658" s="1160"/>
      <c r="S658" s="1160"/>
      <c r="T658" s="1160"/>
      <c r="U658" s="1160"/>
      <c r="V658" s="1160"/>
      <c r="W658" s="1160"/>
      <c r="X658" s="1211"/>
      <c r="Y658" s="1160"/>
      <c r="Z658" s="1160"/>
      <c r="AA658" s="1160"/>
      <c r="AB658" s="1160"/>
      <c r="AC658" s="1160"/>
      <c r="AD658" s="1160"/>
      <c r="AE658" s="1160"/>
    </row>
    <row r="659" ht="15.0" customHeight="1">
      <c r="A659" s="1209"/>
      <c r="B659" s="1209"/>
      <c r="C659" s="1210"/>
      <c r="D659" s="1160"/>
      <c r="E659" s="1160"/>
      <c r="F659" s="1160"/>
      <c r="G659" s="1160"/>
      <c r="H659" s="1160"/>
      <c r="I659" s="1160"/>
      <c r="J659" s="1160"/>
      <c r="K659" s="1160"/>
      <c r="L659" s="1160"/>
      <c r="M659" s="1160"/>
      <c r="N659" s="1160"/>
      <c r="O659" s="1160"/>
      <c r="P659" s="1160"/>
      <c r="Q659" s="1160"/>
      <c r="R659" s="1160"/>
      <c r="S659" s="1160"/>
      <c r="T659" s="1160"/>
      <c r="U659" s="1160"/>
      <c r="V659" s="1160"/>
      <c r="W659" s="1160"/>
      <c r="X659" s="1211"/>
      <c r="Y659" s="1160"/>
      <c r="Z659" s="1160"/>
      <c r="AA659" s="1160"/>
      <c r="AB659" s="1160"/>
      <c r="AC659" s="1160"/>
      <c r="AD659" s="1160"/>
      <c r="AE659" s="1160"/>
    </row>
    <row r="660" ht="15.0" customHeight="1">
      <c r="A660" s="1209"/>
      <c r="B660" s="1209"/>
      <c r="C660" s="1210"/>
      <c r="D660" s="1160"/>
      <c r="E660" s="1160"/>
      <c r="F660" s="1160"/>
      <c r="G660" s="1160"/>
      <c r="H660" s="1160"/>
      <c r="I660" s="1160"/>
      <c r="J660" s="1160"/>
      <c r="K660" s="1160"/>
      <c r="L660" s="1160"/>
      <c r="M660" s="1160"/>
      <c r="N660" s="1160"/>
      <c r="O660" s="1160"/>
      <c r="P660" s="1160"/>
      <c r="Q660" s="1160"/>
      <c r="R660" s="1160"/>
      <c r="S660" s="1160"/>
      <c r="T660" s="1160"/>
      <c r="U660" s="1160"/>
      <c r="V660" s="1160"/>
      <c r="W660" s="1160"/>
      <c r="X660" s="1211"/>
      <c r="Y660" s="1160"/>
      <c r="Z660" s="1160"/>
      <c r="AA660" s="1160"/>
      <c r="AB660" s="1160"/>
      <c r="AC660" s="1160"/>
      <c r="AD660" s="1160"/>
      <c r="AE660" s="1160"/>
    </row>
    <row r="661" ht="15.0" customHeight="1">
      <c r="A661" s="1209"/>
      <c r="B661" s="1209"/>
      <c r="C661" s="1210"/>
      <c r="D661" s="1160"/>
      <c r="E661" s="1160"/>
      <c r="F661" s="1160"/>
      <c r="G661" s="1160"/>
      <c r="H661" s="1160"/>
      <c r="I661" s="1160"/>
      <c r="J661" s="1160"/>
      <c r="K661" s="1160"/>
      <c r="L661" s="1160"/>
      <c r="M661" s="1160"/>
      <c r="N661" s="1160"/>
      <c r="O661" s="1160"/>
      <c r="P661" s="1160"/>
      <c r="Q661" s="1160"/>
      <c r="R661" s="1160"/>
      <c r="S661" s="1160"/>
      <c r="T661" s="1160"/>
      <c r="U661" s="1160"/>
      <c r="V661" s="1160"/>
      <c r="W661" s="1160"/>
      <c r="X661" s="1211"/>
      <c r="Y661" s="1160"/>
      <c r="Z661" s="1160"/>
      <c r="AA661" s="1160"/>
      <c r="AB661" s="1160"/>
      <c r="AC661" s="1160"/>
      <c r="AD661" s="1160"/>
      <c r="AE661" s="1160"/>
    </row>
    <row r="662" ht="15.0" customHeight="1">
      <c r="A662" s="1209"/>
      <c r="B662" s="1209"/>
      <c r="C662" s="1210"/>
      <c r="D662" s="1160"/>
      <c r="E662" s="1160"/>
      <c r="F662" s="1160"/>
      <c r="G662" s="1160"/>
      <c r="H662" s="1160"/>
      <c r="I662" s="1160"/>
      <c r="J662" s="1160"/>
      <c r="K662" s="1160"/>
      <c r="L662" s="1160"/>
      <c r="M662" s="1160"/>
      <c r="N662" s="1160"/>
      <c r="O662" s="1160"/>
      <c r="P662" s="1160"/>
      <c r="Q662" s="1160"/>
      <c r="R662" s="1160"/>
      <c r="S662" s="1160"/>
      <c r="T662" s="1160"/>
      <c r="U662" s="1160"/>
      <c r="V662" s="1160"/>
      <c r="W662" s="1160"/>
      <c r="X662" s="1211"/>
      <c r="Y662" s="1160"/>
      <c r="Z662" s="1160"/>
      <c r="AA662" s="1160"/>
      <c r="AB662" s="1160"/>
      <c r="AC662" s="1160"/>
      <c r="AD662" s="1160"/>
      <c r="AE662" s="1160"/>
    </row>
    <row r="663" ht="15.0" customHeight="1">
      <c r="A663" s="1209"/>
      <c r="B663" s="1209"/>
      <c r="C663" s="1210"/>
      <c r="D663" s="1160"/>
      <c r="E663" s="1160"/>
      <c r="F663" s="1160"/>
      <c r="G663" s="1160"/>
      <c r="H663" s="1160"/>
      <c r="I663" s="1160"/>
      <c r="J663" s="1160"/>
      <c r="K663" s="1160"/>
      <c r="L663" s="1160"/>
      <c r="M663" s="1160"/>
      <c r="N663" s="1160"/>
      <c r="O663" s="1160"/>
      <c r="P663" s="1160"/>
      <c r="Q663" s="1160"/>
      <c r="R663" s="1160"/>
      <c r="S663" s="1160"/>
      <c r="T663" s="1160"/>
      <c r="U663" s="1160"/>
      <c r="V663" s="1160"/>
      <c r="W663" s="1160"/>
      <c r="X663" s="1211"/>
      <c r="Y663" s="1160"/>
      <c r="Z663" s="1160"/>
      <c r="AA663" s="1160"/>
      <c r="AB663" s="1160"/>
      <c r="AC663" s="1160"/>
      <c r="AD663" s="1160"/>
      <c r="AE663" s="1160"/>
    </row>
    <row r="664" ht="15.0" customHeight="1">
      <c r="A664" s="1209"/>
      <c r="B664" s="1209"/>
      <c r="C664" s="1210"/>
      <c r="D664" s="1160"/>
      <c r="E664" s="1160"/>
      <c r="F664" s="1160"/>
      <c r="G664" s="1160"/>
      <c r="H664" s="1160"/>
      <c r="I664" s="1160"/>
      <c r="J664" s="1160"/>
      <c r="K664" s="1160"/>
      <c r="L664" s="1160"/>
      <c r="M664" s="1160"/>
      <c r="N664" s="1160"/>
      <c r="O664" s="1160"/>
      <c r="P664" s="1160"/>
      <c r="Q664" s="1160"/>
      <c r="R664" s="1160"/>
      <c r="S664" s="1160"/>
      <c r="T664" s="1160"/>
      <c r="U664" s="1160"/>
      <c r="V664" s="1160"/>
      <c r="W664" s="1160"/>
      <c r="X664" s="1211"/>
      <c r="Y664" s="1160"/>
      <c r="Z664" s="1160"/>
      <c r="AA664" s="1160"/>
      <c r="AB664" s="1160"/>
      <c r="AC664" s="1160"/>
      <c r="AD664" s="1160"/>
      <c r="AE664" s="1160"/>
    </row>
    <row r="665" ht="15.0" customHeight="1">
      <c r="A665" s="1209"/>
      <c r="B665" s="1209"/>
      <c r="C665" s="1210"/>
      <c r="D665" s="1160"/>
      <c r="E665" s="1160"/>
      <c r="F665" s="1160"/>
      <c r="G665" s="1160"/>
      <c r="H665" s="1160"/>
      <c r="I665" s="1160"/>
      <c r="J665" s="1160"/>
      <c r="K665" s="1160"/>
      <c r="L665" s="1160"/>
      <c r="M665" s="1160"/>
      <c r="N665" s="1160"/>
      <c r="O665" s="1160"/>
      <c r="P665" s="1160"/>
      <c r="Q665" s="1160"/>
      <c r="R665" s="1160"/>
      <c r="S665" s="1160"/>
      <c r="T665" s="1160"/>
      <c r="U665" s="1160"/>
      <c r="V665" s="1160"/>
      <c r="W665" s="1160"/>
      <c r="X665" s="1211"/>
      <c r="Y665" s="1160"/>
      <c r="Z665" s="1160"/>
      <c r="AA665" s="1160"/>
      <c r="AB665" s="1160"/>
      <c r="AC665" s="1160"/>
      <c r="AD665" s="1160"/>
      <c r="AE665" s="1160"/>
    </row>
    <row r="666" ht="15.0" customHeight="1">
      <c r="A666" s="1209"/>
      <c r="B666" s="1209"/>
      <c r="C666" s="1210"/>
      <c r="D666" s="1160"/>
      <c r="E666" s="1160"/>
      <c r="F666" s="1160"/>
      <c r="G666" s="1160"/>
      <c r="H666" s="1160"/>
      <c r="I666" s="1160"/>
      <c r="J666" s="1160"/>
      <c r="K666" s="1160"/>
      <c r="L666" s="1160"/>
      <c r="M666" s="1160"/>
      <c r="N666" s="1160"/>
      <c r="O666" s="1160"/>
      <c r="P666" s="1160"/>
      <c r="Q666" s="1160"/>
      <c r="R666" s="1160"/>
      <c r="S666" s="1160"/>
      <c r="T666" s="1160"/>
      <c r="U666" s="1160"/>
      <c r="V666" s="1160"/>
      <c r="W666" s="1160"/>
      <c r="X666" s="1211"/>
      <c r="Y666" s="1160"/>
      <c r="Z666" s="1160"/>
      <c r="AA666" s="1160"/>
      <c r="AB666" s="1160"/>
      <c r="AC666" s="1160"/>
      <c r="AD666" s="1160"/>
      <c r="AE666" s="1160"/>
    </row>
    <row r="667" ht="15.0" customHeight="1">
      <c r="A667" s="1209"/>
      <c r="B667" s="1209"/>
      <c r="C667" s="1210"/>
      <c r="D667" s="1160"/>
      <c r="E667" s="1160"/>
      <c r="F667" s="1160"/>
      <c r="G667" s="1160"/>
      <c r="H667" s="1160"/>
      <c r="I667" s="1160"/>
      <c r="J667" s="1160"/>
      <c r="K667" s="1160"/>
      <c r="L667" s="1160"/>
      <c r="M667" s="1160"/>
      <c r="N667" s="1160"/>
      <c r="O667" s="1160"/>
      <c r="P667" s="1160"/>
      <c r="Q667" s="1160"/>
      <c r="R667" s="1160"/>
      <c r="S667" s="1160"/>
      <c r="T667" s="1160"/>
      <c r="U667" s="1160"/>
      <c r="V667" s="1160"/>
      <c r="W667" s="1160"/>
      <c r="X667" s="1211"/>
      <c r="Y667" s="1160"/>
      <c r="Z667" s="1160"/>
      <c r="AA667" s="1160"/>
      <c r="AB667" s="1160"/>
      <c r="AC667" s="1160"/>
      <c r="AD667" s="1160"/>
      <c r="AE667" s="1160"/>
    </row>
    <row r="668" ht="15.0" customHeight="1">
      <c r="A668" s="1209"/>
      <c r="B668" s="1209"/>
      <c r="C668" s="1210"/>
      <c r="D668" s="1160"/>
      <c r="E668" s="1160"/>
      <c r="F668" s="1160"/>
      <c r="G668" s="1160"/>
      <c r="H668" s="1160"/>
      <c r="I668" s="1160"/>
      <c r="J668" s="1160"/>
      <c r="K668" s="1160"/>
      <c r="L668" s="1160"/>
      <c r="M668" s="1160"/>
      <c r="N668" s="1160"/>
      <c r="O668" s="1160"/>
      <c r="P668" s="1160"/>
      <c r="Q668" s="1160"/>
      <c r="R668" s="1160"/>
      <c r="S668" s="1160"/>
      <c r="T668" s="1160"/>
      <c r="U668" s="1160"/>
      <c r="V668" s="1160"/>
      <c r="W668" s="1160"/>
      <c r="X668" s="1211"/>
      <c r="Y668" s="1160"/>
      <c r="Z668" s="1160"/>
      <c r="AA668" s="1160"/>
      <c r="AB668" s="1160"/>
      <c r="AC668" s="1160"/>
      <c r="AD668" s="1160"/>
      <c r="AE668" s="1160"/>
    </row>
    <row r="669" ht="15.0" customHeight="1">
      <c r="A669" s="1209"/>
      <c r="B669" s="1209"/>
      <c r="C669" s="1210"/>
      <c r="D669" s="1160"/>
      <c r="E669" s="1160"/>
      <c r="F669" s="1160"/>
      <c r="G669" s="1160"/>
      <c r="H669" s="1160"/>
      <c r="I669" s="1160"/>
      <c r="J669" s="1160"/>
      <c r="K669" s="1160"/>
      <c r="L669" s="1160"/>
      <c r="M669" s="1160"/>
      <c r="N669" s="1160"/>
      <c r="O669" s="1160"/>
      <c r="P669" s="1160"/>
      <c r="Q669" s="1160"/>
      <c r="R669" s="1160"/>
      <c r="S669" s="1160"/>
      <c r="T669" s="1160"/>
      <c r="U669" s="1160"/>
      <c r="V669" s="1160"/>
      <c r="W669" s="1160"/>
      <c r="X669" s="1211"/>
      <c r="Y669" s="1160"/>
      <c r="Z669" s="1160"/>
      <c r="AA669" s="1160"/>
      <c r="AB669" s="1160"/>
      <c r="AC669" s="1160"/>
      <c r="AD669" s="1160"/>
      <c r="AE669" s="1160"/>
    </row>
    <row r="670" ht="15.0" customHeight="1">
      <c r="A670" s="1209"/>
      <c r="B670" s="1209"/>
      <c r="C670" s="1210"/>
      <c r="D670" s="1160"/>
      <c r="E670" s="1160"/>
      <c r="F670" s="1160"/>
      <c r="G670" s="1160"/>
      <c r="H670" s="1160"/>
      <c r="I670" s="1160"/>
      <c r="J670" s="1160"/>
      <c r="K670" s="1160"/>
      <c r="L670" s="1160"/>
      <c r="M670" s="1160"/>
      <c r="N670" s="1160"/>
      <c r="O670" s="1160"/>
      <c r="P670" s="1160"/>
      <c r="Q670" s="1160"/>
      <c r="R670" s="1160"/>
      <c r="S670" s="1160"/>
      <c r="T670" s="1160"/>
      <c r="U670" s="1160"/>
      <c r="V670" s="1160"/>
      <c r="W670" s="1160"/>
      <c r="X670" s="1211"/>
      <c r="Y670" s="1160"/>
      <c r="Z670" s="1160"/>
      <c r="AA670" s="1160"/>
      <c r="AB670" s="1160"/>
      <c r="AC670" s="1160"/>
      <c r="AD670" s="1160"/>
      <c r="AE670" s="1160"/>
    </row>
    <row r="671" ht="15.0" customHeight="1">
      <c r="A671" s="1209"/>
      <c r="B671" s="1209"/>
      <c r="C671" s="1210"/>
      <c r="D671" s="1160"/>
      <c r="E671" s="1160"/>
      <c r="F671" s="1160"/>
      <c r="G671" s="1160"/>
      <c r="H671" s="1160"/>
      <c r="I671" s="1160"/>
      <c r="J671" s="1160"/>
      <c r="K671" s="1160"/>
      <c r="L671" s="1160"/>
      <c r="M671" s="1160"/>
      <c r="N671" s="1160"/>
      <c r="O671" s="1160"/>
      <c r="P671" s="1160"/>
      <c r="Q671" s="1160"/>
      <c r="R671" s="1160"/>
      <c r="S671" s="1160"/>
      <c r="T671" s="1160"/>
      <c r="U671" s="1160"/>
      <c r="V671" s="1160"/>
      <c r="W671" s="1160"/>
      <c r="X671" s="1211"/>
      <c r="Y671" s="1160"/>
      <c r="Z671" s="1160"/>
      <c r="AA671" s="1160"/>
      <c r="AB671" s="1160"/>
      <c r="AC671" s="1160"/>
      <c r="AD671" s="1160"/>
      <c r="AE671" s="1160"/>
    </row>
    <row r="672" ht="15.0" customHeight="1">
      <c r="A672" s="1209"/>
      <c r="B672" s="1209"/>
      <c r="C672" s="1210"/>
      <c r="D672" s="1160"/>
      <c r="E672" s="1160"/>
      <c r="F672" s="1160"/>
      <c r="G672" s="1160"/>
      <c r="H672" s="1160"/>
      <c r="I672" s="1160"/>
      <c r="J672" s="1160"/>
      <c r="K672" s="1160"/>
      <c r="L672" s="1160"/>
      <c r="M672" s="1160"/>
      <c r="N672" s="1160"/>
      <c r="O672" s="1160"/>
      <c r="P672" s="1160"/>
      <c r="Q672" s="1160"/>
      <c r="R672" s="1160"/>
      <c r="S672" s="1160"/>
      <c r="T672" s="1160"/>
      <c r="U672" s="1160"/>
      <c r="V672" s="1160"/>
      <c r="W672" s="1160"/>
      <c r="X672" s="1211"/>
      <c r="Y672" s="1160"/>
      <c r="Z672" s="1160"/>
      <c r="AA672" s="1160"/>
      <c r="AB672" s="1160"/>
      <c r="AC672" s="1160"/>
      <c r="AD672" s="1160"/>
      <c r="AE672" s="1160"/>
    </row>
    <row r="673" ht="15.0" customHeight="1">
      <c r="A673" s="1209"/>
      <c r="B673" s="1209"/>
      <c r="C673" s="1210"/>
      <c r="D673" s="1160"/>
      <c r="E673" s="1160"/>
      <c r="F673" s="1160"/>
      <c r="G673" s="1160"/>
      <c r="H673" s="1160"/>
      <c r="I673" s="1160"/>
      <c r="J673" s="1160"/>
      <c r="K673" s="1160"/>
      <c r="L673" s="1160"/>
      <c r="M673" s="1160"/>
      <c r="N673" s="1160"/>
      <c r="O673" s="1160"/>
      <c r="P673" s="1160"/>
      <c r="Q673" s="1160"/>
      <c r="R673" s="1160"/>
      <c r="S673" s="1160"/>
      <c r="T673" s="1160"/>
      <c r="U673" s="1160"/>
      <c r="V673" s="1160"/>
      <c r="W673" s="1160"/>
      <c r="X673" s="1211"/>
      <c r="Y673" s="1160"/>
      <c r="Z673" s="1160"/>
      <c r="AA673" s="1160"/>
      <c r="AB673" s="1160"/>
      <c r="AC673" s="1160"/>
      <c r="AD673" s="1160"/>
      <c r="AE673" s="1160"/>
    </row>
    <row r="674" ht="15.0" customHeight="1">
      <c r="A674" s="1209"/>
      <c r="B674" s="1209"/>
      <c r="C674" s="1210"/>
      <c r="D674" s="1160"/>
      <c r="E674" s="1160"/>
      <c r="F674" s="1160"/>
      <c r="G674" s="1160"/>
      <c r="H674" s="1160"/>
      <c r="I674" s="1160"/>
      <c r="J674" s="1160"/>
      <c r="K674" s="1160"/>
      <c r="L674" s="1160"/>
      <c r="M674" s="1160"/>
      <c r="N674" s="1160"/>
      <c r="O674" s="1160"/>
      <c r="P674" s="1160"/>
      <c r="Q674" s="1160"/>
      <c r="R674" s="1160"/>
      <c r="S674" s="1160"/>
      <c r="T674" s="1160"/>
      <c r="U674" s="1160"/>
      <c r="V674" s="1160"/>
      <c r="W674" s="1160"/>
      <c r="X674" s="1211"/>
      <c r="Y674" s="1160"/>
      <c r="Z674" s="1160"/>
      <c r="AA674" s="1160"/>
      <c r="AB674" s="1160"/>
      <c r="AC674" s="1160"/>
      <c r="AD674" s="1160"/>
      <c r="AE674" s="1160"/>
    </row>
    <row r="675" ht="15.0" customHeight="1">
      <c r="A675" s="1209"/>
      <c r="B675" s="1209"/>
      <c r="C675" s="1210"/>
      <c r="D675" s="1160"/>
      <c r="E675" s="1160"/>
      <c r="F675" s="1160"/>
      <c r="G675" s="1160"/>
      <c r="H675" s="1160"/>
      <c r="I675" s="1160"/>
      <c r="J675" s="1160"/>
      <c r="K675" s="1160"/>
      <c r="L675" s="1160"/>
      <c r="M675" s="1160"/>
      <c r="N675" s="1160"/>
      <c r="O675" s="1160"/>
      <c r="P675" s="1160"/>
      <c r="Q675" s="1160"/>
      <c r="R675" s="1160"/>
      <c r="S675" s="1160"/>
      <c r="T675" s="1160"/>
      <c r="U675" s="1160"/>
      <c r="V675" s="1160"/>
      <c r="W675" s="1160"/>
      <c r="X675" s="1211"/>
      <c r="Y675" s="1160"/>
      <c r="Z675" s="1160"/>
      <c r="AA675" s="1160"/>
      <c r="AB675" s="1160"/>
      <c r="AC675" s="1160"/>
      <c r="AD675" s="1160"/>
      <c r="AE675" s="1160"/>
    </row>
    <row r="676" ht="15.0" customHeight="1">
      <c r="A676" s="1209"/>
      <c r="B676" s="1209"/>
      <c r="C676" s="1210"/>
      <c r="D676" s="1160"/>
      <c r="E676" s="1160"/>
      <c r="F676" s="1160"/>
      <c r="G676" s="1160"/>
      <c r="H676" s="1160"/>
      <c r="I676" s="1160"/>
      <c r="J676" s="1160"/>
      <c r="K676" s="1160"/>
      <c r="L676" s="1160"/>
      <c r="M676" s="1160"/>
      <c r="N676" s="1160"/>
      <c r="O676" s="1160"/>
      <c r="P676" s="1160"/>
      <c r="Q676" s="1160"/>
      <c r="R676" s="1160"/>
      <c r="S676" s="1160"/>
      <c r="T676" s="1160"/>
      <c r="U676" s="1160"/>
      <c r="V676" s="1160"/>
      <c r="W676" s="1160"/>
      <c r="X676" s="1211"/>
      <c r="Y676" s="1160"/>
      <c r="Z676" s="1160"/>
      <c r="AA676" s="1160"/>
      <c r="AB676" s="1160"/>
      <c r="AC676" s="1160"/>
      <c r="AD676" s="1160"/>
      <c r="AE676" s="1160"/>
    </row>
    <row r="677" ht="15.0" customHeight="1">
      <c r="A677" s="1209"/>
      <c r="B677" s="1209"/>
      <c r="C677" s="1210"/>
      <c r="D677" s="1160"/>
      <c r="E677" s="1160"/>
      <c r="F677" s="1160"/>
      <c r="G677" s="1160"/>
      <c r="H677" s="1160"/>
      <c r="I677" s="1160"/>
      <c r="J677" s="1160"/>
      <c r="K677" s="1160"/>
      <c r="L677" s="1160"/>
      <c r="M677" s="1160"/>
      <c r="N677" s="1160"/>
      <c r="O677" s="1160"/>
      <c r="P677" s="1160"/>
      <c r="Q677" s="1160"/>
      <c r="R677" s="1160"/>
      <c r="S677" s="1160"/>
      <c r="T677" s="1160"/>
      <c r="U677" s="1160"/>
      <c r="V677" s="1160"/>
      <c r="W677" s="1160"/>
      <c r="X677" s="1211"/>
      <c r="Y677" s="1160"/>
      <c r="Z677" s="1160"/>
      <c r="AA677" s="1160"/>
      <c r="AB677" s="1160"/>
      <c r="AC677" s="1160"/>
      <c r="AD677" s="1160"/>
      <c r="AE677" s="1160"/>
    </row>
    <row r="678" ht="15.0" customHeight="1">
      <c r="A678" s="1209"/>
      <c r="B678" s="1209"/>
      <c r="C678" s="1210"/>
      <c r="D678" s="1160"/>
      <c r="E678" s="1160"/>
      <c r="F678" s="1160"/>
      <c r="G678" s="1160"/>
      <c r="H678" s="1160"/>
      <c r="I678" s="1160"/>
      <c r="J678" s="1160"/>
      <c r="K678" s="1160"/>
      <c r="L678" s="1160"/>
      <c r="M678" s="1160"/>
      <c r="N678" s="1160"/>
      <c r="O678" s="1160"/>
      <c r="P678" s="1160"/>
      <c r="Q678" s="1160"/>
      <c r="R678" s="1160"/>
      <c r="S678" s="1160"/>
      <c r="T678" s="1160"/>
      <c r="U678" s="1160"/>
      <c r="V678" s="1160"/>
      <c r="W678" s="1160"/>
      <c r="X678" s="1211"/>
      <c r="Y678" s="1160"/>
      <c r="Z678" s="1160"/>
      <c r="AA678" s="1160"/>
      <c r="AB678" s="1160"/>
      <c r="AC678" s="1160"/>
      <c r="AD678" s="1160"/>
      <c r="AE678" s="1160"/>
    </row>
    <row r="679" ht="15.0" customHeight="1">
      <c r="A679" s="1209"/>
      <c r="B679" s="1209"/>
      <c r="C679" s="1210"/>
      <c r="D679" s="1160"/>
      <c r="E679" s="1160"/>
      <c r="F679" s="1160"/>
      <c r="G679" s="1160"/>
      <c r="H679" s="1160"/>
      <c r="I679" s="1160"/>
      <c r="J679" s="1160"/>
      <c r="K679" s="1160"/>
      <c r="L679" s="1160"/>
      <c r="M679" s="1160"/>
      <c r="N679" s="1160"/>
      <c r="O679" s="1160"/>
      <c r="P679" s="1160"/>
      <c r="Q679" s="1160"/>
      <c r="R679" s="1160"/>
      <c r="S679" s="1160"/>
      <c r="T679" s="1160"/>
      <c r="U679" s="1160"/>
      <c r="V679" s="1160"/>
      <c r="W679" s="1160"/>
      <c r="X679" s="1211"/>
      <c r="Y679" s="1160"/>
      <c r="Z679" s="1160"/>
      <c r="AA679" s="1160"/>
      <c r="AB679" s="1160"/>
      <c r="AC679" s="1160"/>
      <c r="AD679" s="1160"/>
      <c r="AE679" s="1160"/>
    </row>
    <row r="680" ht="15.0" customHeight="1">
      <c r="A680" s="1209"/>
      <c r="B680" s="1209"/>
      <c r="C680" s="1210"/>
      <c r="D680" s="1160"/>
      <c r="E680" s="1160"/>
      <c r="F680" s="1160"/>
      <c r="G680" s="1160"/>
      <c r="H680" s="1160"/>
      <c r="I680" s="1160"/>
      <c r="J680" s="1160"/>
      <c r="K680" s="1160"/>
      <c r="L680" s="1160"/>
      <c r="M680" s="1160"/>
      <c r="N680" s="1160"/>
      <c r="O680" s="1160"/>
      <c r="P680" s="1160"/>
      <c r="Q680" s="1160"/>
      <c r="R680" s="1160"/>
      <c r="S680" s="1160"/>
      <c r="T680" s="1160"/>
      <c r="U680" s="1160"/>
      <c r="V680" s="1160"/>
      <c r="W680" s="1160"/>
      <c r="X680" s="1211"/>
      <c r="Y680" s="1160"/>
      <c r="Z680" s="1160"/>
      <c r="AA680" s="1160"/>
      <c r="AB680" s="1160"/>
      <c r="AC680" s="1160"/>
      <c r="AD680" s="1160"/>
      <c r="AE680" s="1160"/>
    </row>
    <row r="681" ht="15.0" customHeight="1">
      <c r="A681" s="1209"/>
      <c r="B681" s="1209"/>
      <c r="C681" s="1210"/>
      <c r="D681" s="1160"/>
      <c r="E681" s="1160"/>
      <c r="F681" s="1160"/>
      <c r="G681" s="1160"/>
      <c r="H681" s="1160"/>
      <c r="I681" s="1160"/>
      <c r="J681" s="1160"/>
      <c r="K681" s="1160"/>
      <c r="L681" s="1160"/>
      <c r="M681" s="1160"/>
      <c r="N681" s="1160"/>
      <c r="O681" s="1160"/>
      <c r="P681" s="1160"/>
      <c r="Q681" s="1160"/>
      <c r="R681" s="1160"/>
      <c r="S681" s="1160"/>
      <c r="T681" s="1160"/>
      <c r="U681" s="1160"/>
      <c r="V681" s="1160"/>
      <c r="W681" s="1160"/>
      <c r="X681" s="1211"/>
      <c r="Y681" s="1160"/>
      <c r="Z681" s="1160"/>
      <c r="AA681" s="1160"/>
      <c r="AB681" s="1160"/>
      <c r="AC681" s="1160"/>
      <c r="AD681" s="1160"/>
      <c r="AE681" s="1160"/>
    </row>
    <row r="682" ht="15.0" customHeight="1">
      <c r="A682" s="1209"/>
      <c r="B682" s="1209"/>
      <c r="C682" s="1210"/>
      <c r="D682" s="1160"/>
      <c r="E682" s="1160"/>
      <c r="F682" s="1160"/>
      <c r="G682" s="1160"/>
      <c r="H682" s="1160"/>
      <c r="I682" s="1160"/>
      <c r="J682" s="1160"/>
      <c r="K682" s="1160"/>
      <c r="L682" s="1160"/>
      <c r="M682" s="1160"/>
      <c r="N682" s="1160"/>
      <c r="O682" s="1160"/>
      <c r="P682" s="1160"/>
      <c r="Q682" s="1160"/>
      <c r="R682" s="1160"/>
      <c r="S682" s="1160"/>
      <c r="T682" s="1160"/>
      <c r="U682" s="1160"/>
      <c r="V682" s="1160"/>
      <c r="W682" s="1160"/>
      <c r="X682" s="1211"/>
      <c r="Y682" s="1160"/>
      <c r="Z682" s="1160"/>
      <c r="AA682" s="1160"/>
      <c r="AB682" s="1160"/>
      <c r="AC682" s="1160"/>
      <c r="AD682" s="1160"/>
      <c r="AE682" s="1160"/>
    </row>
    <row r="683" ht="15.0" customHeight="1">
      <c r="A683" s="1209"/>
      <c r="B683" s="1209"/>
      <c r="C683" s="1210"/>
      <c r="D683" s="1160"/>
      <c r="E683" s="1160"/>
      <c r="F683" s="1160"/>
      <c r="G683" s="1160"/>
      <c r="H683" s="1160"/>
      <c r="I683" s="1160"/>
      <c r="J683" s="1160"/>
      <c r="K683" s="1160"/>
      <c r="L683" s="1160"/>
      <c r="M683" s="1160"/>
      <c r="N683" s="1160"/>
      <c r="O683" s="1160"/>
      <c r="P683" s="1160"/>
      <c r="Q683" s="1160"/>
      <c r="R683" s="1160"/>
      <c r="S683" s="1160"/>
      <c r="T683" s="1160"/>
      <c r="U683" s="1160"/>
      <c r="V683" s="1160"/>
      <c r="W683" s="1160"/>
      <c r="X683" s="1211"/>
      <c r="Y683" s="1160"/>
      <c r="Z683" s="1160"/>
      <c r="AA683" s="1160"/>
      <c r="AB683" s="1160"/>
      <c r="AC683" s="1160"/>
      <c r="AD683" s="1160"/>
      <c r="AE683" s="1160"/>
    </row>
    <row r="684" ht="15.0" customHeight="1">
      <c r="A684" s="1209"/>
      <c r="B684" s="1209"/>
      <c r="C684" s="1210"/>
      <c r="D684" s="1160"/>
      <c r="E684" s="1160"/>
      <c r="F684" s="1160"/>
      <c r="G684" s="1160"/>
      <c r="H684" s="1160"/>
      <c r="I684" s="1160"/>
      <c r="J684" s="1160"/>
      <c r="K684" s="1160"/>
      <c r="L684" s="1160"/>
      <c r="M684" s="1160"/>
      <c r="N684" s="1160"/>
      <c r="O684" s="1160"/>
      <c r="P684" s="1160"/>
      <c r="Q684" s="1160"/>
      <c r="R684" s="1160"/>
      <c r="S684" s="1160"/>
      <c r="T684" s="1160"/>
      <c r="U684" s="1160"/>
      <c r="V684" s="1160"/>
      <c r="W684" s="1160"/>
      <c r="X684" s="1211"/>
      <c r="Y684" s="1160"/>
      <c r="Z684" s="1160"/>
      <c r="AA684" s="1160"/>
      <c r="AB684" s="1160"/>
      <c r="AC684" s="1160"/>
      <c r="AD684" s="1160"/>
      <c r="AE684" s="1160"/>
    </row>
    <row r="685" ht="15.0" customHeight="1">
      <c r="A685" s="1209"/>
      <c r="B685" s="1209"/>
      <c r="C685" s="1210"/>
      <c r="D685" s="1160"/>
      <c r="E685" s="1160"/>
      <c r="F685" s="1160"/>
      <c r="G685" s="1160"/>
      <c r="H685" s="1160"/>
      <c r="I685" s="1160"/>
      <c r="J685" s="1160"/>
      <c r="K685" s="1160"/>
      <c r="L685" s="1160"/>
      <c r="M685" s="1160"/>
      <c r="N685" s="1160"/>
      <c r="O685" s="1160"/>
      <c r="P685" s="1160"/>
      <c r="Q685" s="1160"/>
      <c r="R685" s="1160"/>
      <c r="S685" s="1160"/>
      <c r="T685" s="1160"/>
      <c r="U685" s="1160"/>
      <c r="V685" s="1160"/>
      <c r="W685" s="1160"/>
      <c r="X685" s="1211"/>
      <c r="Y685" s="1160"/>
      <c r="Z685" s="1160"/>
      <c r="AA685" s="1160"/>
      <c r="AB685" s="1160"/>
      <c r="AC685" s="1160"/>
      <c r="AD685" s="1160"/>
      <c r="AE685" s="1160"/>
    </row>
    <row r="686" ht="15.0" customHeight="1">
      <c r="A686" s="1209"/>
      <c r="B686" s="1209"/>
      <c r="C686" s="1210"/>
      <c r="D686" s="1160"/>
      <c r="E686" s="1160"/>
      <c r="F686" s="1160"/>
      <c r="G686" s="1160"/>
      <c r="H686" s="1160"/>
      <c r="I686" s="1160"/>
      <c r="J686" s="1160"/>
      <c r="K686" s="1160"/>
      <c r="L686" s="1160"/>
      <c r="M686" s="1160"/>
      <c r="N686" s="1160"/>
      <c r="O686" s="1160"/>
      <c r="P686" s="1160"/>
      <c r="Q686" s="1160"/>
      <c r="R686" s="1160"/>
      <c r="S686" s="1160"/>
      <c r="T686" s="1160"/>
      <c r="U686" s="1160"/>
      <c r="V686" s="1160"/>
      <c r="W686" s="1160"/>
      <c r="X686" s="1211"/>
      <c r="Y686" s="1160"/>
      <c r="Z686" s="1160"/>
      <c r="AA686" s="1160"/>
      <c r="AB686" s="1160"/>
      <c r="AC686" s="1160"/>
      <c r="AD686" s="1160"/>
      <c r="AE686" s="1160"/>
    </row>
    <row r="687" ht="15.0" customHeight="1">
      <c r="A687" s="1209"/>
      <c r="B687" s="1209"/>
      <c r="C687" s="1210"/>
      <c r="D687" s="1160"/>
      <c r="E687" s="1160"/>
      <c r="F687" s="1160"/>
      <c r="G687" s="1160"/>
      <c r="H687" s="1160"/>
      <c r="I687" s="1160"/>
      <c r="J687" s="1160"/>
      <c r="K687" s="1160"/>
      <c r="L687" s="1160"/>
      <c r="M687" s="1160"/>
      <c r="N687" s="1160"/>
      <c r="O687" s="1160"/>
      <c r="P687" s="1160"/>
      <c r="Q687" s="1160"/>
      <c r="R687" s="1160"/>
      <c r="S687" s="1160"/>
      <c r="T687" s="1160"/>
      <c r="U687" s="1160"/>
      <c r="V687" s="1160"/>
      <c r="W687" s="1160"/>
      <c r="X687" s="1211"/>
      <c r="Y687" s="1160"/>
      <c r="Z687" s="1160"/>
      <c r="AA687" s="1160"/>
      <c r="AB687" s="1160"/>
      <c r="AC687" s="1160"/>
      <c r="AD687" s="1160"/>
      <c r="AE687" s="1160"/>
    </row>
    <row r="688" ht="15.0" customHeight="1">
      <c r="A688" s="1209"/>
      <c r="B688" s="1209"/>
      <c r="C688" s="1210"/>
      <c r="D688" s="1160"/>
      <c r="E688" s="1160"/>
      <c r="F688" s="1160"/>
      <c r="G688" s="1160"/>
      <c r="H688" s="1160"/>
      <c r="I688" s="1160"/>
      <c r="J688" s="1160"/>
      <c r="K688" s="1160"/>
      <c r="L688" s="1160"/>
      <c r="M688" s="1160"/>
      <c r="N688" s="1160"/>
      <c r="O688" s="1160"/>
      <c r="P688" s="1160"/>
      <c r="Q688" s="1160"/>
      <c r="R688" s="1160"/>
      <c r="S688" s="1160"/>
      <c r="T688" s="1160"/>
      <c r="U688" s="1160"/>
      <c r="V688" s="1160"/>
      <c r="W688" s="1160"/>
      <c r="X688" s="1211"/>
      <c r="Y688" s="1160"/>
      <c r="Z688" s="1160"/>
      <c r="AA688" s="1160"/>
      <c r="AB688" s="1160"/>
      <c r="AC688" s="1160"/>
      <c r="AD688" s="1160"/>
      <c r="AE688" s="1160"/>
    </row>
    <row r="689" ht="15.0" customHeight="1">
      <c r="A689" s="1209"/>
      <c r="B689" s="1209"/>
      <c r="C689" s="1210"/>
      <c r="D689" s="1160"/>
      <c r="E689" s="1160"/>
      <c r="F689" s="1160"/>
      <c r="G689" s="1160"/>
      <c r="H689" s="1160"/>
      <c r="I689" s="1160"/>
      <c r="J689" s="1160"/>
      <c r="K689" s="1160"/>
      <c r="L689" s="1160"/>
      <c r="M689" s="1160"/>
      <c r="N689" s="1160"/>
      <c r="O689" s="1160"/>
      <c r="P689" s="1160"/>
      <c r="Q689" s="1160"/>
      <c r="R689" s="1160"/>
      <c r="S689" s="1160"/>
      <c r="T689" s="1160"/>
      <c r="U689" s="1160"/>
      <c r="V689" s="1160"/>
      <c r="W689" s="1160"/>
      <c r="X689" s="1211"/>
      <c r="Y689" s="1160"/>
      <c r="Z689" s="1160"/>
      <c r="AA689" s="1160"/>
      <c r="AB689" s="1160"/>
      <c r="AC689" s="1160"/>
      <c r="AD689" s="1160"/>
      <c r="AE689" s="1160"/>
    </row>
    <row r="690" ht="15.0" customHeight="1">
      <c r="A690" s="1209"/>
      <c r="B690" s="1209"/>
      <c r="C690" s="1210"/>
      <c r="D690" s="1160"/>
      <c r="E690" s="1160"/>
      <c r="F690" s="1160"/>
      <c r="G690" s="1160"/>
      <c r="H690" s="1160"/>
      <c r="I690" s="1160"/>
      <c r="J690" s="1160"/>
      <c r="K690" s="1160"/>
      <c r="L690" s="1160"/>
      <c r="M690" s="1160"/>
      <c r="N690" s="1160"/>
      <c r="O690" s="1160"/>
      <c r="P690" s="1160"/>
      <c r="Q690" s="1160"/>
      <c r="R690" s="1160"/>
      <c r="S690" s="1160"/>
      <c r="T690" s="1160"/>
      <c r="U690" s="1160"/>
      <c r="V690" s="1160"/>
      <c r="W690" s="1160"/>
      <c r="X690" s="1211"/>
      <c r="Y690" s="1160"/>
      <c r="Z690" s="1160"/>
      <c r="AA690" s="1160"/>
      <c r="AB690" s="1160"/>
      <c r="AC690" s="1160"/>
      <c r="AD690" s="1160"/>
      <c r="AE690" s="1160"/>
    </row>
    <row r="691" ht="15.0" customHeight="1">
      <c r="A691" s="1209"/>
      <c r="B691" s="1209"/>
      <c r="C691" s="1210"/>
      <c r="D691" s="1160"/>
      <c r="E691" s="1160"/>
      <c r="F691" s="1160"/>
      <c r="G691" s="1160"/>
      <c r="H691" s="1160"/>
      <c r="I691" s="1160"/>
      <c r="J691" s="1160"/>
      <c r="K691" s="1160"/>
      <c r="L691" s="1160"/>
      <c r="M691" s="1160"/>
      <c r="N691" s="1160"/>
      <c r="O691" s="1160"/>
      <c r="P691" s="1160"/>
      <c r="Q691" s="1160"/>
      <c r="R691" s="1160"/>
      <c r="S691" s="1160"/>
      <c r="T691" s="1160"/>
      <c r="U691" s="1160"/>
      <c r="V691" s="1160"/>
      <c r="W691" s="1160"/>
      <c r="X691" s="1211"/>
      <c r="Y691" s="1160"/>
      <c r="Z691" s="1160"/>
      <c r="AA691" s="1160"/>
      <c r="AB691" s="1160"/>
      <c r="AC691" s="1160"/>
      <c r="AD691" s="1160"/>
      <c r="AE691" s="1160"/>
    </row>
    <row r="692" ht="15.0" customHeight="1">
      <c r="A692" s="1209"/>
      <c r="B692" s="1209"/>
      <c r="C692" s="1210"/>
      <c r="D692" s="1160"/>
      <c r="E692" s="1160"/>
      <c r="F692" s="1160"/>
      <c r="G692" s="1160"/>
      <c r="H692" s="1160"/>
      <c r="I692" s="1160"/>
      <c r="J692" s="1160"/>
      <c r="K692" s="1160"/>
      <c r="L692" s="1160"/>
      <c r="M692" s="1160"/>
      <c r="N692" s="1160"/>
      <c r="O692" s="1160"/>
      <c r="P692" s="1160"/>
      <c r="Q692" s="1160"/>
      <c r="R692" s="1160"/>
      <c r="S692" s="1160"/>
      <c r="T692" s="1160"/>
      <c r="U692" s="1160"/>
      <c r="V692" s="1160"/>
      <c r="W692" s="1160"/>
      <c r="X692" s="1211"/>
      <c r="Y692" s="1160"/>
      <c r="Z692" s="1160"/>
      <c r="AA692" s="1160"/>
      <c r="AB692" s="1160"/>
      <c r="AC692" s="1160"/>
      <c r="AD692" s="1160"/>
      <c r="AE692" s="1160"/>
    </row>
    <row r="693" ht="15.0" customHeight="1">
      <c r="A693" s="1209"/>
      <c r="B693" s="1209"/>
      <c r="C693" s="1210"/>
      <c r="D693" s="1160"/>
      <c r="E693" s="1160"/>
      <c r="F693" s="1160"/>
      <c r="G693" s="1160"/>
      <c r="H693" s="1160"/>
      <c r="I693" s="1160"/>
      <c r="J693" s="1160"/>
      <c r="K693" s="1160"/>
      <c r="L693" s="1160"/>
      <c r="M693" s="1160"/>
      <c r="N693" s="1160"/>
      <c r="O693" s="1160"/>
      <c r="P693" s="1160"/>
      <c r="Q693" s="1160"/>
      <c r="R693" s="1160"/>
      <c r="S693" s="1160"/>
      <c r="T693" s="1160"/>
      <c r="U693" s="1160"/>
      <c r="V693" s="1160"/>
      <c r="W693" s="1160"/>
      <c r="X693" s="1211"/>
      <c r="Y693" s="1160"/>
      <c r="Z693" s="1160"/>
      <c r="AA693" s="1160"/>
      <c r="AB693" s="1160"/>
      <c r="AC693" s="1160"/>
      <c r="AD693" s="1160"/>
      <c r="AE693" s="1160"/>
    </row>
    <row r="694" ht="15.0" customHeight="1">
      <c r="A694" s="1209"/>
      <c r="B694" s="1209"/>
      <c r="C694" s="1210"/>
      <c r="D694" s="1160"/>
      <c r="E694" s="1160"/>
      <c r="F694" s="1160"/>
      <c r="G694" s="1160"/>
      <c r="H694" s="1160"/>
      <c r="I694" s="1160"/>
      <c r="J694" s="1160"/>
      <c r="K694" s="1160"/>
      <c r="L694" s="1160"/>
      <c r="M694" s="1160"/>
      <c r="N694" s="1160"/>
      <c r="O694" s="1160"/>
      <c r="P694" s="1160"/>
      <c r="Q694" s="1160"/>
      <c r="R694" s="1160"/>
      <c r="S694" s="1160"/>
      <c r="T694" s="1160"/>
      <c r="U694" s="1160"/>
      <c r="V694" s="1160"/>
      <c r="W694" s="1160"/>
      <c r="X694" s="1211"/>
      <c r="Y694" s="1160"/>
      <c r="Z694" s="1160"/>
      <c r="AA694" s="1160"/>
      <c r="AB694" s="1160"/>
      <c r="AC694" s="1160"/>
      <c r="AD694" s="1160"/>
      <c r="AE694" s="1160"/>
    </row>
    <row r="695" ht="15.0" customHeight="1">
      <c r="A695" s="1209"/>
      <c r="B695" s="1209"/>
      <c r="C695" s="1210"/>
      <c r="D695" s="1160"/>
      <c r="E695" s="1160"/>
      <c r="F695" s="1160"/>
      <c r="G695" s="1160"/>
      <c r="H695" s="1160"/>
      <c r="I695" s="1160"/>
      <c r="J695" s="1160"/>
      <c r="K695" s="1160"/>
      <c r="L695" s="1160"/>
      <c r="M695" s="1160"/>
      <c r="N695" s="1160"/>
      <c r="O695" s="1160"/>
      <c r="P695" s="1160"/>
      <c r="Q695" s="1160"/>
      <c r="R695" s="1160"/>
      <c r="S695" s="1160"/>
      <c r="T695" s="1160"/>
      <c r="U695" s="1160"/>
      <c r="V695" s="1160"/>
      <c r="W695" s="1160"/>
      <c r="X695" s="1211"/>
      <c r="Y695" s="1160"/>
      <c r="Z695" s="1160"/>
      <c r="AA695" s="1160"/>
      <c r="AB695" s="1160"/>
      <c r="AC695" s="1160"/>
      <c r="AD695" s="1160"/>
      <c r="AE695" s="1160"/>
    </row>
    <row r="696" ht="15.0" customHeight="1">
      <c r="A696" s="1209"/>
      <c r="B696" s="1209"/>
      <c r="C696" s="1210"/>
      <c r="D696" s="1160"/>
      <c r="E696" s="1160"/>
      <c r="F696" s="1160"/>
      <c r="G696" s="1160"/>
      <c r="H696" s="1160"/>
      <c r="I696" s="1160"/>
      <c r="J696" s="1160"/>
      <c r="K696" s="1160"/>
      <c r="L696" s="1160"/>
      <c r="M696" s="1160"/>
      <c r="N696" s="1160"/>
      <c r="O696" s="1160"/>
      <c r="P696" s="1160"/>
      <c r="Q696" s="1160"/>
      <c r="R696" s="1160"/>
      <c r="S696" s="1160"/>
      <c r="T696" s="1160"/>
      <c r="U696" s="1160"/>
      <c r="V696" s="1160"/>
      <c r="W696" s="1160"/>
      <c r="X696" s="1211"/>
      <c r="Y696" s="1160"/>
      <c r="Z696" s="1160"/>
      <c r="AA696" s="1160"/>
      <c r="AB696" s="1160"/>
      <c r="AC696" s="1160"/>
      <c r="AD696" s="1160"/>
      <c r="AE696" s="1160"/>
    </row>
    <row r="697" ht="15.0" customHeight="1">
      <c r="A697" s="1209"/>
      <c r="B697" s="1209"/>
      <c r="C697" s="1210"/>
      <c r="D697" s="1160"/>
      <c r="E697" s="1160"/>
      <c r="F697" s="1160"/>
      <c r="G697" s="1160"/>
      <c r="H697" s="1160"/>
      <c r="I697" s="1160"/>
      <c r="J697" s="1160"/>
      <c r="K697" s="1160"/>
      <c r="L697" s="1160"/>
      <c r="M697" s="1160"/>
      <c r="N697" s="1160"/>
      <c r="O697" s="1160"/>
      <c r="P697" s="1160"/>
      <c r="Q697" s="1160"/>
      <c r="R697" s="1160"/>
      <c r="S697" s="1160"/>
      <c r="T697" s="1160"/>
      <c r="U697" s="1160"/>
      <c r="V697" s="1160"/>
      <c r="W697" s="1160"/>
      <c r="X697" s="1211"/>
      <c r="Y697" s="1160"/>
      <c r="Z697" s="1160"/>
      <c r="AA697" s="1160"/>
      <c r="AB697" s="1160"/>
      <c r="AC697" s="1160"/>
      <c r="AD697" s="1160"/>
      <c r="AE697" s="1160"/>
    </row>
    <row r="698" ht="15.0" customHeight="1">
      <c r="A698" s="1209"/>
      <c r="B698" s="1209"/>
      <c r="C698" s="1210"/>
      <c r="D698" s="1160"/>
      <c r="E698" s="1160"/>
      <c r="F698" s="1160"/>
      <c r="G698" s="1160"/>
      <c r="H698" s="1160"/>
      <c r="I698" s="1160"/>
      <c r="J698" s="1160"/>
      <c r="K698" s="1160"/>
      <c r="L698" s="1160"/>
      <c r="M698" s="1160"/>
      <c r="N698" s="1160"/>
      <c r="O698" s="1160"/>
      <c r="P698" s="1160"/>
      <c r="Q698" s="1160"/>
      <c r="R698" s="1160"/>
      <c r="S698" s="1160"/>
      <c r="T698" s="1160"/>
      <c r="U698" s="1160"/>
      <c r="V698" s="1160"/>
      <c r="W698" s="1160"/>
      <c r="X698" s="1211"/>
      <c r="Y698" s="1160"/>
      <c r="Z698" s="1160"/>
      <c r="AA698" s="1160"/>
      <c r="AB698" s="1160"/>
      <c r="AC698" s="1160"/>
      <c r="AD698" s="1160"/>
      <c r="AE698" s="1160"/>
    </row>
    <row r="699" ht="15.0" customHeight="1">
      <c r="A699" s="1209"/>
      <c r="B699" s="1209"/>
      <c r="C699" s="1210"/>
      <c r="D699" s="1160"/>
      <c r="E699" s="1160"/>
      <c r="F699" s="1160"/>
      <c r="G699" s="1160"/>
      <c r="H699" s="1160"/>
      <c r="I699" s="1160"/>
      <c r="J699" s="1160"/>
      <c r="K699" s="1160"/>
      <c r="L699" s="1160"/>
      <c r="M699" s="1160"/>
      <c r="N699" s="1160"/>
      <c r="O699" s="1160"/>
      <c r="P699" s="1160"/>
      <c r="Q699" s="1160"/>
      <c r="R699" s="1160"/>
      <c r="S699" s="1160"/>
      <c r="T699" s="1160"/>
      <c r="U699" s="1160"/>
      <c r="V699" s="1160"/>
      <c r="W699" s="1160"/>
      <c r="X699" s="1211"/>
      <c r="Y699" s="1160"/>
      <c r="Z699" s="1160"/>
      <c r="AA699" s="1160"/>
      <c r="AB699" s="1160"/>
      <c r="AC699" s="1160"/>
      <c r="AD699" s="1160"/>
      <c r="AE699" s="1160"/>
    </row>
    <row r="700" ht="15.0" customHeight="1">
      <c r="A700" s="1209"/>
      <c r="B700" s="1209"/>
      <c r="C700" s="1210"/>
      <c r="D700" s="1160"/>
      <c r="E700" s="1160"/>
      <c r="F700" s="1160"/>
      <c r="G700" s="1160"/>
      <c r="H700" s="1160"/>
      <c r="I700" s="1160"/>
      <c r="J700" s="1160"/>
      <c r="K700" s="1160"/>
      <c r="L700" s="1160"/>
      <c r="M700" s="1160"/>
      <c r="N700" s="1160"/>
      <c r="O700" s="1160"/>
      <c r="P700" s="1160"/>
      <c r="Q700" s="1160"/>
      <c r="R700" s="1160"/>
      <c r="S700" s="1160"/>
      <c r="T700" s="1160"/>
      <c r="U700" s="1160"/>
      <c r="V700" s="1160"/>
      <c r="W700" s="1160"/>
      <c r="X700" s="1211"/>
      <c r="Y700" s="1160"/>
      <c r="Z700" s="1160"/>
      <c r="AA700" s="1160"/>
      <c r="AB700" s="1160"/>
      <c r="AC700" s="1160"/>
      <c r="AD700" s="1160"/>
      <c r="AE700" s="1160"/>
    </row>
    <row r="701" ht="15.0" customHeight="1">
      <c r="A701" s="1209"/>
      <c r="B701" s="1209"/>
      <c r="C701" s="1210"/>
      <c r="D701" s="1160"/>
      <c r="E701" s="1160"/>
      <c r="F701" s="1160"/>
      <c r="G701" s="1160"/>
      <c r="H701" s="1160"/>
      <c r="I701" s="1160"/>
      <c r="J701" s="1160"/>
      <c r="K701" s="1160"/>
      <c r="L701" s="1160"/>
      <c r="M701" s="1160"/>
      <c r="N701" s="1160"/>
      <c r="O701" s="1160"/>
      <c r="P701" s="1160"/>
      <c r="Q701" s="1160"/>
      <c r="R701" s="1160"/>
      <c r="S701" s="1160"/>
      <c r="T701" s="1160"/>
      <c r="U701" s="1160"/>
      <c r="V701" s="1160"/>
      <c r="W701" s="1160"/>
      <c r="X701" s="1211"/>
      <c r="Y701" s="1160"/>
      <c r="Z701" s="1160"/>
      <c r="AA701" s="1160"/>
      <c r="AB701" s="1160"/>
      <c r="AC701" s="1160"/>
      <c r="AD701" s="1160"/>
      <c r="AE701" s="1160"/>
    </row>
    <row r="702" ht="15.0" customHeight="1">
      <c r="A702" s="1209"/>
      <c r="B702" s="1209"/>
      <c r="C702" s="1210"/>
      <c r="D702" s="1160"/>
      <c r="E702" s="1160"/>
      <c r="F702" s="1160"/>
      <c r="G702" s="1160"/>
      <c r="H702" s="1160"/>
      <c r="I702" s="1160"/>
      <c r="J702" s="1160"/>
      <c r="K702" s="1160"/>
      <c r="L702" s="1160"/>
      <c r="M702" s="1160"/>
      <c r="N702" s="1160"/>
      <c r="O702" s="1160"/>
      <c r="P702" s="1160"/>
      <c r="Q702" s="1160"/>
      <c r="R702" s="1160"/>
      <c r="S702" s="1160"/>
      <c r="T702" s="1160"/>
      <c r="U702" s="1160"/>
      <c r="V702" s="1160"/>
      <c r="W702" s="1160"/>
      <c r="X702" s="1211"/>
      <c r="Y702" s="1160"/>
      <c r="Z702" s="1160"/>
      <c r="AA702" s="1160"/>
      <c r="AB702" s="1160"/>
      <c r="AC702" s="1160"/>
      <c r="AD702" s="1160"/>
      <c r="AE702" s="1160"/>
    </row>
    <row r="703" ht="15.0" customHeight="1">
      <c r="A703" s="1209"/>
      <c r="B703" s="1209"/>
      <c r="C703" s="1210"/>
      <c r="D703" s="1160"/>
      <c r="E703" s="1160"/>
      <c r="F703" s="1160"/>
      <c r="G703" s="1160"/>
      <c r="H703" s="1160"/>
      <c r="I703" s="1160"/>
      <c r="J703" s="1160"/>
      <c r="K703" s="1160"/>
      <c r="L703" s="1160"/>
      <c r="M703" s="1160"/>
      <c r="N703" s="1160"/>
      <c r="O703" s="1160"/>
      <c r="P703" s="1160"/>
      <c r="Q703" s="1160"/>
      <c r="R703" s="1160"/>
      <c r="S703" s="1160"/>
      <c r="T703" s="1160"/>
      <c r="U703" s="1160"/>
      <c r="V703" s="1160"/>
      <c r="W703" s="1160"/>
      <c r="X703" s="1211"/>
      <c r="Y703" s="1160"/>
      <c r="Z703" s="1160"/>
      <c r="AA703" s="1160"/>
      <c r="AB703" s="1160"/>
      <c r="AC703" s="1160"/>
      <c r="AD703" s="1160"/>
      <c r="AE703" s="1160"/>
    </row>
    <row r="704" ht="15.0" customHeight="1">
      <c r="A704" s="1209"/>
      <c r="B704" s="1209"/>
      <c r="C704" s="1210"/>
      <c r="D704" s="1160"/>
      <c r="E704" s="1160"/>
      <c r="F704" s="1160"/>
      <c r="G704" s="1160"/>
      <c r="H704" s="1160"/>
      <c r="I704" s="1160"/>
      <c r="J704" s="1160"/>
      <c r="K704" s="1160"/>
      <c r="L704" s="1160"/>
      <c r="M704" s="1160"/>
      <c r="N704" s="1160"/>
      <c r="O704" s="1160"/>
      <c r="P704" s="1160"/>
      <c r="Q704" s="1160"/>
      <c r="R704" s="1160"/>
      <c r="S704" s="1160"/>
      <c r="T704" s="1160"/>
      <c r="U704" s="1160"/>
      <c r="V704" s="1160"/>
      <c r="W704" s="1160"/>
      <c r="X704" s="1211"/>
      <c r="Y704" s="1160"/>
      <c r="Z704" s="1160"/>
      <c r="AA704" s="1160"/>
      <c r="AB704" s="1160"/>
      <c r="AC704" s="1160"/>
      <c r="AD704" s="1160"/>
      <c r="AE704" s="1160"/>
    </row>
    <row r="705" ht="15.0" customHeight="1">
      <c r="A705" s="1209"/>
      <c r="B705" s="1209"/>
      <c r="C705" s="1210"/>
      <c r="D705" s="1160"/>
      <c r="E705" s="1160"/>
      <c r="F705" s="1160"/>
      <c r="G705" s="1160"/>
      <c r="H705" s="1160"/>
      <c r="I705" s="1160"/>
      <c r="J705" s="1160"/>
      <c r="K705" s="1160"/>
      <c r="L705" s="1160"/>
      <c r="M705" s="1160"/>
      <c r="N705" s="1160"/>
      <c r="O705" s="1160"/>
      <c r="P705" s="1160"/>
      <c r="Q705" s="1160"/>
      <c r="R705" s="1160"/>
      <c r="S705" s="1160"/>
      <c r="T705" s="1160"/>
      <c r="U705" s="1160"/>
      <c r="V705" s="1160"/>
      <c r="W705" s="1160"/>
      <c r="X705" s="1211"/>
      <c r="Y705" s="1160"/>
      <c r="Z705" s="1160"/>
      <c r="AA705" s="1160"/>
      <c r="AB705" s="1160"/>
      <c r="AC705" s="1160"/>
      <c r="AD705" s="1160"/>
      <c r="AE705" s="1160"/>
    </row>
    <row r="706" ht="15.0" customHeight="1">
      <c r="A706" s="1209"/>
      <c r="B706" s="1209"/>
      <c r="C706" s="1210"/>
      <c r="D706" s="1160"/>
      <c r="E706" s="1160"/>
      <c r="F706" s="1160"/>
      <c r="G706" s="1160"/>
      <c r="H706" s="1160"/>
      <c r="I706" s="1160"/>
      <c r="J706" s="1160"/>
      <c r="K706" s="1160"/>
      <c r="L706" s="1160"/>
      <c r="M706" s="1160"/>
      <c r="N706" s="1160"/>
      <c r="O706" s="1160"/>
      <c r="P706" s="1160"/>
      <c r="Q706" s="1160"/>
      <c r="R706" s="1160"/>
      <c r="S706" s="1160"/>
      <c r="T706" s="1160"/>
      <c r="U706" s="1160"/>
      <c r="V706" s="1160"/>
      <c r="W706" s="1160"/>
      <c r="X706" s="1211"/>
      <c r="Y706" s="1160"/>
      <c r="Z706" s="1160"/>
      <c r="AA706" s="1160"/>
      <c r="AB706" s="1160"/>
      <c r="AC706" s="1160"/>
      <c r="AD706" s="1160"/>
      <c r="AE706" s="1160"/>
    </row>
    <row r="707" ht="15.0" customHeight="1">
      <c r="A707" s="1209"/>
      <c r="B707" s="1209"/>
      <c r="C707" s="1210"/>
      <c r="D707" s="1160"/>
      <c r="E707" s="1160"/>
      <c r="F707" s="1160"/>
      <c r="G707" s="1160"/>
      <c r="H707" s="1160"/>
      <c r="I707" s="1160"/>
      <c r="J707" s="1160"/>
      <c r="K707" s="1160"/>
      <c r="L707" s="1160"/>
      <c r="M707" s="1160"/>
      <c r="N707" s="1160"/>
      <c r="O707" s="1160"/>
      <c r="P707" s="1160"/>
      <c r="Q707" s="1160"/>
      <c r="R707" s="1160"/>
      <c r="S707" s="1160"/>
      <c r="T707" s="1160"/>
      <c r="U707" s="1160"/>
      <c r="V707" s="1160"/>
      <c r="W707" s="1160"/>
      <c r="X707" s="1211"/>
      <c r="Y707" s="1160"/>
      <c r="Z707" s="1160"/>
      <c r="AA707" s="1160"/>
      <c r="AB707" s="1160"/>
      <c r="AC707" s="1160"/>
      <c r="AD707" s="1160"/>
      <c r="AE707" s="1160"/>
    </row>
    <row r="708" ht="15.0" customHeight="1">
      <c r="A708" s="1209"/>
      <c r="B708" s="1209"/>
      <c r="C708" s="1210"/>
      <c r="D708" s="1160"/>
      <c r="E708" s="1160"/>
      <c r="F708" s="1160"/>
      <c r="G708" s="1160"/>
      <c r="H708" s="1160"/>
      <c r="I708" s="1160"/>
      <c r="J708" s="1160"/>
      <c r="K708" s="1160"/>
      <c r="L708" s="1160"/>
      <c r="M708" s="1160"/>
      <c r="N708" s="1160"/>
      <c r="O708" s="1160"/>
      <c r="P708" s="1160"/>
      <c r="Q708" s="1160"/>
      <c r="R708" s="1160"/>
      <c r="S708" s="1160"/>
      <c r="T708" s="1160"/>
      <c r="U708" s="1160"/>
      <c r="V708" s="1160"/>
      <c r="W708" s="1160"/>
      <c r="X708" s="1211"/>
      <c r="Y708" s="1160"/>
      <c r="Z708" s="1160"/>
      <c r="AA708" s="1160"/>
      <c r="AB708" s="1160"/>
      <c r="AC708" s="1160"/>
      <c r="AD708" s="1160"/>
      <c r="AE708" s="1160"/>
    </row>
    <row r="709" ht="15.0" customHeight="1">
      <c r="A709" s="1209"/>
      <c r="B709" s="1209"/>
      <c r="C709" s="1210"/>
      <c r="D709" s="1160"/>
      <c r="E709" s="1160"/>
      <c r="F709" s="1160"/>
      <c r="G709" s="1160"/>
      <c r="H709" s="1160"/>
      <c r="I709" s="1160"/>
      <c r="J709" s="1160"/>
      <c r="K709" s="1160"/>
      <c r="L709" s="1160"/>
      <c r="M709" s="1160"/>
      <c r="N709" s="1160"/>
      <c r="O709" s="1160"/>
      <c r="P709" s="1160"/>
      <c r="Q709" s="1160"/>
      <c r="R709" s="1160"/>
      <c r="S709" s="1160"/>
      <c r="T709" s="1160"/>
      <c r="U709" s="1160"/>
      <c r="V709" s="1160"/>
      <c r="W709" s="1160"/>
      <c r="X709" s="1211"/>
      <c r="Y709" s="1160"/>
      <c r="Z709" s="1160"/>
      <c r="AA709" s="1160"/>
      <c r="AB709" s="1160"/>
      <c r="AC709" s="1160"/>
      <c r="AD709" s="1160"/>
      <c r="AE709" s="1160"/>
    </row>
    <row r="710" ht="15.0" customHeight="1">
      <c r="A710" s="1209"/>
      <c r="B710" s="1209"/>
      <c r="C710" s="1210"/>
      <c r="D710" s="1160"/>
      <c r="E710" s="1160"/>
      <c r="F710" s="1160"/>
      <c r="G710" s="1160"/>
      <c r="H710" s="1160"/>
      <c r="I710" s="1160"/>
      <c r="J710" s="1160"/>
      <c r="K710" s="1160"/>
      <c r="L710" s="1160"/>
      <c r="M710" s="1160"/>
      <c r="N710" s="1160"/>
      <c r="O710" s="1160"/>
      <c r="P710" s="1160"/>
      <c r="Q710" s="1160"/>
      <c r="R710" s="1160"/>
      <c r="S710" s="1160"/>
      <c r="T710" s="1160"/>
      <c r="U710" s="1160"/>
      <c r="V710" s="1160"/>
      <c r="W710" s="1160"/>
      <c r="X710" s="1211"/>
      <c r="Y710" s="1160"/>
      <c r="Z710" s="1160"/>
      <c r="AA710" s="1160"/>
      <c r="AB710" s="1160"/>
      <c r="AC710" s="1160"/>
      <c r="AD710" s="1160"/>
      <c r="AE710" s="1160"/>
    </row>
    <row r="711" ht="15.0" customHeight="1">
      <c r="A711" s="1209"/>
      <c r="B711" s="1209"/>
      <c r="C711" s="1210"/>
      <c r="D711" s="1160"/>
      <c r="E711" s="1160"/>
      <c r="F711" s="1160"/>
      <c r="G711" s="1160"/>
      <c r="H711" s="1160"/>
      <c r="I711" s="1160"/>
      <c r="J711" s="1160"/>
      <c r="K711" s="1160"/>
      <c r="L711" s="1160"/>
      <c r="M711" s="1160"/>
      <c r="N711" s="1160"/>
      <c r="O711" s="1160"/>
      <c r="P711" s="1160"/>
      <c r="Q711" s="1160"/>
      <c r="R711" s="1160"/>
      <c r="S711" s="1160"/>
      <c r="T711" s="1160"/>
      <c r="U711" s="1160"/>
      <c r="V711" s="1160"/>
      <c r="W711" s="1160"/>
      <c r="X711" s="1211"/>
      <c r="Y711" s="1160"/>
      <c r="Z711" s="1160"/>
      <c r="AA711" s="1160"/>
      <c r="AB711" s="1160"/>
      <c r="AC711" s="1160"/>
      <c r="AD711" s="1160"/>
      <c r="AE711" s="1160"/>
    </row>
    <row r="712" ht="15.0" customHeight="1">
      <c r="A712" s="1209"/>
      <c r="B712" s="1209"/>
      <c r="C712" s="1210"/>
      <c r="D712" s="1160"/>
      <c r="E712" s="1160"/>
      <c r="F712" s="1160"/>
      <c r="G712" s="1160"/>
      <c r="H712" s="1160"/>
      <c r="I712" s="1160"/>
      <c r="J712" s="1160"/>
      <c r="K712" s="1160"/>
      <c r="L712" s="1160"/>
      <c r="M712" s="1160"/>
      <c r="N712" s="1160"/>
      <c r="O712" s="1160"/>
      <c r="P712" s="1160"/>
      <c r="Q712" s="1160"/>
      <c r="R712" s="1160"/>
      <c r="S712" s="1160"/>
      <c r="T712" s="1160"/>
      <c r="U712" s="1160"/>
      <c r="V712" s="1160"/>
      <c r="W712" s="1160"/>
      <c r="X712" s="1211"/>
      <c r="Y712" s="1160"/>
      <c r="Z712" s="1160"/>
      <c r="AA712" s="1160"/>
      <c r="AB712" s="1160"/>
      <c r="AC712" s="1160"/>
      <c r="AD712" s="1160"/>
      <c r="AE712" s="1160"/>
    </row>
    <row r="713" ht="15.0" customHeight="1">
      <c r="A713" s="1209"/>
      <c r="B713" s="1209"/>
      <c r="C713" s="1210"/>
      <c r="D713" s="1160"/>
      <c r="E713" s="1160"/>
      <c r="F713" s="1160"/>
      <c r="G713" s="1160"/>
      <c r="H713" s="1160"/>
      <c r="I713" s="1160"/>
      <c r="J713" s="1160"/>
      <c r="K713" s="1160"/>
      <c r="L713" s="1160"/>
      <c r="M713" s="1160"/>
      <c r="N713" s="1160"/>
      <c r="O713" s="1160"/>
      <c r="P713" s="1160"/>
      <c r="Q713" s="1160"/>
      <c r="R713" s="1160"/>
      <c r="S713" s="1160"/>
      <c r="T713" s="1160"/>
      <c r="U713" s="1160"/>
      <c r="V713" s="1160"/>
      <c r="W713" s="1160"/>
      <c r="X713" s="1211"/>
      <c r="Y713" s="1160"/>
      <c r="Z713" s="1160"/>
      <c r="AA713" s="1160"/>
      <c r="AB713" s="1160"/>
      <c r="AC713" s="1160"/>
      <c r="AD713" s="1160"/>
      <c r="AE713" s="1160"/>
    </row>
    <row r="714" ht="15.0" customHeight="1">
      <c r="A714" s="1209"/>
      <c r="B714" s="1209"/>
      <c r="C714" s="1210"/>
      <c r="D714" s="1160"/>
      <c r="E714" s="1160"/>
      <c r="F714" s="1160"/>
      <c r="G714" s="1160"/>
      <c r="H714" s="1160"/>
      <c r="I714" s="1160"/>
      <c r="J714" s="1160"/>
      <c r="K714" s="1160"/>
      <c r="L714" s="1160"/>
      <c r="M714" s="1160"/>
      <c r="N714" s="1160"/>
      <c r="O714" s="1160"/>
      <c r="P714" s="1160"/>
      <c r="Q714" s="1160"/>
      <c r="R714" s="1160"/>
      <c r="S714" s="1160"/>
      <c r="T714" s="1160"/>
      <c r="U714" s="1160"/>
      <c r="V714" s="1160"/>
      <c r="W714" s="1160"/>
      <c r="X714" s="1211"/>
      <c r="Y714" s="1160"/>
      <c r="Z714" s="1160"/>
      <c r="AA714" s="1160"/>
      <c r="AB714" s="1160"/>
      <c r="AC714" s="1160"/>
      <c r="AD714" s="1160"/>
      <c r="AE714" s="1160"/>
    </row>
    <row r="715" ht="15.0" customHeight="1">
      <c r="A715" s="1209"/>
      <c r="B715" s="1209"/>
      <c r="C715" s="1210"/>
      <c r="D715" s="1160"/>
      <c r="E715" s="1160"/>
      <c r="F715" s="1160"/>
      <c r="G715" s="1160"/>
      <c r="H715" s="1160"/>
      <c r="I715" s="1160"/>
      <c r="J715" s="1160"/>
      <c r="K715" s="1160"/>
      <c r="L715" s="1160"/>
      <c r="M715" s="1160"/>
      <c r="N715" s="1160"/>
      <c r="O715" s="1160"/>
      <c r="P715" s="1160"/>
      <c r="Q715" s="1160"/>
      <c r="R715" s="1160"/>
      <c r="S715" s="1160"/>
      <c r="T715" s="1160"/>
      <c r="U715" s="1160"/>
      <c r="V715" s="1160"/>
      <c r="W715" s="1160"/>
      <c r="X715" s="1211"/>
      <c r="Y715" s="1160"/>
      <c r="Z715" s="1160"/>
      <c r="AA715" s="1160"/>
      <c r="AB715" s="1160"/>
      <c r="AC715" s="1160"/>
      <c r="AD715" s="1160"/>
      <c r="AE715" s="1160"/>
    </row>
    <row r="716" ht="15.0" customHeight="1">
      <c r="A716" s="1209"/>
      <c r="B716" s="1209"/>
      <c r="C716" s="1210"/>
      <c r="D716" s="1160"/>
      <c r="E716" s="1160"/>
      <c r="F716" s="1160"/>
      <c r="G716" s="1160"/>
      <c r="H716" s="1160"/>
      <c r="I716" s="1160"/>
      <c r="J716" s="1160"/>
      <c r="K716" s="1160"/>
      <c r="L716" s="1160"/>
      <c r="M716" s="1160"/>
      <c r="N716" s="1160"/>
      <c r="O716" s="1160"/>
      <c r="P716" s="1160"/>
      <c r="Q716" s="1160"/>
      <c r="R716" s="1160"/>
      <c r="S716" s="1160"/>
      <c r="T716" s="1160"/>
      <c r="U716" s="1160"/>
      <c r="V716" s="1160"/>
      <c r="W716" s="1160"/>
      <c r="X716" s="1211"/>
      <c r="Y716" s="1160"/>
      <c r="Z716" s="1160"/>
      <c r="AA716" s="1160"/>
      <c r="AB716" s="1160"/>
      <c r="AC716" s="1160"/>
      <c r="AD716" s="1160"/>
      <c r="AE716" s="1160"/>
    </row>
    <row r="717" ht="15.0" customHeight="1">
      <c r="A717" s="1209"/>
      <c r="B717" s="1209"/>
      <c r="C717" s="1210"/>
      <c r="D717" s="1160"/>
      <c r="E717" s="1160"/>
      <c r="F717" s="1160"/>
      <c r="G717" s="1160"/>
      <c r="H717" s="1160"/>
      <c r="I717" s="1160"/>
      <c r="J717" s="1160"/>
      <c r="K717" s="1160"/>
      <c r="L717" s="1160"/>
      <c r="M717" s="1160"/>
      <c r="N717" s="1160"/>
      <c r="O717" s="1160"/>
      <c r="P717" s="1160"/>
      <c r="Q717" s="1160"/>
      <c r="R717" s="1160"/>
      <c r="S717" s="1160"/>
      <c r="T717" s="1160"/>
      <c r="U717" s="1160"/>
      <c r="V717" s="1160"/>
      <c r="W717" s="1160"/>
      <c r="X717" s="1211"/>
      <c r="Y717" s="1160"/>
      <c r="Z717" s="1160"/>
      <c r="AA717" s="1160"/>
      <c r="AB717" s="1160"/>
      <c r="AC717" s="1160"/>
      <c r="AD717" s="1160"/>
      <c r="AE717" s="1160"/>
    </row>
    <row r="718" ht="15.0" customHeight="1">
      <c r="A718" s="1209"/>
      <c r="B718" s="1209"/>
      <c r="C718" s="1210"/>
      <c r="D718" s="1160"/>
      <c r="E718" s="1160"/>
      <c r="F718" s="1160"/>
      <c r="G718" s="1160"/>
      <c r="H718" s="1160"/>
      <c r="I718" s="1160"/>
      <c r="J718" s="1160"/>
      <c r="K718" s="1160"/>
      <c r="L718" s="1160"/>
      <c r="M718" s="1160"/>
      <c r="N718" s="1160"/>
      <c r="O718" s="1160"/>
      <c r="P718" s="1160"/>
      <c r="Q718" s="1160"/>
      <c r="R718" s="1160"/>
      <c r="S718" s="1160"/>
      <c r="T718" s="1160"/>
      <c r="U718" s="1160"/>
      <c r="V718" s="1160"/>
      <c r="W718" s="1160"/>
      <c r="X718" s="1211"/>
      <c r="Y718" s="1160"/>
      <c r="Z718" s="1160"/>
      <c r="AA718" s="1160"/>
      <c r="AB718" s="1160"/>
      <c r="AC718" s="1160"/>
      <c r="AD718" s="1160"/>
      <c r="AE718" s="1160"/>
    </row>
    <row r="719" ht="15.0" customHeight="1">
      <c r="A719" s="1209"/>
      <c r="B719" s="1209"/>
      <c r="C719" s="1210"/>
      <c r="D719" s="1160"/>
      <c r="E719" s="1160"/>
      <c r="F719" s="1160"/>
      <c r="G719" s="1160"/>
      <c r="H719" s="1160"/>
      <c r="I719" s="1160"/>
      <c r="J719" s="1160"/>
      <c r="K719" s="1160"/>
      <c r="L719" s="1160"/>
      <c r="M719" s="1160"/>
      <c r="N719" s="1160"/>
      <c r="O719" s="1160"/>
      <c r="P719" s="1160"/>
      <c r="Q719" s="1160"/>
      <c r="R719" s="1160"/>
      <c r="S719" s="1160"/>
      <c r="T719" s="1160"/>
      <c r="U719" s="1160"/>
      <c r="V719" s="1160"/>
      <c r="W719" s="1160"/>
      <c r="X719" s="1211"/>
      <c r="Y719" s="1160"/>
      <c r="Z719" s="1160"/>
      <c r="AA719" s="1160"/>
      <c r="AB719" s="1160"/>
      <c r="AC719" s="1160"/>
      <c r="AD719" s="1160"/>
      <c r="AE719" s="1160"/>
    </row>
    <row r="720" ht="15.0" customHeight="1">
      <c r="A720" s="1209"/>
      <c r="B720" s="1209"/>
      <c r="C720" s="1210"/>
      <c r="D720" s="1160"/>
      <c r="E720" s="1160"/>
      <c r="F720" s="1160"/>
      <c r="G720" s="1160"/>
      <c r="H720" s="1160"/>
      <c r="I720" s="1160"/>
      <c r="J720" s="1160"/>
      <c r="K720" s="1160"/>
      <c r="L720" s="1160"/>
      <c r="M720" s="1160"/>
      <c r="N720" s="1160"/>
      <c r="O720" s="1160"/>
      <c r="P720" s="1160"/>
      <c r="Q720" s="1160"/>
      <c r="R720" s="1160"/>
      <c r="S720" s="1160"/>
      <c r="T720" s="1160"/>
      <c r="U720" s="1160"/>
      <c r="V720" s="1160"/>
      <c r="W720" s="1160"/>
      <c r="X720" s="1211"/>
      <c r="Y720" s="1160"/>
      <c r="Z720" s="1160"/>
      <c r="AA720" s="1160"/>
      <c r="AB720" s="1160"/>
      <c r="AC720" s="1160"/>
      <c r="AD720" s="1160"/>
      <c r="AE720" s="1160"/>
    </row>
    <row r="721" ht="15.0" customHeight="1">
      <c r="A721" s="1209"/>
      <c r="B721" s="1209"/>
      <c r="C721" s="1210"/>
      <c r="D721" s="1160"/>
      <c r="E721" s="1160"/>
      <c r="F721" s="1160"/>
      <c r="G721" s="1160"/>
      <c r="H721" s="1160"/>
      <c r="I721" s="1160"/>
      <c r="J721" s="1160"/>
      <c r="K721" s="1160"/>
      <c r="L721" s="1160"/>
      <c r="M721" s="1160"/>
      <c r="N721" s="1160"/>
      <c r="O721" s="1160"/>
      <c r="P721" s="1160"/>
      <c r="Q721" s="1160"/>
      <c r="R721" s="1160"/>
      <c r="S721" s="1160"/>
      <c r="T721" s="1160"/>
      <c r="U721" s="1160"/>
      <c r="V721" s="1160"/>
      <c r="W721" s="1160"/>
      <c r="X721" s="1211"/>
      <c r="Y721" s="1160"/>
      <c r="Z721" s="1160"/>
      <c r="AA721" s="1160"/>
      <c r="AB721" s="1160"/>
      <c r="AC721" s="1160"/>
      <c r="AD721" s="1160"/>
      <c r="AE721" s="1160"/>
    </row>
    <row r="722" ht="15.0" customHeight="1">
      <c r="A722" s="1209"/>
      <c r="B722" s="1209"/>
      <c r="C722" s="1210"/>
      <c r="D722" s="1160"/>
      <c r="E722" s="1160"/>
      <c r="F722" s="1160"/>
      <c r="G722" s="1160"/>
      <c r="H722" s="1160"/>
      <c r="I722" s="1160"/>
      <c r="J722" s="1160"/>
      <c r="K722" s="1160"/>
      <c r="L722" s="1160"/>
      <c r="M722" s="1160"/>
      <c r="N722" s="1160"/>
      <c r="O722" s="1160"/>
      <c r="P722" s="1160"/>
      <c r="Q722" s="1160"/>
      <c r="R722" s="1160"/>
      <c r="S722" s="1160"/>
      <c r="T722" s="1160"/>
      <c r="U722" s="1160"/>
      <c r="V722" s="1160"/>
      <c r="W722" s="1160"/>
      <c r="X722" s="1211"/>
      <c r="Y722" s="1160"/>
      <c r="Z722" s="1160"/>
      <c r="AA722" s="1160"/>
      <c r="AB722" s="1160"/>
      <c r="AC722" s="1160"/>
      <c r="AD722" s="1160"/>
      <c r="AE722" s="1160"/>
    </row>
    <row r="723" ht="15.0" customHeight="1">
      <c r="A723" s="1209"/>
      <c r="B723" s="1209"/>
      <c r="C723" s="1210"/>
      <c r="D723" s="1160"/>
      <c r="E723" s="1160"/>
      <c r="F723" s="1160"/>
      <c r="G723" s="1160"/>
      <c r="H723" s="1160"/>
      <c r="I723" s="1160"/>
      <c r="J723" s="1160"/>
      <c r="K723" s="1160"/>
      <c r="L723" s="1160"/>
      <c r="M723" s="1160"/>
      <c r="N723" s="1160"/>
      <c r="O723" s="1160"/>
      <c r="P723" s="1160"/>
      <c r="Q723" s="1160"/>
      <c r="R723" s="1160"/>
      <c r="S723" s="1160"/>
      <c r="T723" s="1160"/>
      <c r="U723" s="1160"/>
      <c r="V723" s="1160"/>
      <c r="W723" s="1160"/>
      <c r="X723" s="1211"/>
      <c r="Y723" s="1160"/>
      <c r="Z723" s="1160"/>
      <c r="AA723" s="1160"/>
      <c r="AB723" s="1160"/>
      <c r="AC723" s="1160"/>
      <c r="AD723" s="1160"/>
      <c r="AE723" s="1160"/>
    </row>
    <row r="724" ht="15.0" customHeight="1">
      <c r="A724" s="1209"/>
      <c r="B724" s="1209"/>
      <c r="C724" s="1210"/>
      <c r="D724" s="1160"/>
      <c r="E724" s="1160"/>
      <c r="F724" s="1160"/>
      <c r="G724" s="1160"/>
      <c r="H724" s="1160"/>
      <c r="I724" s="1160"/>
      <c r="J724" s="1160"/>
      <c r="K724" s="1160"/>
      <c r="L724" s="1160"/>
      <c r="M724" s="1160"/>
      <c r="N724" s="1160"/>
      <c r="O724" s="1160"/>
      <c r="P724" s="1160"/>
      <c r="Q724" s="1160"/>
      <c r="R724" s="1160"/>
      <c r="S724" s="1160"/>
      <c r="T724" s="1160"/>
      <c r="U724" s="1160"/>
      <c r="V724" s="1160"/>
      <c r="W724" s="1160"/>
      <c r="X724" s="1211"/>
      <c r="Y724" s="1160"/>
      <c r="Z724" s="1160"/>
      <c r="AA724" s="1160"/>
      <c r="AB724" s="1160"/>
      <c r="AC724" s="1160"/>
      <c r="AD724" s="1160"/>
      <c r="AE724" s="1160"/>
    </row>
    <row r="725" ht="15.0" customHeight="1">
      <c r="A725" s="1209"/>
      <c r="B725" s="1209"/>
      <c r="C725" s="1210"/>
      <c r="D725" s="1160"/>
      <c r="E725" s="1160"/>
      <c r="F725" s="1160"/>
      <c r="G725" s="1160"/>
      <c r="H725" s="1160"/>
      <c r="I725" s="1160"/>
      <c r="J725" s="1160"/>
      <c r="K725" s="1160"/>
      <c r="L725" s="1160"/>
      <c r="M725" s="1160"/>
      <c r="N725" s="1160"/>
      <c r="O725" s="1160"/>
      <c r="P725" s="1160"/>
      <c r="Q725" s="1160"/>
      <c r="R725" s="1160"/>
      <c r="S725" s="1160"/>
      <c r="T725" s="1160"/>
      <c r="U725" s="1160"/>
      <c r="V725" s="1160"/>
      <c r="W725" s="1160"/>
      <c r="X725" s="1211"/>
      <c r="Y725" s="1160"/>
      <c r="Z725" s="1160"/>
      <c r="AA725" s="1160"/>
      <c r="AB725" s="1160"/>
      <c r="AC725" s="1160"/>
      <c r="AD725" s="1160"/>
      <c r="AE725" s="1160"/>
    </row>
    <row r="726" ht="15.0" customHeight="1">
      <c r="A726" s="1209"/>
      <c r="B726" s="1209"/>
      <c r="C726" s="1210"/>
      <c r="D726" s="1160"/>
      <c r="E726" s="1160"/>
      <c r="F726" s="1160"/>
      <c r="G726" s="1160"/>
      <c r="H726" s="1160"/>
      <c r="I726" s="1160"/>
      <c r="J726" s="1160"/>
      <c r="K726" s="1160"/>
      <c r="L726" s="1160"/>
      <c r="M726" s="1160"/>
      <c r="N726" s="1160"/>
      <c r="O726" s="1160"/>
      <c r="P726" s="1160"/>
      <c r="Q726" s="1160"/>
      <c r="R726" s="1160"/>
      <c r="S726" s="1160"/>
      <c r="T726" s="1160"/>
      <c r="U726" s="1160"/>
      <c r="V726" s="1160"/>
      <c r="W726" s="1160"/>
      <c r="X726" s="1211"/>
      <c r="Y726" s="1160"/>
      <c r="Z726" s="1160"/>
      <c r="AA726" s="1160"/>
      <c r="AB726" s="1160"/>
      <c r="AC726" s="1160"/>
      <c r="AD726" s="1160"/>
      <c r="AE726" s="1160"/>
    </row>
    <row r="727" ht="15.0" customHeight="1">
      <c r="A727" s="1209"/>
      <c r="B727" s="1209"/>
      <c r="C727" s="1210"/>
      <c r="D727" s="1160"/>
      <c r="E727" s="1160"/>
      <c r="F727" s="1160"/>
      <c r="G727" s="1160"/>
      <c r="H727" s="1160"/>
      <c r="I727" s="1160"/>
      <c r="J727" s="1160"/>
      <c r="K727" s="1160"/>
      <c r="L727" s="1160"/>
      <c r="M727" s="1160"/>
      <c r="N727" s="1160"/>
      <c r="O727" s="1160"/>
      <c r="P727" s="1160"/>
      <c r="Q727" s="1160"/>
      <c r="R727" s="1160"/>
      <c r="S727" s="1160"/>
      <c r="T727" s="1160"/>
      <c r="U727" s="1160"/>
      <c r="V727" s="1160"/>
      <c r="W727" s="1160"/>
      <c r="X727" s="1211"/>
      <c r="Y727" s="1160"/>
      <c r="Z727" s="1160"/>
      <c r="AA727" s="1160"/>
      <c r="AB727" s="1160"/>
      <c r="AC727" s="1160"/>
      <c r="AD727" s="1160"/>
      <c r="AE727" s="1160"/>
    </row>
    <row r="728" ht="15.0" customHeight="1">
      <c r="A728" s="1209"/>
      <c r="B728" s="1209"/>
      <c r="C728" s="1210"/>
      <c r="D728" s="1160"/>
      <c r="E728" s="1160"/>
      <c r="F728" s="1160"/>
      <c r="G728" s="1160"/>
      <c r="H728" s="1160"/>
      <c r="I728" s="1160"/>
      <c r="J728" s="1160"/>
      <c r="K728" s="1160"/>
      <c r="L728" s="1160"/>
      <c r="M728" s="1160"/>
      <c r="N728" s="1160"/>
      <c r="O728" s="1160"/>
      <c r="P728" s="1160"/>
      <c r="Q728" s="1160"/>
      <c r="R728" s="1160"/>
      <c r="S728" s="1160"/>
      <c r="T728" s="1160"/>
      <c r="U728" s="1160"/>
      <c r="V728" s="1160"/>
      <c r="W728" s="1160"/>
      <c r="X728" s="1211"/>
      <c r="Y728" s="1160"/>
      <c r="Z728" s="1160"/>
      <c r="AA728" s="1160"/>
      <c r="AB728" s="1160"/>
      <c r="AC728" s="1160"/>
      <c r="AD728" s="1160"/>
      <c r="AE728" s="1160"/>
    </row>
    <row r="729" ht="15.0" customHeight="1">
      <c r="A729" s="1209"/>
      <c r="B729" s="1209"/>
      <c r="C729" s="1210"/>
      <c r="D729" s="1160"/>
      <c r="E729" s="1160"/>
      <c r="F729" s="1160"/>
      <c r="G729" s="1160"/>
      <c r="H729" s="1160"/>
      <c r="I729" s="1160"/>
      <c r="J729" s="1160"/>
      <c r="K729" s="1160"/>
      <c r="L729" s="1160"/>
      <c r="M729" s="1160"/>
      <c r="N729" s="1160"/>
      <c r="O729" s="1160"/>
      <c r="P729" s="1160"/>
      <c r="Q729" s="1160"/>
      <c r="R729" s="1160"/>
      <c r="S729" s="1160"/>
      <c r="T729" s="1160"/>
      <c r="U729" s="1160"/>
      <c r="V729" s="1160"/>
      <c r="W729" s="1160"/>
      <c r="X729" s="1211"/>
      <c r="Y729" s="1160"/>
      <c r="Z729" s="1160"/>
      <c r="AA729" s="1160"/>
      <c r="AB729" s="1160"/>
      <c r="AC729" s="1160"/>
      <c r="AD729" s="1160"/>
      <c r="AE729" s="1160"/>
    </row>
    <row r="730" ht="15.0" customHeight="1">
      <c r="A730" s="1209"/>
      <c r="B730" s="1209"/>
      <c r="C730" s="1210"/>
      <c r="D730" s="1160"/>
      <c r="E730" s="1160"/>
      <c r="F730" s="1160"/>
      <c r="G730" s="1160"/>
      <c r="H730" s="1160"/>
      <c r="I730" s="1160"/>
      <c r="J730" s="1160"/>
      <c r="K730" s="1160"/>
      <c r="L730" s="1160"/>
      <c r="M730" s="1160"/>
      <c r="N730" s="1160"/>
      <c r="O730" s="1160"/>
      <c r="P730" s="1160"/>
      <c r="Q730" s="1160"/>
      <c r="R730" s="1160"/>
      <c r="S730" s="1160"/>
      <c r="T730" s="1160"/>
      <c r="U730" s="1160"/>
      <c r="V730" s="1160"/>
      <c r="W730" s="1160"/>
      <c r="X730" s="1211"/>
      <c r="Y730" s="1160"/>
      <c r="Z730" s="1160"/>
      <c r="AA730" s="1160"/>
      <c r="AB730" s="1160"/>
      <c r="AC730" s="1160"/>
      <c r="AD730" s="1160"/>
      <c r="AE730" s="1160"/>
    </row>
    <row r="731" ht="15.0" customHeight="1">
      <c r="A731" s="1209"/>
      <c r="B731" s="1209"/>
      <c r="C731" s="1210"/>
      <c r="D731" s="1160"/>
      <c r="E731" s="1160"/>
      <c r="F731" s="1160"/>
      <c r="G731" s="1160"/>
      <c r="H731" s="1160"/>
      <c r="I731" s="1160"/>
      <c r="J731" s="1160"/>
      <c r="K731" s="1160"/>
      <c r="L731" s="1160"/>
      <c r="M731" s="1160"/>
      <c r="N731" s="1160"/>
      <c r="O731" s="1160"/>
      <c r="P731" s="1160"/>
      <c r="Q731" s="1160"/>
      <c r="R731" s="1160"/>
      <c r="S731" s="1160"/>
      <c r="T731" s="1160"/>
      <c r="U731" s="1160"/>
      <c r="V731" s="1160"/>
      <c r="W731" s="1160"/>
      <c r="X731" s="1211"/>
      <c r="Y731" s="1160"/>
      <c r="Z731" s="1160"/>
      <c r="AA731" s="1160"/>
      <c r="AB731" s="1160"/>
      <c r="AC731" s="1160"/>
      <c r="AD731" s="1160"/>
      <c r="AE731" s="1160"/>
    </row>
    <row r="732" ht="15.0" customHeight="1">
      <c r="A732" s="1209"/>
      <c r="B732" s="1209"/>
      <c r="C732" s="1210"/>
      <c r="D732" s="1160"/>
      <c r="E732" s="1160"/>
      <c r="F732" s="1160"/>
      <c r="G732" s="1160"/>
      <c r="H732" s="1160"/>
      <c r="I732" s="1160"/>
      <c r="J732" s="1160"/>
      <c r="K732" s="1160"/>
      <c r="L732" s="1160"/>
      <c r="M732" s="1160"/>
      <c r="N732" s="1160"/>
      <c r="O732" s="1160"/>
      <c r="P732" s="1160"/>
      <c r="Q732" s="1160"/>
      <c r="R732" s="1160"/>
      <c r="S732" s="1160"/>
      <c r="T732" s="1160"/>
      <c r="U732" s="1160"/>
      <c r="V732" s="1160"/>
      <c r="W732" s="1160"/>
      <c r="X732" s="1211"/>
      <c r="Y732" s="1160"/>
      <c r="Z732" s="1160"/>
      <c r="AA732" s="1160"/>
      <c r="AB732" s="1160"/>
      <c r="AC732" s="1160"/>
      <c r="AD732" s="1160"/>
      <c r="AE732" s="1160"/>
    </row>
    <row r="733" ht="15.0" customHeight="1">
      <c r="A733" s="1209"/>
      <c r="B733" s="1209"/>
      <c r="C733" s="1210"/>
      <c r="D733" s="1160"/>
      <c r="E733" s="1160"/>
      <c r="F733" s="1160"/>
      <c r="G733" s="1160"/>
      <c r="H733" s="1160"/>
      <c r="I733" s="1160"/>
      <c r="J733" s="1160"/>
      <c r="K733" s="1160"/>
      <c r="L733" s="1160"/>
      <c r="M733" s="1160"/>
      <c r="N733" s="1160"/>
      <c r="O733" s="1160"/>
      <c r="P733" s="1160"/>
      <c r="Q733" s="1160"/>
      <c r="R733" s="1160"/>
      <c r="S733" s="1160"/>
      <c r="T733" s="1160"/>
      <c r="U733" s="1160"/>
      <c r="V733" s="1160"/>
      <c r="W733" s="1160"/>
      <c r="X733" s="1211"/>
      <c r="Y733" s="1160"/>
      <c r="Z733" s="1160"/>
      <c r="AA733" s="1160"/>
      <c r="AB733" s="1160"/>
      <c r="AC733" s="1160"/>
      <c r="AD733" s="1160"/>
      <c r="AE733" s="1160"/>
    </row>
    <row r="734" ht="15.0" customHeight="1">
      <c r="A734" s="1209"/>
      <c r="B734" s="1209"/>
      <c r="C734" s="1210"/>
      <c r="D734" s="1160"/>
      <c r="E734" s="1160"/>
      <c r="F734" s="1160"/>
      <c r="G734" s="1160"/>
      <c r="H734" s="1160"/>
      <c r="I734" s="1160"/>
      <c r="J734" s="1160"/>
      <c r="K734" s="1160"/>
      <c r="L734" s="1160"/>
      <c r="M734" s="1160"/>
      <c r="N734" s="1160"/>
      <c r="O734" s="1160"/>
      <c r="P734" s="1160"/>
      <c r="Q734" s="1160"/>
      <c r="R734" s="1160"/>
      <c r="S734" s="1160"/>
      <c r="T734" s="1160"/>
      <c r="U734" s="1160"/>
      <c r="V734" s="1160"/>
      <c r="W734" s="1160"/>
      <c r="X734" s="1211"/>
      <c r="Y734" s="1160"/>
      <c r="Z734" s="1160"/>
      <c r="AA734" s="1160"/>
      <c r="AB734" s="1160"/>
      <c r="AC734" s="1160"/>
      <c r="AD734" s="1160"/>
      <c r="AE734" s="1160"/>
    </row>
    <row r="735" ht="15.0" customHeight="1">
      <c r="A735" s="1209"/>
      <c r="B735" s="1209"/>
      <c r="C735" s="1210"/>
      <c r="D735" s="1160"/>
      <c r="E735" s="1160"/>
      <c r="F735" s="1160"/>
      <c r="G735" s="1160"/>
      <c r="H735" s="1160"/>
      <c r="I735" s="1160"/>
      <c r="J735" s="1160"/>
      <c r="K735" s="1160"/>
      <c r="L735" s="1160"/>
      <c r="M735" s="1160"/>
      <c r="N735" s="1160"/>
      <c r="O735" s="1160"/>
      <c r="P735" s="1160"/>
      <c r="Q735" s="1160"/>
      <c r="R735" s="1160"/>
      <c r="S735" s="1160"/>
      <c r="T735" s="1160"/>
      <c r="U735" s="1160"/>
      <c r="V735" s="1160"/>
      <c r="W735" s="1160"/>
      <c r="X735" s="1211"/>
      <c r="Y735" s="1160"/>
      <c r="Z735" s="1160"/>
      <c r="AA735" s="1160"/>
      <c r="AB735" s="1160"/>
      <c r="AC735" s="1160"/>
      <c r="AD735" s="1160"/>
      <c r="AE735" s="1160"/>
    </row>
    <row r="736" ht="15.0" customHeight="1">
      <c r="A736" s="1209"/>
      <c r="B736" s="1209"/>
      <c r="C736" s="1210"/>
      <c r="D736" s="1160"/>
      <c r="E736" s="1160"/>
      <c r="F736" s="1160"/>
      <c r="G736" s="1160"/>
      <c r="H736" s="1160"/>
      <c r="I736" s="1160"/>
      <c r="J736" s="1160"/>
      <c r="K736" s="1160"/>
      <c r="L736" s="1160"/>
      <c r="M736" s="1160"/>
      <c r="N736" s="1160"/>
      <c r="O736" s="1160"/>
      <c r="P736" s="1160"/>
      <c r="Q736" s="1160"/>
      <c r="R736" s="1160"/>
      <c r="S736" s="1160"/>
      <c r="T736" s="1160"/>
      <c r="U736" s="1160"/>
      <c r="V736" s="1160"/>
      <c r="W736" s="1160"/>
      <c r="X736" s="1211"/>
      <c r="Y736" s="1160"/>
      <c r="Z736" s="1160"/>
      <c r="AA736" s="1160"/>
      <c r="AB736" s="1160"/>
      <c r="AC736" s="1160"/>
      <c r="AD736" s="1160"/>
      <c r="AE736" s="1160"/>
    </row>
    <row r="737" ht="15.0" customHeight="1">
      <c r="A737" s="1209"/>
      <c r="B737" s="1209"/>
      <c r="C737" s="1210"/>
      <c r="D737" s="1160"/>
      <c r="E737" s="1160"/>
      <c r="F737" s="1160"/>
      <c r="G737" s="1160"/>
      <c r="H737" s="1160"/>
      <c r="I737" s="1160"/>
      <c r="J737" s="1160"/>
      <c r="K737" s="1160"/>
      <c r="L737" s="1160"/>
      <c r="M737" s="1160"/>
      <c r="N737" s="1160"/>
      <c r="O737" s="1160"/>
      <c r="P737" s="1160"/>
      <c r="Q737" s="1160"/>
      <c r="R737" s="1160"/>
      <c r="S737" s="1160"/>
      <c r="T737" s="1160"/>
      <c r="U737" s="1160"/>
      <c r="V737" s="1160"/>
      <c r="W737" s="1160"/>
      <c r="X737" s="1211"/>
      <c r="Y737" s="1160"/>
      <c r="Z737" s="1160"/>
      <c r="AA737" s="1160"/>
      <c r="AB737" s="1160"/>
      <c r="AC737" s="1160"/>
      <c r="AD737" s="1160"/>
      <c r="AE737" s="1160"/>
    </row>
    <row r="738" ht="15.0" customHeight="1">
      <c r="A738" s="1209"/>
      <c r="B738" s="1209"/>
      <c r="C738" s="1210"/>
      <c r="D738" s="1160"/>
      <c r="E738" s="1160"/>
      <c r="F738" s="1160"/>
      <c r="G738" s="1160"/>
      <c r="H738" s="1160"/>
      <c r="I738" s="1160"/>
      <c r="J738" s="1160"/>
      <c r="K738" s="1160"/>
      <c r="L738" s="1160"/>
      <c r="M738" s="1160"/>
      <c r="N738" s="1160"/>
      <c r="O738" s="1160"/>
      <c r="P738" s="1160"/>
      <c r="Q738" s="1160"/>
      <c r="R738" s="1160"/>
      <c r="S738" s="1160"/>
      <c r="T738" s="1160"/>
      <c r="U738" s="1160"/>
      <c r="V738" s="1160"/>
      <c r="W738" s="1160"/>
      <c r="X738" s="1211"/>
      <c r="Y738" s="1160"/>
      <c r="Z738" s="1160"/>
      <c r="AA738" s="1160"/>
      <c r="AB738" s="1160"/>
      <c r="AC738" s="1160"/>
      <c r="AD738" s="1160"/>
      <c r="AE738" s="1160"/>
    </row>
    <row r="739" ht="15.0" customHeight="1">
      <c r="A739" s="1209"/>
      <c r="B739" s="1209"/>
      <c r="C739" s="1210"/>
      <c r="D739" s="1160"/>
      <c r="E739" s="1160"/>
      <c r="F739" s="1160"/>
      <c r="G739" s="1160"/>
      <c r="H739" s="1160"/>
      <c r="I739" s="1160"/>
      <c r="J739" s="1160"/>
      <c r="K739" s="1160"/>
      <c r="L739" s="1160"/>
      <c r="M739" s="1160"/>
      <c r="N739" s="1160"/>
      <c r="O739" s="1160"/>
      <c r="P739" s="1160"/>
      <c r="Q739" s="1160"/>
      <c r="R739" s="1160"/>
      <c r="S739" s="1160"/>
      <c r="T739" s="1160"/>
      <c r="U739" s="1160"/>
      <c r="V739" s="1160"/>
      <c r="W739" s="1160"/>
      <c r="X739" s="1211"/>
      <c r="Y739" s="1160"/>
      <c r="Z739" s="1160"/>
      <c r="AA739" s="1160"/>
      <c r="AB739" s="1160"/>
      <c r="AC739" s="1160"/>
      <c r="AD739" s="1160"/>
      <c r="AE739" s="1160"/>
    </row>
    <row r="740" ht="15.0" customHeight="1">
      <c r="A740" s="1209"/>
      <c r="B740" s="1209"/>
      <c r="C740" s="1210"/>
      <c r="D740" s="1160"/>
      <c r="E740" s="1160"/>
      <c r="F740" s="1160"/>
      <c r="G740" s="1160"/>
      <c r="H740" s="1160"/>
      <c r="I740" s="1160"/>
      <c r="J740" s="1160"/>
      <c r="K740" s="1160"/>
      <c r="L740" s="1160"/>
      <c r="M740" s="1160"/>
      <c r="N740" s="1160"/>
      <c r="O740" s="1160"/>
      <c r="P740" s="1160"/>
      <c r="Q740" s="1160"/>
      <c r="R740" s="1160"/>
      <c r="S740" s="1160"/>
      <c r="T740" s="1160"/>
      <c r="U740" s="1160"/>
      <c r="V740" s="1160"/>
      <c r="W740" s="1160"/>
      <c r="X740" s="1211"/>
      <c r="Y740" s="1160"/>
      <c r="Z740" s="1160"/>
      <c r="AA740" s="1160"/>
      <c r="AB740" s="1160"/>
      <c r="AC740" s="1160"/>
      <c r="AD740" s="1160"/>
      <c r="AE740" s="1160"/>
    </row>
    <row r="741" ht="15.0" customHeight="1">
      <c r="A741" s="1209"/>
      <c r="B741" s="1209"/>
      <c r="C741" s="1210"/>
      <c r="D741" s="1160"/>
      <c r="E741" s="1160"/>
      <c r="F741" s="1160"/>
      <c r="G741" s="1160"/>
      <c r="H741" s="1160"/>
      <c r="I741" s="1160"/>
      <c r="J741" s="1160"/>
      <c r="K741" s="1160"/>
      <c r="L741" s="1160"/>
      <c r="M741" s="1160"/>
      <c r="N741" s="1160"/>
      <c r="O741" s="1160"/>
      <c r="P741" s="1160"/>
      <c r="Q741" s="1160"/>
      <c r="R741" s="1160"/>
      <c r="S741" s="1160"/>
      <c r="T741" s="1160"/>
      <c r="U741" s="1160"/>
      <c r="V741" s="1160"/>
      <c r="W741" s="1160"/>
      <c r="X741" s="1211"/>
      <c r="Y741" s="1160"/>
      <c r="Z741" s="1160"/>
      <c r="AA741" s="1160"/>
      <c r="AB741" s="1160"/>
      <c r="AC741" s="1160"/>
      <c r="AD741" s="1160"/>
      <c r="AE741" s="1160"/>
    </row>
    <row r="742" ht="15.0" customHeight="1">
      <c r="A742" s="1209"/>
      <c r="B742" s="1209"/>
      <c r="C742" s="1210"/>
      <c r="D742" s="1160"/>
      <c r="E742" s="1160"/>
      <c r="F742" s="1160"/>
      <c r="G742" s="1160"/>
      <c r="H742" s="1160"/>
      <c r="I742" s="1160"/>
      <c r="J742" s="1160"/>
      <c r="K742" s="1160"/>
      <c r="L742" s="1160"/>
      <c r="M742" s="1160"/>
      <c r="N742" s="1160"/>
      <c r="O742" s="1160"/>
      <c r="P742" s="1160"/>
      <c r="Q742" s="1160"/>
      <c r="R742" s="1160"/>
      <c r="S742" s="1160"/>
      <c r="T742" s="1160"/>
      <c r="U742" s="1160"/>
      <c r="V742" s="1160"/>
      <c r="W742" s="1160"/>
      <c r="X742" s="1211"/>
      <c r="Y742" s="1160"/>
      <c r="Z742" s="1160"/>
      <c r="AA742" s="1160"/>
      <c r="AB742" s="1160"/>
      <c r="AC742" s="1160"/>
      <c r="AD742" s="1160"/>
      <c r="AE742" s="1160"/>
    </row>
    <row r="743" ht="15.0" customHeight="1">
      <c r="A743" s="1209"/>
      <c r="B743" s="1209"/>
      <c r="C743" s="1210"/>
      <c r="D743" s="1160"/>
      <c r="E743" s="1160"/>
      <c r="F743" s="1160"/>
      <c r="G743" s="1160"/>
      <c r="H743" s="1160"/>
      <c r="I743" s="1160"/>
      <c r="J743" s="1160"/>
      <c r="K743" s="1160"/>
      <c r="L743" s="1160"/>
      <c r="M743" s="1160"/>
      <c r="N743" s="1160"/>
      <c r="O743" s="1160"/>
      <c r="P743" s="1160"/>
      <c r="Q743" s="1160"/>
      <c r="R743" s="1160"/>
      <c r="S743" s="1160"/>
      <c r="T743" s="1160"/>
      <c r="U743" s="1160"/>
      <c r="V743" s="1160"/>
      <c r="W743" s="1160"/>
      <c r="X743" s="1211"/>
      <c r="Y743" s="1160"/>
      <c r="Z743" s="1160"/>
      <c r="AA743" s="1160"/>
      <c r="AB743" s="1160"/>
      <c r="AC743" s="1160"/>
      <c r="AD743" s="1160"/>
      <c r="AE743" s="1160"/>
    </row>
    <row r="744" ht="15.0" customHeight="1">
      <c r="A744" s="1209"/>
      <c r="B744" s="1209"/>
      <c r="C744" s="1210"/>
      <c r="D744" s="1160"/>
      <c r="E744" s="1160"/>
      <c r="F744" s="1160"/>
      <c r="G744" s="1160"/>
      <c r="H744" s="1160"/>
      <c r="I744" s="1160"/>
      <c r="J744" s="1160"/>
      <c r="K744" s="1160"/>
      <c r="L744" s="1160"/>
      <c r="M744" s="1160"/>
      <c r="N744" s="1160"/>
      <c r="O744" s="1160"/>
      <c r="P744" s="1160"/>
      <c r="Q744" s="1160"/>
      <c r="R744" s="1160"/>
      <c r="S744" s="1160"/>
      <c r="T744" s="1160"/>
      <c r="U744" s="1160"/>
      <c r="V744" s="1160"/>
      <c r="W744" s="1160"/>
      <c r="X744" s="1211"/>
      <c r="Y744" s="1160"/>
      <c r="Z744" s="1160"/>
      <c r="AA744" s="1160"/>
      <c r="AB744" s="1160"/>
      <c r="AC744" s="1160"/>
      <c r="AD744" s="1160"/>
      <c r="AE744" s="1160"/>
    </row>
    <row r="745" ht="15.0" customHeight="1">
      <c r="A745" s="1209"/>
      <c r="B745" s="1209"/>
      <c r="C745" s="1210"/>
      <c r="D745" s="1160"/>
      <c r="E745" s="1160"/>
      <c r="F745" s="1160"/>
      <c r="G745" s="1160"/>
      <c r="H745" s="1160"/>
      <c r="I745" s="1160"/>
      <c r="J745" s="1160"/>
      <c r="K745" s="1160"/>
      <c r="L745" s="1160"/>
      <c r="M745" s="1160"/>
      <c r="N745" s="1160"/>
      <c r="O745" s="1160"/>
      <c r="P745" s="1160"/>
      <c r="Q745" s="1160"/>
      <c r="R745" s="1160"/>
      <c r="S745" s="1160"/>
      <c r="T745" s="1160"/>
      <c r="U745" s="1160"/>
      <c r="V745" s="1160"/>
      <c r="W745" s="1160"/>
      <c r="X745" s="1211"/>
      <c r="Y745" s="1160"/>
      <c r="Z745" s="1160"/>
      <c r="AA745" s="1160"/>
      <c r="AB745" s="1160"/>
      <c r="AC745" s="1160"/>
      <c r="AD745" s="1160"/>
      <c r="AE745" s="1160"/>
    </row>
    <row r="746" ht="15.0" customHeight="1">
      <c r="A746" s="1209"/>
      <c r="B746" s="1209"/>
      <c r="C746" s="1210"/>
      <c r="D746" s="1160"/>
      <c r="E746" s="1160"/>
      <c r="F746" s="1160"/>
      <c r="G746" s="1160"/>
      <c r="H746" s="1160"/>
      <c r="I746" s="1160"/>
      <c r="J746" s="1160"/>
      <c r="K746" s="1160"/>
      <c r="L746" s="1160"/>
      <c r="M746" s="1160"/>
      <c r="N746" s="1160"/>
      <c r="O746" s="1160"/>
      <c r="P746" s="1160"/>
      <c r="Q746" s="1160"/>
      <c r="R746" s="1160"/>
      <c r="S746" s="1160"/>
      <c r="T746" s="1160"/>
      <c r="U746" s="1160"/>
      <c r="V746" s="1160"/>
      <c r="W746" s="1160"/>
      <c r="X746" s="1211"/>
      <c r="Y746" s="1160"/>
      <c r="Z746" s="1160"/>
      <c r="AA746" s="1160"/>
      <c r="AB746" s="1160"/>
      <c r="AC746" s="1160"/>
      <c r="AD746" s="1160"/>
      <c r="AE746" s="1160"/>
    </row>
    <row r="747" ht="15.0" customHeight="1">
      <c r="A747" s="1209"/>
      <c r="B747" s="1209"/>
      <c r="C747" s="1210"/>
      <c r="D747" s="1160"/>
      <c r="E747" s="1160"/>
      <c r="F747" s="1160"/>
      <c r="G747" s="1160"/>
      <c r="H747" s="1160"/>
      <c r="I747" s="1160"/>
      <c r="J747" s="1160"/>
      <c r="K747" s="1160"/>
      <c r="L747" s="1160"/>
      <c r="M747" s="1160"/>
      <c r="N747" s="1160"/>
      <c r="O747" s="1160"/>
      <c r="P747" s="1160"/>
      <c r="Q747" s="1160"/>
      <c r="R747" s="1160"/>
      <c r="S747" s="1160"/>
      <c r="T747" s="1160"/>
      <c r="U747" s="1160"/>
      <c r="V747" s="1160"/>
      <c r="W747" s="1160"/>
      <c r="X747" s="1211"/>
      <c r="Y747" s="1160"/>
      <c r="Z747" s="1160"/>
      <c r="AA747" s="1160"/>
      <c r="AB747" s="1160"/>
      <c r="AC747" s="1160"/>
      <c r="AD747" s="1160"/>
      <c r="AE747" s="1160"/>
    </row>
    <row r="748" ht="15.0" customHeight="1">
      <c r="A748" s="1209"/>
      <c r="B748" s="1209"/>
      <c r="C748" s="1210"/>
      <c r="D748" s="1160"/>
      <c r="E748" s="1160"/>
      <c r="F748" s="1160"/>
      <c r="G748" s="1160"/>
      <c r="H748" s="1160"/>
      <c r="I748" s="1160"/>
      <c r="J748" s="1160"/>
      <c r="K748" s="1160"/>
      <c r="L748" s="1160"/>
      <c r="M748" s="1160"/>
      <c r="N748" s="1160"/>
      <c r="O748" s="1160"/>
      <c r="P748" s="1160"/>
      <c r="Q748" s="1160"/>
      <c r="R748" s="1160"/>
      <c r="S748" s="1160"/>
      <c r="T748" s="1160"/>
      <c r="U748" s="1160"/>
      <c r="V748" s="1160"/>
      <c r="W748" s="1160"/>
      <c r="X748" s="1211"/>
      <c r="Y748" s="1160"/>
      <c r="Z748" s="1160"/>
      <c r="AA748" s="1160"/>
      <c r="AB748" s="1160"/>
      <c r="AC748" s="1160"/>
      <c r="AD748" s="1160"/>
      <c r="AE748" s="1160"/>
    </row>
    <row r="749" ht="15.0" customHeight="1">
      <c r="A749" s="1209"/>
      <c r="B749" s="1209"/>
      <c r="C749" s="1210"/>
      <c r="D749" s="1160"/>
      <c r="E749" s="1160"/>
      <c r="F749" s="1160"/>
      <c r="G749" s="1160"/>
      <c r="H749" s="1160"/>
      <c r="I749" s="1160"/>
      <c r="J749" s="1160"/>
      <c r="K749" s="1160"/>
      <c r="L749" s="1160"/>
      <c r="M749" s="1160"/>
      <c r="N749" s="1160"/>
      <c r="O749" s="1160"/>
      <c r="P749" s="1160"/>
      <c r="Q749" s="1160"/>
      <c r="R749" s="1160"/>
      <c r="S749" s="1160"/>
      <c r="T749" s="1160"/>
      <c r="U749" s="1160"/>
      <c r="V749" s="1160"/>
      <c r="W749" s="1160"/>
      <c r="X749" s="1211"/>
      <c r="Y749" s="1160"/>
      <c r="Z749" s="1160"/>
      <c r="AA749" s="1160"/>
      <c r="AB749" s="1160"/>
      <c r="AC749" s="1160"/>
      <c r="AD749" s="1160"/>
      <c r="AE749" s="1160"/>
    </row>
    <row r="750" ht="15.0" customHeight="1">
      <c r="A750" s="1209"/>
      <c r="B750" s="1209"/>
      <c r="C750" s="1210"/>
      <c r="D750" s="1160"/>
      <c r="E750" s="1160"/>
      <c r="F750" s="1160"/>
      <c r="G750" s="1160"/>
      <c r="H750" s="1160"/>
      <c r="I750" s="1160"/>
      <c r="J750" s="1160"/>
      <c r="K750" s="1160"/>
      <c r="L750" s="1160"/>
      <c r="M750" s="1160"/>
      <c r="N750" s="1160"/>
      <c r="O750" s="1160"/>
      <c r="P750" s="1160"/>
      <c r="Q750" s="1160"/>
      <c r="R750" s="1160"/>
      <c r="S750" s="1160"/>
      <c r="T750" s="1160"/>
      <c r="U750" s="1160"/>
      <c r="V750" s="1160"/>
      <c r="W750" s="1160"/>
      <c r="X750" s="1211"/>
      <c r="Y750" s="1160"/>
      <c r="Z750" s="1160"/>
      <c r="AA750" s="1160"/>
      <c r="AB750" s="1160"/>
      <c r="AC750" s="1160"/>
      <c r="AD750" s="1160"/>
      <c r="AE750" s="1160"/>
    </row>
    <row r="751" ht="15.0" customHeight="1">
      <c r="A751" s="1209"/>
      <c r="B751" s="1209"/>
      <c r="C751" s="1210"/>
      <c r="D751" s="1160"/>
      <c r="E751" s="1160"/>
      <c r="F751" s="1160"/>
      <c r="G751" s="1160"/>
      <c r="H751" s="1160"/>
      <c r="I751" s="1160"/>
      <c r="J751" s="1160"/>
      <c r="K751" s="1160"/>
      <c r="L751" s="1160"/>
      <c r="M751" s="1160"/>
      <c r="N751" s="1160"/>
      <c r="O751" s="1160"/>
      <c r="P751" s="1160"/>
      <c r="Q751" s="1160"/>
      <c r="R751" s="1160"/>
      <c r="S751" s="1160"/>
      <c r="T751" s="1160"/>
      <c r="U751" s="1160"/>
      <c r="V751" s="1160"/>
      <c r="W751" s="1160"/>
      <c r="X751" s="1211"/>
      <c r="Y751" s="1160"/>
      <c r="Z751" s="1160"/>
      <c r="AA751" s="1160"/>
      <c r="AB751" s="1160"/>
      <c r="AC751" s="1160"/>
      <c r="AD751" s="1160"/>
      <c r="AE751" s="1160"/>
    </row>
    <row r="752" ht="15.0" customHeight="1">
      <c r="A752" s="1209"/>
      <c r="B752" s="1209"/>
      <c r="C752" s="1210"/>
      <c r="D752" s="1160"/>
      <c r="E752" s="1160"/>
      <c r="F752" s="1160"/>
      <c r="G752" s="1160"/>
      <c r="H752" s="1160"/>
      <c r="I752" s="1160"/>
      <c r="J752" s="1160"/>
      <c r="K752" s="1160"/>
      <c r="L752" s="1160"/>
      <c r="M752" s="1160"/>
      <c r="N752" s="1160"/>
      <c r="O752" s="1160"/>
      <c r="P752" s="1160"/>
      <c r="Q752" s="1160"/>
      <c r="R752" s="1160"/>
      <c r="S752" s="1160"/>
      <c r="T752" s="1160"/>
      <c r="U752" s="1160"/>
      <c r="V752" s="1160"/>
      <c r="W752" s="1160"/>
      <c r="X752" s="1211"/>
      <c r="Y752" s="1160"/>
      <c r="Z752" s="1160"/>
      <c r="AA752" s="1160"/>
      <c r="AB752" s="1160"/>
      <c r="AC752" s="1160"/>
      <c r="AD752" s="1160"/>
      <c r="AE752" s="1160"/>
    </row>
    <row r="753" ht="15.0" customHeight="1">
      <c r="A753" s="1209"/>
      <c r="B753" s="1209"/>
      <c r="C753" s="1210"/>
      <c r="D753" s="1160"/>
      <c r="E753" s="1160"/>
      <c r="F753" s="1160"/>
      <c r="G753" s="1160"/>
      <c r="H753" s="1160"/>
      <c r="I753" s="1160"/>
      <c r="J753" s="1160"/>
      <c r="K753" s="1160"/>
      <c r="L753" s="1160"/>
      <c r="M753" s="1160"/>
      <c r="N753" s="1160"/>
      <c r="O753" s="1160"/>
      <c r="P753" s="1160"/>
      <c r="Q753" s="1160"/>
      <c r="R753" s="1160"/>
      <c r="S753" s="1160"/>
      <c r="T753" s="1160"/>
      <c r="U753" s="1160"/>
      <c r="V753" s="1160"/>
      <c r="W753" s="1160"/>
      <c r="X753" s="1211"/>
      <c r="Y753" s="1160"/>
      <c r="Z753" s="1160"/>
      <c r="AA753" s="1160"/>
      <c r="AB753" s="1160"/>
      <c r="AC753" s="1160"/>
      <c r="AD753" s="1160"/>
      <c r="AE753" s="1160"/>
    </row>
    <row r="754" ht="15.0" customHeight="1">
      <c r="A754" s="1209"/>
      <c r="B754" s="1209"/>
      <c r="C754" s="1210"/>
      <c r="D754" s="1160"/>
      <c r="E754" s="1160"/>
      <c r="F754" s="1160"/>
      <c r="G754" s="1160"/>
      <c r="H754" s="1160"/>
      <c r="I754" s="1160"/>
      <c r="J754" s="1160"/>
      <c r="K754" s="1160"/>
      <c r="L754" s="1160"/>
      <c r="M754" s="1160"/>
      <c r="N754" s="1160"/>
      <c r="O754" s="1160"/>
      <c r="P754" s="1160"/>
      <c r="Q754" s="1160"/>
      <c r="R754" s="1160"/>
      <c r="S754" s="1160"/>
      <c r="T754" s="1160"/>
      <c r="U754" s="1160"/>
      <c r="V754" s="1160"/>
      <c r="W754" s="1160"/>
      <c r="X754" s="1211"/>
      <c r="Y754" s="1160"/>
      <c r="Z754" s="1160"/>
      <c r="AA754" s="1160"/>
      <c r="AB754" s="1160"/>
      <c r="AC754" s="1160"/>
      <c r="AD754" s="1160"/>
      <c r="AE754" s="1160"/>
    </row>
    <row r="755" ht="15.0" customHeight="1">
      <c r="A755" s="1209"/>
      <c r="B755" s="1209"/>
      <c r="C755" s="1210"/>
      <c r="D755" s="1160"/>
      <c r="E755" s="1160"/>
      <c r="F755" s="1160"/>
      <c r="G755" s="1160"/>
      <c r="H755" s="1160"/>
      <c r="I755" s="1160"/>
      <c r="J755" s="1160"/>
      <c r="K755" s="1160"/>
      <c r="L755" s="1160"/>
      <c r="M755" s="1160"/>
      <c r="N755" s="1160"/>
      <c r="O755" s="1160"/>
      <c r="P755" s="1160"/>
      <c r="Q755" s="1160"/>
      <c r="R755" s="1160"/>
      <c r="S755" s="1160"/>
      <c r="T755" s="1160"/>
      <c r="U755" s="1160"/>
      <c r="V755" s="1160"/>
      <c r="W755" s="1160"/>
      <c r="X755" s="1211"/>
      <c r="Y755" s="1160"/>
      <c r="Z755" s="1160"/>
      <c r="AA755" s="1160"/>
      <c r="AB755" s="1160"/>
      <c r="AC755" s="1160"/>
      <c r="AD755" s="1160"/>
      <c r="AE755" s="1160"/>
    </row>
    <row r="756" ht="15.0" customHeight="1">
      <c r="A756" s="1209"/>
      <c r="B756" s="1209"/>
      <c r="C756" s="1210"/>
      <c r="D756" s="1160"/>
      <c r="E756" s="1160"/>
      <c r="F756" s="1160"/>
      <c r="G756" s="1160"/>
      <c r="H756" s="1160"/>
      <c r="I756" s="1160"/>
      <c r="J756" s="1160"/>
      <c r="K756" s="1160"/>
      <c r="L756" s="1160"/>
      <c r="M756" s="1160"/>
      <c r="N756" s="1160"/>
      <c r="O756" s="1160"/>
      <c r="P756" s="1160"/>
      <c r="Q756" s="1160"/>
      <c r="R756" s="1160"/>
      <c r="S756" s="1160"/>
      <c r="T756" s="1160"/>
      <c r="U756" s="1160"/>
      <c r="V756" s="1160"/>
      <c r="W756" s="1160"/>
      <c r="X756" s="1211"/>
      <c r="Y756" s="1160"/>
      <c r="Z756" s="1160"/>
      <c r="AA756" s="1160"/>
      <c r="AB756" s="1160"/>
      <c r="AC756" s="1160"/>
      <c r="AD756" s="1160"/>
      <c r="AE756" s="1160"/>
    </row>
    <row r="757" ht="15.0" customHeight="1">
      <c r="A757" s="1209"/>
      <c r="B757" s="1209"/>
      <c r="C757" s="1210"/>
      <c r="D757" s="1160"/>
      <c r="E757" s="1160"/>
      <c r="F757" s="1160"/>
      <c r="G757" s="1160"/>
      <c r="H757" s="1160"/>
      <c r="I757" s="1160"/>
      <c r="J757" s="1160"/>
      <c r="K757" s="1160"/>
      <c r="L757" s="1160"/>
      <c r="M757" s="1160"/>
      <c r="N757" s="1160"/>
      <c r="O757" s="1160"/>
      <c r="P757" s="1160"/>
      <c r="Q757" s="1160"/>
      <c r="R757" s="1160"/>
      <c r="S757" s="1160"/>
      <c r="T757" s="1160"/>
      <c r="U757" s="1160"/>
      <c r="V757" s="1160"/>
      <c r="W757" s="1160"/>
      <c r="X757" s="1211"/>
      <c r="Y757" s="1160"/>
      <c r="Z757" s="1160"/>
      <c r="AA757" s="1160"/>
      <c r="AB757" s="1160"/>
      <c r="AC757" s="1160"/>
      <c r="AD757" s="1160"/>
      <c r="AE757" s="1160"/>
    </row>
    <row r="758" ht="15.0" customHeight="1">
      <c r="A758" s="1209"/>
      <c r="B758" s="1209"/>
      <c r="C758" s="1210"/>
      <c r="D758" s="1160"/>
      <c r="E758" s="1160"/>
      <c r="F758" s="1160"/>
      <c r="G758" s="1160"/>
      <c r="H758" s="1160"/>
      <c r="I758" s="1160"/>
      <c r="J758" s="1160"/>
      <c r="K758" s="1160"/>
      <c r="L758" s="1160"/>
      <c r="M758" s="1160"/>
      <c r="N758" s="1160"/>
      <c r="O758" s="1160"/>
      <c r="P758" s="1160"/>
      <c r="Q758" s="1160"/>
      <c r="R758" s="1160"/>
      <c r="S758" s="1160"/>
      <c r="T758" s="1160"/>
      <c r="U758" s="1160"/>
      <c r="V758" s="1160"/>
      <c r="W758" s="1160"/>
      <c r="X758" s="1211"/>
      <c r="Y758" s="1160"/>
      <c r="Z758" s="1160"/>
      <c r="AA758" s="1160"/>
      <c r="AB758" s="1160"/>
      <c r="AC758" s="1160"/>
      <c r="AD758" s="1160"/>
      <c r="AE758" s="1160"/>
    </row>
    <row r="759" ht="15.0" customHeight="1">
      <c r="A759" s="1209"/>
      <c r="B759" s="1209"/>
      <c r="C759" s="1210"/>
      <c r="D759" s="1160"/>
      <c r="E759" s="1160"/>
      <c r="F759" s="1160"/>
      <c r="G759" s="1160"/>
      <c r="H759" s="1160"/>
      <c r="I759" s="1160"/>
      <c r="J759" s="1160"/>
      <c r="K759" s="1160"/>
      <c r="L759" s="1160"/>
      <c r="M759" s="1160"/>
      <c r="N759" s="1160"/>
      <c r="O759" s="1160"/>
      <c r="P759" s="1160"/>
      <c r="Q759" s="1160"/>
      <c r="R759" s="1160"/>
      <c r="S759" s="1160"/>
      <c r="T759" s="1160"/>
      <c r="U759" s="1160"/>
      <c r="V759" s="1160"/>
      <c r="W759" s="1160"/>
      <c r="X759" s="1211"/>
      <c r="Y759" s="1160"/>
      <c r="Z759" s="1160"/>
      <c r="AA759" s="1160"/>
      <c r="AB759" s="1160"/>
      <c r="AC759" s="1160"/>
      <c r="AD759" s="1160"/>
      <c r="AE759" s="1160"/>
    </row>
    <row r="760" ht="15.0" customHeight="1">
      <c r="A760" s="1209"/>
      <c r="B760" s="1209"/>
      <c r="C760" s="1210"/>
      <c r="D760" s="1160"/>
      <c r="E760" s="1160"/>
      <c r="F760" s="1160"/>
      <c r="G760" s="1160"/>
      <c r="H760" s="1160"/>
      <c r="I760" s="1160"/>
      <c r="J760" s="1160"/>
      <c r="K760" s="1160"/>
      <c r="L760" s="1160"/>
      <c r="M760" s="1160"/>
      <c r="N760" s="1160"/>
      <c r="O760" s="1160"/>
      <c r="P760" s="1160"/>
      <c r="Q760" s="1160"/>
      <c r="R760" s="1160"/>
      <c r="S760" s="1160"/>
      <c r="T760" s="1160"/>
      <c r="U760" s="1160"/>
      <c r="V760" s="1160"/>
      <c r="W760" s="1160"/>
      <c r="X760" s="1211"/>
      <c r="Y760" s="1160"/>
      <c r="Z760" s="1160"/>
      <c r="AA760" s="1160"/>
      <c r="AB760" s="1160"/>
      <c r="AC760" s="1160"/>
      <c r="AD760" s="1160"/>
      <c r="AE760" s="1160"/>
    </row>
    <row r="761" ht="15.0" customHeight="1">
      <c r="A761" s="1209"/>
      <c r="B761" s="1209"/>
      <c r="C761" s="1210"/>
      <c r="D761" s="1160"/>
      <c r="E761" s="1160"/>
      <c r="F761" s="1160"/>
      <c r="G761" s="1160"/>
      <c r="H761" s="1160"/>
      <c r="I761" s="1160"/>
      <c r="J761" s="1160"/>
      <c r="K761" s="1160"/>
      <c r="L761" s="1160"/>
      <c r="M761" s="1160"/>
      <c r="N761" s="1160"/>
      <c r="O761" s="1160"/>
      <c r="P761" s="1160"/>
      <c r="Q761" s="1160"/>
      <c r="R761" s="1160"/>
      <c r="S761" s="1160"/>
      <c r="T761" s="1160"/>
      <c r="U761" s="1160"/>
      <c r="V761" s="1160"/>
      <c r="W761" s="1160"/>
      <c r="X761" s="1211"/>
      <c r="Y761" s="1160"/>
      <c r="Z761" s="1160"/>
      <c r="AA761" s="1160"/>
      <c r="AB761" s="1160"/>
      <c r="AC761" s="1160"/>
      <c r="AD761" s="1160"/>
      <c r="AE761" s="1160"/>
    </row>
    <row r="762" ht="15.0" customHeight="1">
      <c r="A762" s="1209"/>
      <c r="B762" s="1209"/>
      <c r="C762" s="1210"/>
      <c r="D762" s="1160"/>
      <c r="E762" s="1160"/>
      <c r="F762" s="1160"/>
      <c r="G762" s="1160"/>
      <c r="H762" s="1160"/>
      <c r="I762" s="1160"/>
      <c r="J762" s="1160"/>
      <c r="K762" s="1160"/>
      <c r="L762" s="1160"/>
      <c r="M762" s="1160"/>
      <c r="N762" s="1160"/>
      <c r="O762" s="1160"/>
      <c r="P762" s="1160"/>
      <c r="Q762" s="1160"/>
      <c r="R762" s="1160"/>
      <c r="S762" s="1160"/>
      <c r="T762" s="1160"/>
      <c r="U762" s="1160"/>
      <c r="V762" s="1160"/>
      <c r="W762" s="1160"/>
      <c r="X762" s="1211"/>
      <c r="Y762" s="1160"/>
      <c r="Z762" s="1160"/>
      <c r="AA762" s="1160"/>
      <c r="AB762" s="1160"/>
      <c r="AC762" s="1160"/>
      <c r="AD762" s="1160"/>
      <c r="AE762" s="1160"/>
    </row>
    <row r="763" ht="15.0" customHeight="1">
      <c r="A763" s="1209"/>
      <c r="B763" s="1209"/>
      <c r="C763" s="1210"/>
      <c r="D763" s="1160"/>
      <c r="E763" s="1160"/>
      <c r="F763" s="1160"/>
      <c r="G763" s="1160"/>
      <c r="H763" s="1160"/>
      <c r="I763" s="1160"/>
      <c r="J763" s="1160"/>
      <c r="K763" s="1160"/>
      <c r="L763" s="1160"/>
      <c r="M763" s="1160"/>
      <c r="N763" s="1160"/>
      <c r="O763" s="1160"/>
      <c r="P763" s="1160"/>
      <c r="Q763" s="1160"/>
      <c r="R763" s="1160"/>
      <c r="S763" s="1160"/>
      <c r="T763" s="1160"/>
      <c r="U763" s="1160"/>
      <c r="V763" s="1160"/>
      <c r="W763" s="1160"/>
      <c r="X763" s="1211"/>
      <c r="Y763" s="1160"/>
      <c r="Z763" s="1160"/>
      <c r="AA763" s="1160"/>
      <c r="AB763" s="1160"/>
      <c r="AC763" s="1160"/>
      <c r="AD763" s="1160"/>
      <c r="AE763" s="1160"/>
    </row>
    <row r="764" ht="15.0" customHeight="1">
      <c r="A764" s="1209"/>
      <c r="B764" s="1209"/>
      <c r="C764" s="1210"/>
      <c r="D764" s="1160"/>
      <c r="E764" s="1160"/>
      <c r="F764" s="1160"/>
      <c r="G764" s="1160"/>
      <c r="H764" s="1160"/>
      <c r="I764" s="1160"/>
      <c r="J764" s="1160"/>
      <c r="K764" s="1160"/>
      <c r="L764" s="1160"/>
      <c r="M764" s="1160"/>
      <c r="N764" s="1160"/>
      <c r="O764" s="1160"/>
      <c r="P764" s="1160"/>
      <c r="Q764" s="1160"/>
      <c r="R764" s="1160"/>
      <c r="S764" s="1160"/>
      <c r="T764" s="1160"/>
      <c r="U764" s="1160"/>
      <c r="V764" s="1160"/>
      <c r="W764" s="1160"/>
      <c r="X764" s="1211"/>
      <c r="Y764" s="1160"/>
      <c r="Z764" s="1160"/>
      <c r="AA764" s="1160"/>
      <c r="AB764" s="1160"/>
      <c r="AC764" s="1160"/>
      <c r="AD764" s="1160"/>
      <c r="AE764" s="1160"/>
    </row>
    <row r="765" ht="15.0" customHeight="1">
      <c r="A765" s="1209"/>
      <c r="B765" s="1209"/>
      <c r="C765" s="1210"/>
      <c r="D765" s="1160"/>
      <c r="E765" s="1160"/>
      <c r="F765" s="1160"/>
      <c r="G765" s="1160"/>
      <c r="H765" s="1160"/>
      <c r="I765" s="1160"/>
      <c r="J765" s="1160"/>
      <c r="K765" s="1160"/>
      <c r="L765" s="1160"/>
      <c r="M765" s="1160"/>
      <c r="N765" s="1160"/>
      <c r="O765" s="1160"/>
      <c r="P765" s="1160"/>
      <c r="Q765" s="1160"/>
      <c r="R765" s="1160"/>
      <c r="S765" s="1160"/>
      <c r="T765" s="1160"/>
      <c r="U765" s="1160"/>
      <c r="V765" s="1160"/>
      <c r="W765" s="1160"/>
      <c r="X765" s="1211"/>
      <c r="Y765" s="1160"/>
      <c r="Z765" s="1160"/>
      <c r="AA765" s="1160"/>
      <c r="AB765" s="1160"/>
      <c r="AC765" s="1160"/>
      <c r="AD765" s="1160"/>
      <c r="AE765" s="1160"/>
    </row>
    <row r="766" ht="15.0" customHeight="1">
      <c r="A766" s="1209"/>
      <c r="B766" s="1209"/>
      <c r="C766" s="1210"/>
      <c r="D766" s="1160"/>
      <c r="E766" s="1160"/>
      <c r="F766" s="1160"/>
      <c r="G766" s="1160"/>
      <c r="H766" s="1160"/>
      <c r="I766" s="1160"/>
      <c r="J766" s="1160"/>
      <c r="K766" s="1160"/>
      <c r="L766" s="1160"/>
      <c r="M766" s="1160"/>
      <c r="N766" s="1160"/>
      <c r="O766" s="1160"/>
      <c r="P766" s="1160"/>
      <c r="Q766" s="1160"/>
      <c r="R766" s="1160"/>
      <c r="S766" s="1160"/>
      <c r="T766" s="1160"/>
      <c r="U766" s="1160"/>
      <c r="V766" s="1160"/>
      <c r="W766" s="1160"/>
      <c r="X766" s="1211"/>
      <c r="Y766" s="1160"/>
      <c r="Z766" s="1160"/>
      <c r="AA766" s="1160"/>
      <c r="AB766" s="1160"/>
      <c r="AC766" s="1160"/>
      <c r="AD766" s="1160"/>
      <c r="AE766" s="1160"/>
    </row>
    <row r="767" ht="15.0" customHeight="1">
      <c r="A767" s="1209"/>
      <c r="B767" s="1209"/>
      <c r="C767" s="1210"/>
      <c r="D767" s="1160"/>
      <c r="E767" s="1160"/>
      <c r="F767" s="1160"/>
      <c r="G767" s="1160"/>
      <c r="H767" s="1160"/>
      <c r="I767" s="1160"/>
      <c r="J767" s="1160"/>
      <c r="K767" s="1160"/>
      <c r="L767" s="1160"/>
      <c r="M767" s="1160"/>
      <c r="N767" s="1160"/>
      <c r="O767" s="1160"/>
      <c r="P767" s="1160"/>
      <c r="Q767" s="1160"/>
      <c r="R767" s="1160"/>
      <c r="S767" s="1160"/>
      <c r="T767" s="1160"/>
      <c r="U767" s="1160"/>
      <c r="V767" s="1160"/>
      <c r="W767" s="1160"/>
      <c r="X767" s="1211"/>
      <c r="Y767" s="1160"/>
      <c r="Z767" s="1160"/>
      <c r="AA767" s="1160"/>
      <c r="AB767" s="1160"/>
      <c r="AC767" s="1160"/>
      <c r="AD767" s="1160"/>
      <c r="AE767" s="1160"/>
    </row>
    <row r="768" ht="15.0" customHeight="1">
      <c r="A768" s="1209"/>
      <c r="B768" s="1209"/>
      <c r="C768" s="1210"/>
      <c r="D768" s="1160"/>
      <c r="E768" s="1160"/>
      <c r="F768" s="1160"/>
      <c r="G768" s="1160"/>
      <c r="H768" s="1160"/>
      <c r="I768" s="1160"/>
      <c r="J768" s="1160"/>
      <c r="K768" s="1160"/>
      <c r="L768" s="1160"/>
      <c r="M768" s="1160"/>
      <c r="N768" s="1160"/>
      <c r="O768" s="1160"/>
      <c r="P768" s="1160"/>
      <c r="Q768" s="1160"/>
      <c r="R768" s="1160"/>
      <c r="S768" s="1160"/>
      <c r="T768" s="1160"/>
      <c r="U768" s="1160"/>
      <c r="V768" s="1160"/>
      <c r="W768" s="1160"/>
      <c r="X768" s="1211"/>
      <c r="Y768" s="1160"/>
      <c r="Z768" s="1160"/>
      <c r="AA768" s="1160"/>
      <c r="AB768" s="1160"/>
      <c r="AC768" s="1160"/>
      <c r="AD768" s="1160"/>
      <c r="AE768" s="1160"/>
    </row>
    <row r="769" ht="15.0" customHeight="1">
      <c r="A769" s="1209"/>
      <c r="B769" s="1209"/>
      <c r="C769" s="1210"/>
      <c r="D769" s="1160"/>
      <c r="E769" s="1160"/>
      <c r="F769" s="1160"/>
      <c r="G769" s="1160"/>
      <c r="H769" s="1160"/>
      <c r="I769" s="1160"/>
      <c r="J769" s="1160"/>
      <c r="K769" s="1160"/>
      <c r="L769" s="1160"/>
      <c r="M769" s="1160"/>
      <c r="N769" s="1160"/>
      <c r="O769" s="1160"/>
      <c r="P769" s="1160"/>
      <c r="Q769" s="1160"/>
      <c r="R769" s="1160"/>
      <c r="S769" s="1160"/>
      <c r="T769" s="1160"/>
      <c r="U769" s="1160"/>
      <c r="V769" s="1160"/>
      <c r="W769" s="1160"/>
      <c r="X769" s="1211"/>
      <c r="Y769" s="1160"/>
      <c r="Z769" s="1160"/>
      <c r="AA769" s="1160"/>
      <c r="AB769" s="1160"/>
      <c r="AC769" s="1160"/>
      <c r="AD769" s="1160"/>
      <c r="AE769" s="1160"/>
    </row>
    <row r="770" ht="15.0" customHeight="1">
      <c r="A770" s="1209"/>
      <c r="B770" s="1209"/>
      <c r="C770" s="1210"/>
      <c r="D770" s="1160"/>
      <c r="E770" s="1160"/>
      <c r="F770" s="1160"/>
      <c r="G770" s="1160"/>
      <c r="H770" s="1160"/>
      <c r="I770" s="1160"/>
      <c r="J770" s="1160"/>
      <c r="K770" s="1160"/>
      <c r="L770" s="1160"/>
      <c r="M770" s="1160"/>
      <c r="N770" s="1160"/>
      <c r="O770" s="1160"/>
      <c r="P770" s="1160"/>
      <c r="Q770" s="1160"/>
      <c r="R770" s="1160"/>
      <c r="S770" s="1160"/>
      <c r="T770" s="1160"/>
      <c r="U770" s="1160"/>
      <c r="V770" s="1160"/>
      <c r="W770" s="1160"/>
      <c r="X770" s="1211"/>
      <c r="Y770" s="1160"/>
      <c r="Z770" s="1160"/>
      <c r="AA770" s="1160"/>
      <c r="AB770" s="1160"/>
      <c r="AC770" s="1160"/>
      <c r="AD770" s="1160"/>
      <c r="AE770" s="1160"/>
    </row>
    <row r="771" ht="15.0" customHeight="1">
      <c r="A771" s="1209"/>
      <c r="B771" s="1209"/>
      <c r="C771" s="1210"/>
      <c r="D771" s="1160"/>
      <c r="E771" s="1160"/>
      <c r="F771" s="1160"/>
      <c r="G771" s="1160"/>
      <c r="H771" s="1160"/>
      <c r="I771" s="1160"/>
      <c r="J771" s="1160"/>
      <c r="K771" s="1160"/>
      <c r="L771" s="1160"/>
      <c r="M771" s="1160"/>
      <c r="N771" s="1160"/>
      <c r="O771" s="1160"/>
      <c r="P771" s="1160"/>
      <c r="Q771" s="1160"/>
      <c r="R771" s="1160"/>
      <c r="S771" s="1160"/>
      <c r="T771" s="1160"/>
      <c r="U771" s="1160"/>
      <c r="V771" s="1160"/>
      <c r="W771" s="1160"/>
      <c r="X771" s="1211"/>
      <c r="Y771" s="1160"/>
      <c r="Z771" s="1160"/>
      <c r="AA771" s="1160"/>
      <c r="AB771" s="1160"/>
      <c r="AC771" s="1160"/>
      <c r="AD771" s="1160"/>
      <c r="AE771" s="1160"/>
    </row>
    <row r="772" ht="15.0" customHeight="1">
      <c r="A772" s="1209"/>
      <c r="B772" s="1209"/>
      <c r="C772" s="1210"/>
      <c r="D772" s="1160"/>
      <c r="E772" s="1160"/>
      <c r="F772" s="1160"/>
      <c r="G772" s="1160"/>
      <c r="H772" s="1160"/>
      <c r="I772" s="1160"/>
      <c r="J772" s="1160"/>
      <c r="K772" s="1160"/>
      <c r="L772" s="1160"/>
      <c r="M772" s="1160"/>
      <c r="N772" s="1160"/>
      <c r="O772" s="1160"/>
      <c r="P772" s="1160"/>
      <c r="Q772" s="1160"/>
      <c r="R772" s="1160"/>
      <c r="S772" s="1160"/>
      <c r="T772" s="1160"/>
      <c r="U772" s="1160"/>
      <c r="V772" s="1160"/>
      <c r="W772" s="1160"/>
      <c r="X772" s="1211"/>
      <c r="Y772" s="1160"/>
      <c r="Z772" s="1160"/>
      <c r="AA772" s="1160"/>
      <c r="AB772" s="1160"/>
      <c r="AC772" s="1160"/>
      <c r="AD772" s="1160"/>
      <c r="AE772" s="1160"/>
    </row>
    <row r="773" ht="15.0" customHeight="1">
      <c r="A773" s="1209"/>
      <c r="B773" s="1209"/>
      <c r="C773" s="1210"/>
      <c r="D773" s="1160"/>
      <c r="E773" s="1160"/>
      <c r="F773" s="1160"/>
      <c r="G773" s="1160"/>
      <c r="H773" s="1160"/>
      <c r="I773" s="1160"/>
      <c r="J773" s="1160"/>
      <c r="K773" s="1160"/>
      <c r="L773" s="1160"/>
      <c r="M773" s="1160"/>
      <c r="N773" s="1160"/>
      <c r="O773" s="1160"/>
      <c r="P773" s="1160"/>
      <c r="Q773" s="1160"/>
      <c r="R773" s="1160"/>
      <c r="S773" s="1160"/>
      <c r="T773" s="1160"/>
      <c r="U773" s="1160"/>
      <c r="V773" s="1160"/>
      <c r="W773" s="1160"/>
      <c r="X773" s="1211"/>
      <c r="Y773" s="1160"/>
      <c r="Z773" s="1160"/>
      <c r="AA773" s="1160"/>
      <c r="AB773" s="1160"/>
      <c r="AC773" s="1160"/>
      <c r="AD773" s="1160"/>
      <c r="AE773" s="1160"/>
    </row>
    <row r="774" ht="15.0" customHeight="1">
      <c r="A774" s="1209"/>
      <c r="B774" s="1209"/>
      <c r="C774" s="1210"/>
      <c r="D774" s="1160"/>
      <c r="E774" s="1160"/>
      <c r="F774" s="1160"/>
      <c r="G774" s="1160"/>
      <c r="H774" s="1160"/>
      <c r="I774" s="1160"/>
      <c r="J774" s="1160"/>
      <c r="K774" s="1160"/>
      <c r="L774" s="1160"/>
      <c r="M774" s="1160"/>
      <c r="N774" s="1160"/>
      <c r="O774" s="1160"/>
      <c r="P774" s="1160"/>
      <c r="Q774" s="1160"/>
      <c r="R774" s="1160"/>
      <c r="S774" s="1160"/>
      <c r="T774" s="1160"/>
      <c r="U774" s="1160"/>
      <c r="V774" s="1160"/>
      <c r="W774" s="1160"/>
      <c r="X774" s="1211"/>
      <c r="Y774" s="1160"/>
      <c r="Z774" s="1160"/>
      <c r="AA774" s="1160"/>
      <c r="AB774" s="1160"/>
      <c r="AC774" s="1160"/>
      <c r="AD774" s="1160"/>
      <c r="AE774" s="1160"/>
    </row>
    <row r="775" ht="15.0" customHeight="1">
      <c r="A775" s="1209"/>
      <c r="B775" s="1209"/>
      <c r="C775" s="1210"/>
      <c r="D775" s="1160"/>
      <c r="E775" s="1160"/>
      <c r="F775" s="1160"/>
      <c r="G775" s="1160"/>
      <c r="H775" s="1160"/>
      <c r="I775" s="1160"/>
      <c r="J775" s="1160"/>
      <c r="K775" s="1160"/>
      <c r="L775" s="1160"/>
      <c r="M775" s="1160"/>
      <c r="N775" s="1160"/>
      <c r="O775" s="1160"/>
      <c r="P775" s="1160"/>
      <c r="Q775" s="1160"/>
      <c r="R775" s="1160"/>
      <c r="S775" s="1160"/>
      <c r="T775" s="1160"/>
      <c r="U775" s="1160"/>
      <c r="V775" s="1160"/>
      <c r="W775" s="1160"/>
      <c r="X775" s="1211"/>
      <c r="Y775" s="1160"/>
      <c r="Z775" s="1160"/>
      <c r="AA775" s="1160"/>
      <c r="AB775" s="1160"/>
      <c r="AC775" s="1160"/>
      <c r="AD775" s="1160"/>
      <c r="AE775" s="1160"/>
    </row>
    <row r="776" ht="15.0" customHeight="1">
      <c r="A776" s="1209"/>
      <c r="B776" s="1209"/>
      <c r="C776" s="1210"/>
      <c r="D776" s="1160"/>
      <c r="E776" s="1160"/>
      <c r="F776" s="1160"/>
      <c r="G776" s="1160"/>
      <c r="H776" s="1160"/>
      <c r="I776" s="1160"/>
      <c r="J776" s="1160"/>
      <c r="K776" s="1160"/>
      <c r="L776" s="1160"/>
      <c r="M776" s="1160"/>
      <c r="N776" s="1160"/>
      <c r="O776" s="1160"/>
      <c r="P776" s="1160"/>
      <c r="Q776" s="1160"/>
      <c r="R776" s="1160"/>
      <c r="S776" s="1160"/>
      <c r="T776" s="1160"/>
      <c r="U776" s="1160"/>
      <c r="V776" s="1160"/>
      <c r="W776" s="1160"/>
      <c r="X776" s="1211"/>
      <c r="Y776" s="1160"/>
      <c r="Z776" s="1160"/>
      <c r="AA776" s="1160"/>
      <c r="AB776" s="1160"/>
      <c r="AC776" s="1160"/>
      <c r="AD776" s="1160"/>
      <c r="AE776" s="1160"/>
    </row>
    <row r="777" ht="15.0" customHeight="1">
      <c r="A777" s="1209"/>
      <c r="B777" s="1209"/>
      <c r="C777" s="1210"/>
      <c r="D777" s="1160"/>
      <c r="E777" s="1160"/>
      <c r="F777" s="1160"/>
      <c r="G777" s="1160"/>
      <c r="H777" s="1160"/>
      <c r="I777" s="1160"/>
      <c r="J777" s="1160"/>
      <c r="K777" s="1160"/>
      <c r="L777" s="1160"/>
      <c r="M777" s="1160"/>
      <c r="N777" s="1160"/>
      <c r="O777" s="1160"/>
      <c r="P777" s="1160"/>
      <c r="Q777" s="1160"/>
      <c r="R777" s="1160"/>
      <c r="S777" s="1160"/>
      <c r="T777" s="1160"/>
      <c r="U777" s="1160"/>
      <c r="V777" s="1160"/>
      <c r="W777" s="1160"/>
      <c r="X777" s="1211"/>
      <c r="Y777" s="1160"/>
      <c r="Z777" s="1160"/>
      <c r="AA777" s="1160"/>
      <c r="AB777" s="1160"/>
      <c r="AC777" s="1160"/>
      <c r="AD777" s="1160"/>
      <c r="AE777" s="1160"/>
    </row>
    <row r="778" ht="15.0" customHeight="1">
      <c r="A778" s="1209"/>
      <c r="B778" s="1209"/>
      <c r="C778" s="1210"/>
      <c r="D778" s="1160"/>
      <c r="E778" s="1160"/>
      <c r="F778" s="1160"/>
      <c r="G778" s="1160"/>
      <c r="H778" s="1160"/>
      <c r="I778" s="1160"/>
      <c r="J778" s="1160"/>
      <c r="K778" s="1160"/>
      <c r="L778" s="1160"/>
      <c r="M778" s="1160"/>
      <c r="N778" s="1160"/>
      <c r="O778" s="1160"/>
      <c r="P778" s="1160"/>
      <c r="Q778" s="1160"/>
      <c r="R778" s="1160"/>
      <c r="S778" s="1160"/>
      <c r="T778" s="1160"/>
      <c r="U778" s="1160"/>
      <c r="V778" s="1160"/>
      <c r="W778" s="1160"/>
      <c r="X778" s="1211"/>
      <c r="Y778" s="1160"/>
      <c r="Z778" s="1160"/>
      <c r="AA778" s="1160"/>
      <c r="AB778" s="1160"/>
      <c r="AC778" s="1160"/>
      <c r="AD778" s="1160"/>
      <c r="AE778" s="1160"/>
    </row>
    <row r="779" ht="15.0" customHeight="1">
      <c r="A779" s="1209"/>
      <c r="B779" s="1209"/>
      <c r="C779" s="1210"/>
      <c r="D779" s="1160"/>
      <c r="E779" s="1160"/>
      <c r="F779" s="1160"/>
      <c r="G779" s="1160"/>
      <c r="H779" s="1160"/>
      <c r="I779" s="1160"/>
      <c r="J779" s="1160"/>
      <c r="K779" s="1160"/>
      <c r="L779" s="1160"/>
      <c r="M779" s="1160"/>
      <c r="N779" s="1160"/>
      <c r="O779" s="1160"/>
      <c r="P779" s="1160"/>
      <c r="Q779" s="1160"/>
      <c r="R779" s="1160"/>
      <c r="S779" s="1160"/>
      <c r="T779" s="1160"/>
      <c r="U779" s="1160"/>
      <c r="V779" s="1160"/>
      <c r="W779" s="1160"/>
      <c r="X779" s="1211"/>
      <c r="Y779" s="1160"/>
      <c r="Z779" s="1160"/>
      <c r="AA779" s="1160"/>
      <c r="AB779" s="1160"/>
      <c r="AC779" s="1160"/>
      <c r="AD779" s="1160"/>
      <c r="AE779" s="1160"/>
    </row>
    <row r="780" ht="15.0" customHeight="1">
      <c r="A780" s="1209"/>
      <c r="B780" s="1209"/>
      <c r="C780" s="1210"/>
      <c r="D780" s="1160"/>
      <c r="E780" s="1160"/>
      <c r="F780" s="1160"/>
      <c r="G780" s="1160"/>
      <c r="H780" s="1160"/>
      <c r="I780" s="1160"/>
      <c r="J780" s="1160"/>
      <c r="K780" s="1160"/>
      <c r="L780" s="1160"/>
      <c r="M780" s="1160"/>
      <c r="N780" s="1160"/>
      <c r="O780" s="1160"/>
      <c r="P780" s="1160"/>
      <c r="Q780" s="1160"/>
      <c r="R780" s="1160"/>
      <c r="S780" s="1160"/>
      <c r="T780" s="1160"/>
      <c r="U780" s="1160"/>
      <c r="V780" s="1160"/>
      <c r="W780" s="1160"/>
      <c r="X780" s="1211"/>
      <c r="Y780" s="1160"/>
      <c r="Z780" s="1160"/>
      <c r="AA780" s="1160"/>
      <c r="AB780" s="1160"/>
      <c r="AC780" s="1160"/>
      <c r="AD780" s="1160"/>
      <c r="AE780" s="1160"/>
    </row>
    <row r="781" ht="15.0" customHeight="1">
      <c r="A781" s="1209"/>
      <c r="B781" s="1209"/>
      <c r="C781" s="1210"/>
      <c r="D781" s="1160"/>
      <c r="E781" s="1160"/>
      <c r="F781" s="1160"/>
      <c r="G781" s="1160"/>
      <c r="H781" s="1160"/>
      <c r="I781" s="1160"/>
      <c r="J781" s="1160"/>
      <c r="K781" s="1160"/>
      <c r="L781" s="1160"/>
      <c r="M781" s="1160"/>
      <c r="N781" s="1160"/>
      <c r="O781" s="1160"/>
      <c r="P781" s="1160"/>
      <c r="Q781" s="1160"/>
      <c r="R781" s="1160"/>
      <c r="S781" s="1160"/>
      <c r="T781" s="1160"/>
      <c r="U781" s="1160"/>
      <c r="V781" s="1160"/>
      <c r="W781" s="1160"/>
      <c r="X781" s="1211"/>
      <c r="Y781" s="1160"/>
      <c r="Z781" s="1160"/>
      <c r="AA781" s="1160"/>
      <c r="AB781" s="1160"/>
      <c r="AC781" s="1160"/>
      <c r="AD781" s="1160"/>
      <c r="AE781" s="1160"/>
    </row>
    <row r="782" ht="15.0" customHeight="1">
      <c r="A782" s="1209"/>
      <c r="B782" s="1209"/>
      <c r="C782" s="1210"/>
      <c r="D782" s="1160"/>
      <c r="E782" s="1160"/>
      <c r="F782" s="1160"/>
      <c r="G782" s="1160"/>
      <c r="H782" s="1160"/>
      <c r="I782" s="1160"/>
      <c r="J782" s="1160"/>
      <c r="K782" s="1160"/>
      <c r="L782" s="1160"/>
      <c r="M782" s="1160"/>
      <c r="N782" s="1160"/>
      <c r="O782" s="1160"/>
      <c r="P782" s="1160"/>
      <c r="Q782" s="1160"/>
      <c r="R782" s="1160"/>
      <c r="S782" s="1160"/>
      <c r="T782" s="1160"/>
      <c r="U782" s="1160"/>
      <c r="V782" s="1160"/>
      <c r="W782" s="1160"/>
      <c r="X782" s="1211"/>
      <c r="Y782" s="1160"/>
      <c r="Z782" s="1160"/>
      <c r="AA782" s="1160"/>
      <c r="AB782" s="1160"/>
      <c r="AC782" s="1160"/>
      <c r="AD782" s="1160"/>
      <c r="AE782" s="1160"/>
    </row>
    <row r="783" ht="15.0" customHeight="1">
      <c r="A783" s="1209"/>
      <c r="B783" s="1209"/>
      <c r="C783" s="1210"/>
      <c r="D783" s="1160"/>
      <c r="E783" s="1160"/>
      <c r="F783" s="1160"/>
      <c r="G783" s="1160"/>
      <c r="H783" s="1160"/>
      <c r="I783" s="1160"/>
      <c r="J783" s="1160"/>
      <c r="K783" s="1160"/>
      <c r="L783" s="1160"/>
      <c r="M783" s="1160"/>
      <c r="N783" s="1160"/>
      <c r="O783" s="1160"/>
      <c r="P783" s="1160"/>
      <c r="Q783" s="1160"/>
      <c r="R783" s="1160"/>
      <c r="S783" s="1160"/>
      <c r="T783" s="1160"/>
      <c r="U783" s="1160"/>
      <c r="V783" s="1160"/>
      <c r="W783" s="1160"/>
      <c r="X783" s="1211"/>
      <c r="Y783" s="1160"/>
      <c r="Z783" s="1160"/>
      <c r="AA783" s="1160"/>
      <c r="AB783" s="1160"/>
      <c r="AC783" s="1160"/>
      <c r="AD783" s="1160"/>
      <c r="AE783" s="1160"/>
    </row>
    <row r="784" ht="15.0" customHeight="1">
      <c r="A784" s="1209"/>
      <c r="B784" s="1209"/>
      <c r="C784" s="1210"/>
      <c r="D784" s="1160"/>
      <c r="E784" s="1160"/>
      <c r="F784" s="1160"/>
      <c r="G784" s="1160"/>
      <c r="H784" s="1160"/>
      <c r="I784" s="1160"/>
      <c r="J784" s="1160"/>
      <c r="K784" s="1160"/>
      <c r="L784" s="1160"/>
      <c r="M784" s="1160"/>
      <c r="N784" s="1160"/>
      <c r="O784" s="1160"/>
      <c r="P784" s="1160"/>
      <c r="Q784" s="1160"/>
      <c r="R784" s="1160"/>
      <c r="S784" s="1160"/>
      <c r="T784" s="1160"/>
      <c r="U784" s="1160"/>
      <c r="V784" s="1160"/>
      <c r="W784" s="1160"/>
      <c r="X784" s="1211"/>
      <c r="Y784" s="1160"/>
      <c r="Z784" s="1160"/>
      <c r="AA784" s="1160"/>
      <c r="AB784" s="1160"/>
      <c r="AC784" s="1160"/>
      <c r="AD784" s="1160"/>
      <c r="AE784" s="1160"/>
    </row>
    <row r="785" ht="15.0" customHeight="1">
      <c r="A785" s="1209"/>
      <c r="B785" s="1209"/>
      <c r="C785" s="1210"/>
      <c r="D785" s="1160"/>
      <c r="E785" s="1160"/>
      <c r="F785" s="1160"/>
      <c r="G785" s="1160"/>
      <c r="H785" s="1160"/>
      <c r="I785" s="1160"/>
      <c r="J785" s="1160"/>
      <c r="K785" s="1160"/>
      <c r="L785" s="1160"/>
      <c r="M785" s="1160"/>
      <c r="N785" s="1160"/>
      <c r="O785" s="1160"/>
      <c r="P785" s="1160"/>
      <c r="Q785" s="1160"/>
      <c r="R785" s="1160"/>
      <c r="S785" s="1160"/>
      <c r="T785" s="1160"/>
      <c r="U785" s="1160"/>
      <c r="V785" s="1160"/>
      <c r="W785" s="1160"/>
      <c r="X785" s="1211"/>
      <c r="Y785" s="1160"/>
      <c r="Z785" s="1160"/>
      <c r="AA785" s="1160"/>
      <c r="AB785" s="1160"/>
      <c r="AC785" s="1160"/>
      <c r="AD785" s="1160"/>
      <c r="AE785" s="1160"/>
    </row>
    <row r="786" ht="15.0" customHeight="1">
      <c r="A786" s="1209"/>
      <c r="B786" s="1209"/>
      <c r="C786" s="1210"/>
      <c r="D786" s="1160"/>
      <c r="E786" s="1160"/>
      <c r="F786" s="1160"/>
      <c r="G786" s="1160"/>
      <c r="H786" s="1160"/>
      <c r="I786" s="1160"/>
      <c r="J786" s="1160"/>
      <c r="K786" s="1160"/>
      <c r="L786" s="1160"/>
      <c r="M786" s="1160"/>
      <c r="N786" s="1160"/>
      <c r="O786" s="1160"/>
      <c r="P786" s="1160"/>
      <c r="Q786" s="1160"/>
      <c r="R786" s="1160"/>
      <c r="S786" s="1160"/>
      <c r="T786" s="1160"/>
      <c r="U786" s="1160"/>
      <c r="V786" s="1160"/>
      <c r="W786" s="1160"/>
      <c r="X786" s="1211"/>
      <c r="Y786" s="1160"/>
      <c r="Z786" s="1160"/>
      <c r="AA786" s="1160"/>
      <c r="AB786" s="1160"/>
      <c r="AC786" s="1160"/>
      <c r="AD786" s="1160"/>
      <c r="AE786" s="1160"/>
    </row>
    <row r="787" ht="15.0" customHeight="1">
      <c r="A787" s="1209"/>
      <c r="B787" s="1209"/>
      <c r="C787" s="1210"/>
      <c r="D787" s="1160"/>
      <c r="E787" s="1160"/>
      <c r="F787" s="1160"/>
      <c r="G787" s="1160"/>
      <c r="H787" s="1160"/>
      <c r="I787" s="1160"/>
      <c r="J787" s="1160"/>
      <c r="K787" s="1160"/>
      <c r="L787" s="1160"/>
      <c r="M787" s="1160"/>
      <c r="N787" s="1160"/>
      <c r="O787" s="1160"/>
      <c r="P787" s="1160"/>
      <c r="Q787" s="1160"/>
      <c r="R787" s="1160"/>
      <c r="S787" s="1160"/>
      <c r="T787" s="1160"/>
      <c r="U787" s="1160"/>
      <c r="V787" s="1160"/>
      <c r="W787" s="1160"/>
      <c r="X787" s="1211"/>
      <c r="Y787" s="1160"/>
      <c r="Z787" s="1160"/>
      <c r="AA787" s="1160"/>
      <c r="AB787" s="1160"/>
      <c r="AC787" s="1160"/>
      <c r="AD787" s="1160"/>
      <c r="AE787" s="1160"/>
    </row>
    <row r="788" ht="15.0" customHeight="1">
      <c r="A788" s="1209"/>
      <c r="B788" s="1209"/>
      <c r="C788" s="1210"/>
      <c r="D788" s="1160"/>
      <c r="E788" s="1160"/>
      <c r="F788" s="1160"/>
      <c r="G788" s="1160"/>
      <c r="H788" s="1160"/>
      <c r="I788" s="1160"/>
      <c r="J788" s="1160"/>
      <c r="K788" s="1160"/>
      <c r="L788" s="1160"/>
      <c r="M788" s="1160"/>
      <c r="N788" s="1160"/>
      <c r="O788" s="1160"/>
      <c r="P788" s="1160"/>
      <c r="Q788" s="1160"/>
      <c r="R788" s="1160"/>
      <c r="S788" s="1160"/>
      <c r="T788" s="1160"/>
      <c r="U788" s="1160"/>
      <c r="V788" s="1160"/>
      <c r="W788" s="1160"/>
      <c r="X788" s="1211"/>
      <c r="Y788" s="1160"/>
      <c r="Z788" s="1160"/>
      <c r="AA788" s="1160"/>
      <c r="AB788" s="1160"/>
      <c r="AC788" s="1160"/>
      <c r="AD788" s="1160"/>
      <c r="AE788" s="1160"/>
    </row>
    <row r="789" ht="15.0" customHeight="1">
      <c r="A789" s="1209"/>
      <c r="B789" s="1209"/>
      <c r="C789" s="1210"/>
      <c r="D789" s="1160"/>
      <c r="E789" s="1160"/>
      <c r="F789" s="1160"/>
      <c r="G789" s="1160"/>
      <c r="H789" s="1160"/>
      <c r="I789" s="1160"/>
      <c r="J789" s="1160"/>
      <c r="K789" s="1160"/>
      <c r="L789" s="1160"/>
      <c r="M789" s="1160"/>
      <c r="N789" s="1160"/>
      <c r="O789" s="1160"/>
      <c r="P789" s="1160"/>
      <c r="Q789" s="1160"/>
      <c r="R789" s="1160"/>
      <c r="S789" s="1160"/>
      <c r="T789" s="1160"/>
      <c r="U789" s="1160"/>
      <c r="V789" s="1160"/>
      <c r="W789" s="1160"/>
      <c r="X789" s="1211"/>
      <c r="Y789" s="1160"/>
      <c r="Z789" s="1160"/>
      <c r="AA789" s="1160"/>
      <c r="AB789" s="1160"/>
      <c r="AC789" s="1160"/>
      <c r="AD789" s="1160"/>
      <c r="AE789" s="1160"/>
    </row>
    <row r="790" ht="15.0" customHeight="1">
      <c r="A790" s="1209"/>
      <c r="B790" s="1209"/>
      <c r="C790" s="1210"/>
      <c r="D790" s="1160"/>
      <c r="E790" s="1160"/>
      <c r="F790" s="1160"/>
      <c r="G790" s="1160"/>
      <c r="H790" s="1160"/>
      <c r="I790" s="1160"/>
      <c r="J790" s="1160"/>
      <c r="K790" s="1160"/>
      <c r="L790" s="1160"/>
      <c r="M790" s="1160"/>
      <c r="N790" s="1160"/>
      <c r="O790" s="1160"/>
      <c r="P790" s="1160"/>
      <c r="Q790" s="1160"/>
      <c r="R790" s="1160"/>
      <c r="S790" s="1160"/>
      <c r="T790" s="1160"/>
      <c r="U790" s="1160"/>
      <c r="V790" s="1160"/>
      <c r="W790" s="1160"/>
      <c r="X790" s="1211"/>
      <c r="Y790" s="1160"/>
      <c r="Z790" s="1160"/>
      <c r="AA790" s="1160"/>
      <c r="AB790" s="1160"/>
      <c r="AC790" s="1160"/>
      <c r="AD790" s="1160"/>
      <c r="AE790" s="1160"/>
    </row>
    <row r="791" ht="15.0" customHeight="1">
      <c r="A791" s="1209"/>
      <c r="B791" s="1209"/>
      <c r="C791" s="1210"/>
      <c r="D791" s="1160"/>
      <c r="E791" s="1160"/>
      <c r="F791" s="1160"/>
      <c r="G791" s="1160"/>
      <c r="H791" s="1160"/>
      <c r="I791" s="1160"/>
      <c r="J791" s="1160"/>
      <c r="K791" s="1160"/>
      <c r="L791" s="1160"/>
      <c r="M791" s="1160"/>
      <c r="N791" s="1160"/>
      <c r="O791" s="1160"/>
      <c r="P791" s="1160"/>
      <c r="Q791" s="1160"/>
      <c r="R791" s="1160"/>
      <c r="S791" s="1160"/>
      <c r="T791" s="1160"/>
      <c r="U791" s="1160"/>
      <c r="V791" s="1160"/>
      <c r="W791" s="1160"/>
      <c r="X791" s="1211"/>
      <c r="Y791" s="1160"/>
      <c r="Z791" s="1160"/>
      <c r="AA791" s="1160"/>
      <c r="AB791" s="1160"/>
      <c r="AC791" s="1160"/>
      <c r="AD791" s="1160"/>
      <c r="AE791" s="1160"/>
    </row>
    <row r="792" ht="15.0" customHeight="1">
      <c r="A792" s="1209"/>
      <c r="B792" s="1209"/>
      <c r="C792" s="1210"/>
      <c r="D792" s="1160"/>
      <c r="E792" s="1160"/>
      <c r="F792" s="1160"/>
      <c r="G792" s="1160"/>
      <c r="H792" s="1160"/>
      <c r="I792" s="1160"/>
      <c r="J792" s="1160"/>
      <c r="K792" s="1160"/>
      <c r="L792" s="1160"/>
      <c r="M792" s="1160"/>
      <c r="N792" s="1160"/>
      <c r="O792" s="1160"/>
      <c r="P792" s="1160"/>
      <c r="Q792" s="1160"/>
      <c r="R792" s="1160"/>
      <c r="S792" s="1160"/>
      <c r="T792" s="1160"/>
      <c r="U792" s="1160"/>
      <c r="V792" s="1160"/>
      <c r="W792" s="1160"/>
      <c r="X792" s="1211"/>
      <c r="Y792" s="1160"/>
      <c r="Z792" s="1160"/>
      <c r="AA792" s="1160"/>
      <c r="AB792" s="1160"/>
      <c r="AC792" s="1160"/>
      <c r="AD792" s="1160"/>
      <c r="AE792" s="1160"/>
    </row>
    <row r="793" ht="15.0" customHeight="1">
      <c r="A793" s="1209"/>
      <c r="B793" s="1209"/>
      <c r="C793" s="1210"/>
      <c r="D793" s="1160"/>
      <c r="E793" s="1160"/>
      <c r="F793" s="1160"/>
      <c r="G793" s="1160"/>
      <c r="H793" s="1160"/>
      <c r="I793" s="1160"/>
      <c r="J793" s="1160"/>
      <c r="K793" s="1160"/>
      <c r="L793" s="1160"/>
      <c r="M793" s="1160"/>
      <c r="N793" s="1160"/>
      <c r="O793" s="1160"/>
      <c r="P793" s="1160"/>
      <c r="Q793" s="1160"/>
      <c r="R793" s="1160"/>
      <c r="S793" s="1160"/>
      <c r="T793" s="1160"/>
      <c r="U793" s="1160"/>
      <c r="V793" s="1160"/>
      <c r="W793" s="1160"/>
      <c r="X793" s="1211"/>
      <c r="Y793" s="1160"/>
      <c r="Z793" s="1160"/>
      <c r="AA793" s="1160"/>
      <c r="AB793" s="1160"/>
      <c r="AC793" s="1160"/>
      <c r="AD793" s="1160"/>
      <c r="AE793" s="1160"/>
    </row>
    <row r="794" ht="15.0" customHeight="1">
      <c r="A794" s="1209"/>
      <c r="B794" s="1209"/>
      <c r="C794" s="1210"/>
      <c r="D794" s="1160"/>
      <c r="E794" s="1160"/>
      <c r="F794" s="1160"/>
      <c r="G794" s="1160"/>
      <c r="H794" s="1160"/>
      <c r="I794" s="1160"/>
      <c r="J794" s="1160"/>
      <c r="K794" s="1160"/>
      <c r="L794" s="1160"/>
      <c r="M794" s="1160"/>
      <c r="N794" s="1160"/>
      <c r="O794" s="1160"/>
      <c r="P794" s="1160"/>
      <c r="Q794" s="1160"/>
      <c r="R794" s="1160"/>
      <c r="S794" s="1160"/>
      <c r="T794" s="1160"/>
      <c r="U794" s="1160"/>
      <c r="V794" s="1160"/>
      <c r="W794" s="1160"/>
      <c r="X794" s="1211"/>
      <c r="Y794" s="1160"/>
      <c r="Z794" s="1160"/>
      <c r="AA794" s="1160"/>
      <c r="AB794" s="1160"/>
      <c r="AC794" s="1160"/>
      <c r="AD794" s="1160"/>
      <c r="AE794" s="1160"/>
    </row>
    <row r="795" ht="15.0" customHeight="1">
      <c r="A795" s="1209"/>
      <c r="B795" s="1209"/>
      <c r="C795" s="1210"/>
      <c r="D795" s="1160"/>
      <c r="E795" s="1160"/>
      <c r="F795" s="1160"/>
      <c r="G795" s="1160"/>
      <c r="H795" s="1160"/>
      <c r="I795" s="1160"/>
      <c r="J795" s="1160"/>
      <c r="K795" s="1160"/>
      <c r="L795" s="1160"/>
      <c r="M795" s="1160"/>
      <c r="N795" s="1160"/>
      <c r="O795" s="1160"/>
      <c r="P795" s="1160"/>
      <c r="Q795" s="1160"/>
      <c r="R795" s="1160"/>
      <c r="S795" s="1160"/>
      <c r="T795" s="1160"/>
      <c r="U795" s="1160"/>
      <c r="V795" s="1160"/>
      <c r="W795" s="1160"/>
      <c r="X795" s="1211"/>
      <c r="Y795" s="1160"/>
      <c r="Z795" s="1160"/>
      <c r="AA795" s="1160"/>
      <c r="AB795" s="1160"/>
      <c r="AC795" s="1160"/>
      <c r="AD795" s="1160"/>
      <c r="AE795" s="1160"/>
    </row>
    <row r="796" ht="15.0" customHeight="1">
      <c r="A796" s="1209"/>
      <c r="B796" s="1209"/>
      <c r="C796" s="1210"/>
      <c r="D796" s="1160"/>
      <c r="E796" s="1160"/>
      <c r="F796" s="1160"/>
      <c r="G796" s="1160"/>
      <c r="H796" s="1160"/>
      <c r="I796" s="1160"/>
      <c r="J796" s="1160"/>
      <c r="K796" s="1160"/>
      <c r="L796" s="1160"/>
      <c r="M796" s="1160"/>
      <c r="N796" s="1160"/>
      <c r="O796" s="1160"/>
      <c r="P796" s="1160"/>
      <c r="Q796" s="1160"/>
      <c r="R796" s="1160"/>
      <c r="S796" s="1160"/>
      <c r="T796" s="1160"/>
      <c r="U796" s="1160"/>
      <c r="V796" s="1160"/>
      <c r="W796" s="1160"/>
      <c r="X796" s="1211"/>
      <c r="Y796" s="1160"/>
      <c r="Z796" s="1160"/>
      <c r="AA796" s="1160"/>
      <c r="AB796" s="1160"/>
      <c r="AC796" s="1160"/>
      <c r="AD796" s="1160"/>
      <c r="AE796" s="1160"/>
    </row>
    <row r="797" ht="15.0" customHeight="1">
      <c r="A797" s="1209"/>
      <c r="B797" s="1209"/>
      <c r="C797" s="1210"/>
      <c r="D797" s="1160"/>
      <c r="E797" s="1160"/>
      <c r="F797" s="1160"/>
      <c r="G797" s="1160"/>
      <c r="H797" s="1160"/>
      <c r="I797" s="1160"/>
      <c r="J797" s="1160"/>
      <c r="K797" s="1160"/>
      <c r="L797" s="1160"/>
      <c r="M797" s="1160"/>
      <c r="N797" s="1160"/>
      <c r="O797" s="1160"/>
      <c r="P797" s="1160"/>
      <c r="Q797" s="1160"/>
      <c r="R797" s="1160"/>
      <c r="S797" s="1160"/>
      <c r="T797" s="1160"/>
      <c r="U797" s="1160"/>
      <c r="V797" s="1160"/>
      <c r="W797" s="1160"/>
      <c r="X797" s="1211"/>
      <c r="Y797" s="1160"/>
      <c r="Z797" s="1160"/>
      <c r="AA797" s="1160"/>
      <c r="AB797" s="1160"/>
      <c r="AC797" s="1160"/>
      <c r="AD797" s="1160"/>
      <c r="AE797" s="1160"/>
    </row>
    <row r="798" ht="15.0" customHeight="1">
      <c r="A798" s="1209"/>
      <c r="B798" s="1209"/>
      <c r="C798" s="1210"/>
      <c r="D798" s="1160"/>
      <c r="E798" s="1160"/>
      <c r="F798" s="1160"/>
      <c r="G798" s="1160"/>
      <c r="H798" s="1160"/>
      <c r="I798" s="1160"/>
      <c r="J798" s="1160"/>
      <c r="K798" s="1160"/>
      <c r="L798" s="1160"/>
      <c r="M798" s="1160"/>
      <c r="N798" s="1160"/>
      <c r="O798" s="1160"/>
      <c r="P798" s="1160"/>
      <c r="Q798" s="1160"/>
      <c r="R798" s="1160"/>
      <c r="S798" s="1160"/>
      <c r="T798" s="1160"/>
      <c r="U798" s="1160"/>
      <c r="V798" s="1160"/>
      <c r="W798" s="1160"/>
      <c r="X798" s="1211"/>
      <c r="Y798" s="1160"/>
      <c r="Z798" s="1160"/>
      <c r="AA798" s="1160"/>
      <c r="AB798" s="1160"/>
      <c r="AC798" s="1160"/>
      <c r="AD798" s="1160"/>
      <c r="AE798" s="1160"/>
    </row>
    <row r="799" ht="15.0" customHeight="1">
      <c r="A799" s="1209"/>
      <c r="B799" s="1209"/>
      <c r="C799" s="1210"/>
      <c r="D799" s="1160"/>
      <c r="E799" s="1160"/>
      <c r="F799" s="1160"/>
      <c r="G799" s="1160"/>
      <c r="H799" s="1160"/>
      <c r="I799" s="1160"/>
      <c r="J799" s="1160"/>
      <c r="K799" s="1160"/>
      <c r="L799" s="1160"/>
      <c r="M799" s="1160"/>
      <c r="N799" s="1160"/>
      <c r="O799" s="1160"/>
      <c r="P799" s="1160"/>
      <c r="Q799" s="1160"/>
      <c r="R799" s="1160"/>
      <c r="S799" s="1160"/>
      <c r="T799" s="1160"/>
      <c r="U799" s="1160"/>
      <c r="V799" s="1160"/>
      <c r="W799" s="1160"/>
      <c r="X799" s="1211"/>
      <c r="Y799" s="1160"/>
      <c r="Z799" s="1160"/>
      <c r="AA799" s="1160"/>
      <c r="AB799" s="1160"/>
      <c r="AC799" s="1160"/>
      <c r="AD799" s="1160"/>
      <c r="AE799" s="1160"/>
    </row>
    <row r="800" ht="15.0" customHeight="1">
      <c r="A800" s="1209"/>
      <c r="B800" s="1209"/>
      <c r="C800" s="1210"/>
      <c r="D800" s="1160"/>
      <c r="E800" s="1160"/>
      <c r="F800" s="1160"/>
      <c r="G800" s="1160"/>
      <c r="H800" s="1160"/>
      <c r="I800" s="1160"/>
      <c r="J800" s="1160"/>
      <c r="K800" s="1160"/>
      <c r="L800" s="1160"/>
      <c r="M800" s="1160"/>
      <c r="N800" s="1160"/>
      <c r="O800" s="1160"/>
      <c r="P800" s="1160"/>
      <c r="Q800" s="1160"/>
      <c r="R800" s="1160"/>
      <c r="S800" s="1160"/>
      <c r="T800" s="1160"/>
      <c r="U800" s="1160"/>
      <c r="V800" s="1160"/>
      <c r="W800" s="1160"/>
      <c r="X800" s="1211"/>
      <c r="Y800" s="1160"/>
      <c r="Z800" s="1160"/>
      <c r="AA800" s="1160"/>
      <c r="AB800" s="1160"/>
      <c r="AC800" s="1160"/>
      <c r="AD800" s="1160"/>
      <c r="AE800" s="1160"/>
    </row>
    <row r="801" ht="15.0" customHeight="1">
      <c r="A801" s="1209"/>
      <c r="B801" s="1209"/>
      <c r="C801" s="1210"/>
      <c r="D801" s="1160"/>
      <c r="E801" s="1160"/>
      <c r="F801" s="1160"/>
      <c r="G801" s="1160"/>
      <c r="H801" s="1160"/>
      <c r="I801" s="1160"/>
      <c r="J801" s="1160"/>
      <c r="K801" s="1160"/>
      <c r="L801" s="1160"/>
      <c r="M801" s="1160"/>
      <c r="N801" s="1160"/>
      <c r="O801" s="1160"/>
      <c r="P801" s="1160"/>
      <c r="Q801" s="1160"/>
      <c r="R801" s="1160"/>
      <c r="S801" s="1160"/>
      <c r="T801" s="1160"/>
      <c r="U801" s="1160"/>
      <c r="V801" s="1160"/>
      <c r="W801" s="1160"/>
      <c r="X801" s="1211"/>
      <c r="Y801" s="1160"/>
      <c r="Z801" s="1160"/>
      <c r="AA801" s="1160"/>
      <c r="AB801" s="1160"/>
      <c r="AC801" s="1160"/>
      <c r="AD801" s="1160"/>
      <c r="AE801" s="1160"/>
    </row>
    <row r="802" ht="15.0" customHeight="1">
      <c r="A802" s="1209"/>
      <c r="B802" s="1209"/>
      <c r="C802" s="1210"/>
      <c r="D802" s="1160"/>
      <c r="E802" s="1160"/>
      <c r="F802" s="1160"/>
      <c r="G802" s="1160"/>
      <c r="H802" s="1160"/>
      <c r="I802" s="1160"/>
      <c r="J802" s="1160"/>
      <c r="K802" s="1160"/>
      <c r="L802" s="1160"/>
      <c r="M802" s="1160"/>
      <c r="N802" s="1160"/>
      <c r="O802" s="1160"/>
      <c r="P802" s="1160"/>
      <c r="Q802" s="1160"/>
      <c r="R802" s="1160"/>
      <c r="S802" s="1160"/>
      <c r="T802" s="1160"/>
      <c r="U802" s="1160"/>
      <c r="V802" s="1160"/>
      <c r="W802" s="1160"/>
      <c r="X802" s="1211"/>
      <c r="Y802" s="1160"/>
      <c r="Z802" s="1160"/>
      <c r="AA802" s="1160"/>
      <c r="AB802" s="1160"/>
      <c r="AC802" s="1160"/>
      <c r="AD802" s="1160"/>
      <c r="AE802" s="1160"/>
    </row>
    <row r="803" ht="15.0" customHeight="1">
      <c r="A803" s="1209"/>
      <c r="B803" s="1209"/>
      <c r="C803" s="1210"/>
      <c r="D803" s="1160"/>
      <c r="E803" s="1160"/>
      <c r="F803" s="1160"/>
      <c r="G803" s="1160"/>
      <c r="H803" s="1160"/>
      <c r="I803" s="1160"/>
      <c r="J803" s="1160"/>
      <c r="K803" s="1160"/>
      <c r="L803" s="1160"/>
      <c r="M803" s="1160"/>
      <c r="N803" s="1160"/>
      <c r="O803" s="1160"/>
      <c r="P803" s="1160"/>
      <c r="Q803" s="1160"/>
      <c r="R803" s="1160"/>
      <c r="S803" s="1160"/>
      <c r="T803" s="1160"/>
      <c r="U803" s="1160"/>
      <c r="V803" s="1160"/>
      <c r="W803" s="1160"/>
      <c r="X803" s="1211"/>
      <c r="Y803" s="1160"/>
      <c r="Z803" s="1160"/>
      <c r="AA803" s="1160"/>
      <c r="AB803" s="1160"/>
      <c r="AC803" s="1160"/>
      <c r="AD803" s="1160"/>
      <c r="AE803" s="1160"/>
    </row>
    <row r="804" ht="15.0" customHeight="1">
      <c r="A804" s="1209"/>
      <c r="B804" s="1209"/>
      <c r="C804" s="1210"/>
      <c r="D804" s="1160"/>
      <c r="E804" s="1160"/>
      <c r="F804" s="1160"/>
      <c r="G804" s="1160"/>
      <c r="H804" s="1160"/>
      <c r="I804" s="1160"/>
      <c r="J804" s="1160"/>
      <c r="K804" s="1160"/>
      <c r="L804" s="1160"/>
      <c r="M804" s="1160"/>
      <c r="N804" s="1160"/>
      <c r="O804" s="1160"/>
      <c r="P804" s="1160"/>
      <c r="Q804" s="1160"/>
      <c r="R804" s="1160"/>
      <c r="S804" s="1160"/>
      <c r="T804" s="1160"/>
      <c r="U804" s="1160"/>
      <c r="V804" s="1160"/>
      <c r="W804" s="1160"/>
      <c r="X804" s="1211"/>
      <c r="Y804" s="1160"/>
      <c r="Z804" s="1160"/>
      <c r="AA804" s="1160"/>
      <c r="AB804" s="1160"/>
      <c r="AC804" s="1160"/>
      <c r="AD804" s="1160"/>
      <c r="AE804" s="1160"/>
    </row>
    <row r="805" ht="15.0" customHeight="1">
      <c r="A805" s="1209"/>
      <c r="B805" s="1209"/>
      <c r="C805" s="1210"/>
      <c r="D805" s="1160"/>
      <c r="E805" s="1160"/>
      <c r="F805" s="1160"/>
      <c r="G805" s="1160"/>
      <c r="H805" s="1160"/>
      <c r="I805" s="1160"/>
      <c r="J805" s="1160"/>
      <c r="K805" s="1160"/>
      <c r="L805" s="1160"/>
      <c r="M805" s="1160"/>
      <c r="N805" s="1160"/>
      <c r="O805" s="1160"/>
      <c r="P805" s="1160"/>
      <c r="Q805" s="1160"/>
      <c r="R805" s="1160"/>
      <c r="S805" s="1160"/>
      <c r="T805" s="1160"/>
      <c r="U805" s="1160"/>
      <c r="V805" s="1160"/>
      <c r="W805" s="1160"/>
      <c r="X805" s="1211"/>
      <c r="Y805" s="1160"/>
      <c r="Z805" s="1160"/>
      <c r="AA805" s="1160"/>
      <c r="AB805" s="1160"/>
      <c r="AC805" s="1160"/>
      <c r="AD805" s="1160"/>
      <c r="AE805" s="1160"/>
    </row>
    <row r="806" ht="15.0" customHeight="1">
      <c r="A806" s="1209"/>
      <c r="B806" s="1209"/>
      <c r="C806" s="1210"/>
      <c r="D806" s="1160"/>
      <c r="E806" s="1160"/>
      <c r="F806" s="1160"/>
      <c r="G806" s="1160"/>
      <c r="H806" s="1160"/>
      <c r="I806" s="1160"/>
      <c r="J806" s="1160"/>
      <c r="K806" s="1160"/>
      <c r="L806" s="1160"/>
      <c r="M806" s="1160"/>
      <c r="N806" s="1160"/>
      <c r="O806" s="1160"/>
      <c r="P806" s="1160"/>
      <c r="Q806" s="1160"/>
      <c r="R806" s="1160"/>
      <c r="S806" s="1160"/>
      <c r="T806" s="1160"/>
      <c r="U806" s="1160"/>
      <c r="V806" s="1160"/>
      <c r="W806" s="1160"/>
      <c r="X806" s="1211"/>
      <c r="Y806" s="1160"/>
      <c r="Z806" s="1160"/>
      <c r="AA806" s="1160"/>
      <c r="AB806" s="1160"/>
      <c r="AC806" s="1160"/>
      <c r="AD806" s="1160"/>
      <c r="AE806" s="1160"/>
    </row>
    <row r="807" ht="15.0" customHeight="1">
      <c r="A807" s="1209"/>
      <c r="B807" s="1209"/>
      <c r="C807" s="1210"/>
      <c r="D807" s="1160"/>
      <c r="E807" s="1160"/>
      <c r="F807" s="1160"/>
      <c r="G807" s="1160"/>
      <c r="H807" s="1160"/>
      <c r="I807" s="1160"/>
      <c r="J807" s="1160"/>
      <c r="K807" s="1160"/>
      <c r="L807" s="1160"/>
      <c r="M807" s="1160"/>
      <c r="N807" s="1160"/>
      <c r="O807" s="1160"/>
      <c r="P807" s="1160"/>
      <c r="Q807" s="1160"/>
      <c r="R807" s="1160"/>
      <c r="S807" s="1160"/>
      <c r="T807" s="1160"/>
      <c r="U807" s="1160"/>
      <c r="V807" s="1160"/>
      <c r="W807" s="1160"/>
      <c r="X807" s="1211"/>
      <c r="Y807" s="1160"/>
      <c r="Z807" s="1160"/>
      <c r="AA807" s="1160"/>
      <c r="AB807" s="1160"/>
      <c r="AC807" s="1160"/>
      <c r="AD807" s="1160"/>
      <c r="AE807" s="1160"/>
    </row>
    <row r="808" ht="15.0" customHeight="1">
      <c r="A808" s="1209"/>
      <c r="B808" s="1209"/>
      <c r="C808" s="1210"/>
      <c r="D808" s="1160"/>
      <c r="E808" s="1160"/>
      <c r="F808" s="1160"/>
      <c r="G808" s="1160"/>
      <c r="H808" s="1160"/>
      <c r="I808" s="1160"/>
      <c r="J808" s="1160"/>
      <c r="K808" s="1160"/>
      <c r="L808" s="1160"/>
      <c r="M808" s="1160"/>
      <c r="N808" s="1160"/>
      <c r="O808" s="1160"/>
      <c r="P808" s="1160"/>
      <c r="Q808" s="1160"/>
      <c r="R808" s="1160"/>
      <c r="S808" s="1160"/>
      <c r="T808" s="1160"/>
      <c r="U808" s="1160"/>
      <c r="V808" s="1160"/>
      <c r="W808" s="1160"/>
      <c r="X808" s="1211"/>
      <c r="Y808" s="1160"/>
      <c r="Z808" s="1160"/>
      <c r="AA808" s="1160"/>
      <c r="AB808" s="1160"/>
      <c r="AC808" s="1160"/>
      <c r="AD808" s="1160"/>
      <c r="AE808" s="1160"/>
    </row>
    <row r="809" ht="15.0" customHeight="1">
      <c r="A809" s="1209"/>
      <c r="B809" s="1209"/>
      <c r="C809" s="1210"/>
      <c r="D809" s="1160"/>
      <c r="E809" s="1160"/>
      <c r="F809" s="1160"/>
      <c r="G809" s="1160"/>
      <c r="H809" s="1160"/>
      <c r="I809" s="1160"/>
      <c r="J809" s="1160"/>
      <c r="K809" s="1160"/>
      <c r="L809" s="1160"/>
      <c r="M809" s="1160"/>
      <c r="N809" s="1160"/>
      <c r="O809" s="1160"/>
      <c r="P809" s="1160"/>
      <c r="Q809" s="1160"/>
      <c r="R809" s="1160"/>
      <c r="S809" s="1160"/>
      <c r="T809" s="1160"/>
      <c r="U809" s="1160"/>
      <c r="V809" s="1160"/>
      <c r="W809" s="1160"/>
      <c r="X809" s="1211"/>
      <c r="Y809" s="1160"/>
      <c r="Z809" s="1160"/>
      <c r="AA809" s="1160"/>
      <c r="AB809" s="1160"/>
      <c r="AC809" s="1160"/>
      <c r="AD809" s="1160"/>
      <c r="AE809" s="1160"/>
    </row>
    <row r="810" ht="15.0" customHeight="1">
      <c r="A810" s="1209"/>
      <c r="B810" s="1209"/>
      <c r="C810" s="1210"/>
      <c r="D810" s="1160"/>
      <c r="E810" s="1160"/>
      <c r="F810" s="1160"/>
      <c r="G810" s="1160"/>
      <c r="H810" s="1160"/>
      <c r="I810" s="1160"/>
      <c r="J810" s="1160"/>
      <c r="K810" s="1160"/>
      <c r="L810" s="1160"/>
      <c r="M810" s="1160"/>
      <c r="N810" s="1160"/>
      <c r="O810" s="1160"/>
      <c r="P810" s="1160"/>
      <c r="Q810" s="1160"/>
      <c r="R810" s="1160"/>
      <c r="S810" s="1160"/>
      <c r="T810" s="1160"/>
      <c r="U810" s="1160"/>
      <c r="V810" s="1160"/>
      <c r="W810" s="1160"/>
      <c r="X810" s="1211"/>
      <c r="Y810" s="1160"/>
      <c r="Z810" s="1160"/>
      <c r="AA810" s="1160"/>
      <c r="AB810" s="1160"/>
      <c r="AC810" s="1160"/>
      <c r="AD810" s="1160"/>
      <c r="AE810" s="1160"/>
    </row>
    <row r="811" ht="15.0" customHeight="1">
      <c r="A811" s="1209"/>
      <c r="B811" s="1209"/>
      <c r="C811" s="1210"/>
      <c r="D811" s="1160"/>
      <c r="E811" s="1160"/>
      <c r="F811" s="1160"/>
      <c r="G811" s="1160"/>
      <c r="H811" s="1160"/>
      <c r="I811" s="1160"/>
      <c r="J811" s="1160"/>
      <c r="K811" s="1160"/>
      <c r="L811" s="1160"/>
      <c r="M811" s="1160"/>
      <c r="N811" s="1160"/>
      <c r="O811" s="1160"/>
      <c r="P811" s="1160"/>
      <c r="Q811" s="1160"/>
      <c r="R811" s="1160"/>
      <c r="S811" s="1160"/>
      <c r="T811" s="1160"/>
      <c r="U811" s="1160"/>
      <c r="V811" s="1160"/>
      <c r="W811" s="1160"/>
      <c r="X811" s="1211"/>
      <c r="Y811" s="1160"/>
      <c r="Z811" s="1160"/>
      <c r="AA811" s="1160"/>
      <c r="AB811" s="1160"/>
      <c r="AC811" s="1160"/>
      <c r="AD811" s="1160"/>
      <c r="AE811" s="1160"/>
    </row>
    <row r="812" ht="15.0" customHeight="1">
      <c r="A812" s="1209"/>
      <c r="B812" s="1209"/>
      <c r="C812" s="1210"/>
      <c r="D812" s="1160"/>
      <c r="E812" s="1160"/>
      <c r="F812" s="1160"/>
      <c r="G812" s="1160"/>
      <c r="H812" s="1160"/>
      <c r="I812" s="1160"/>
      <c r="J812" s="1160"/>
      <c r="K812" s="1160"/>
      <c r="L812" s="1160"/>
      <c r="M812" s="1160"/>
      <c r="N812" s="1160"/>
      <c r="O812" s="1160"/>
      <c r="P812" s="1160"/>
      <c r="Q812" s="1160"/>
      <c r="R812" s="1160"/>
      <c r="S812" s="1160"/>
      <c r="T812" s="1160"/>
      <c r="U812" s="1160"/>
      <c r="V812" s="1160"/>
      <c r="W812" s="1160"/>
      <c r="X812" s="1211"/>
      <c r="Y812" s="1160"/>
      <c r="Z812" s="1160"/>
      <c r="AA812" s="1160"/>
      <c r="AB812" s="1160"/>
      <c r="AC812" s="1160"/>
      <c r="AD812" s="1160"/>
      <c r="AE812" s="1160"/>
    </row>
    <row r="813" ht="15.0" customHeight="1">
      <c r="A813" s="1209"/>
      <c r="B813" s="1209"/>
      <c r="C813" s="1210"/>
      <c r="D813" s="1160"/>
      <c r="E813" s="1160"/>
      <c r="F813" s="1160"/>
      <c r="G813" s="1160"/>
      <c r="H813" s="1160"/>
      <c r="I813" s="1160"/>
      <c r="J813" s="1160"/>
      <c r="K813" s="1160"/>
      <c r="L813" s="1160"/>
      <c r="M813" s="1160"/>
      <c r="N813" s="1160"/>
      <c r="O813" s="1160"/>
      <c r="P813" s="1160"/>
      <c r="Q813" s="1160"/>
      <c r="R813" s="1160"/>
      <c r="S813" s="1160"/>
      <c r="T813" s="1160"/>
      <c r="U813" s="1160"/>
      <c r="V813" s="1160"/>
      <c r="W813" s="1160"/>
      <c r="X813" s="1211"/>
      <c r="Y813" s="1160"/>
      <c r="Z813" s="1160"/>
      <c r="AA813" s="1160"/>
      <c r="AB813" s="1160"/>
      <c r="AC813" s="1160"/>
      <c r="AD813" s="1160"/>
      <c r="AE813" s="1160"/>
    </row>
    <row r="814" ht="15.0" customHeight="1">
      <c r="A814" s="1209"/>
      <c r="B814" s="1209"/>
      <c r="C814" s="1210"/>
      <c r="D814" s="1160"/>
      <c r="E814" s="1160"/>
      <c r="F814" s="1160"/>
      <c r="G814" s="1160"/>
      <c r="H814" s="1160"/>
      <c r="I814" s="1160"/>
      <c r="J814" s="1160"/>
      <c r="K814" s="1160"/>
      <c r="L814" s="1160"/>
      <c r="M814" s="1160"/>
      <c r="N814" s="1160"/>
      <c r="O814" s="1160"/>
      <c r="P814" s="1160"/>
      <c r="Q814" s="1160"/>
      <c r="R814" s="1160"/>
      <c r="S814" s="1160"/>
      <c r="T814" s="1160"/>
      <c r="U814" s="1160"/>
      <c r="V814" s="1160"/>
      <c r="W814" s="1160"/>
      <c r="X814" s="1211"/>
      <c r="Y814" s="1160"/>
      <c r="Z814" s="1160"/>
      <c r="AA814" s="1160"/>
      <c r="AB814" s="1160"/>
      <c r="AC814" s="1160"/>
      <c r="AD814" s="1160"/>
      <c r="AE814" s="1160"/>
    </row>
    <row r="815" ht="15.0" customHeight="1">
      <c r="A815" s="1209"/>
      <c r="B815" s="1209"/>
      <c r="C815" s="1210"/>
      <c r="D815" s="1160"/>
      <c r="E815" s="1160"/>
      <c r="F815" s="1160"/>
      <c r="G815" s="1160"/>
      <c r="H815" s="1160"/>
      <c r="I815" s="1160"/>
      <c r="J815" s="1160"/>
      <c r="K815" s="1160"/>
      <c r="L815" s="1160"/>
      <c r="M815" s="1160"/>
      <c r="N815" s="1160"/>
      <c r="O815" s="1160"/>
      <c r="P815" s="1160"/>
      <c r="Q815" s="1160"/>
      <c r="R815" s="1160"/>
      <c r="S815" s="1160"/>
      <c r="T815" s="1160"/>
      <c r="U815" s="1160"/>
      <c r="V815" s="1160"/>
      <c r="W815" s="1160"/>
      <c r="X815" s="1211"/>
      <c r="Y815" s="1160"/>
      <c r="Z815" s="1160"/>
      <c r="AA815" s="1160"/>
      <c r="AB815" s="1160"/>
      <c r="AC815" s="1160"/>
      <c r="AD815" s="1160"/>
      <c r="AE815" s="1160"/>
    </row>
    <row r="816" ht="15.0" customHeight="1">
      <c r="A816" s="1209"/>
      <c r="B816" s="1209"/>
      <c r="C816" s="1210"/>
      <c r="D816" s="1160"/>
      <c r="E816" s="1160"/>
      <c r="F816" s="1160"/>
      <c r="G816" s="1160"/>
      <c r="H816" s="1160"/>
      <c r="I816" s="1160"/>
      <c r="J816" s="1160"/>
      <c r="K816" s="1160"/>
      <c r="L816" s="1160"/>
      <c r="M816" s="1160"/>
      <c r="N816" s="1160"/>
      <c r="O816" s="1160"/>
      <c r="P816" s="1160"/>
      <c r="Q816" s="1160"/>
      <c r="R816" s="1160"/>
      <c r="S816" s="1160"/>
      <c r="T816" s="1160"/>
      <c r="U816" s="1160"/>
      <c r="V816" s="1160"/>
      <c r="W816" s="1160"/>
      <c r="X816" s="1211"/>
      <c r="Y816" s="1160"/>
      <c r="Z816" s="1160"/>
      <c r="AA816" s="1160"/>
      <c r="AB816" s="1160"/>
      <c r="AC816" s="1160"/>
      <c r="AD816" s="1160"/>
      <c r="AE816" s="1160"/>
    </row>
    <row r="817" ht="15.0" customHeight="1">
      <c r="A817" s="1209"/>
      <c r="B817" s="1209"/>
      <c r="C817" s="1210"/>
      <c r="D817" s="1160"/>
      <c r="E817" s="1160"/>
      <c r="F817" s="1160"/>
      <c r="G817" s="1160"/>
      <c r="H817" s="1160"/>
      <c r="I817" s="1160"/>
      <c r="J817" s="1160"/>
      <c r="K817" s="1160"/>
      <c r="L817" s="1160"/>
      <c r="M817" s="1160"/>
      <c r="N817" s="1160"/>
      <c r="O817" s="1160"/>
      <c r="P817" s="1160"/>
      <c r="Q817" s="1160"/>
      <c r="R817" s="1160"/>
      <c r="S817" s="1160"/>
      <c r="T817" s="1160"/>
      <c r="U817" s="1160"/>
      <c r="V817" s="1160"/>
      <c r="W817" s="1160"/>
      <c r="X817" s="1211"/>
      <c r="Y817" s="1160"/>
      <c r="Z817" s="1160"/>
      <c r="AA817" s="1160"/>
      <c r="AB817" s="1160"/>
      <c r="AC817" s="1160"/>
      <c r="AD817" s="1160"/>
      <c r="AE817" s="1160"/>
    </row>
    <row r="818" ht="15.0" customHeight="1">
      <c r="A818" s="1209"/>
      <c r="B818" s="1209"/>
      <c r="C818" s="1210"/>
      <c r="D818" s="1160"/>
      <c r="E818" s="1160"/>
      <c r="F818" s="1160"/>
      <c r="G818" s="1160"/>
      <c r="H818" s="1160"/>
      <c r="I818" s="1160"/>
      <c r="J818" s="1160"/>
      <c r="K818" s="1160"/>
      <c r="L818" s="1160"/>
      <c r="M818" s="1160"/>
      <c r="N818" s="1160"/>
      <c r="O818" s="1160"/>
      <c r="P818" s="1160"/>
      <c r="Q818" s="1160"/>
      <c r="R818" s="1160"/>
      <c r="S818" s="1160"/>
      <c r="T818" s="1160"/>
      <c r="U818" s="1160"/>
      <c r="V818" s="1160"/>
      <c r="W818" s="1160"/>
      <c r="X818" s="1211"/>
      <c r="Y818" s="1160"/>
      <c r="Z818" s="1160"/>
      <c r="AA818" s="1160"/>
      <c r="AB818" s="1160"/>
      <c r="AC818" s="1160"/>
      <c r="AD818" s="1160"/>
      <c r="AE818" s="1160"/>
    </row>
    <row r="819" ht="15.0" customHeight="1">
      <c r="A819" s="1209"/>
      <c r="B819" s="1209"/>
      <c r="C819" s="1210"/>
      <c r="D819" s="1160"/>
      <c r="E819" s="1160"/>
      <c r="F819" s="1160"/>
      <c r="G819" s="1160"/>
      <c r="H819" s="1160"/>
      <c r="I819" s="1160"/>
      <c r="J819" s="1160"/>
      <c r="K819" s="1160"/>
      <c r="L819" s="1160"/>
      <c r="M819" s="1160"/>
      <c r="N819" s="1160"/>
      <c r="O819" s="1160"/>
      <c r="P819" s="1160"/>
      <c r="Q819" s="1160"/>
      <c r="R819" s="1160"/>
      <c r="S819" s="1160"/>
      <c r="T819" s="1160"/>
      <c r="U819" s="1160"/>
      <c r="V819" s="1160"/>
      <c r="W819" s="1160"/>
      <c r="X819" s="1211"/>
      <c r="Y819" s="1160"/>
      <c r="Z819" s="1160"/>
      <c r="AA819" s="1160"/>
      <c r="AB819" s="1160"/>
      <c r="AC819" s="1160"/>
      <c r="AD819" s="1160"/>
      <c r="AE819" s="1160"/>
    </row>
    <row r="820" ht="15.0" customHeight="1">
      <c r="A820" s="1209"/>
      <c r="B820" s="1209"/>
      <c r="C820" s="1210"/>
      <c r="D820" s="1160"/>
      <c r="E820" s="1160"/>
      <c r="F820" s="1160"/>
      <c r="G820" s="1160"/>
      <c r="H820" s="1160"/>
      <c r="I820" s="1160"/>
      <c r="J820" s="1160"/>
      <c r="K820" s="1160"/>
      <c r="L820" s="1160"/>
      <c r="M820" s="1160"/>
      <c r="N820" s="1160"/>
      <c r="O820" s="1160"/>
      <c r="P820" s="1160"/>
      <c r="Q820" s="1160"/>
      <c r="R820" s="1160"/>
      <c r="S820" s="1160"/>
      <c r="T820" s="1160"/>
      <c r="U820" s="1160"/>
      <c r="V820" s="1160"/>
      <c r="W820" s="1160"/>
      <c r="X820" s="1211"/>
      <c r="Y820" s="1160"/>
      <c r="Z820" s="1160"/>
      <c r="AA820" s="1160"/>
      <c r="AB820" s="1160"/>
      <c r="AC820" s="1160"/>
      <c r="AD820" s="1160"/>
      <c r="AE820" s="1160"/>
    </row>
    <row r="821" ht="15.0" customHeight="1">
      <c r="A821" s="1209"/>
      <c r="B821" s="1209"/>
      <c r="C821" s="1210"/>
      <c r="D821" s="1160"/>
      <c r="E821" s="1160"/>
      <c r="F821" s="1160"/>
      <c r="G821" s="1160"/>
      <c r="H821" s="1160"/>
      <c r="I821" s="1160"/>
      <c r="J821" s="1160"/>
      <c r="K821" s="1160"/>
      <c r="L821" s="1160"/>
      <c r="M821" s="1160"/>
      <c r="N821" s="1160"/>
      <c r="O821" s="1160"/>
      <c r="P821" s="1160"/>
      <c r="Q821" s="1160"/>
      <c r="R821" s="1160"/>
      <c r="S821" s="1160"/>
      <c r="T821" s="1160"/>
      <c r="U821" s="1160"/>
      <c r="V821" s="1160"/>
      <c r="W821" s="1160"/>
      <c r="X821" s="1211"/>
      <c r="Y821" s="1160"/>
      <c r="Z821" s="1160"/>
      <c r="AA821" s="1160"/>
      <c r="AB821" s="1160"/>
      <c r="AC821" s="1160"/>
      <c r="AD821" s="1160"/>
      <c r="AE821" s="1160"/>
    </row>
    <row r="822" ht="15.0" customHeight="1">
      <c r="A822" s="1209"/>
      <c r="B822" s="1209"/>
      <c r="C822" s="1210"/>
      <c r="D822" s="1160"/>
      <c r="E822" s="1160"/>
      <c r="F822" s="1160"/>
      <c r="G822" s="1160"/>
      <c r="H822" s="1160"/>
      <c r="I822" s="1160"/>
      <c r="J822" s="1160"/>
      <c r="K822" s="1160"/>
      <c r="L822" s="1160"/>
      <c r="M822" s="1160"/>
      <c r="N822" s="1160"/>
      <c r="O822" s="1160"/>
      <c r="P822" s="1160"/>
      <c r="Q822" s="1160"/>
      <c r="R822" s="1160"/>
      <c r="S822" s="1160"/>
      <c r="T822" s="1160"/>
      <c r="U822" s="1160"/>
      <c r="V822" s="1160"/>
      <c r="W822" s="1160"/>
      <c r="X822" s="1211"/>
      <c r="Y822" s="1160"/>
      <c r="Z822" s="1160"/>
      <c r="AA822" s="1160"/>
      <c r="AB822" s="1160"/>
      <c r="AC822" s="1160"/>
      <c r="AD822" s="1160"/>
      <c r="AE822" s="1160"/>
    </row>
    <row r="823" ht="15.0" customHeight="1">
      <c r="A823" s="1209"/>
      <c r="B823" s="1209"/>
      <c r="C823" s="1210"/>
      <c r="D823" s="1160"/>
      <c r="E823" s="1160"/>
      <c r="F823" s="1160"/>
      <c r="G823" s="1160"/>
      <c r="H823" s="1160"/>
      <c r="I823" s="1160"/>
      <c r="J823" s="1160"/>
      <c r="K823" s="1160"/>
      <c r="L823" s="1160"/>
      <c r="M823" s="1160"/>
      <c r="N823" s="1160"/>
      <c r="O823" s="1160"/>
      <c r="P823" s="1160"/>
      <c r="Q823" s="1160"/>
      <c r="R823" s="1160"/>
      <c r="S823" s="1160"/>
      <c r="T823" s="1160"/>
      <c r="U823" s="1160"/>
      <c r="V823" s="1160"/>
      <c r="W823" s="1160"/>
      <c r="X823" s="1211"/>
      <c r="Y823" s="1160"/>
      <c r="Z823" s="1160"/>
      <c r="AA823" s="1160"/>
      <c r="AB823" s="1160"/>
      <c r="AC823" s="1160"/>
      <c r="AD823" s="1160"/>
      <c r="AE823" s="1160"/>
    </row>
    <row r="824" ht="15.0" customHeight="1">
      <c r="A824" s="1209"/>
      <c r="B824" s="1209"/>
      <c r="C824" s="1210"/>
      <c r="D824" s="1160"/>
      <c r="E824" s="1160"/>
      <c r="F824" s="1160"/>
      <c r="G824" s="1160"/>
      <c r="H824" s="1160"/>
      <c r="I824" s="1160"/>
      <c r="J824" s="1160"/>
      <c r="K824" s="1160"/>
      <c r="L824" s="1160"/>
      <c r="M824" s="1160"/>
      <c r="N824" s="1160"/>
      <c r="O824" s="1160"/>
      <c r="P824" s="1160"/>
      <c r="Q824" s="1160"/>
      <c r="R824" s="1160"/>
      <c r="S824" s="1160"/>
      <c r="T824" s="1160"/>
      <c r="U824" s="1160"/>
      <c r="V824" s="1160"/>
      <c r="W824" s="1160"/>
      <c r="X824" s="1211"/>
      <c r="Y824" s="1160"/>
      <c r="Z824" s="1160"/>
      <c r="AA824" s="1160"/>
      <c r="AB824" s="1160"/>
      <c r="AC824" s="1160"/>
      <c r="AD824" s="1160"/>
      <c r="AE824" s="1160"/>
    </row>
    <row r="825" ht="15.0" customHeight="1">
      <c r="A825" s="1209"/>
      <c r="B825" s="1209"/>
      <c r="C825" s="1210"/>
      <c r="D825" s="1160"/>
      <c r="E825" s="1160"/>
      <c r="F825" s="1160"/>
      <c r="G825" s="1160"/>
      <c r="H825" s="1160"/>
      <c r="I825" s="1160"/>
      <c r="J825" s="1160"/>
      <c r="K825" s="1160"/>
      <c r="L825" s="1160"/>
      <c r="M825" s="1160"/>
      <c r="N825" s="1160"/>
      <c r="O825" s="1160"/>
      <c r="P825" s="1160"/>
      <c r="Q825" s="1160"/>
      <c r="R825" s="1160"/>
      <c r="S825" s="1160"/>
      <c r="T825" s="1160"/>
      <c r="U825" s="1160"/>
      <c r="V825" s="1160"/>
      <c r="W825" s="1160"/>
      <c r="X825" s="1211"/>
      <c r="Y825" s="1160"/>
      <c r="Z825" s="1160"/>
      <c r="AA825" s="1160"/>
      <c r="AB825" s="1160"/>
      <c r="AC825" s="1160"/>
      <c r="AD825" s="1160"/>
      <c r="AE825" s="1160"/>
    </row>
    <row r="826" ht="15.0" customHeight="1">
      <c r="A826" s="1209"/>
      <c r="B826" s="1209"/>
      <c r="C826" s="1210"/>
      <c r="D826" s="1160"/>
      <c r="E826" s="1160"/>
      <c r="F826" s="1160"/>
      <c r="G826" s="1160"/>
      <c r="H826" s="1160"/>
      <c r="I826" s="1160"/>
      <c r="J826" s="1160"/>
      <c r="K826" s="1160"/>
      <c r="L826" s="1160"/>
      <c r="M826" s="1160"/>
      <c r="N826" s="1160"/>
      <c r="O826" s="1160"/>
      <c r="P826" s="1160"/>
      <c r="Q826" s="1160"/>
      <c r="R826" s="1160"/>
      <c r="S826" s="1160"/>
      <c r="T826" s="1160"/>
      <c r="U826" s="1160"/>
      <c r="V826" s="1160"/>
      <c r="W826" s="1160"/>
      <c r="X826" s="1211"/>
      <c r="Y826" s="1160"/>
      <c r="Z826" s="1160"/>
      <c r="AA826" s="1160"/>
      <c r="AB826" s="1160"/>
      <c r="AC826" s="1160"/>
      <c r="AD826" s="1160"/>
      <c r="AE826" s="1160"/>
    </row>
    <row r="827" ht="15.0" customHeight="1">
      <c r="A827" s="1209"/>
      <c r="B827" s="1209"/>
      <c r="C827" s="1210"/>
      <c r="D827" s="1160"/>
      <c r="E827" s="1160"/>
      <c r="F827" s="1160"/>
      <c r="G827" s="1160"/>
      <c r="H827" s="1160"/>
      <c r="I827" s="1160"/>
      <c r="J827" s="1160"/>
      <c r="K827" s="1160"/>
      <c r="L827" s="1160"/>
      <c r="M827" s="1160"/>
      <c r="N827" s="1160"/>
      <c r="O827" s="1160"/>
      <c r="P827" s="1160"/>
      <c r="Q827" s="1160"/>
      <c r="R827" s="1160"/>
      <c r="S827" s="1160"/>
      <c r="T827" s="1160"/>
      <c r="U827" s="1160"/>
      <c r="V827" s="1160"/>
      <c r="W827" s="1160"/>
      <c r="X827" s="1211"/>
      <c r="Y827" s="1160"/>
      <c r="Z827" s="1160"/>
      <c r="AA827" s="1160"/>
      <c r="AB827" s="1160"/>
      <c r="AC827" s="1160"/>
      <c r="AD827" s="1160"/>
      <c r="AE827" s="1160"/>
    </row>
    <row r="828" ht="15.0" customHeight="1">
      <c r="A828" s="1209"/>
      <c r="B828" s="1209"/>
      <c r="C828" s="1210"/>
      <c r="D828" s="1160"/>
      <c r="E828" s="1160"/>
      <c r="F828" s="1160"/>
      <c r="G828" s="1160"/>
      <c r="H828" s="1160"/>
      <c r="I828" s="1160"/>
      <c r="J828" s="1160"/>
      <c r="K828" s="1160"/>
      <c r="L828" s="1160"/>
      <c r="M828" s="1160"/>
      <c r="N828" s="1160"/>
      <c r="O828" s="1160"/>
      <c r="P828" s="1160"/>
      <c r="Q828" s="1160"/>
      <c r="R828" s="1160"/>
      <c r="S828" s="1160"/>
      <c r="T828" s="1160"/>
      <c r="U828" s="1160"/>
      <c r="V828" s="1160"/>
      <c r="W828" s="1160"/>
      <c r="X828" s="1211"/>
      <c r="Y828" s="1160"/>
      <c r="Z828" s="1160"/>
      <c r="AA828" s="1160"/>
      <c r="AB828" s="1160"/>
      <c r="AC828" s="1160"/>
      <c r="AD828" s="1160"/>
      <c r="AE828" s="1160"/>
    </row>
    <row r="829" ht="15.0" customHeight="1">
      <c r="A829" s="1209"/>
      <c r="B829" s="1209"/>
      <c r="C829" s="1210"/>
      <c r="D829" s="1160"/>
      <c r="E829" s="1160"/>
      <c r="F829" s="1160"/>
      <c r="G829" s="1160"/>
      <c r="H829" s="1160"/>
      <c r="I829" s="1160"/>
      <c r="J829" s="1160"/>
      <c r="K829" s="1160"/>
      <c r="L829" s="1160"/>
      <c r="M829" s="1160"/>
      <c r="N829" s="1160"/>
      <c r="O829" s="1160"/>
      <c r="P829" s="1160"/>
      <c r="Q829" s="1160"/>
      <c r="R829" s="1160"/>
      <c r="S829" s="1160"/>
      <c r="T829" s="1160"/>
      <c r="U829" s="1160"/>
      <c r="V829" s="1160"/>
      <c r="W829" s="1160"/>
      <c r="X829" s="1211"/>
      <c r="Y829" s="1160"/>
      <c r="Z829" s="1160"/>
      <c r="AA829" s="1160"/>
      <c r="AB829" s="1160"/>
      <c r="AC829" s="1160"/>
      <c r="AD829" s="1160"/>
      <c r="AE829" s="1160"/>
    </row>
    <row r="830" ht="15.0" customHeight="1">
      <c r="A830" s="1209"/>
      <c r="B830" s="1209"/>
      <c r="C830" s="1210"/>
      <c r="D830" s="1160"/>
      <c r="E830" s="1160"/>
      <c r="F830" s="1160"/>
      <c r="G830" s="1160"/>
      <c r="H830" s="1160"/>
      <c r="I830" s="1160"/>
      <c r="J830" s="1160"/>
      <c r="K830" s="1160"/>
      <c r="L830" s="1160"/>
      <c r="M830" s="1160"/>
      <c r="N830" s="1160"/>
      <c r="O830" s="1160"/>
      <c r="P830" s="1160"/>
      <c r="Q830" s="1160"/>
      <c r="R830" s="1160"/>
      <c r="S830" s="1160"/>
      <c r="T830" s="1160"/>
      <c r="U830" s="1160"/>
      <c r="V830" s="1160"/>
      <c r="W830" s="1160"/>
      <c r="X830" s="1211"/>
      <c r="Y830" s="1160"/>
      <c r="Z830" s="1160"/>
      <c r="AA830" s="1160"/>
      <c r="AB830" s="1160"/>
      <c r="AC830" s="1160"/>
      <c r="AD830" s="1160"/>
      <c r="AE830" s="1160"/>
    </row>
    <row r="831" ht="15.0" customHeight="1">
      <c r="A831" s="1209"/>
      <c r="B831" s="1209"/>
      <c r="C831" s="1210"/>
      <c r="D831" s="1160"/>
      <c r="E831" s="1160"/>
      <c r="F831" s="1160"/>
      <c r="G831" s="1160"/>
      <c r="H831" s="1160"/>
      <c r="I831" s="1160"/>
      <c r="J831" s="1160"/>
      <c r="K831" s="1160"/>
      <c r="L831" s="1160"/>
      <c r="M831" s="1160"/>
      <c r="N831" s="1160"/>
      <c r="O831" s="1160"/>
      <c r="P831" s="1160"/>
      <c r="Q831" s="1160"/>
      <c r="R831" s="1160"/>
      <c r="S831" s="1160"/>
      <c r="T831" s="1160"/>
      <c r="U831" s="1160"/>
      <c r="V831" s="1160"/>
      <c r="W831" s="1160"/>
      <c r="X831" s="1211"/>
      <c r="Y831" s="1160"/>
      <c r="Z831" s="1160"/>
      <c r="AA831" s="1160"/>
      <c r="AB831" s="1160"/>
      <c r="AC831" s="1160"/>
      <c r="AD831" s="1160"/>
      <c r="AE831" s="1160"/>
    </row>
    <row r="832" ht="15.0" customHeight="1">
      <c r="A832" s="1209"/>
      <c r="B832" s="1209"/>
      <c r="C832" s="1210"/>
      <c r="D832" s="1160"/>
      <c r="E832" s="1160"/>
      <c r="F832" s="1160"/>
      <c r="G832" s="1160"/>
      <c r="H832" s="1160"/>
      <c r="I832" s="1160"/>
      <c r="J832" s="1160"/>
      <c r="K832" s="1160"/>
      <c r="L832" s="1160"/>
      <c r="M832" s="1160"/>
      <c r="N832" s="1160"/>
      <c r="O832" s="1160"/>
      <c r="P832" s="1160"/>
      <c r="Q832" s="1160"/>
      <c r="R832" s="1160"/>
      <c r="S832" s="1160"/>
      <c r="T832" s="1160"/>
      <c r="U832" s="1160"/>
      <c r="V832" s="1160"/>
      <c r="W832" s="1160"/>
      <c r="X832" s="1211"/>
      <c r="Y832" s="1160"/>
      <c r="Z832" s="1160"/>
      <c r="AA832" s="1160"/>
      <c r="AB832" s="1160"/>
      <c r="AC832" s="1160"/>
      <c r="AD832" s="1160"/>
      <c r="AE832" s="1160"/>
    </row>
    <row r="833" ht="15.0" customHeight="1">
      <c r="A833" s="1209"/>
      <c r="B833" s="1209"/>
      <c r="C833" s="1210"/>
      <c r="D833" s="1160"/>
      <c r="E833" s="1160"/>
      <c r="F833" s="1160"/>
      <c r="G833" s="1160"/>
      <c r="H833" s="1160"/>
      <c r="I833" s="1160"/>
      <c r="J833" s="1160"/>
      <c r="K833" s="1160"/>
      <c r="L833" s="1160"/>
      <c r="M833" s="1160"/>
      <c r="N833" s="1160"/>
      <c r="O833" s="1160"/>
      <c r="P833" s="1160"/>
      <c r="Q833" s="1160"/>
      <c r="R833" s="1160"/>
      <c r="S833" s="1160"/>
      <c r="T833" s="1160"/>
      <c r="U833" s="1160"/>
      <c r="V833" s="1160"/>
      <c r="W833" s="1160"/>
      <c r="X833" s="1211"/>
      <c r="Y833" s="1160"/>
      <c r="Z833" s="1160"/>
      <c r="AA833" s="1160"/>
      <c r="AB833" s="1160"/>
      <c r="AC833" s="1160"/>
      <c r="AD833" s="1160"/>
      <c r="AE833" s="1160"/>
    </row>
    <row r="834" ht="15.0" customHeight="1">
      <c r="A834" s="1209"/>
      <c r="B834" s="1209"/>
      <c r="C834" s="1210"/>
      <c r="D834" s="1160"/>
      <c r="E834" s="1160"/>
      <c r="F834" s="1160"/>
      <c r="G834" s="1160"/>
      <c r="H834" s="1160"/>
      <c r="I834" s="1160"/>
      <c r="J834" s="1160"/>
      <c r="K834" s="1160"/>
      <c r="L834" s="1160"/>
      <c r="M834" s="1160"/>
      <c r="N834" s="1160"/>
      <c r="O834" s="1160"/>
      <c r="P834" s="1160"/>
      <c r="Q834" s="1160"/>
      <c r="R834" s="1160"/>
      <c r="S834" s="1160"/>
      <c r="T834" s="1160"/>
      <c r="U834" s="1160"/>
      <c r="V834" s="1160"/>
      <c r="W834" s="1160"/>
      <c r="X834" s="1211"/>
      <c r="Y834" s="1160"/>
      <c r="Z834" s="1160"/>
      <c r="AA834" s="1160"/>
      <c r="AB834" s="1160"/>
      <c r="AC834" s="1160"/>
      <c r="AD834" s="1160"/>
      <c r="AE834" s="1160"/>
    </row>
    <row r="835" ht="15.0" customHeight="1">
      <c r="A835" s="1209"/>
      <c r="B835" s="1209"/>
      <c r="C835" s="1210"/>
      <c r="D835" s="1160"/>
      <c r="E835" s="1160"/>
      <c r="F835" s="1160"/>
      <c r="G835" s="1160"/>
      <c r="H835" s="1160"/>
      <c r="I835" s="1160"/>
      <c r="J835" s="1160"/>
      <c r="K835" s="1160"/>
      <c r="L835" s="1160"/>
      <c r="M835" s="1160"/>
      <c r="N835" s="1160"/>
      <c r="O835" s="1160"/>
      <c r="P835" s="1160"/>
      <c r="Q835" s="1160"/>
      <c r="R835" s="1160"/>
      <c r="S835" s="1160"/>
      <c r="T835" s="1160"/>
      <c r="U835" s="1160"/>
      <c r="V835" s="1160"/>
      <c r="W835" s="1160"/>
      <c r="X835" s="1211"/>
      <c r="Y835" s="1160"/>
      <c r="Z835" s="1160"/>
      <c r="AA835" s="1160"/>
      <c r="AB835" s="1160"/>
      <c r="AC835" s="1160"/>
      <c r="AD835" s="1160"/>
      <c r="AE835" s="1160"/>
    </row>
    <row r="836" ht="15.0" customHeight="1">
      <c r="A836" s="1209"/>
      <c r="B836" s="1209"/>
      <c r="C836" s="1210"/>
      <c r="D836" s="1160"/>
      <c r="E836" s="1160"/>
      <c r="F836" s="1160"/>
      <c r="G836" s="1160"/>
      <c r="H836" s="1160"/>
      <c r="I836" s="1160"/>
      <c r="J836" s="1160"/>
      <c r="K836" s="1160"/>
      <c r="L836" s="1160"/>
      <c r="M836" s="1160"/>
      <c r="N836" s="1160"/>
      <c r="O836" s="1160"/>
      <c r="P836" s="1160"/>
      <c r="Q836" s="1160"/>
      <c r="R836" s="1160"/>
      <c r="S836" s="1160"/>
      <c r="T836" s="1160"/>
      <c r="U836" s="1160"/>
      <c r="V836" s="1160"/>
      <c r="W836" s="1160"/>
      <c r="X836" s="1211"/>
      <c r="Y836" s="1160"/>
      <c r="Z836" s="1160"/>
      <c r="AA836" s="1160"/>
      <c r="AB836" s="1160"/>
      <c r="AC836" s="1160"/>
      <c r="AD836" s="1160"/>
      <c r="AE836" s="1160"/>
    </row>
    <row r="837" ht="15.0" customHeight="1">
      <c r="A837" s="1209"/>
      <c r="B837" s="1209"/>
      <c r="C837" s="1210"/>
      <c r="D837" s="1160"/>
      <c r="E837" s="1160"/>
      <c r="F837" s="1160"/>
      <c r="G837" s="1160"/>
      <c r="H837" s="1160"/>
      <c r="I837" s="1160"/>
      <c r="J837" s="1160"/>
      <c r="K837" s="1160"/>
      <c r="L837" s="1160"/>
      <c r="M837" s="1160"/>
      <c r="N837" s="1160"/>
      <c r="O837" s="1160"/>
      <c r="P837" s="1160"/>
      <c r="Q837" s="1160"/>
      <c r="R837" s="1160"/>
      <c r="S837" s="1160"/>
      <c r="T837" s="1160"/>
      <c r="U837" s="1160"/>
      <c r="V837" s="1160"/>
      <c r="W837" s="1160"/>
      <c r="X837" s="1211"/>
      <c r="Y837" s="1160"/>
      <c r="Z837" s="1160"/>
      <c r="AA837" s="1160"/>
      <c r="AB837" s="1160"/>
      <c r="AC837" s="1160"/>
      <c r="AD837" s="1160"/>
      <c r="AE837" s="1160"/>
    </row>
    <row r="838" ht="15.0" customHeight="1">
      <c r="A838" s="1209"/>
      <c r="B838" s="1209"/>
      <c r="C838" s="1210"/>
      <c r="D838" s="1160"/>
      <c r="E838" s="1160"/>
      <c r="F838" s="1160"/>
      <c r="G838" s="1160"/>
      <c r="H838" s="1160"/>
      <c r="I838" s="1160"/>
      <c r="J838" s="1160"/>
      <c r="K838" s="1160"/>
      <c r="L838" s="1160"/>
      <c r="M838" s="1160"/>
      <c r="N838" s="1160"/>
      <c r="O838" s="1160"/>
      <c r="P838" s="1160"/>
      <c r="Q838" s="1160"/>
      <c r="R838" s="1160"/>
      <c r="S838" s="1160"/>
      <c r="T838" s="1160"/>
      <c r="U838" s="1160"/>
      <c r="V838" s="1160"/>
      <c r="W838" s="1160"/>
      <c r="X838" s="1211"/>
      <c r="Y838" s="1160"/>
      <c r="Z838" s="1160"/>
      <c r="AA838" s="1160"/>
      <c r="AB838" s="1160"/>
      <c r="AC838" s="1160"/>
      <c r="AD838" s="1160"/>
      <c r="AE838" s="1160"/>
    </row>
    <row r="839" ht="15.0" customHeight="1">
      <c r="A839" s="1209"/>
      <c r="B839" s="1209"/>
      <c r="C839" s="1210"/>
      <c r="D839" s="1160"/>
      <c r="E839" s="1160"/>
      <c r="F839" s="1160"/>
      <c r="G839" s="1160"/>
      <c r="H839" s="1160"/>
      <c r="I839" s="1160"/>
      <c r="J839" s="1160"/>
      <c r="K839" s="1160"/>
      <c r="L839" s="1160"/>
      <c r="M839" s="1160"/>
      <c r="N839" s="1160"/>
      <c r="O839" s="1160"/>
      <c r="P839" s="1160"/>
      <c r="Q839" s="1160"/>
      <c r="R839" s="1160"/>
      <c r="S839" s="1160"/>
      <c r="T839" s="1160"/>
      <c r="U839" s="1160"/>
      <c r="V839" s="1160"/>
      <c r="W839" s="1160"/>
      <c r="X839" s="1211"/>
      <c r="Y839" s="1160"/>
      <c r="Z839" s="1160"/>
      <c r="AA839" s="1160"/>
      <c r="AB839" s="1160"/>
      <c r="AC839" s="1160"/>
      <c r="AD839" s="1160"/>
      <c r="AE839" s="1160"/>
    </row>
    <row r="840" ht="15.0" customHeight="1">
      <c r="A840" s="1209"/>
      <c r="B840" s="1209"/>
      <c r="C840" s="1210"/>
      <c r="D840" s="1160"/>
      <c r="E840" s="1160"/>
      <c r="F840" s="1160"/>
      <c r="G840" s="1160"/>
      <c r="H840" s="1160"/>
      <c r="I840" s="1160"/>
      <c r="J840" s="1160"/>
      <c r="K840" s="1160"/>
      <c r="L840" s="1160"/>
      <c r="M840" s="1160"/>
      <c r="N840" s="1160"/>
      <c r="O840" s="1160"/>
      <c r="P840" s="1160"/>
      <c r="Q840" s="1160"/>
      <c r="R840" s="1160"/>
      <c r="S840" s="1160"/>
      <c r="T840" s="1160"/>
      <c r="U840" s="1160"/>
      <c r="V840" s="1160"/>
      <c r="W840" s="1160"/>
      <c r="X840" s="1211"/>
      <c r="Y840" s="1160"/>
      <c r="Z840" s="1160"/>
      <c r="AA840" s="1160"/>
      <c r="AB840" s="1160"/>
      <c r="AC840" s="1160"/>
      <c r="AD840" s="1160"/>
      <c r="AE840" s="1160"/>
    </row>
    <row r="841" ht="15.0" customHeight="1">
      <c r="A841" s="1209"/>
      <c r="B841" s="1209"/>
      <c r="C841" s="1210"/>
      <c r="D841" s="1160"/>
      <c r="E841" s="1160"/>
      <c r="F841" s="1160"/>
      <c r="G841" s="1160"/>
      <c r="H841" s="1160"/>
      <c r="I841" s="1160"/>
      <c r="J841" s="1160"/>
      <c r="K841" s="1160"/>
      <c r="L841" s="1160"/>
      <c r="M841" s="1160"/>
      <c r="N841" s="1160"/>
      <c r="O841" s="1160"/>
      <c r="P841" s="1160"/>
      <c r="Q841" s="1160"/>
      <c r="R841" s="1160"/>
      <c r="S841" s="1160"/>
      <c r="T841" s="1160"/>
      <c r="U841" s="1160"/>
      <c r="V841" s="1160"/>
      <c r="W841" s="1160"/>
      <c r="X841" s="1211"/>
      <c r="Y841" s="1160"/>
      <c r="Z841" s="1160"/>
      <c r="AA841" s="1160"/>
      <c r="AB841" s="1160"/>
      <c r="AC841" s="1160"/>
      <c r="AD841" s="1160"/>
      <c r="AE841" s="1160"/>
    </row>
    <row r="842" ht="15.0" customHeight="1">
      <c r="A842" s="1209"/>
      <c r="B842" s="1209"/>
      <c r="C842" s="1210"/>
      <c r="D842" s="1160"/>
      <c r="E842" s="1160"/>
      <c r="F842" s="1160"/>
      <c r="G842" s="1160"/>
      <c r="H842" s="1160"/>
      <c r="I842" s="1160"/>
      <c r="J842" s="1160"/>
      <c r="K842" s="1160"/>
      <c r="L842" s="1160"/>
      <c r="M842" s="1160"/>
      <c r="N842" s="1160"/>
      <c r="O842" s="1160"/>
      <c r="P842" s="1160"/>
      <c r="Q842" s="1160"/>
      <c r="R842" s="1160"/>
      <c r="S842" s="1160"/>
      <c r="T842" s="1160"/>
      <c r="U842" s="1160"/>
      <c r="V842" s="1160"/>
      <c r="W842" s="1160"/>
      <c r="X842" s="1211"/>
      <c r="Y842" s="1160"/>
      <c r="Z842" s="1160"/>
      <c r="AA842" s="1160"/>
      <c r="AB842" s="1160"/>
      <c r="AC842" s="1160"/>
      <c r="AD842" s="1160"/>
      <c r="AE842" s="1160"/>
    </row>
    <row r="843" ht="15.0" customHeight="1">
      <c r="A843" s="1209"/>
      <c r="B843" s="1209"/>
      <c r="C843" s="1210"/>
      <c r="D843" s="1160"/>
      <c r="E843" s="1160"/>
      <c r="F843" s="1160"/>
      <c r="G843" s="1160"/>
      <c r="H843" s="1160"/>
      <c r="I843" s="1160"/>
      <c r="J843" s="1160"/>
      <c r="K843" s="1160"/>
      <c r="L843" s="1160"/>
      <c r="M843" s="1160"/>
      <c r="N843" s="1160"/>
      <c r="O843" s="1160"/>
      <c r="P843" s="1160"/>
      <c r="Q843" s="1160"/>
      <c r="R843" s="1160"/>
      <c r="S843" s="1160"/>
      <c r="T843" s="1160"/>
      <c r="U843" s="1160"/>
      <c r="V843" s="1160"/>
      <c r="W843" s="1160"/>
      <c r="X843" s="1211"/>
      <c r="Y843" s="1160"/>
      <c r="Z843" s="1160"/>
      <c r="AA843" s="1160"/>
      <c r="AB843" s="1160"/>
      <c r="AC843" s="1160"/>
      <c r="AD843" s="1160"/>
      <c r="AE843" s="1160"/>
    </row>
    <row r="844" ht="15.0" customHeight="1">
      <c r="A844" s="1209"/>
      <c r="B844" s="1209"/>
      <c r="C844" s="1210"/>
      <c r="D844" s="1160"/>
      <c r="E844" s="1160"/>
      <c r="F844" s="1160"/>
      <c r="G844" s="1160"/>
      <c r="H844" s="1160"/>
      <c r="I844" s="1160"/>
      <c r="J844" s="1160"/>
      <c r="K844" s="1160"/>
      <c r="L844" s="1160"/>
      <c r="M844" s="1160"/>
      <c r="N844" s="1160"/>
      <c r="O844" s="1160"/>
      <c r="P844" s="1160"/>
      <c r="Q844" s="1160"/>
      <c r="R844" s="1160"/>
      <c r="S844" s="1160"/>
      <c r="T844" s="1160"/>
      <c r="U844" s="1160"/>
      <c r="V844" s="1160"/>
      <c r="W844" s="1160"/>
      <c r="X844" s="1211"/>
      <c r="Y844" s="1160"/>
      <c r="Z844" s="1160"/>
      <c r="AA844" s="1160"/>
      <c r="AB844" s="1160"/>
      <c r="AC844" s="1160"/>
      <c r="AD844" s="1160"/>
      <c r="AE844" s="1160"/>
    </row>
    <row r="845" ht="15.0" customHeight="1">
      <c r="A845" s="1209"/>
      <c r="B845" s="1209"/>
      <c r="C845" s="1210"/>
      <c r="D845" s="1160"/>
      <c r="E845" s="1160"/>
      <c r="F845" s="1160"/>
      <c r="G845" s="1160"/>
      <c r="H845" s="1160"/>
      <c r="I845" s="1160"/>
      <c r="J845" s="1160"/>
      <c r="K845" s="1160"/>
      <c r="L845" s="1160"/>
      <c r="M845" s="1160"/>
      <c r="N845" s="1160"/>
      <c r="O845" s="1160"/>
      <c r="P845" s="1160"/>
      <c r="Q845" s="1160"/>
      <c r="R845" s="1160"/>
      <c r="S845" s="1160"/>
      <c r="T845" s="1160"/>
      <c r="U845" s="1160"/>
      <c r="V845" s="1160"/>
      <c r="W845" s="1160"/>
      <c r="X845" s="1211"/>
      <c r="Y845" s="1160"/>
      <c r="Z845" s="1160"/>
      <c r="AA845" s="1160"/>
      <c r="AB845" s="1160"/>
      <c r="AC845" s="1160"/>
      <c r="AD845" s="1160"/>
      <c r="AE845" s="1160"/>
    </row>
    <row r="846" ht="15.0" customHeight="1">
      <c r="A846" s="1209"/>
      <c r="B846" s="1209"/>
      <c r="C846" s="1210"/>
      <c r="D846" s="1160"/>
      <c r="E846" s="1160"/>
      <c r="F846" s="1160"/>
      <c r="G846" s="1160"/>
      <c r="H846" s="1160"/>
      <c r="I846" s="1160"/>
      <c r="J846" s="1160"/>
      <c r="K846" s="1160"/>
      <c r="L846" s="1160"/>
      <c r="M846" s="1160"/>
      <c r="N846" s="1160"/>
      <c r="O846" s="1160"/>
      <c r="P846" s="1160"/>
      <c r="Q846" s="1160"/>
      <c r="R846" s="1160"/>
      <c r="S846" s="1160"/>
      <c r="T846" s="1160"/>
      <c r="U846" s="1160"/>
      <c r="V846" s="1160"/>
      <c r="W846" s="1160"/>
      <c r="X846" s="1211"/>
      <c r="Y846" s="1160"/>
      <c r="Z846" s="1160"/>
      <c r="AA846" s="1160"/>
      <c r="AB846" s="1160"/>
      <c r="AC846" s="1160"/>
      <c r="AD846" s="1160"/>
      <c r="AE846" s="1160"/>
    </row>
    <row r="847" ht="15.0" customHeight="1">
      <c r="A847" s="1209"/>
      <c r="B847" s="1209"/>
      <c r="C847" s="1210"/>
      <c r="D847" s="1160"/>
      <c r="E847" s="1160"/>
      <c r="F847" s="1160"/>
      <c r="G847" s="1160"/>
      <c r="H847" s="1160"/>
      <c r="I847" s="1160"/>
      <c r="J847" s="1160"/>
      <c r="K847" s="1160"/>
      <c r="L847" s="1160"/>
      <c r="M847" s="1160"/>
      <c r="N847" s="1160"/>
      <c r="O847" s="1160"/>
      <c r="P847" s="1160"/>
      <c r="Q847" s="1160"/>
      <c r="R847" s="1160"/>
      <c r="S847" s="1160"/>
      <c r="T847" s="1160"/>
      <c r="U847" s="1160"/>
      <c r="V847" s="1160"/>
      <c r="W847" s="1160"/>
      <c r="X847" s="1211"/>
      <c r="Y847" s="1160"/>
      <c r="Z847" s="1160"/>
      <c r="AA847" s="1160"/>
      <c r="AB847" s="1160"/>
      <c r="AC847" s="1160"/>
      <c r="AD847" s="1160"/>
      <c r="AE847" s="1160"/>
    </row>
    <row r="848" ht="15.0" customHeight="1">
      <c r="A848" s="1209"/>
      <c r="B848" s="1209"/>
      <c r="C848" s="1210"/>
      <c r="D848" s="1160"/>
      <c r="E848" s="1160"/>
      <c r="F848" s="1160"/>
      <c r="G848" s="1160"/>
      <c r="H848" s="1160"/>
      <c r="I848" s="1160"/>
      <c r="J848" s="1160"/>
      <c r="K848" s="1160"/>
      <c r="L848" s="1160"/>
      <c r="M848" s="1160"/>
      <c r="N848" s="1160"/>
      <c r="O848" s="1160"/>
      <c r="P848" s="1160"/>
      <c r="Q848" s="1160"/>
      <c r="R848" s="1160"/>
      <c r="S848" s="1160"/>
      <c r="T848" s="1160"/>
      <c r="U848" s="1160"/>
      <c r="V848" s="1160"/>
      <c r="W848" s="1160"/>
      <c r="X848" s="1211"/>
      <c r="Y848" s="1160"/>
      <c r="Z848" s="1160"/>
      <c r="AA848" s="1160"/>
      <c r="AB848" s="1160"/>
      <c r="AC848" s="1160"/>
      <c r="AD848" s="1160"/>
      <c r="AE848" s="1160"/>
    </row>
    <row r="849" ht="15.0" customHeight="1">
      <c r="A849" s="1209"/>
      <c r="B849" s="1209"/>
      <c r="C849" s="1210"/>
      <c r="D849" s="1160"/>
      <c r="E849" s="1160"/>
      <c r="F849" s="1160"/>
      <c r="G849" s="1160"/>
      <c r="H849" s="1160"/>
      <c r="I849" s="1160"/>
      <c r="J849" s="1160"/>
      <c r="K849" s="1160"/>
      <c r="L849" s="1160"/>
      <c r="M849" s="1160"/>
      <c r="N849" s="1160"/>
      <c r="O849" s="1160"/>
      <c r="P849" s="1160"/>
      <c r="Q849" s="1160"/>
      <c r="R849" s="1160"/>
      <c r="S849" s="1160"/>
      <c r="T849" s="1160"/>
      <c r="U849" s="1160"/>
      <c r="V849" s="1160"/>
      <c r="W849" s="1160"/>
      <c r="X849" s="1211"/>
      <c r="Y849" s="1160"/>
      <c r="Z849" s="1160"/>
      <c r="AA849" s="1160"/>
      <c r="AB849" s="1160"/>
      <c r="AC849" s="1160"/>
      <c r="AD849" s="1160"/>
      <c r="AE849" s="1160"/>
    </row>
    <row r="850" ht="15.0" customHeight="1">
      <c r="A850" s="1209"/>
      <c r="B850" s="1209"/>
      <c r="C850" s="1210"/>
      <c r="D850" s="1160"/>
      <c r="E850" s="1160"/>
      <c r="F850" s="1160"/>
      <c r="G850" s="1160"/>
      <c r="H850" s="1160"/>
      <c r="I850" s="1160"/>
      <c r="J850" s="1160"/>
      <c r="K850" s="1160"/>
      <c r="L850" s="1160"/>
      <c r="M850" s="1160"/>
      <c r="N850" s="1160"/>
      <c r="O850" s="1160"/>
      <c r="P850" s="1160"/>
      <c r="Q850" s="1160"/>
      <c r="R850" s="1160"/>
      <c r="S850" s="1160"/>
      <c r="T850" s="1160"/>
      <c r="U850" s="1160"/>
      <c r="V850" s="1160"/>
      <c r="W850" s="1160"/>
      <c r="X850" s="1211"/>
      <c r="Y850" s="1160"/>
      <c r="Z850" s="1160"/>
      <c r="AA850" s="1160"/>
      <c r="AB850" s="1160"/>
      <c r="AC850" s="1160"/>
      <c r="AD850" s="1160"/>
      <c r="AE850" s="1160"/>
    </row>
    <row r="851" ht="15.0" customHeight="1">
      <c r="A851" s="1209"/>
      <c r="B851" s="1209"/>
      <c r="C851" s="1210"/>
      <c r="D851" s="1160"/>
      <c r="E851" s="1160"/>
      <c r="F851" s="1160"/>
      <c r="G851" s="1160"/>
      <c r="H851" s="1160"/>
      <c r="I851" s="1160"/>
      <c r="J851" s="1160"/>
      <c r="K851" s="1160"/>
      <c r="L851" s="1160"/>
      <c r="M851" s="1160"/>
      <c r="N851" s="1160"/>
      <c r="O851" s="1160"/>
      <c r="P851" s="1160"/>
      <c r="Q851" s="1160"/>
      <c r="R851" s="1160"/>
      <c r="S851" s="1160"/>
      <c r="T851" s="1160"/>
      <c r="U851" s="1160"/>
      <c r="V851" s="1160"/>
      <c r="W851" s="1160"/>
      <c r="X851" s="1211"/>
      <c r="Y851" s="1160"/>
      <c r="Z851" s="1160"/>
      <c r="AA851" s="1160"/>
      <c r="AB851" s="1160"/>
      <c r="AC851" s="1160"/>
      <c r="AD851" s="1160"/>
      <c r="AE851" s="1160"/>
    </row>
    <row r="852" ht="15.0" customHeight="1">
      <c r="A852" s="1209"/>
      <c r="B852" s="1209"/>
      <c r="C852" s="1210"/>
      <c r="D852" s="1160"/>
      <c r="E852" s="1160"/>
      <c r="F852" s="1160"/>
      <c r="G852" s="1160"/>
      <c r="H852" s="1160"/>
      <c r="I852" s="1160"/>
      <c r="J852" s="1160"/>
      <c r="K852" s="1160"/>
      <c r="L852" s="1160"/>
      <c r="M852" s="1160"/>
      <c r="N852" s="1160"/>
      <c r="O852" s="1160"/>
      <c r="P852" s="1160"/>
      <c r="Q852" s="1160"/>
      <c r="R852" s="1160"/>
      <c r="S852" s="1160"/>
      <c r="T852" s="1160"/>
      <c r="U852" s="1160"/>
      <c r="V852" s="1160"/>
      <c r="W852" s="1160"/>
      <c r="X852" s="1211"/>
      <c r="Y852" s="1160"/>
      <c r="Z852" s="1160"/>
      <c r="AA852" s="1160"/>
      <c r="AB852" s="1160"/>
      <c r="AC852" s="1160"/>
      <c r="AD852" s="1160"/>
      <c r="AE852" s="1160"/>
    </row>
    <row r="853" ht="15.0" customHeight="1">
      <c r="A853" s="1209"/>
      <c r="B853" s="1209"/>
      <c r="C853" s="1210"/>
      <c r="D853" s="1160"/>
      <c r="E853" s="1160"/>
      <c r="F853" s="1160"/>
      <c r="G853" s="1160"/>
      <c r="H853" s="1160"/>
      <c r="I853" s="1160"/>
      <c r="J853" s="1160"/>
      <c r="K853" s="1160"/>
      <c r="L853" s="1160"/>
      <c r="M853" s="1160"/>
      <c r="N853" s="1160"/>
      <c r="O853" s="1160"/>
      <c r="P853" s="1160"/>
      <c r="Q853" s="1160"/>
      <c r="R853" s="1160"/>
      <c r="S853" s="1160"/>
      <c r="T853" s="1160"/>
      <c r="U853" s="1160"/>
      <c r="V853" s="1160"/>
      <c r="W853" s="1160"/>
      <c r="X853" s="1211"/>
      <c r="Y853" s="1160"/>
      <c r="Z853" s="1160"/>
      <c r="AA853" s="1160"/>
      <c r="AB853" s="1160"/>
      <c r="AC853" s="1160"/>
      <c r="AD853" s="1160"/>
      <c r="AE853" s="1160"/>
    </row>
    <row r="854" ht="15.0" customHeight="1">
      <c r="A854" s="1209"/>
      <c r="B854" s="1209"/>
      <c r="C854" s="1210"/>
      <c r="D854" s="1160"/>
      <c r="E854" s="1160"/>
      <c r="F854" s="1160"/>
      <c r="G854" s="1160"/>
      <c r="H854" s="1160"/>
      <c r="I854" s="1160"/>
      <c r="J854" s="1160"/>
      <c r="K854" s="1160"/>
      <c r="L854" s="1160"/>
      <c r="M854" s="1160"/>
      <c r="N854" s="1160"/>
      <c r="O854" s="1160"/>
      <c r="P854" s="1160"/>
      <c r="Q854" s="1160"/>
      <c r="R854" s="1160"/>
      <c r="S854" s="1160"/>
      <c r="T854" s="1160"/>
      <c r="U854" s="1160"/>
      <c r="V854" s="1160"/>
      <c r="W854" s="1160"/>
      <c r="X854" s="1211"/>
      <c r="Y854" s="1160"/>
      <c r="Z854" s="1160"/>
      <c r="AA854" s="1160"/>
      <c r="AB854" s="1160"/>
      <c r="AC854" s="1160"/>
      <c r="AD854" s="1160"/>
      <c r="AE854" s="1160"/>
    </row>
    <row r="855" ht="15.0" customHeight="1">
      <c r="A855" s="1209"/>
      <c r="B855" s="1209"/>
      <c r="C855" s="1210"/>
      <c r="D855" s="1160"/>
      <c r="E855" s="1160"/>
      <c r="F855" s="1160"/>
      <c r="G855" s="1160"/>
      <c r="H855" s="1160"/>
      <c r="I855" s="1160"/>
      <c r="J855" s="1160"/>
      <c r="K855" s="1160"/>
      <c r="L855" s="1160"/>
      <c r="M855" s="1160"/>
      <c r="N855" s="1160"/>
      <c r="O855" s="1160"/>
      <c r="P855" s="1160"/>
      <c r="Q855" s="1160"/>
      <c r="R855" s="1160"/>
      <c r="S855" s="1160"/>
      <c r="T855" s="1160"/>
      <c r="U855" s="1160"/>
      <c r="V855" s="1160"/>
      <c r="W855" s="1160"/>
      <c r="X855" s="1211"/>
      <c r="Y855" s="1160"/>
      <c r="Z855" s="1160"/>
      <c r="AA855" s="1160"/>
      <c r="AB855" s="1160"/>
      <c r="AC855" s="1160"/>
      <c r="AD855" s="1160"/>
      <c r="AE855" s="1160"/>
    </row>
    <row r="856" ht="15.0" customHeight="1">
      <c r="A856" s="1209"/>
      <c r="B856" s="1209"/>
      <c r="C856" s="1210"/>
      <c r="D856" s="1160"/>
      <c r="E856" s="1160"/>
      <c r="F856" s="1160"/>
      <c r="G856" s="1160"/>
      <c r="H856" s="1160"/>
      <c r="I856" s="1160"/>
      <c r="J856" s="1160"/>
      <c r="K856" s="1160"/>
      <c r="L856" s="1160"/>
      <c r="M856" s="1160"/>
      <c r="N856" s="1160"/>
      <c r="O856" s="1160"/>
      <c r="P856" s="1160"/>
      <c r="Q856" s="1160"/>
      <c r="R856" s="1160"/>
      <c r="S856" s="1160"/>
      <c r="T856" s="1160"/>
      <c r="U856" s="1160"/>
      <c r="V856" s="1160"/>
      <c r="W856" s="1160"/>
      <c r="X856" s="1211"/>
      <c r="Y856" s="1160"/>
      <c r="Z856" s="1160"/>
      <c r="AA856" s="1160"/>
      <c r="AB856" s="1160"/>
      <c r="AC856" s="1160"/>
      <c r="AD856" s="1160"/>
      <c r="AE856" s="1160"/>
    </row>
    <row r="857" ht="15.0" customHeight="1">
      <c r="A857" s="1209"/>
      <c r="B857" s="1209"/>
      <c r="C857" s="1210"/>
      <c r="D857" s="1160"/>
      <c r="E857" s="1160"/>
      <c r="F857" s="1160"/>
      <c r="G857" s="1160"/>
      <c r="H857" s="1160"/>
      <c r="I857" s="1160"/>
      <c r="J857" s="1160"/>
      <c r="K857" s="1160"/>
      <c r="L857" s="1160"/>
      <c r="M857" s="1160"/>
      <c r="N857" s="1160"/>
      <c r="O857" s="1160"/>
      <c r="P857" s="1160"/>
      <c r="Q857" s="1160"/>
      <c r="R857" s="1160"/>
      <c r="S857" s="1160"/>
      <c r="T857" s="1160"/>
      <c r="U857" s="1160"/>
      <c r="V857" s="1160"/>
      <c r="W857" s="1160"/>
      <c r="X857" s="1211"/>
      <c r="Y857" s="1160"/>
      <c r="Z857" s="1160"/>
      <c r="AA857" s="1160"/>
      <c r="AB857" s="1160"/>
      <c r="AC857" s="1160"/>
      <c r="AD857" s="1160"/>
      <c r="AE857" s="1160"/>
    </row>
    <row r="858" ht="15.0" customHeight="1">
      <c r="A858" s="1209"/>
      <c r="B858" s="1209"/>
      <c r="C858" s="1210"/>
      <c r="D858" s="1160"/>
      <c r="E858" s="1160"/>
      <c r="F858" s="1160"/>
      <c r="G858" s="1160"/>
      <c r="H858" s="1160"/>
      <c r="I858" s="1160"/>
      <c r="J858" s="1160"/>
      <c r="K858" s="1160"/>
      <c r="L858" s="1160"/>
      <c r="M858" s="1160"/>
      <c r="N858" s="1160"/>
      <c r="O858" s="1160"/>
      <c r="P858" s="1160"/>
      <c r="Q858" s="1160"/>
      <c r="R858" s="1160"/>
      <c r="S858" s="1160"/>
      <c r="T858" s="1160"/>
      <c r="U858" s="1160"/>
      <c r="V858" s="1160"/>
      <c r="W858" s="1160"/>
      <c r="X858" s="1211"/>
      <c r="Y858" s="1160"/>
      <c r="Z858" s="1160"/>
      <c r="AA858" s="1160"/>
      <c r="AB858" s="1160"/>
      <c r="AC858" s="1160"/>
      <c r="AD858" s="1160"/>
      <c r="AE858" s="1160"/>
    </row>
    <row r="859" ht="15.0" customHeight="1">
      <c r="A859" s="1209"/>
      <c r="B859" s="1209"/>
      <c r="C859" s="1210"/>
      <c r="D859" s="1160"/>
      <c r="E859" s="1160"/>
      <c r="F859" s="1160"/>
      <c r="G859" s="1160"/>
      <c r="H859" s="1160"/>
      <c r="I859" s="1160"/>
      <c r="J859" s="1160"/>
      <c r="K859" s="1160"/>
      <c r="L859" s="1160"/>
      <c r="M859" s="1160"/>
      <c r="N859" s="1160"/>
      <c r="O859" s="1160"/>
      <c r="P859" s="1160"/>
      <c r="Q859" s="1160"/>
      <c r="R859" s="1160"/>
      <c r="S859" s="1160"/>
      <c r="T859" s="1160"/>
      <c r="U859" s="1160"/>
      <c r="V859" s="1160"/>
      <c r="W859" s="1160"/>
      <c r="X859" s="1211"/>
      <c r="Y859" s="1160"/>
      <c r="Z859" s="1160"/>
      <c r="AA859" s="1160"/>
      <c r="AB859" s="1160"/>
      <c r="AC859" s="1160"/>
      <c r="AD859" s="1160"/>
      <c r="AE859" s="1160"/>
    </row>
    <row r="860" ht="15.0" customHeight="1">
      <c r="A860" s="1209"/>
      <c r="B860" s="1209"/>
      <c r="C860" s="1210"/>
      <c r="D860" s="1160"/>
      <c r="E860" s="1160"/>
      <c r="F860" s="1160"/>
      <c r="G860" s="1160"/>
      <c r="H860" s="1160"/>
      <c r="I860" s="1160"/>
      <c r="J860" s="1160"/>
      <c r="K860" s="1160"/>
      <c r="L860" s="1160"/>
      <c r="M860" s="1160"/>
      <c r="N860" s="1160"/>
      <c r="O860" s="1160"/>
      <c r="P860" s="1160"/>
      <c r="Q860" s="1160"/>
      <c r="R860" s="1160"/>
      <c r="S860" s="1160"/>
      <c r="T860" s="1160"/>
      <c r="U860" s="1160"/>
      <c r="V860" s="1160"/>
      <c r="W860" s="1160"/>
      <c r="X860" s="1211"/>
      <c r="Y860" s="1160"/>
      <c r="Z860" s="1160"/>
      <c r="AA860" s="1160"/>
      <c r="AB860" s="1160"/>
      <c r="AC860" s="1160"/>
      <c r="AD860" s="1160"/>
      <c r="AE860" s="1160"/>
    </row>
    <row r="861" ht="15.0" customHeight="1">
      <c r="A861" s="1209"/>
      <c r="B861" s="1209"/>
      <c r="C861" s="1210"/>
      <c r="D861" s="1160"/>
      <c r="E861" s="1160"/>
      <c r="F861" s="1160"/>
      <c r="G861" s="1160"/>
      <c r="H861" s="1160"/>
      <c r="I861" s="1160"/>
      <c r="J861" s="1160"/>
      <c r="K861" s="1160"/>
      <c r="L861" s="1160"/>
      <c r="M861" s="1160"/>
      <c r="N861" s="1160"/>
      <c r="O861" s="1160"/>
      <c r="P861" s="1160"/>
      <c r="Q861" s="1160"/>
      <c r="R861" s="1160"/>
      <c r="S861" s="1160"/>
      <c r="T861" s="1160"/>
      <c r="U861" s="1160"/>
      <c r="V861" s="1160"/>
      <c r="W861" s="1160"/>
      <c r="X861" s="1211"/>
      <c r="Y861" s="1160"/>
      <c r="Z861" s="1160"/>
      <c r="AA861" s="1160"/>
      <c r="AB861" s="1160"/>
      <c r="AC861" s="1160"/>
      <c r="AD861" s="1160"/>
      <c r="AE861" s="1160"/>
    </row>
    <row r="862" ht="15.0" customHeight="1">
      <c r="A862" s="1209"/>
      <c r="B862" s="1209"/>
      <c r="C862" s="1210"/>
      <c r="D862" s="1160"/>
      <c r="E862" s="1160"/>
      <c r="F862" s="1160"/>
      <c r="G862" s="1160"/>
      <c r="H862" s="1160"/>
      <c r="I862" s="1160"/>
      <c r="J862" s="1160"/>
      <c r="K862" s="1160"/>
      <c r="L862" s="1160"/>
      <c r="M862" s="1160"/>
      <c r="N862" s="1160"/>
      <c r="O862" s="1160"/>
      <c r="P862" s="1160"/>
      <c r="Q862" s="1160"/>
      <c r="R862" s="1160"/>
      <c r="S862" s="1160"/>
      <c r="T862" s="1160"/>
      <c r="U862" s="1160"/>
      <c r="V862" s="1160"/>
      <c r="W862" s="1160"/>
      <c r="X862" s="1211"/>
      <c r="Y862" s="1160"/>
      <c r="Z862" s="1160"/>
      <c r="AA862" s="1160"/>
      <c r="AB862" s="1160"/>
      <c r="AC862" s="1160"/>
      <c r="AD862" s="1160"/>
      <c r="AE862" s="1160"/>
    </row>
    <row r="863" ht="15.0" customHeight="1">
      <c r="A863" s="1209"/>
      <c r="B863" s="1209"/>
      <c r="C863" s="1210"/>
      <c r="D863" s="1160"/>
      <c r="E863" s="1160"/>
      <c r="F863" s="1160"/>
      <c r="G863" s="1160"/>
      <c r="H863" s="1160"/>
      <c r="I863" s="1160"/>
      <c r="J863" s="1160"/>
      <c r="K863" s="1160"/>
      <c r="L863" s="1160"/>
      <c r="M863" s="1160"/>
      <c r="N863" s="1160"/>
      <c r="O863" s="1160"/>
      <c r="P863" s="1160"/>
      <c r="Q863" s="1160"/>
      <c r="R863" s="1160"/>
      <c r="S863" s="1160"/>
      <c r="T863" s="1160"/>
      <c r="U863" s="1160"/>
      <c r="V863" s="1160"/>
      <c r="W863" s="1160"/>
      <c r="X863" s="1211"/>
      <c r="Y863" s="1160"/>
      <c r="Z863" s="1160"/>
      <c r="AA863" s="1160"/>
      <c r="AB863" s="1160"/>
      <c r="AC863" s="1160"/>
      <c r="AD863" s="1160"/>
      <c r="AE863" s="1160"/>
    </row>
    <row r="864" ht="15.0" customHeight="1">
      <c r="A864" s="1209"/>
      <c r="B864" s="1209"/>
      <c r="C864" s="1210"/>
      <c r="D864" s="1160"/>
      <c r="E864" s="1160"/>
      <c r="F864" s="1160"/>
      <c r="G864" s="1160"/>
      <c r="H864" s="1160"/>
      <c r="I864" s="1160"/>
      <c r="J864" s="1160"/>
      <c r="K864" s="1160"/>
      <c r="L864" s="1160"/>
      <c r="M864" s="1160"/>
      <c r="N864" s="1160"/>
      <c r="O864" s="1160"/>
      <c r="P864" s="1160"/>
      <c r="Q864" s="1160"/>
      <c r="R864" s="1160"/>
      <c r="S864" s="1160"/>
      <c r="T864" s="1160"/>
      <c r="U864" s="1160"/>
      <c r="V864" s="1160"/>
      <c r="W864" s="1160"/>
      <c r="X864" s="1211"/>
      <c r="Y864" s="1160"/>
      <c r="Z864" s="1160"/>
      <c r="AA864" s="1160"/>
      <c r="AB864" s="1160"/>
      <c r="AC864" s="1160"/>
      <c r="AD864" s="1160"/>
      <c r="AE864" s="1160"/>
    </row>
    <row r="865" ht="15.0" customHeight="1">
      <c r="A865" s="1209"/>
      <c r="B865" s="1209"/>
      <c r="C865" s="1210"/>
      <c r="D865" s="1160"/>
      <c r="E865" s="1160"/>
      <c r="F865" s="1160"/>
      <c r="G865" s="1160"/>
      <c r="H865" s="1160"/>
      <c r="I865" s="1160"/>
      <c r="J865" s="1160"/>
      <c r="K865" s="1160"/>
      <c r="L865" s="1160"/>
      <c r="M865" s="1160"/>
      <c r="N865" s="1160"/>
      <c r="O865" s="1160"/>
      <c r="P865" s="1160"/>
      <c r="Q865" s="1160"/>
      <c r="R865" s="1160"/>
      <c r="S865" s="1160"/>
      <c r="T865" s="1160"/>
      <c r="U865" s="1160"/>
      <c r="V865" s="1160"/>
      <c r="W865" s="1160"/>
      <c r="X865" s="1211"/>
      <c r="Y865" s="1160"/>
      <c r="Z865" s="1160"/>
      <c r="AA865" s="1160"/>
      <c r="AB865" s="1160"/>
      <c r="AC865" s="1160"/>
      <c r="AD865" s="1160"/>
      <c r="AE865" s="1160"/>
    </row>
    <row r="866" ht="15.0" customHeight="1">
      <c r="A866" s="1209"/>
      <c r="B866" s="1209"/>
      <c r="C866" s="1210"/>
      <c r="D866" s="1160"/>
      <c r="E866" s="1160"/>
      <c r="F866" s="1160"/>
      <c r="G866" s="1160"/>
      <c r="H866" s="1160"/>
      <c r="I866" s="1160"/>
      <c r="J866" s="1160"/>
      <c r="K866" s="1160"/>
      <c r="L866" s="1160"/>
      <c r="M866" s="1160"/>
      <c r="N866" s="1160"/>
      <c r="O866" s="1160"/>
      <c r="P866" s="1160"/>
      <c r="Q866" s="1160"/>
      <c r="R866" s="1160"/>
      <c r="S866" s="1160"/>
      <c r="T866" s="1160"/>
      <c r="U866" s="1160"/>
      <c r="V866" s="1160"/>
      <c r="W866" s="1160"/>
      <c r="X866" s="1211"/>
      <c r="Y866" s="1160"/>
      <c r="Z866" s="1160"/>
      <c r="AA866" s="1160"/>
      <c r="AB866" s="1160"/>
      <c r="AC866" s="1160"/>
      <c r="AD866" s="1160"/>
      <c r="AE866" s="1160"/>
    </row>
    <row r="867" ht="15.0" customHeight="1">
      <c r="A867" s="1209"/>
      <c r="B867" s="1209"/>
      <c r="C867" s="1210"/>
      <c r="D867" s="1160"/>
      <c r="E867" s="1160"/>
      <c r="F867" s="1160"/>
      <c r="G867" s="1160"/>
      <c r="H867" s="1160"/>
      <c r="I867" s="1160"/>
      <c r="J867" s="1160"/>
      <c r="K867" s="1160"/>
      <c r="L867" s="1160"/>
      <c r="M867" s="1160"/>
      <c r="N867" s="1160"/>
      <c r="O867" s="1160"/>
      <c r="P867" s="1160"/>
      <c r="Q867" s="1160"/>
      <c r="R867" s="1160"/>
      <c r="S867" s="1160"/>
      <c r="T867" s="1160"/>
      <c r="U867" s="1160"/>
      <c r="V867" s="1160"/>
      <c r="W867" s="1160"/>
      <c r="X867" s="1211"/>
      <c r="Y867" s="1160"/>
      <c r="Z867" s="1160"/>
      <c r="AA867" s="1160"/>
      <c r="AB867" s="1160"/>
      <c r="AC867" s="1160"/>
      <c r="AD867" s="1160"/>
      <c r="AE867" s="1160"/>
    </row>
    <row r="868" ht="15.0" customHeight="1">
      <c r="A868" s="1209"/>
      <c r="B868" s="1209"/>
      <c r="C868" s="1210"/>
      <c r="D868" s="1160"/>
      <c r="E868" s="1160"/>
      <c r="F868" s="1160"/>
      <c r="G868" s="1160"/>
      <c r="H868" s="1160"/>
      <c r="I868" s="1160"/>
      <c r="J868" s="1160"/>
      <c r="K868" s="1160"/>
      <c r="L868" s="1160"/>
      <c r="M868" s="1160"/>
      <c r="N868" s="1160"/>
      <c r="O868" s="1160"/>
      <c r="P868" s="1160"/>
      <c r="Q868" s="1160"/>
      <c r="R868" s="1160"/>
      <c r="S868" s="1160"/>
      <c r="T868" s="1160"/>
      <c r="U868" s="1160"/>
      <c r="V868" s="1160"/>
      <c r="W868" s="1160"/>
      <c r="X868" s="1211"/>
      <c r="Y868" s="1160"/>
      <c r="Z868" s="1160"/>
      <c r="AA868" s="1160"/>
      <c r="AB868" s="1160"/>
      <c r="AC868" s="1160"/>
      <c r="AD868" s="1160"/>
      <c r="AE868" s="1160"/>
    </row>
    <row r="869" ht="15.0" customHeight="1">
      <c r="A869" s="1209"/>
      <c r="B869" s="1209"/>
      <c r="C869" s="1210"/>
      <c r="D869" s="1160"/>
      <c r="E869" s="1160"/>
      <c r="F869" s="1160"/>
      <c r="G869" s="1160"/>
      <c r="H869" s="1160"/>
      <c r="I869" s="1160"/>
      <c r="J869" s="1160"/>
      <c r="K869" s="1160"/>
      <c r="L869" s="1160"/>
      <c r="M869" s="1160"/>
      <c r="N869" s="1160"/>
      <c r="O869" s="1160"/>
      <c r="P869" s="1160"/>
      <c r="Q869" s="1160"/>
      <c r="R869" s="1160"/>
      <c r="S869" s="1160"/>
      <c r="T869" s="1160"/>
      <c r="U869" s="1160"/>
      <c r="V869" s="1160"/>
      <c r="W869" s="1160"/>
      <c r="X869" s="1211"/>
      <c r="Y869" s="1160"/>
      <c r="Z869" s="1160"/>
      <c r="AA869" s="1160"/>
      <c r="AB869" s="1160"/>
      <c r="AC869" s="1160"/>
      <c r="AD869" s="1160"/>
      <c r="AE869" s="1160"/>
    </row>
    <row r="870" ht="15.0" customHeight="1">
      <c r="A870" s="1209"/>
      <c r="B870" s="1209"/>
      <c r="C870" s="1210"/>
      <c r="D870" s="1160"/>
      <c r="E870" s="1160"/>
      <c r="F870" s="1160"/>
      <c r="G870" s="1160"/>
      <c r="H870" s="1160"/>
      <c r="I870" s="1160"/>
      <c r="J870" s="1160"/>
      <c r="K870" s="1160"/>
      <c r="L870" s="1160"/>
      <c r="M870" s="1160"/>
      <c r="N870" s="1160"/>
      <c r="O870" s="1160"/>
      <c r="P870" s="1160"/>
      <c r="Q870" s="1160"/>
      <c r="R870" s="1160"/>
      <c r="S870" s="1160"/>
      <c r="T870" s="1160"/>
      <c r="U870" s="1160"/>
      <c r="V870" s="1160"/>
      <c r="W870" s="1160"/>
      <c r="X870" s="1211"/>
      <c r="Y870" s="1160"/>
      <c r="Z870" s="1160"/>
      <c r="AA870" s="1160"/>
      <c r="AB870" s="1160"/>
      <c r="AC870" s="1160"/>
      <c r="AD870" s="1160"/>
      <c r="AE870" s="1160"/>
    </row>
    <row r="871" ht="15.0" customHeight="1">
      <c r="A871" s="1209"/>
      <c r="B871" s="1209"/>
      <c r="C871" s="1210"/>
      <c r="D871" s="1160"/>
      <c r="E871" s="1160"/>
      <c r="F871" s="1160"/>
      <c r="G871" s="1160"/>
      <c r="H871" s="1160"/>
      <c r="I871" s="1160"/>
      <c r="J871" s="1160"/>
      <c r="K871" s="1160"/>
      <c r="L871" s="1160"/>
      <c r="M871" s="1160"/>
      <c r="N871" s="1160"/>
      <c r="O871" s="1160"/>
      <c r="P871" s="1160"/>
      <c r="Q871" s="1160"/>
      <c r="R871" s="1160"/>
      <c r="S871" s="1160"/>
      <c r="T871" s="1160"/>
      <c r="U871" s="1160"/>
      <c r="V871" s="1160"/>
      <c r="W871" s="1160"/>
      <c r="X871" s="1211"/>
      <c r="Y871" s="1160"/>
      <c r="Z871" s="1160"/>
      <c r="AA871" s="1160"/>
      <c r="AB871" s="1160"/>
      <c r="AC871" s="1160"/>
      <c r="AD871" s="1160"/>
      <c r="AE871" s="1160"/>
    </row>
    <row r="872" ht="15.0" customHeight="1">
      <c r="A872" s="1209"/>
      <c r="B872" s="1209"/>
      <c r="C872" s="1210"/>
      <c r="D872" s="1160"/>
      <c r="E872" s="1160"/>
      <c r="F872" s="1160"/>
      <c r="G872" s="1160"/>
      <c r="H872" s="1160"/>
      <c r="I872" s="1160"/>
      <c r="J872" s="1160"/>
      <c r="K872" s="1160"/>
      <c r="L872" s="1160"/>
      <c r="M872" s="1160"/>
      <c r="N872" s="1160"/>
      <c r="O872" s="1160"/>
      <c r="P872" s="1160"/>
      <c r="Q872" s="1160"/>
      <c r="R872" s="1160"/>
      <c r="S872" s="1160"/>
      <c r="T872" s="1160"/>
      <c r="U872" s="1160"/>
      <c r="V872" s="1160"/>
      <c r="W872" s="1160"/>
      <c r="X872" s="1211"/>
      <c r="Y872" s="1160"/>
      <c r="Z872" s="1160"/>
      <c r="AA872" s="1160"/>
      <c r="AB872" s="1160"/>
      <c r="AC872" s="1160"/>
      <c r="AD872" s="1160"/>
      <c r="AE872" s="1160"/>
    </row>
    <row r="873" ht="15.0" customHeight="1">
      <c r="A873" s="1209"/>
      <c r="B873" s="1209"/>
      <c r="C873" s="1210"/>
      <c r="D873" s="1160"/>
      <c r="E873" s="1160"/>
      <c r="F873" s="1160"/>
      <c r="G873" s="1160"/>
      <c r="H873" s="1160"/>
      <c r="I873" s="1160"/>
      <c r="J873" s="1160"/>
      <c r="K873" s="1160"/>
      <c r="L873" s="1160"/>
      <c r="M873" s="1160"/>
      <c r="N873" s="1160"/>
      <c r="O873" s="1160"/>
      <c r="P873" s="1160"/>
      <c r="Q873" s="1160"/>
      <c r="R873" s="1160"/>
      <c r="S873" s="1160"/>
      <c r="T873" s="1160"/>
      <c r="U873" s="1160"/>
      <c r="V873" s="1160"/>
      <c r="W873" s="1160"/>
      <c r="X873" s="1211"/>
      <c r="Y873" s="1160"/>
      <c r="Z873" s="1160"/>
      <c r="AA873" s="1160"/>
      <c r="AB873" s="1160"/>
      <c r="AC873" s="1160"/>
      <c r="AD873" s="1160"/>
      <c r="AE873" s="1160"/>
    </row>
    <row r="874" ht="15.0" customHeight="1">
      <c r="A874" s="1209"/>
      <c r="B874" s="1209"/>
      <c r="C874" s="1210"/>
      <c r="D874" s="1160"/>
      <c r="E874" s="1160"/>
      <c r="F874" s="1160"/>
      <c r="G874" s="1160"/>
      <c r="H874" s="1160"/>
      <c r="I874" s="1160"/>
      <c r="J874" s="1160"/>
      <c r="K874" s="1160"/>
      <c r="L874" s="1160"/>
      <c r="M874" s="1160"/>
      <c r="N874" s="1160"/>
      <c r="O874" s="1160"/>
      <c r="P874" s="1160"/>
      <c r="Q874" s="1160"/>
      <c r="R874" s="1160"/>
      <c r="S874" s="1160"/>
      <c r="T874" s="1160"/>
      <c r="U874" s="1160"/>
      <c r="V874" s="1160"/>
      <c r="W874" s="1160"/>
      <c r="X874" s="1211"/>
      <c r="Y874" s="1160"/>
      <c r="Z874" s="1160"/>
      <c r="AA874" s="1160"/>
      <c r="AB874" s="1160"/>
      <c r="AC874" s="1160"/>
      <c r="AD874" s="1160"/>
      <c r="AE874" s="1160"/>
    </row>
    <row r="875" ht="15.0" customHeight="1">
      <c r="A875" s="1209"/>
      <c r="B875" s="1209"/>
      <c r="C875" s="1210"/>
      <c r="D875" s="1160"/>
      <c r="E875" s="1160"/>
      <c r="F875" s="1160"/>
      <c r="G875" s="1160"/>
      <c r="H875" s="1160"/>
      <c r="I875" s="1160"/>
      <c r="J875" s="1160"/>
      <c r="K875" s="1160"/>
      <c r="L875" s="1160"/>
      <c r="M875" s="1160"/>
      <c r="N875" s="1160"/>
      <c r="O875" s="1160"/>
      <c r="P875" s="1160"/>
      <c r="Q875" s="1160"/>
      <c r="R875" s="1160"/>
      <c r="S875" s="1160"/>
      <c r="T875" s="1160"/>
      <c r="U875" s="1160"/>
      <c r="V875" s="1160"/>
      <c r="W875" s="1160"/>
      <c r="X875" s="1211"/>
      <c r="Y875" s="1160"/>
      <c r="Z875" s="1160"/>
      <c r="AA875" s="1160"/>
      <c r="AB875" s="1160"/>
      <c r="AC875" s="1160"/>
      <c r="AD875" s="1160"/>
      <c r="AE875" s="1160"/>
    </row>
    <row r="876" ht="15.0" customHeight="1">
      <c r="A876" s="1209"/>
      <c r="B876" s="1209"/>
      <c r="C876" s="1210"/>
      <c r="D876" s="1160"/>
      <c r="E876" s="1160"/>
      <c r="F876" s="1160"/>
      <c r="G876" s="1160"/>
      <c r="H876" s="1160"/>
      <c r="I876" s="1160"/>
      <c r="J876" s="1160"/>
      <c r="K876" s="1160"/>
      <c r="L876" s="1160"/>
      <c r="M876" s="1160"/>
      <c r="N876" s="1160"/>
      <c r="O876" s="1160"/>
      <c r="P876" s="1160"/>
      <c r="Q876" s="1160"/>
      <c r="R876" s="1160"/>
      <c r="S876" s="1160"/>
      <c r="T876" s="1160"/>
      <c r="U876" s="1160"/>
      <c r="V876" s="1160"/>
      <c r="W876" s="1160"/>
      <c r="X876" s="1211"/>
      <c r="Y876" s="1160"/>
      <c r="Z876" s="1160"/>
      <c r="AA876" s="1160"/>
      <c r="AB876" s="1160"/>
      <c r="AC876" s="1160"/>
      <c r="AD876" s="1160"/>
      <c r="AE876" s="1160"/>
    </row>
    <row r="877" ht="15.0" customHeight="1">
      <c r="A877" s="1209"/>
      <c r="B877" s="1209"/>
      <c r="C877" s="1210"/>
      <c r="D877" s="1160"/>
      <c r="E877" s="1160"/>
      <c r="F877" s="1160"/>
      <c r="G877" s="1160"/>
      <c r="H877" s="1160"/>
      <c r="I877" s="1160"/>
      <c r="J877" s="1160"/>
      <c r="K877" s="1160"/>
      <c r="L877" s="1160"/>
      <c r="M877" s="1160"/>
      <c r="N877" s="1160"/>
      <c r="O877" s="1160"/>
      <c r="P877" s="1160"/>
      <c r="Q877" s="1160"/>
      <c r="R877" s="1160"/>
      <c r="S877" s="1160"/>
      <c r="T877" s="1160"/>
      <c r="U877" s="1160"/>
      <c r="V877" s="1160"/>
      <c r="W877" s="1160"/>
      <c r="X877" s="1211"/>
      <c r="Y877" s="1160"/>
      <c r="Z877" s="1160"/>
      <c r="AA877" s="1160"/>
      <c r="AB877" s="1160"/>
      <c r="AC877" s="1160"/>
      <c r="AD877" s="1160"/>
      <c r="AE877" s="1160"/>
    </row>
    <row r="878" ht="15.0" customHeight="1">
      <c r="A878" s="1209"/>
      <c r="B878" s="1209"/>
      <c r="C878" s="1210"/>
      <c r="D878" s="1160"/>
      <c r="E878" s="1160"/>
      <c r="F878" s="1160"/>
      <c r="G878" s="1160"/>
      <c r="H878" s="1160"/>
      <c r="I878" s="1160"/>
      <c r="J878" s="1160"/>
      <c r="K878" s="1160"/>
      <c r="L878" s="1160"/>
      <c r="M878" s="1160"/>
      <c r="N878" s="1160"/>
      <c r="O878" s="1160"/>
      <c r="P878" s="1160"/>
      <c r="Q878" s="1160"/>
      <c r="R878" s="1160"/>
      <c r="S878" s="1160"/>
      <c r="T878" s="1160"/>
      <c r="U878" s="1160"/>
      <c r="V878" s="1160"/>
      <c r="W878" s="1160"/>
      <c r="X878" s="1211"/>
      <c r="Y878" s="1160"/>
      <c r="Z878" s="1160"/>
      <c r="AA878" s="1160"/>
      <c r="AB878" s="1160"/>
      <c r="AC878" s="1160"/>
      <c r="AD878" s="1160"/>
      <c r="AE878" s="1160"/>
    </row>
    <row r="879" ht="15.0" customHeight="1">
      <c r="A879" s="1209"/>
      <c r="B879" s="1209"/>
      <c r="C879" s="1210"/>
      <c r="D879" s="1160"/>
      <c r="E879" s="1160"/>
      <c r="F879" s="1160"/>
      <c r="G879" s="1160"/>
      <c r="H879" s="1160"/>
      <c r="I879" s="1160"/>
      <c r="J879" s="1160"/>
      <c r="K879" s="1160"/>
      <c r="L879" s="1160"/>
      <c r="M879" s="1160"/>
      <c r="N879" s="1160"/>
      <c r="O879" s="1160"/>
      <c r="P879" s="1160"/>
      <c r="Q879" s="1160"/>
      <c r="R879" s="1160"/>
      <c r="S879" s="1160"/>
      <c r="T879" s="1160"/>
      <c r="U879" s="1160"/>
      <c r="V879" s="1160"/>
      <c r="W879" s="1160"/>
      <c r="X879" s="1211"/>
      <c r="Y879" s="1160"/>
      <c r="Z879" s="1160"/>
      <c r="AA879" s="1160"/>
      <c r="AB879" s="1160"/>
      <c r="AC879" s="1160"/>
      <c r="AD879" s="1160"/>
      <c r="AE879" s="1160"/>
    </row>
    <row r="880" ht="15.0" customHeight="1">
      <c r="A880" s="1209"/>
      <c r="B880" s="1209"/>
      <c r="C880" s="1210"/>
      <c r="D880" s="1160"/>
      <c r="E880" s="1160"/>
      <c r="F880" s="1160"/>
      <c r="G880" s="1160"/>
      <c r="H880" s="1160"/>
      <c r="I880" s="1160"/>
      <c r="J880" s="1160"/>
      <c r="K880" s="1160"/>
      <c r="L880" s="1160"/>
      <c r="M880" s="1160"/>
      <c r="N880" s="1160"/>
      <c r="O880" s="1160"/>
      <c r="P880" s="1160"/>
      <c r="Q880" s="1160"/>
      <c r="R880" s="1160"/>
      <c r="S880" s="1160"/>
      <c r="T880" s="1160"/>
      <c r="U880" s="1160"/>
      <c r="V880" s="1160"/>
      <c r="W880" s="1160"/>
      <c r="X880" s="1211"/>
      <c r="Y880" s="1160"/>
      <c r="Z880" s="1160"/>
      <c r="AA880" s="1160"/>
      <c r="AB880" s="1160"/>
      <c r="AC880" s="1160"/>
      <c r="AD880" s="1160"/>
      <c r="AE880" s="1160"/>
    </row>
    <row r="881" ht="15.0" customHeight="1">
      <c r="A881" s="1209"/>
      <c r="B881" s="1209"/>
      <c r="C881" s="1210"/>
      <c r="D881" s="1160"/>
      <c r="E881" s="1160"/>
      <c r="F881" s="1160"/>
      <c r="G881" s="1160"/>
      <c r="H881" s="1160"/>
      <c r="I881" s="1160"/>
      <c r="J881" s="1160"/>
      <c r="K881" s="1160"/>
      <c r="L881" s="1160"/>
      <c r="M881" s="1160"/>
      <c r="N881" s="1160"/>
      <c r="O881" s="1160"/>
      <c r="P881" s="1160"/>
      <c r="Q881" s="1160"/>
      <c r="R881" s="1160"/>
      <c r="S881" s="1160"/>
      <c r="T881" s="1160"/>
      <c r="U881" s="1160"/>
      <c r="V881" s="1160"/>
      <c r="W881" s="1160"/>
      <c r="X881" s="1211"/>
      <c r="Y881" s="1160"/>
      <c r="Z881" s="1160"/>
      <c r="AA881" s="1160"/>
      <c r="AB881" s="1160"/>
      <c r="AC881" s="1160"/>
      <c r="AD881" s="1160"/>
      <c r="AE881" s="1160"/>
    </row>
    <row r="882" ht="15.0" customHeight="1">
      <c r="A882" s="1209"/>
      <c r="B882" s="1209"/>
      <c r="C882" s="1210"/>
      <c r="D882" s="1160"/>
      <c r="E882" s="1160"/>
      <c r="F882" s="1160"/>
      <c r="G882" s="1160"/>
      <c r="H882" s="1160"/>
      <c r="I882" s="1160"/>
      <c r="J882" s="1160"/>
      <c r="K882" s="1160"/>
      <c r="L882" s="1160"/>
      <c r="M882" s="1160"/>
      <c r="N882" s="1160"/>
      <c r="O882" s="1160"/>
      <c r="P882" s="1160"/>
      <c r="Q882" s="1160"/>
      <c r="R882" s="1160"/>
      <c r="S882" s="1160"/>
      <c r="T882" s="1160"/>
      <c r="U882" s="1160"/>
      <c r="V882" s="1160"/>
      <c r="W882" s="1160"/>
      <c r="X882" s="1211"/>
      <c r="Y882" s="1160"/>
      <c r="Z882" s="1160"/>
      <c r="AA882" s="1160"/>
      <c r="AB882" s="1160"/>
      <c r="AC882" s="1160"/>
      <c r="AD882" s="1160"/>
      <c r="AE882" s="1160"/>
    </row>
    <row r="883" ht="15.0" customHeight="1">
      <c r="A883" s="1209"/>
      <c r="B883" s="1209"/>
      <c r="C883" s="1210"/>
      <c r="D883" s="1160"/>
      <c r="E883" s="1160"/>
      <c r="F883" s="1160"/>
      <c r="G883" s="1160"/>
      <c r="H883" s="1160"/>
      <c r="I883" s="1160"/>
      <c r="J883" s="1160"/>
      <c r="K883" s="1160"/>
      <c r="L883" s="1160"/>
      <c r="M883" s="1160"/>
      <c r="N883" s="1160"/>
      <c r="O883" s="1160"/>
      <c r="P883" s="1160"/>
      <c r="Q883" s="1160"/>
      <c r="R883" s="1160"/>
      <c r="S883" s="1160"/>
      <c r="T883" s="1160"/>
      <c r="U883" s="1160"/>
      <c r="V883" s="1160"/>
      <c r="W883" s="1160"/>
      <c r="X883" s="1211"/>
      <c r="Y883" s="1160"/>
      <c r="Z883" s="1160"/>
      <c r="AA883" s="1160"/>
      <c r="AB883" s="1160"/>
      <c r="AC883" s="1160"/>
      <c r="AD883" s="1160"/>
      <c r="AE883" s="1160"/>
    </row>
    <row r="884" ht="15.0" customHeight="1">
      <c r="A884" s="1209"/>
      <c r="B884" s="1209"/>
      <c r="C884" s="1210"/>
      <c r="D884" s="1160"/>
      <c r="E884" s="1160"/>
      <c r="F884" s="1160"/>
      <c r="G884" s="1160"/>
      <c r="H884" s="1160"/>
      <c r="I884" s="1160"/>
      <c r="J884" s="1160"/>
      <c r="K884" s="1160"/>
      <c r="L884" s="1160"/>
      <c r="M884" s="1160"/>
      <c r="N884" s="1160"/>
      <c r="O884" s="1160"/>
      <c r="P884" s="1160"/>
      <c r="Q884" s="1160"/>
      <c r="R884" s="1160"/>
      <c r="S884" s="1160"/>
      <c r="T884" s="1160"/>
      <c r="U884" s="1160"/>
      <c r="V884" s="1160"/>
      <c r="W884" s="1160"/>
      <c r="X884" s="1211"/>
      <c r="Y884" s="1160"/>
      <c r="Z884" s="1160"/>
      <c r="AA884" s="1160"/>
      <c r="AB884" s="1160"/>
      <c r="AC884" s="1160"/>
      <c r="AD884" s="1160"/>
      <c r="AE884" s="1160"/>
    </row>
    <row r="885" ht="15.0" customHeight="1">
      <c r="A885" s="1209"/>
      <c r="B885" s="1209"/>
      <c r="C885" s="1210"/>
      <c r="D885" s="1160"/>
      <c r="E885" s="1160"/>
      <c r="F885" s="1160"/>
      <c r="G885" s="1160"/>
      <c r="H885" s="1160"/>
      <c r="I885" s="1160"/>
      <c r="J885" s="1160"/>
      <c r="K885" s="1160"/>
      <c r="L885" s="1160"/>
      <c r="M885" s="1160"/>
      <c r="N885" s="1160"/>
      <c r="O885" s="1160"/>
      <c r="P885" s="1160"/>
      <c r="Q885" s="1160"/>
      <c r="R885" s="1160"/>
      <c r="S885" s="1160"/>
      <c r="T885" s="1160"/>
      <c r="U885" s="1160"/>
      <c r="V885" s="1160"/>
      <c r="W885" s="1160"/>
      <c r="X885" s="1211"/>
      <c r="Y885" s="1160"/>
      <c r="Z885" s="1160"/>
      <c r="AA885" s="1160"/>
      <c r="AB885" s="1160"/>
      <c r="AC885" s="1160"/>
      <c r="AD885" s="1160"/>
      <c r="AE885" s="1160"/>
    </row>
    <row r="886" ht="15.0" customHeight="1">
      <c r="A886" s="1209"/>
      <c r="B886" s="1209"/>
      <c r="C886" s="1210"/>
      <c r="D886" s="1160"/>
      <c r="E886" s="1160"/>
      <c r="F886" s="1160"/>
      <c r="G886" s="1160"/>
      <c r="H886" s="1160"/>
      <c r="I886" s="1160"/>
      <c r="J886" s="1160"/>
      <c r="K886" s="1160"/>
      <c r="L886" s="1160"/>
      <c r="M886" s="1160"/>
      <c r="N886" s="1160"/>
      <c r="O886" s="1160"/>
      <c r="P886" s="1160"/>
      <c r="Q886" s="1160"/>
      <c r="R886" s="1160"/>
      <c r="S886" s="1160"/>
      <c r="T886" s="1160"/>
      <c r="U886" s="1160"/>
      <c r="V886" s="1160"/>
      <c r="W886" s="1160"/>
      <c r="X886" s="1211"/>
      <c r="Y886" s="1160"/>
      <c r="Z886" s="1160"/>
      <c r="AA886" s="1160"/>
      <c r="AB886" s="1160"/>
      <c r="AC886" s="1160"/>
      <c r="AD886" s="1160"/>
      <c r="AE886" s="1160"/>
    </row>
    <row r="887" ht="15.0" customHeight="1">
      <c r="A887" s="1209"/>
      <c r="B887" s="1209"/>
      <c r="C887" s="1210"/>
      <c r="D887" s="1160"/>
      <c r="E887" s="1160"/>
      <c r="F887" s="1160"/>
      <c r="G887" s="1160"/>
      <c r="H887" s="1160"/>
      <c r="I887" s="1160"/>
      <c r="J887" s="1160"/>
      <c r="K887" s="1160"/>
      <c r="L887" s="1160"/>
      <c r="M887" s="1160"/>
      <c r="N887" s="1160"/>
      <c r="O887" s="1160"/>
      <c r="P887" s="1160"/>
      <c r="Q887" s="1160"/>
      <c r="R887" s="1160"/>
      <c r="S887" s="1160"/>
      <c r="T887" s="1160"/>
      <c r="U887" s="1160"/>
      <c r="V887" s="1160"/>
      <c r="W887" s="1160"/>
      <c r="X887" s="1211"/>
      <c r="Y887" s="1160"/>
      <c r="Z887" s="1160"/>
      <c r="AA887" s="1160"/>
      <c r="AB887" s="1160"/>
      <c r="AC887" s="1160"/>
      <c r="AD887" s="1160"/>
      <c r="AE887" s="1160"/>
    </row>
    <row r="888" ht="15.0" customHeight="1">
      <c r="A888" s="1209"/>
      <c r="B888" s="1209"/>
      <c r="C888" s="1210"/>
      <c r="D888" s="1160"/>
      <c r="E888" s="1160"/>
      <c r="F888" s="1160"/>
      <c r="G888" s="1160"/>
      <c r="H888" s="1160"/>
      <c r="I888" s="1160"/>
      <c r="J888" s="1160"/>
      <c r="K888" s="1160"/>
      <c r="L888" s="1160"/>
      <c r="M888" s="1160"/>
      <c r="N888" s="1160"/>
      <c r="O888" s="1160"/>
      <c r="P888" s="1160"/>
      <c r="Q888" s="1160"/>
      <c r="R888" s="1160"/>
      <c r="S888" s="1160"/>
      <c r="T888" s="1160"/>
      <c r="U888" s="1160"/>
      <c r="V888" s="1160"/>
      <c r="W888" s="1160"/>
      <c r="X888" s="1211"/>
      <c r="Y888" s="1160"/>
      <c r="Z888" s="1160"/>
      <c r="AA888" s="1160"/>
      <c r="AB888" s="1160"/>
      <c r="AC888" s="1160"/>
      <c r="AD888" s="1160"/>
      <c r="AE888" s="1160"/>
    </row>
    <row r="889" ht="15.0" customHeight="1">
      <c r="A889" s="1209"/>
      <c r="B889" s="1209"/>
      <c r="C889" s="1210"/>
      <c r="D889" s="1160"/>
      <c r="E889" s="1160"/>
      <c r="F889" s="1160"/>
      <c r="G889" s="1160"/>
      <c r="H889" s="1160"/>
      <c r="I889" s="1160"/>
      <c r="J889" s="1160"/>
      <c r="K889" s="1160"/>
      <c r="L889" s="1160"/>
      <c r="M889" s="1160"/>
      <c r="N889" s="1160"/>
      <c r="O889" s="1160"/>
      <c r="P889" s="1160"/>
      <c r="Q889" s="1160"/>
      <c r="R889" s="1160"/>
      <c r="S889" s="1160"/>
      <c r="T889" s="1160"/>
      <c r="U889" s="1160"/>
      <c r="V889" s="1160"/>
      <c r="W889" s="1160"/>
      <c r="X889" s="1211"/>
      <c r="Y889" s="1160"/>
      <c r="Z889" s="1160"/>
      <c r="AA889" s="1160"/>
      <c r="AB889" s="1160"/>
      <c r="AC889" s="1160"/>
      <c r="AD889" s="1160"/>
      <c r="AE889" s="1160"/>
    </row>
    <row r="890" ht="15.0" customHeight="1">
      <c r="A890" s="1209"/>
      <c r="B890" s="1209"/>
      <c r="C890" s="1210"/>
      <c r="D890" s="1160"/>
      <c r="E890" s="1160"/>
      <c r="F890" s="1160"/>
      <c r="G890" s="1160"/>
      <c r="H890" s="1160"/>
      <c r="I890" s="1160"/>
      <c r="J890" s="1160"/>
      <c r="K890" s="1160"/>
      <c r="L890" s="1160"/>
      <c r="M890" s="1160"/>
      <c r="N890" s="1160"/>
      <c r="O890" s="1160"/>
      <c r="P890" s="1160"/>
      <c r="Q890" s="1160"/>
      <c r="R890" s="1160"/>
      <c r="S890" s="1160"/>
      <c r="T890" s="1160"/>
      <c r="U890" s="1160"/>
      <c r="V890" s="1160"/>
      <c r="W890" s="1160"/>
      <c r="X890" s="1211"/>
      <c r="Y890" s="1160"/>
      <c r="Z890" s="1160"/>
      <c r="AA890" s="1160"/>
      <c r="AB890" s="1160"/>
      <c r="AC890" s="1160"/>
      <c r="AD890" s="1160"/>
      <c r="AE890" s="1160"/>
    </row>
    <row r="891" ht="15.0" customHeight="1">
      <c r="A891" s="1209"/>
      <c r="B891" s="1209"/>
      <c r="C891" s="1210"/>
      <c r="D891" s="1160"/>
      <c r="E891" s="1160"/>
      <c r="F891" s="1160"/>
      <c r="G891" s="1160"/>
      <c r="H891" s="1160"/>
      <c r="I891" s="1160"/>
      <c r="J891" s="1160"/>
      <c r="K891" s="1160"/>
      <c r="L891" s="1160"/>
      <c r="M891" s="1160"/>
      <c r="N891" s="1160"/>
      <c r="O891" s="1160"/>
      <c r="P891" s="1160"/>
      <c r="Q891" s="1160"/>
      <c r="R891" s="1160"/>
      <c r="S891" s="1160"/>
      <c r="T891" s="1160"/>
      <c r="U891" s="1160"/>
      <c r="V891" s="1160"/>
      <c r="W891" s="1160"/>
      <c r="X891" s="1211"/>
      <c r="Y891" s="1160"/>
      <c r="Z891" s="1160"/>
      <c r="AA891" s="1160"/>
      <c r="AB891" s="1160"/>
      <c r="AC891" s="1160"/>
      <c r="AD891" s="1160"/>
      <c r="AE891" s="1160"/>
    </row>
    <row r="892" ht="15.0" customHeight="1">
      <c r="A892" s="1209"/>
      <c r="B892" s="1209"/>
      <c r="C892" s="1210"/>
      <c r="D892" s="1160"/>
      <c r="E892" s="1160"/>
      <c r="F892" s="1160"/>
      <c r="G892" s="1160"/>
      <c r="H892" s="1160"/>
      <c r="I892" s="1160"/>
      <c r="J892" s="1160"/>
      <c r="K892" s="1160"/>
      <c r="L892" s="1160"/>
      <c r="M892" s="1160"/>
      <c r="N892" s="1160"/>
      <c r="O892" s="1160"/>
      <c r="P892" s="1160"/>
      <c r="Q892" s="1160"/>
      <c r="R892" s="1160"/>
      <c r="S892" s="1160"/>
      <c r="T892" s="1160"/>
      <c r="U892" s="1160"/>
      <c r="V892" s="1160"/>
      <c r="W892" s="1160"/>
      <c r="X892" s="1211"/>
      <c r="Y892" s="1160"/>
      <c r="Z892" s="1160"/>
      <c r="AA892" s="1160"/>
      <c r="AB892" s="1160"/>
      <c r="AC892" s="1160"/>
      <c r="AD892" s="1160"/>
      <c r="AE892" s="1160"/>
    </row>
    <row r="893" ht="15.0" customHeight="1">
      <c r="A893" s="1209"/>
      <c r="B893" s="1209"/>
      <c r="C893" s="1210"/>
      <c r="D893" s="1160"/>
      <c r="E893" s="1160"/>
      <c r="F893" s="1160"/>
      <c r="G893" s="1160"/>
      <c r="H893" s="1160"/>
      <c r="I893" s="1160"/>
      <c r="J893" s="1160"/>
      <c r="K893" s="1160"/>
      <c r="L893" s="1160"/>
      <c r="M893" s="1160"/>
      <c r="N893" s="1160"/>
      <c r="O893" s="1160"/>
      <c r="P893" s="1160"/>
      <c r="Q893" s="1160"/>
      <c r="R893" s="1160"/>
      <c r="S893" s="1160"/>
      <c r="T893" s="1160"/>
      <c r="U893" s="1160"/>
      <c r="V893" s="1160"/>
      <c r="W893" s="1160"/>
      <c r="X893" s="1211"/>
      <c r="Y893" s="1160"/>
      <c r="Z893" s="1160"/>
      <c r="AA893" s="1160"/>
      <c r="AB893" s="1160"/>
      <c r="AC893" s="1160"/>
      <c r="AD893" s="1160"/>
      <c r="AE893" s="1160"/>
    </row>
    <row r="894" ht="15.0" customHeight="1">
      <c r="A894" s="1209"/>
      <c r="B894" s="1209"/>
      <c r="C894" s="1210"/>
      <c r="D894" s="1160"/>
      <c r="E894" s="1160"/>
      <c r="F894" s="1160"/>
      <c r="G894" s="1160"/>
      <c r="H894" s="1160"/>
      <c r="I894" s="1160"/>
      <c r="J894" s="1160"/>
      <c r="K894" s="1160"/>
      <c r="L894" s="1160"/>
      <c r="M894" s="1160"/>
      <c r="N894" s="1160"/>
      <c r="O894" s="1160"/>
      <c r="P894" s="1160"/>
      <c r="Q894" s="1160"/>
      <c r="R894" s="1160"/>
      <c r="S894" s="1160"/>
      <c r="T894" s="1160"/>
      <c r="U894" s="1160"/>
      <c r="V894" s="1160"/>
      <c r="W894" s="1160"/>
      <c r="X894" s="1211"/>
      <c r="Y894" s="1160"/>
      <c r="Z894" s="1160"/>
      <c r="AA894" s="1160"/>
      <c r="AB894" s="1160"/>
      <c r="AC894" s="1160"/>
      <c r="AD894" s="1160"/>
      <c r="AE894" s="1160"/>
    </row>
    <row r="895" ht="15.0" customHeight="1">
      <c r="A895" s="1209"/>
      <c r="B895" s="1209"/>
      <c r="C895" s="1210"/>
      <c r="D895" s="1160"/>
      <c r="E895" s="1160"/>
      <c r="F895" s="1160"/>
      <c r="G895" s="1160"/>
      <c r="H895" s="1160"/>
      <c r="I895" s="1160"/>
      <c r="J895" s="1160"/>
      <c r="K895" s="1160"/>
      <c r="L895" s="1160"/>
      <c r="M895" s="1160"/>
      <c r="N895" s="1160"/>
      <c r="O895" s="1160"/>
      <c r="P895" s="1160"/>
      <c r="Q895" s="1160"/>
      <c r="R895" s="1160"/>
      <c r="S895" s="1160"/>
      <c r="T895" s="1160"/>
      <c r="U895" s="1160"/>
      <c r="V895" s="1160"/>
      <c r="W895" s="1160"/>
      <c r="X895" s="1211"/>
      <c r="Y895" s="1160"/>
      <c r="Z895" s="1160"/>
      <c r="AA895" s="1160"/>
      <c r="AB895" s="1160"/>
      <c r="AC895" s="1160"/>
      <c r="AD895" s="1160"/>
      <c r="AE895" s="1160"/>
    </row>
    <row r="896" ht="15.0" customHeight="1">
      <c r="A896" s="1209"/>
      <c r="B896" s="1209"/>
      <c r="C896" s="1210"/>
      <c r="D896" s="1160"/>
      <c r="E896" s="1160"/>
      <c r="F896" s="1160"/>
      <c r="G896" s="1160"/>
      <c r="H896" s="1160"/>
      <c r="I896" s="1160"/>
      <c r="J896" s="1160"/>
      <c r="K896" s="1160"/>
      <c r="L896" s="1160"/>
      <c r="M896" s="1160"/>
      <c r="N896" s="1160"/>
      <c r="O896" s="1160"/>
      <c r="P896" s="1160"/>
      <c r="Q896" s="1160"/>
      <c r="R896" s="1160"/>
      <c r="S896" s="1160"/>
      <c r="T896" s="1160"/>
      <c r="U896" s="1160"/>
      <c r="V896" s="1160"/>
      <c r="W896" s="1160"/>
      <c r="X896" s="1211"/>
      <c r="Y896" s="1160"/>
      <c r="Z896" s="1160"/>
      <c r="AA896" s="1160"/>
      <c r="AB896" s="1160"/>
      <c r="AC896" s="1160"/>
      <c r="AD896" s="1160"/>
      <c r="AE896" s="1160"/>
    </row>
    <row r="897" ht="15.0" customHeight="1">
      <c r="A897" s="1209"/>
      <c r="B897" s="1209"/>
      <c r="C897" s="1210"/>
      <c r="D897" s="1160"/>
      <c r="E897" s="1160"/>
      <c r="F897" s="1160"/>
      <c r="G897" s="1160"/>
      <c r="H897" s="1160"/>
      <c r="I897" s="1160"/>
      <c r="J897" s="1160"/>
      <c r="K897" s="1160"/>
      <c r="L897" s="1160"/>
      <c r="M897" s="1160"/>
      <c r="N897" s="1160"/>
      <c r="O897" s="1160"/>
      <c r="P897" s="1160"/>
      <c r="Q897" s="1160"/>
      <c r="R897" s="1160"/>
      <c r="S897" s="1160"/>
      <c r="T897" s="1160"/>
      <c r="U897" s="1160"/>
      <c r="V897" s="1160"/>
      <c r="W897" s="1160"/>
      <c r="X897" s="1211"/>
      <c r="Y897" s="1160"/>
      <c r="Z897" s="1160"/>
      <c r="AA897" s="1160"/>
      <c r="AB897" s="1160"/>
      <c r="AC897" s="1160"/>
      <c r="AD897" s="1160"/>
      <c r="AE897" s="1160"/>
    </row>
    <row r="898" ht="15.0" customHeight="1">
      <c r="A898" s="1209"/>
      <c r="B898" s="1209"/>
      <c r="C898" s="1210"/>
      <c r="D898" s="1160"/>
      <c r="E898" s="1160"/>
      <c r="F898" s="1160"/>
      <c r="G898" s="1160"/>
      <c r="H898" s="1160"/>
      <c r="I898" s="1160"/>
      <c r="J898" s="1160"/>
      <c r="K898" s="1160"/>
      <c r="L898" s="1160"/>
      <c r="M898" s="1160"/>
      <c r="N898" s="1160"/>
      <c r="O898" s="1160"/>
      <c r="P898" s="1160"/>
      <c r="Q898" s="1160"/>
      <c r="R898" s="1160"/>
      <c r="S898" s="1160"/>
      <c r="T898" s="1160"/>
      <c r="U898" s="1160"/>
      <c r="V898" s="1160"/>
      <c r="W898" s="1160"/>
      <c r="X898" s="1211"/>
      <c r="Y898" s="1160"/>
      <c r="Z898" s="1160"/>
      <c r="AA898" s="1160"/>
      <c r="AB898" s="1160"/>
      <c r="AC898" s="1160"/>
      <c r="AD898" s="1160"/>
      <c r="AE898" s="1160"/>
    </row>
    <row r="899" ht="15.0" customHeight="1">
      <c r="A899" s="1209"/>
      <c r="B899" s="1209"/>
      <c r="C899" s="1210"/>
      <c r="D899" s="1160"/>
      <c r="E899" s="1160"/>
      <c r="F899" s="1160"/>
      <c r="G899" s="1160"/>
      <c r="H899" s="1160"/>
      <c r="I899" s="1160"/>
      <c r="J899" s="1160"/>
      <c r="K899" s="1160"/>
      <c r="L899" s="1160"/>
      <c r="M899" s="1160"/>
      <c r="N899" s="1160"/>
      <c r="O899" s="1160"/>
      <c r="P899" s="1160"/>
      <c r="Q899" s="1160"/>
      <c r="R899" s="1160"/>
      <c r="S899" s="1160"/>
      <c r="T899" s="1160"/>
      <c r="U899" s="1160"/>
      <c r="V899" s="1160"/>
      <c r="W899" s="1160"/>
      <c r="X899" s="1211"/>
      <c r="Y899" s="1160"/>
      <c r="Z899" s="1160"/>
      <c r="AA899" s="1160"/>
      <c r="AB899" s="1160"/>
      <c r="AC899" s="1160"/>
      <c r="AD899" s="1160"/>
      <c r="AE899" s="1160"/>
    </row>
    <row r="900" ht="15.0" customHeight="1">
      <c r="A900" s="1209"/>
      <c r="B900" s="1209"/>
      <c r="C900" s="1210"/>
      <c r="D900" s="1160"/>
      <c r="E900" s="1160"/>
      <c r="F900" s="1160"/>
      <c r="G900" s="1160"/>
      <c r="H900" s="1160"/>
      <c r="I900" s="1160"/>
      <c r="J900" s="1160"/>
      <c r="K900" s="1160"/>
      <c r="L900" s="1160"/>
      <c r="M900" s="1160"/>
      <c r="N900" s="1160"/>
      <c r="O900" s="1160"/>
      <c r="P900" s="1160"/>
      <c r="Q900" s="1160"/>
      <c r="R900" s="1160"/>
      <c r="S900" s="1160"/>
      <c r="T900" s="1160"/>
      <c r="U900" s="1160"/>
      <c r="V900" s="1160"/>
      <c r="W900" s="1160"/>
      <c r="X900" s="1211"/>
      <c r="Y900" s="1160"/>
      <c r="Z900" s="1160"/>
      <c r="AA900" s="1160"/>
      <c r="AB900" s="1160"/>
      <c r="AC900" s="1160"/>
      <c r="AD900" s="1160"/>
      <c r="AE900" s="1160"/>
    </row>
    <row r="901" ht="15.0" customHeight="1">
      <c r="A901" s="1209"/>
      <c r="B901" s="1209"/>
      <c r="C901" s="1210"/>
      <c r="D901" s="1160"/>
      <c r="E901" s="1160"/>
      <c r="F901" s="1160"/>
      <c r="G901" s="1160"/>
      <c r="H901" s="1160"/>
      <c r="I901" s="1160"/>
      <c r="J901" s="1160"/>
      <c r="K901" s="1160"/>
      <c r="L901" s="1160"/>
      <c r="M901" s="1160"/>
      <c r="N901" s="1160"/>
      <c r="O901" s="1160"/>
      <c r="P901" s="1160"/>
      <c r="Q901" s="1160"/>
      <c r="R901" s="1160"/>
      <c r="S901" s="1160"/>
      <c r="T901" s="1160"/>
      <c r="U901" s="1160"/>
      <c r="V901" s="1160"/>
      <c r="W901" s="1160"/>
      <c r="X901" s="1211"/>
      <c r="Y901" s="1160"/>
      <c r="Z901" s="1160"/>
      <c r="AA901" s="1160"/>
      <c r="AB901" s="1160"/>
      <c r="AC901" s="1160"/>
      <c r="AD901" s="1160"/>
      <c r="AE901" s="1160"/>
    </row>
    <row r="902" ht="15.0" customHeight="1">
      <c r="A902" s="1209"/>
      <c r="B902" s="1209"/>
      <c r="C902" s="1210"/>
      <c r="D902" s="1160"/>
      <c r="E902" s="1160"/>
      <c r="F902" s="1160"/>
      <c r="G902" s="1160"/>
      <c r="H902" s="1160"/>
      <c r="I902" s="1160"/>
      <c r="J902" s="1160"/>
      <c r="K902" s="1160"/>
      <c r="L902" s="1160"/>
      <c r="M902" s="1160"/>
      <c r="N902" s="1160"/>
      <c r="O902" s="1160"/>
      <c r="P902" s="1160"/>
      <c r="Q902" s="1160"/>
      <c r="R902" s="1160"/>
      <c r="S902" s="1160"/>
      <c r="T902" s="1160"/>
      <c r="U902" s="1160"/>
      <c r="V902" s="1160"/>
      <c r="W902" s="1160"/>
      <c r="X902" s="1211"/>
      <c r="Y902" s="1160"/>
      <c r="Z902" s="1160"/>
      <c r="AA902" s="1160"/>
      <c r="AB902" s="1160"/>
      <c r="AC902" s="1160"/>
      <c r="AD902" s="1160"/>
      <c r="AE902" s="1160"/>
    </row>
    <row r="903" ht="15.0" customHeight="1">
      <c r="A903" s="1209"/>
      <c r="B903" s="1209"/>
      <c r="C903" s="1210"/>
      <c r="D903" s="1160"/>
      <c r="E903" s="1160"/>
      <c r="F903" s="1160"/>
      <c r="G903" s="1160"/>
      <c r="H903" s="1160"/>
      <c r="I903" s="1160"/>
      <c r="J903" s="1160"/>
      <c r="K903" s="1160"/>
      <c r="L903" s="1160"/>
      <c r="M903" s="1160"/>
      <c r="N903" s="1160"/>
      <c r="O903" s="1160"/>
      <c r="P903" s="1160"/>
      <c r="Q903" s="1160"/>
      <c r="R903" s="1160"/>
      <c r="S903" s="1160"/>
      <c r="T903" s="1160"/>
      <c r="U903" s="1160"/>
      <c r="V903" s="1160"/>
      <c r="W903" s="1160"/>
      <c r="X903" s="1211"/>
      <c r="Y903" s="1160"/>
      <c r="Z903" s="1160"/>
      <c r="AA903" s="1160"/>
      <c r="AB903" s="1160"/>
      <c r="AC903" s="1160"/>
      <c r="AD903" s="1160"/>
      <c r="AE903" s="1160"/>
    </row>
    <row r="904" ht="15.0" customHeight="1">
      <c r="A904" s="1212" t="s">
        <v>1790</v>
      </c>
      <c r="B904" s="1160"/>
      <c r="C904" s="1210"/>
      <c r="D904" s="1160"/>
      <c r="E904" s="1160"/>
      <c r="F904" s="1160"/>
      <c r="G904" s="1160"/>
      <c r="H904" s="1160"/>
      <c r="I904" s="1160"/>
      <c r="J904" s="1160"/>
      <c r="K904" s="1160"/>
      <c r="L904" s="1160"/>
      <c r="M904" s="1160"/>
      <c r="N904" s="1160"/>
      <c r="O904" s="1160"/>
      <c r="P904" s="1160"/>
      <c r="Q904" s="1160"/>
      <c r="R904" s="1160"/>
      <c r="S904" s="1160"/>
      <c r="T904" s="1160"/>
      <c r="U904" s="1160"/>
      <c r="V904" s="1160"/>
      <c r="W904" s="1160"/>
      <c r="X904" s="1160"/>
      <c r="Y904" s="1160"/>
      <c r="Z904" s="1160"/>
      <c r="AA904" s="1160"/>
      <c r="AB904" s="1160"/>
      <c r="AC904" s="1160"/>
      <c r="AD904" s="1160"/>
      <c r="AE904" s="1160"/>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1.57"/>
    <col customWidth="1" min="2" max="2" width="66.71"/>
    <col customWidth="1" min="3" max="3" width="9.0"/>
    <col customWidth="1" min="4" max="4" width="10.86"/>
    <col customWidth="1" min="5" max="5" width="5.14"/>
    <col customWidth="1" min="6" max="6" width="4.86"/>
    <col customWidth="1" min="7" max="7" width="11.86"/>
    <col customWidth="1" min="8" max="8" width="12.0"/>
    <col customWidth="1" min="10" max="10" width="12.14"/>
    <col customWidth="1" min="12" max="12" width="12.43"/>
    <col customWidth="1" min="13" max="13" width="11.86"/>
    <col customWidth="1" min="14" max="14" width="12.43"/>
    <col customWidth="1" min="15" max="15" width="13.86"/>
    <col customWidth="1" min="16" max="20" width="13.71"/>
    <col customWidth="1" min="21" max="21" width="12.14"/>
  </cols>
  <sheetData>
    <row r="1" ht="39.75" customHeight="1">
      <c r="A1" s="1154" t="s">
        <v>1881</v>
      </c>
      <c r="B1" s="1154" t="s">
        <v>1792</v>
      </c>
      <c r="C1" s="1154" t="s">
        <v>1793</v>
      </c>
      <c r="D1" s="1154" t="s">
        <v>1794</v>
      </c>
      <c r="E1" s="1154"/>
      <c r="G1" s="508" t="s">
        <v>1742</v>
      </c>
      <c r="H1" s="508" t="s">
        <v>1882</v>
      </c>
      <c r="I1" s="508" t="s">
        <v>1751</v>
      </c>
      <c r="J1" s="508" t="s">
        <v>1725</v>
      </c>
      <c r="K1" s="508" t="s">
        <v>1745</v>
      </c>
      <c r="L1" s="508" t="s">
        <v>1747</v>
      </c>
      <c r="M1" s="508" t="s">
        <v>1750</v>
      </c>
      <c r="N1" s="508" t="s">
        <v>1754</v>
      </c>
      <c r="O1" s="508" t="s">
        <v>1756</v>
      </c>
      <c r="P1" s="508" t="s">
        <v>1758</v>
      </c>
      <c r="Q1" s="508" t="s">
        <v>1760</v>
      </c>
      <c r="R1" s="508" t="s">
        <v>1761</v>
      </c>
      <c r="S1" s="508" t="s">
        <v>1762</v>
      </c>
      <c r="T1" s="508" t="s">
        <v>1883</v>
      </c>
      <c r="U1" s="508" t="s">
        <v>1884</v>
      </c>
      <c r="V1" s="508" t="s">
        <v>1763</v>
      </c>
      <c r="W1" s="508" t="s">
        <v>1764</v>
      </c>
      <c r="X1" s="508" t="s">
        <v>1885</v>
      </c>
      <c r="Y1" s="508" t="s">
        <v>1886</v>
      </c>
      <c r="Z1" s="1213" t="s">
        <v>1887</v>
      </c>
      <c r="AA1" s="463"/>
      <c r="AB1" s="463"/>
      <c r="AC1" s="463"/>
      <c r="AD1" s="463"/>
      <c r="AE1" s="463"/>
      <c r="AF1" s="463"/>
      <c r="AG1" s="463"/>
      <c r="AH1" s="463"/>
      <c r="AI1" s="463"/>
      <c r="AJ1" s="463"/>
      <c r="AK1" s="463"/>
      <c r="AL1" s="463"/>
    </row>
    <row r="2" ht="15.0" customHeight="1">
      <c r="A2" s="1160"/>
      <c r="B2" s="1160"/>
      <c r="C2" s="1160"/>
      <c r="D2" s="1160"/>
      <c r="E2" s="1160"/>
      <c r="F2" s="1214"/>
      <c r="G2" s="1160"/>
      <c r="H2" s="1160"/>
      <c r="I2" s="1160"/>
      <c r="J2" s="1160"/>
      <c r="K2" s="1160"/>
      <c r="L2" s="1160"/>
      <c r="M2" s="1160"/>
      <c r="N2" s="1160"/>
      <c r="O2" s="1160"/>
      <c r="P2" s="1160"/>
      <c r="Q2" s="1160"/>
      <c r="R2" s="1160"/>
      <c r="S2" s="1160"/>
      <c r="T2" s="1160"/>
      <c r="U2" s="1160"/>
      <c r="V2" s="1160"/>
      <c r="W2" s="1160"/>
      <c r="X2" s="1160"/>
      <c r="Y2" s="1160"/>
      <c r="Z2" s="1160"/>
      <c r="AA2" s="1160"/>
      <c r="AB2" s="1160"/>
      <c r="AC2" s="1160"/>
      <c r="AD2" s="1160"/>
      <c r="AE2" s="1160"/>
      <c r="AF2" s="1160"/>
      <c r="AG2" s="1160"/>
      <c r="AH2" s="1160"/>
      <c r="AI2" s="1160"/>
      <c r="AJ2" s="1160"/>
      <c r="AK2" s="1160"/>
      <c r="AL2" s="1160"/>
    </row>
    <row r="3" ht="15.0" customHeight="1">
      <c r="A3" s="1209"/>
      <c r="B3" s="1209" t="s">
        <v>1888</v>
      </c>
      <c r="C3" s="1210"/>
      <c r="D3" s="1215">
        <v>0.0</v>
      </c>
      <c r="E3" s="1160"/>
      <c r="F3" s="1160"/>
      <c r="G3" s="1216"/>
      <c r="H3" s="1216"/>
      <c r="I3" s="1217"/>
      <c r="J3" s="1217"/>
      <c r="K3" s="1217"/>
      <c r="L3" s="1217"/>
      <c r="M3" s="1217"/>
      <c r="N3" s="1217"/>
      <c r="O3" s="1217"/>
      <c r="P3" s="1216"/>
      <c r="Q3" s="1216"/>
      <c r="R3" s="1216"/>
      <c r="S3" s="1216"/>
      <c r="T3" s="1216"/>
      <c r="U3" s="1216"/>
      <c r="V3" s="1216"/>
      <c r="W3" s="1160"/>
      <c r="X3" s="1160"/>
      <c r="Y3" s="1160"/>
      <c r="Z3" s="1160"/>
      <c r="AA3" s="1160"/>
      <c r="AB3" s="1160"/>
      <c r="AC3" s="1160"/>
      <c r="AD3" s="1160"/>
      <c r="AE3" s="1160"/>
      <c r="AF3" s="1160"/>
      <c r="AG3" s="1160"/>
      <c r="AH3" s="1160"/>
      <c r="AI3" s="1160"/>
      <c r="AJ3" s="1160"/>
      <c r="AK3" s="1160"/>
      <c r="AL3" s="1160"/>
    </row>
    <row r="4" ht="15.0" customHeight="1">
      <c r="A4" s="1209" t="s">
        <v>1889</v>
      </c>
      <c r="B4" s="1209" t="s">
        <v>1890</v>
      </c>
      <c r="C4" s="1210">
        <v>8.0</v>
      </c>
      <c r="D4" s="1215">
        <v>0.0</v>
      </c>
      <c r="E4" s="1160"/>
      <c r="F4" s="1160"/>
      <c r="G4" s="1216">
        <v>15.0</v>
      </c>
      <c r="H4" s="1218">
        <v>44338.0</v>
      </c>
      <c r="I4" s="1217">
        <v>1000.0</v>
      </c>
      <c r="J4" s="1219">
        <v>600.0</v>
      </c>
      <c r="K4" s="1216">
        <v>200.0</v>
      </c>
      <c r="L4" s="1217">
        <v>320.0</v>
      </c>
      <c r="M4" s="1217">
        <v>800.0</v>
      </c>
      <c r="N4" s="1217">
        <v>33.0</v>
      </c>
      <c r="O4" s="1217" t="s">
        <v>1891</v>
      </c>
      <c r="P4" s="1216"/>
      <c r="Q4" s="1216"/>
      <c r="R4" s="1216"/>
      <c r="S4" s="1216"/>
      <c r="T4" s="1216">
        <v>2.0</v>
      </c>
      <c r="U4" s="1216">
        <v>6.0</v>
      </c>
      <c r="V4" s="1216"/>
      <c r="W4" s="1160"/>
      <c r="X4" s="1160"/>
      <c r="Y4" s="1160"/>
      <c r="Z4" s="1160"/>
      <c r="AA4" s="1160"/>
      <c r="AB4" s="1160"/>
      <c r="AC4" s="1160"/>
      <c r="AD4" s="1160"/>
      <c r="AE4" s="1160"/>
      <c r="AF4" s="1160"/>
      <c r="AG4" s="1160"/>
      <c r="AH4" s="1160"/>
      <c r="AI4" s="1160"/>
      <c r="AJ4" s="1160"/>
      <c r="AK4" s="1160"/>
      <c r="AL4" s="1160"/>
    </row>
    <row r="5" ht="15.0" customHeight="1">
      <c r="A5" s="1209" t="s">
        <v>1889</v>
      </c>
      <c r="B5" s="1209" t="s">
        <v>1892</v>
      </c>
      <c r="C5" s="1210">
        <v>2.0</v>
      </c>
      <c r="D5" s="1215">
        <v>0.0</v>
      </c>
      <c r="E5" s="1160"/>
      <c r="F5" s="1160"/>
      <c r="G5" s="1216">
        <v>10.0</v>
      </c>
      <c r="H5" s="1216">
        <v>15.0</v>
      </c>
      <c r="I5" s="1217">
        <v>1000.0</v>
      </c>
      <c r="J5" s="1219">
        <v>600.0</v>
      </c>
      <c r="K5" s="1216">
        <v>200.0</v>
      </c>
      <c r="L5" s="1217">
        <v>270.0</v>
      </c>
      <c r="M5" s="1217">
        <v>800.0</v>
      </c>
      <c r="N5" s="1217">
        <v>27.0</v>
      </c>
      <c r="O5" s="1217">
        <v>40.5</v>
      </c>
      <c r="P5" s="1216"/>
      <c r="Q5" s="1216"/>
      <c r="R5" s="1216"/>
      <c r="S5" s="1216"/>
      <c r="T5" s="1216">
        <v>2.0</v>
      </c>
      <c r="U5" s="1216">
        <v>6.0</v>
      </c>
      <c r="V5" s="1216"/>
      <c r="W5" s="1160"/>
      <c r="X5" s="1160"/>
      <c r="Y5" s="1160"/>
      <c r="Z5" s="1160"/>
      <c r="AA5" s="1160"/>
      <c r="AB5" s="1160"/>
      <c r="AC5" s="1160"/>
      <c r="AD5" s="1160"/>
      <c r="AE5" s="1160"/>
      <c r="AF5" s="1160"/>
      <c r="AG5" s="1160"/>
      <c r="AH5" s="1160"/>
      <c r="AI5" s="1160"/>
      <c r="AJ5" s="1160"/>
      <c r="AK5" s="1160"/>
      <c r="AL5" s="1160"/>
    </row>
    <row r="6" ht="15.0" customHeight="1">
      <c r="A6" s="1209" t="s">
        <v>1889</v>
      </c>
      <c r="B6" s="1209" t="s">
        <v>1893</v>
      </c>
      <c r="C6" s="1210">
        <v>13.0</v>
      </c>
      <c r="D6" s="1215">
        <v>0.0</v>
      </c>
      <c r="E6" s="1160"/>
      <c r="F6" s="1160"/>
      <c r="G6" s="1216">
        <v>20.0</v>
      </c>
      <c r="H6" s="1216">
        <v>30.0</v>
      </c>
      <c r="I6" s="1217">
        <v>1000.0</v>
      </c>
      <c r="J6" s="1217">
        <v>600.0</v>
      </c>
      <c r="K6" s="1217">
        <v>200.0</v>
      </c>
      <c r="L6" s="1217">
        <v>420.0</v>
      </c>
      <c r="M6" s="1217">
        <v>800.0</v>
      </c>
      <c r="N6" s="1217">
        <v>33.0</v>
      </c>
      <c r="O6" s="1217" t="s">
        <v>1891</v>
      </c>
      <c r="P6" s="1216"/>
      <c r="Q6" s="1216"/>
      <c r="R6" s="1216"/>
      <c r="S6" s="1216"/>
      <c r="T6" s="1216">
        <v>2.0</v>
      </c>
      <c r="U6" s="1216">
        <v>6.0</v>
      </c>
      <c r="V6" s="1216"/>
      <c r="W6" s="1160"/>
      <c r="X6" s="1160"/>
      <c r="Y6" s="1160"/>
      <c r="Z6" s="1160"/>
      <c r="AA6" s="1160"/>
      <c r="AB6" s="1160"/>
      <c r="AC6" s="1160"/>
      <c r="AD6" s="1160"/>
      <c r="AE6" s="1160"/>
      <c r="AF6" s="1160"/>
      <c r="AG6" s="1160"/>
      <c r="AH6" s="1160"/>
      <c r="AI6" s="1160"/>
      <c r="AJ6" s="1160"/>
      <c r="AK6" s="1160"/>
      <c r="AL6" s="1160"/>
    </row>
    <row r="7" ht="15.0" customHeight="1">
      <c r="A7" s="1209" t="s">
        <v>1889</v>
      </c>
      <c r="B7" s="1209" t="s">
        <v>1894</v>
      </c>
      <c r="C7" s="1210">
        <v>19.0</v>
      </c>
      <c r="D7" s="1215">
        <v>0.0</v>
      </c>
      <c r="E7" s="1160"/>
      <c r="F7" s="1160"/>
      <c r="G7" s="1216">
        <v>50.0</v>
      </c>
      <c r="H7" s="1216">
        <v>75.0</v>
      </c>
      <c r="I7" s="1217">
        <v>1000.0</v>
      </c>
      <c r="J7" s="1217">
        <v>600.0</v>
      </c>
      <c r="K7" s="1217">
        <v>200.0</v>
      </c>
      <c r="L7" s="1217">
        <v>400.0</v>
      </c>
      <c r="M7" s="1217">
        <v>870.0</v>
      </c>
      <c r="N7" s="1217">
        <v>36.0</v>
      </c>
      <c r="O7" s="1217">
        <v>72.0</v>
      </c>
      <c r="P7" s="1216"/>
      <c r="Q7" s="1216"/>
      <c r="R7" s="1216"/>
      <c r="S7" s="1216"/>
      <c r="T7" s="1216">
        <v>3.0</v>
      </c>
      <c r="U7" s="1216">
        <v>3.0</v>
      </c>
      <c r="V7" s="1216"/>
      <c r="W7" s="1160"/>
      <c r="X7" s="1160"/>
      <c r="Y7" s="1160"/>
      <c r="Z7" s="1160"/>
      <c r="AA7" s="1160"/>
      <c r="AB7" s="1160"/>
      <c r="AC7" s="1160"/>
      <c r="AD7" s="1160"/>
      <c r="AE7" s="1160"/>
      <c r="AF7" s="1160"/>
      <c r="AG7" s="1160"/>
      <c r="AH7" s="1160"/>
      <c r="AI7" s="1160"/>
      <c r="AJ7" s="1160"/>
      <c r="AK7" s="1160"/>
      <c r="AL7" s="1160"/>
    </row>
    <row r="8" ht="15.0" customHeight="1">
      <c r="A8" s="1209" t="s">
        <v>1889</v>
      </c>
      <c r="B8" s="1209" t="s">
        <v>1895</v>
      </c>
      <c r="C8" s="1210">
        <v>20.0</v>
      </c>
      <c r="D8" s="1215">
        <v>0.0</v>
      </c>
      <c r="E8" s="1160"/>
      <c r="F8" s="1160"/>
      <c r="G8" s="1216">
        <v>50.0</v>
      </c>
      <c r="H8" s="1216">
        <v>75.0</v>
      </c>
      <c r="I8" s="1217">
        <v>1000.0</v>
      </c>
      <c r="J8" s="1217">
        <v>650.0</v>
      </c>
      <c r="K8" s="1217">
        <v>650.0</v>
      </c>
      <c r="L8" s="1217">
        <v>580.0</v>
      </c>
      <c r="M8" s="1217">
        <v>930.0</v>
      </c>
      <c r="N8" s="1217">
        <v>75.0</v>
      </c>
      <c r="O8" s="1217">
        <v>125.0</v>
      </c>
      <c r="P8" s="1216"/>
      <c r="Q8" s="1216"/>
      <c r="R8" s="1216"/>
      <c r="S8" s="1216"/>
      <c r="T8" s="1216">
        <v>1.0</v>
      </c>
      <c r="U8" s="1216">
        <v>2.0</v>
      </c>
      <c r="V8" s="1216"/>
      <c r="W8" s="1160"/>
      <c r="X8" s="1160"/>
      <c r="Y8" s="1160"/>
      <c r="Z8" s="1160"/>
      <c r="AA8" s="1160"/>
      <c r="AB8" s="1160"/>
      <c r="AC8" s="1160"/>
      <c r="AD8" s="1160"/>
      <c r="AE8" s="1160"/>
      <c r="AF8" s="1160"/>
      <c r="AG8" s="1160"/>
      <c r="AH8" s="1160"/>
      <c r="AI8" s="1160"/>
      <c r="AJ8" s="1160"/>
      <c r="AK8" s="1160"/>
      <c r="AL8" s="1160"/>
    </row>
    <row r="9" ht="15.0" customHeight="1">
      <c r="A9" s="1209" t="s">
        <v>1889</v>
      </c>
      <c r="B9" s="1209" t="s">
        <v>1896</v>
      </c>
      <c r="C9" s="1210">
        <v>25.0</v>
      </c>
      <c r="D9" s="1215">
        <v>0.0</v>
      </c>
      <c r="E9" s="1160"/>
      <c r="F9" s="1160"/>
      <c r="G9" s="1216">
        <v>6.0</v>
      </c>
      <c r="H9" s="1216">
        <v>12.0</v>
      </c>
      <c r="I9" s="1216">
        <v>1000.0</v>
      </c>
      <c r="J9" s="1216">
        <v>595.0</v>
      </c>
      <c r="K9" s="1216">
        <v>200.0</v>
      </c>
      <c r="L9" s="1216">
        <v>150.0</v>
      </c>
      <c r="M9" s="1216">
        <v>800.0</v>
      </c>
      <c r="N9" s="1216">
        <v>16.0</v>
      </c>
      <c r="O9" s="1216">
        <v>24.0</v>
      </c>
      <c r="P9" s="1216"/>
      <c r="Q9" s="1216"/>
      <c r="R9" s="1216"/>
      <c r="S9" s="1216"/>
      <c r="T9" s="1216">
        <v>2.0</v>
      </c>
      <c r="U9" s="1216">
        <v>4.0</v>
      </c>
      <c r="V9" s="1216"/>
      <c r="W9" s="1160"/>
      <c r="X9" s="1160"/>
      <c r="Y9" s="1160"/>
      <c r="Z9" s="1160"/>
      <c r="AA9" s="1160"/>
      <c r="AB9" s="1160"/>
      <c r="AC9" s="1160"/>
      <c r="AD9" s="1160"/>
      <c r="AE9" s="1160"/>
      <c r="AF9" s="1160"/>
      <c r="AG9" s="1160"/>
      <c r="AH9" s="1160"/>
      <c r="AI9" s="1160"/>
      <c r="AJ9" s="1160"/>
      <c r="AK9" s="1160"/>
      <c r="AL9" s="1160"/>
    </row>
    <row r="10" ht="15.0" customHeight="1">
      <c r="A10" s="1209" t="s">
        <v>1889</v>
      </c>
      <c r="B10" s="1209" t="s">
        <v>1897</v>
      </c>
      <c r="C10" s="1210">
        <v>49.0</v>
      </c>
      <c r="D10" s="1215">
        <v>0.0</v>
      </c>
      <c r="E10" s="1160"/>
      <c r="F10" s="1160"/>
      <c r="G10" s="1216">
        <v>27.0</v>
      </c>
      <c r="H10" s="1216">
        <v>38.0</v>
      </c>
      <c r="I10" s="1217">
        <v>1000.0</v>
      </c>
      <c r="J10" s="1217">
        <v>650.0</v>
      </c>
      <c r="K10" s="1217">
        <v>650.0</v>
      </c>
      <c r="L10" s="1217">
        <v>580.0</v>
      </c>
      <c r="M10" s="1217">
        <v>850.0</v>
      </c>
      <c r="N10" s="1217" t="s">
        <v>1898</v>
      </c>
      <c r="O10" s="1217" t="s">
        <v>1899</v>
      </c>
      <c r="P10" s="1216"/>
      <c r="Q10" s="1216"/>
      <c r="R10" s="1216"/>
      <c r="S10" s="1216"/>
      <c r="T10" s="1216">
        <v>1.0</v>
      </c>
      <c r="U10" s="1216">
        <v>6.0</v>
      </c>
      <c r="V10" s="1216"/>
      <c r="W10" s="1160"/>
      <c r="X10" s="1160"/>
      <c r="Y10" s="1160"/>
      <c r="Z10" s="1160"/>
      <c r="AA10" s="1160"/>
      <c r="AB10" s="1160"/>
      <c r="AC10" s="1160"/>
      <c r="AD10" s="1160"/>
      <c r="AE10" s="1160"/>
      <c r="AF10" s="1160"/>
      <c r="AG10" s="1160"/>
      <c r="AH10" s="1160"/>
      <c r="AI10" s="1160"/>
      <c r="AJ10" s="1160"/>
      <c r="AK10" s="1160"/>
      <c r="AL10" s="1160"/>
    </row>
    <row r="11" ht="15.0" customHeight="1">
      <c r="A11" s="1209" t="s">
        <v>1889</v>
      </c>
      <c r="B11" s="1209" t="s">
        <v>1900</v>
      </c>
      <c r="C11" s="1210">
        <v>52.0</v>
      </c>
      <c r="D11" s="1215">
        <v>0.0</v>
      </c>
      <c r="E11" s="1160"/>
      <c r="F11" s="1160"/>
      <c r="G11" s="1216">
        <v>5.0</v>
      </c>
      <c r="H11" s="1216">
        <v>10.0</v>
      </c>
      <c r="I11" s="1216">
        <v>1000.0</v>
      </c>
      <c r="J11" s="1216">
        <v>595.0</v>
      </c>
      <c r="K11" s="1216">
        <v>200.0</v>
      </c>
      <c r="L11" s="1216">
        <v>150.0</v>
      </c>
      <c r="M11" s="1216">
        <v>800.0</v>
      </c>
      <c r="N11" s="1216">
        <v>16.0</v>
      </c>
      <c r="O11" s="1216">
        <v>24.0</v>
      </c>
      <c r="P11" s="1216"/>
      <c r="Q11" s="1216"/>
      <c r="R11" s="1216"/>
      <c r="S11" s="1216"/>
      <c r="T11" s="1216">
        <v>2.0</v>
      </c>
      <c r="U11" s="1216">
        <v>4.0</v>
      </c>
      <c r="V11" s="1216"/>
      <c r="W11" s="1160"/>
      <c r="X11" s="1160"/>
      <c r="Y11" s="1160"/>
      <c r="Z11" s="1160"/>
      <c r="AA11" s="1160"/>
      <c r="AB11" s="1160"/>
      <c r="AC11" s="1160"/>
      <c r="AD11" s="1160"/>
      <c r="AE11" s="1160"/>
      <c r="AF11" s="1160"/>
      <c r="AG11" s="1160"/>
      <c r="AH11" s="1160"/>
      <c r="AI11" s="1160"/>
      <c r="AJ11" s="1160"/>
      <c r="AK11" s="1160"/>
      <c r="AL11" s="1160"/>
    </row>
    <row r="12" ht="15.0" customHeight="1">
      <c r="A12" s="1209" t="s">
        <v>1889</v>
      </c>
      <c r="B12" s="1209" t="s">
        <v>1901</v>
      </c>
      <c r="C12" s="1210">
        <v>55.0</v>
      </c>
      <c r="D12" s="1215">
        <v>0.0</v>
      </c>
      <c r="E12" s="1160"/>
      <c r="F12" s="1160"/>
      <c r="G12" s="1216">
        <v>5.0</v>
      </c>
      <c r="H12" s="1216">
        <v>7.5</v>
      </c>
      <c r="I12" s="1216">
        <v>600.0</v>
      </c>
      <c r="J12" s="1216">
        <v>400.0</v>
      </c>
      <c r="K12" s="1216">
        <v>80.0</v>
      </c>
      <c r="L12" s="1216">
        <v>80.0</v>
      </c>
      <c r="M12" s="1216">
        <v>600.0</v>
      </c>
      <c r="N12" s="1216">
        <v>12.0</v>
      </c>
      <c r="O12" s="1216">
        <v>18.0</v>
      </c>
      <c r="P12" s="1216"/>
      <c r="Q12" s="1216"/>
      <c r="R12" s="1216"/>
      <c r="S12" s="1216"/>
      <c r="T12" s="1216">
        <v>2.0</v>
      </c>
      <c r="U12" s="1216">
        <v>2.0</v>
      </c>
      <c r="V12" s="1216">
        <v>155.0</v>
      </c>
      <c r="W12" s="1160">
        <v>455.0</v>
      </c>
      <c r="X12" s="1160">
        <v>22.0</v>
      </c>
      <c r="Y12" s="1160">
        <v>22.0</v>
      </c>
      <c r="Z12" s="1160"/>
      <c r="AA12" s="1160"/>
      <c r="AB12" s="1160"/>
      <c r="AC12" s="1160"/>
      <c r="AD12" s="1160"/>
      <c r="AE12" s="1160"/>
      <c r="AF12" s="1160"/>
      <c r="AG12" s="1160"/>
      <c r="AH12" s="1160"/>
      <c r="AI12" s="1160"/>
      <c r="AJ12" s="1160"/>
      <c r="AK12" s="1160"/>
      <c r="AL12" s="1160"/>
    </row>
    <row r="13" ht="15.0" customHeight="1">
      <c r="A13" s="1209"/>
      <c r="B13" s="1209"/>
      <c r="C13" s="1210"/>
      <c r="D13" s="1215"/>
      <c r="E13" s="1160"/>
      <c r="F13" s="1160"/>
      <c r="G13" s="1216"/>
      <c r="H13" s="1216"/>
      <c r="I13" s="1216"/>
      <c r="J13" s="1216"/>
      <c r="K13" s="1216"/>
      <c r="L13" s="1216"/>
      <c r="M13" s="1216"/>
      <c r="N13" s="1216"/>
      <c r="O13" s="1216"/>
      <c r="P13" s="1216"/>
      <c r="Q13" s="1216"/>
      <c r="R13" s="1216"/>
      <c r="S13" s="1216"/>
      <c r="T13" s="1216"/>
      <c r="U13" s="1216"/>
      <c r="V13" s="1216"/>
      <c r="W13" s="1160"/>
      <c r="X13" s="1160"/>
      <c r="Y13" s="1160"/>
      <c r="Z13" s="1160"/>
      <c r="AA13" s="1160"/>
      <c r="AB13" s="1160"/>
      <c r="AC13" s="1160"/>
      <c r="AD13" s="1160"/>
      <c r="AE13" s="1160"/>
      <c r="AF13" s="1160"/>
      <c r="AG13" s="1160"/>
      <c r="AH13" s="1160"/>
      <c r="AI13" s="1160"/>
      <c r="AJ13" s="1160"/>
      <c r="AK13" s="1160"/>
      <c r="AL13" s="1160"/>
    </row>
    <row r="14" ht="15.0" customHeight="1">
      <c r="A14" s="1209"/>
      <c r="B14" s="1209"/>
      <c r="C14" s="1210"/>
      <c r="D14" s="1215"/>
      <c r="E14" s="1160"/>
      <c r="F14" s="1160"/>
      <c r="G14" s="1216"/>
      <c r="H14" s="1216"/>
      <c r="I14" s="1216"/>
      <c r="J14" s="1216"/>
      <c r="K14" s="1216"/>
      <c r="L14" s="1216"/>
      <c r="M14" s="1216"/>
      <c r="N14" s="1216"/>
      <c r="O14" s="1218"/>
      <c r="P14" s="1216"/>
      <c r="Q14" s="1216"/>
      <c r="R14" s="1216"/>
      <c r="S14" s="1216"/>
      <c r="T14" s="1216"/>
      <c r="U14" s="1216"/>
      <c r="V14" s="1216"/>
      <c r="W14" s="1160"/>
      <c r="X14" s="1160"/>
      <c r="Y14" s="1160"/>
      <c r="Z14" s="1160"/>
      <c r="AA14" s="1160"/>
      <c r="AB14" s="1160"/>
      <c r="AC14" s="1160"/>
      <c r="AD14" s="1160"/>
      <c r="AE14" s="1160"/>
      <c r="AF14" s="1160"/>
      <c r="AG14" s="1160"/>
      <c r="AH14" s="1160"/>
      <c r="AI14" s="1160"/>
      <c r="AJ14" s="1160"/>
      <c r="AK14" s="1160"/>
      <c r="AL14" s="1160"/>
    </row>
    <row r="15" ht="15.0" customHeight="1">
      <c r="A15" s="1209" t="s">
        <v>1889</v>
      </c>
      <c r="B15" s="1209" t="s">
        <v>1902</v>
      </c>
      <c r="C15" s="1210" t="s">
        <v>1903</v>
      </c>
      <c r="D15" s="1215">
        <v>0.0</v>
      </c>
      <c r="E15" s="1160"/>
      <c r="F15" s="1160"/>
      <c r="G15" s="1216">
        <v>30.0</v>
      </c>
      <c r="H15" s="1216">
        <v>39.0</v>
      </c>
      <c r="I15" s="1217">
        <v>1000.0</v>
      </c>
      <c r="J15" s="1219">
        <v>600.0</v>
      </c>
      <c r="K15" s="1219">
        <v>200.0</v>
      </c>
      <c r="L15" s="1217">
        <v>200.0</v>
      </c>
      <c r="M15" s="1217">
        <v>800.0</v>
      </c>
      <c r="N15" s="1217">
        <v>18.0</v>
      </c>
      <c r="O15" s="1217">
        <v>23.4</v>
      </c>
      <c r="P15" s="1216"/>
      <c r="Q15" s="1216"/>
      <c r="R15" s="1216"/>
      <c r="S15" s="1216"/>
      <c r="T15" s="1216">
        <v>4.0</v>
      </c>
      <c r="U15" s="1216">
        <v>8.0</v>
      </c>
      <c r="V15" s="1216"/>
      <c r="W15" s="1160"/>
      <c r="X15" s="1160"/>
      <c r="Y15" s="1160"/>
      <c r="Z15" s="1160"/>
      <c r="AA15" s="1160"/>
      <c r="AB15" s="1160"/>
      <c r="AC15" s="1160"/>
      <c r="AD15" s="1160"/>
      <c r="AE15" s="1160"/>
      <c r="AF15" s="1160"/>
      <c r="AG15" s="1160"/>
      <c r="AH15" s="1160"/>
      <c r="AI15" s="1160"/>
      <c r="AJ15" s="1160"/>
      <c r="AK15" s="1160"/>
      <c r="AL15" s="1160"/>
    </row>
    <row r="16" ht="15.0" customHeight="1">
      <c r="A16" s="1209" t="s">
        <v>1889</v>
      </c>
      <c r="B16" s="1209" t="s">
        <v>1904</v>
      </c>
      <c r="C16" s="1210">
        <v>11.0</v>
      </c>
      <c r="D16" s="1215">
        <v>0.0</v>
      </c>
      <c r="E16" s="1160"/>
      <c r="F16" s="1160"/>
      <c r="G16" s="1216">
        <v>10.0</v>
      </c>
      <c r="H16" s="1216">
        <v>12.0</v>
      </c>
      <c r="I16" s="1217">
        <v>1000.0</v>
      </c>
      <c r="J16" s="1217">
        <v>600.0</v>
      </c>
      <c r="K16" s="1217">
        <v>180.0</v>
      </c>
      <c r="L16" s="1217">
        <v>160.0</v>
      </c>
      <c r="M16" s="1217">
        <v>850.0</v>
      </c>
      <c r="N16" s="1217">
        <v>11.0</v>
      </c>
      <c r="O16" s="1220">
        <v>44244.0</v>
      </c>
      <c r="P16" s="1216"/>
      <c r="Q16" s="1216"/>
      <c r="R16" s="1216"/>
      <c r="S16" s="1216"/>
      <c r="T16" s="1216">
        <v>2.0</v>
      </c>
      <c r="U16" s="1216">
        <v>4.0</v>
      </c>
      <c r="V16" s="1216"/>
      <c r="W16" s="1160"/>
      <c r="X16" s="1160"/>
      <c r="Y16" s="1160"/>
      <c r="Z16" s="1160"/>
      <c r="AA16" s="1160"/>
      <c r="AB16" s="1160"/>
      <c r="AC16" s="1160"/>
      <c r="AD16" s="1160"/>
      <c r="AE16" s="1160"/>
      <c r="AF16" s="1160"/>
      <c r="AG16" s="1160"/>
      <c r="AH16" s="1160"/>
      <c r="AI16" s="1160"/>
      <c r="AJ16" s="1160"/>
      <c r="AK16" s="1160"/>
      <c r="AL16" s="1160"/>
    </row>
    <row r="17" ht="15.0" customHeight="1">
      <c r="A17" s="1209" t="s">
        <v>1889</v>
      </c>
      <c r="B17" s="1209" t="s">
        <v>1905</v>
      </c>
      <c r="C17" s="1210">
        <v>12.0</v>
      </c>
      <c r="D17" s="1215">
        <v>0.0</v>
      </c>
      <c r="E17" s="1160"/>
      <c r="F17" s="1160"/>
      <c r="G17" s="1216">
        <v>8.0</v>
      </c>
      <c r="H17" s="1218">
        <v>44356.0</v>
      </c>
      <c r="I17" s="1217">
        <v>1000.0</v>
      </c>
      <c r="J17" s="1217">
        <v>600.0</v>
      </c>
      <c r="K17" s="1217">
        <v>180.0</v>
      </c>
      <c r="L17" s="1217">
        <v>160.0</v>
      </c>
      <c r="M17" s="1217">
        <v>850.0</v>
      </c>
      <c r="N17" s="1217">
        <v>11.0</v>
      </c>
      <c r="O17" s="1220">
        <v>44244.0</v>
      </c>
      <c r="P17" s="1216"/>
      <c r="Q17" s="1216"/>
      <c r="R17" s="1216"/>
      <c r="S17" s="1216"/>
      <c r="T17" s="1216">
        <v>2.0</v>
      </c>
      <c r="U17" s="1216">
        <v>4.0</v>
      </c>
      <c r="V17" s="1216"/>
      <c r="W17" s="1160"/>
      <c r="X17" s="1160"/>
      <c r="Y17" s="1160"/>
      <c r="Z17" s="1160"/>
      <c r="AA17" s="1160"/>
      <c r="AB17" s="1160"/>
      <c r="AC17" s="1160"/>
      <c r="AD17" s="1160"/>
      <c r="AE17" s="1160"/>
      <c r="AF17" s="1160"/>
      <c r="AG17" s="1160"/>
      <c r="AH17" s="1160"/>
      <c r="AI17" s="1160"/>
      <c r="AJ17" s="1160"/>
      <c r="AK17" s="1160"/>
      <c r="AL17" s="1160"/>
    </row>
    <row r="18" ht="15.0" customHeight="1">
      <c r="A18" s="1209" t="s">
        <v>1889</v>
      </c>
      <c r="B18" s="1209" t="s">
        <v>1906</v>
      </c>
      <c r="C18" s="1210">
        <v>7.0</v>
      </c>
      <c r="D18" s="1215">
        <v>0.0</v>
      </c>
      <c r="E18" s="1160"/>
      <c r="F18" s="1160"/>
      <c r="G18" s="1216">
        <v>10.0</v>
      </c>
      <c r="H18" s="1216">
        <v>16.0</v>
      </c>
      <c r="I18" s="1217">
        <v>1000.0</v>
      </c>
      <c r="J18" s="1217">
        <v>600.0</v>
      </c>
      <c r="K18" s="1217">
        <v>160.0</v>
      </c>
      <c r="L18" s="1217">
        <v>200.0</v>
      </c>
      <c r="M18" s="1217">
        <v>850.0</v>
      </c>
      <c r="N18" s="1217">
        <v>26.0</v>
      </c>
      <c r="O18" s="1217">
        <v>39.0</v>
      </c>
      <c r="P18" s="1216"/>
      <c r="Q18" s="1216"/>
      <c r="R18" s="1216"/>
      <c r="S18" s="1216"/>
      <c r="T18" s="1216">
        <v>2.0</v>
      </c>
      <c r="U18" s="1216">
        <v>4.0</v>
      </c>
      <c r="V18" s="1216">
        <v>160.0</v>
      </c>
      <c r="W18" s="1160">
        <v>600.0</v>
      </c>
      <c r="X18" s="1160">
        <v>25.0</v>
      </c>
      <c r="Y18" s="1160">
        <v>25.0</v>
      </c>
      <c r="Z18" s="1160">
        <v>10.0</v>
      </c>
      <c r="AA18" s="1160"/>
      <c r="AB18" s="1160"/>
      <c r="AC18" s="1160"/>
      <c r="AD18" s="1160"/>
      <c r="AE18" s="1160"/>
      <c r="AF18" s="1160"/>
      <c r="AG18" s="1160"/>
      <c r="AH18" s="1160"/>
      <c r="AI18" s="1160"/>
      <c r="AJ18" s="1160"/>
      <c r="AK18" s="1160"/>
      <c r="AL18" s="1160"/>
    </row>
    <row r="19" ht="15.0" customHeight="1">
      <c r="A19" s="1209" t="s">
        <v>1889</v>
      </c>
      <c r="B19" s="1209" t="s">
        <v>1907</v>
      </c>
      <c r="C19" s="1210">
        <v>14.0</v>
      </c>
      <c r="D19" s="1215">
        <v>0.0</v>
      </c>
      <c r="E19" s="1160"/>
      <c r="F19" s="1160"/>
      <c r="G19" s="1216">
        <v>20.0</v>
      </c>
      <c r="H19" s="1216">
        <v>25.0</v>
      </c>
      <c r="I19" s="1217">
        <v>1000.0</v>
      </c>
      <c r="J19" s="1217">
        <v>600.0</v>
      </c>
      <c r="K19" s="1217">
        <v>180.0</v>
      </c>
      <c r="L19" s="1217">
        <v>160.0</v>
      </c>
      <c r="M19" s="1217">
        <v>850.0</v>
      </c>
      <c r="N19" s="1217">
        <v>22.0</v>
      </c>
      <c r="O19" s="1217">
        <v>34.3</v>
      </c>
      <c r="P19" s="1216"/>
      <c r="Q19" s="1216"/>
      <c r="R19" s="1216"/>
      <c r="S19" s="1216"/>
      <c r="T19" s="1216">
        <v>2.0</v>
      </c>
      <c r="U19" s="1216">
        <v>8.0</v>
      </c>
      <c r="V19" s="1216"/>
      <c r="W19" s="1160"/>
      <c r="X19" s="1160"/>
      <c r="Y19" s="1160"/>
      <c r="Z19" s="1160"/>
      <c r="AA19" s="1160"/>
      <c r="AB19" s="1160"/>
      <c r="AC19" s="1160"/>
      <c r="AD19" s="1160"/>
      <c r="AE19" s="1160"/>
      <c r="AF19" s="1160"/>
      <c r="AG19" s="1160"/>
      <c r="AH19" s="1160"/>
      <c r="AI19" s="1160"/>
      <c r="AJ19" s="1160"/>
      <c r="AK19" s="1160"/>
      <c r="AL19" s="1160"/>
    </row>
    <row r="20" ht="15.0" customHeight="1">
      <c r="A20" s="1209" t="s">
        <v>1889</v>
      </c>
      <c r="B20" s="1209" t="s">
        <v>1908</v>
      </c>
      <c r="C20" s="1210">
        <v>17.0</v>
      </c>
      <c r="D20" s="1215">
        <v>0.0</v>
      </c>
      <c r="E20" s="1160"/>
      <c r="F20" s="1160"/>
      <c r="G20" s="1216">
        <v>5.0</v>
      </c>
      <c r="H20" s="1218">
        <v>44413.0</v>
      </c>
      <c r="I20" s="1217">
        <v>600.0</v>
      </c>
      <c r="J20" s="1217">
        <v>330.0</v>
      </c>
      <c r="K20" s="1217">
        <v>120.0</v>
      </c>
      <c r="L20" s="1217">
        <v>90.0</v>
      </c>
      <c r="M20" s="1217">
        <v>520.0</v>
      </c>
      <c r="N20" s="1220">
        <v>44328.0</v>
      </c>
      <c r="O20" s="1220">
        <v>44244.0</v>
      </c>
      <c r="P20" s="1216"/>
      <c r="Q20" s="1216"/>
      <c r="R20" s="1216"/>
      <c r="S20" s="1216"/>
      <c r="T20" s="1216">
        <v>2.0</v>
      </c>
      <c r="U20" s="1216">
        <v>2.0</v>
      </c>
      <c r="V20" s="1216"/>
      <c r="W20" s="1160"/>
      <c r="X20" s="1160"/>
      <c r="Y20" s="1160"/>
      <c r="Z20" s="1160"/>
      <c r="AA20" s="1160"/>
      <c r="AB20" s="1160"/>
      <c r="AC20" s="1160"/>
      <c r="AD20" s="1160"/>
      <c r="AE20" s="1160"/>
      <c r="AF20" s="1160"/>
      <c r="AG20" s="1160"/>
      <c r="AH20" s="1160"/>
      <c r="AI20" s="1160"/>
      <c r="AJ20" s="1160"/>
      <c r="AK20" s="1160"/>
      <c r="AL20" s="1160"/>
    </row>
    <row r="21" ht="15.0" customHeight="1">
      <c r="A21" s="1209" t="s">
        <v>1889</v>
      </c>
      <c r="B21" s="1209" t="s">
        <v>1909</v>
      </c>
      <c r="C21" s="1210">
        <v>22.0</v>
      </c>
      <c r="D21" s="1215">
        <v>0.0</v>
      </c>
      <c r="E21" s="1160"/>
      <c r="F21" s="1160"/>
      <c r="G21" s="1216">
        <v>15.0</v>
      </c>
      <c r="H21" s="1216">
        <v>18.0</v>
      </c>
      <c r="I21" s="1217">
        <v>1000.0</v>
      </c>
      <c r="J21" s="1217">
        <v>600.0</v>
      </c>
      <c r="K21" s="1217">
        <v>180.0</v>
      </c>
      <c r="L21" s="1217">
        <v>160.0</v>
      </c>
      <c r="M21" s="1217">
        <v>850.0</v>
      </c>
      <c r="N21" s="1217">
        <v>22.0</v>
      </c>
      <c r="O21" s="1217" t="s">
        <v>1910</v>
      </c>
      <c r="P21" s="1216"/>
      <c r="Q21" s="1216"/>
      <c r="R21" s="1216"/>
      <c r="S21" s="1216"/>
      <c r="T21" s="1216">
        <v>2.0</v>
      </c>
      <c r="U21" s="1216">
        <v>4.0</v>
      </c>
      <c r="V21" s="1216"/>
      <c r="W21" s="1160"/>
      <c r="X21" s="1160"/>
      <c r="Y21" s="1160"/>
      <c r="Z21" s="1160"/>
      <c r="AA21" s="1160"/>
      <c r="AB21" s="1160"/>
      <c r="AC21" s="1160"/>
      <c r="AD21" s="1160"/>
      <c r="AE21" s="1160"/>
      <c r="AF21" s="1160"/>
      <c r="AG21" s="1160"/>
      <c r="AH21" s="1160"/>
      <c r="AI21" s="1160"/>
      <c r="AJ21" s="1160"/>
      <c r="AK21" s="1160"/>
      <c r="AL21" s="1160"/>
    </row>
    <row r="22" ht="15.0" customHeight="1">
      <c r="A22" s="1209" t="s">
        <v>1889</v>
      </c>
      <c r="B22" s="1209" t="s">
        <v>1911</v>
      </c>
      <c r="C22" s="1210">
        <v>51.0</v>
      </c>
      <c r="D22" s="1215">
        <v>0.0</v>
      </c>
      <c r="E22" s="1160"/>
      <c r="F22" s="1160"/>
      <c r="G22" s="1216">
        <v>5.0</v>
      </c>
      <c r="H22" s="1216">
        <v>5.8</v>
      </c>
      <c r="I22" s="1217">
        <v>600.0</v>
      </c>
      <c r="J22" s="1217">
        <v>330.0</v>
      </c>
      <c r="K22" s="1217">
        <v>120.0</v>
      </c>
      <c r="L22" s="1217">
        <v>90.0</v>
      </c>
      <c r="M22" s="1217">
        <v>520.0</v>
      </c>
      <c r="N22" s="1217">
        <v>12.5</v>
      </c>
      <c r="O22" s="1217">
        <v>17.2</v>
      </c>
      <c r="P22" s="1216"/>
      <c r="Q22" s="1216"/>
      <c r="R22" s="1216"/>
      <c r="S22" s="1216"/>
      <c r="T22" s="1216">
        <v>2.0</v>
      </c>
      <c r="U22" s="1216">
        <v>2.0</v>
      </c>
      <c r="V22" s="1216"/>
      <c r="W22" s="1160"/>
      <c r="X22" s="1160"/>
      <c r="Y22" s="1160"/>
      <c r="Z22" s="1160"/>
      <c r="AA22" s="1160"/>
      <c r="AB22" s="1160"/>
      <c r="AC22" s="1160"/>
      <c r="AD22" s="1160"/>
      <c r="AE22" s="1160"/>
      <c r="AF22" s="1160"/>
      <c r="AG22" s="1160"/>
      <c r="AH22" s="1160"/>
      <c r="AI22" s="1160"/>
      <c r="AJ22" s="1160"/>
      <c r="AK22" s="1160"/>
      <c r="AL22" s="1160"/>
    </row>
    <row r="23" ht="15.0" customHeight="1">
      <c r="A23" s="1209" t="s">
        <v>1889</v>
      </c>
      <c r="B23" s="1209" t="s">
        <v>1912</v>
      </c>
      <c r="C23" s="1210">
        <v>66.0</v>
      </c>
      <c r="D23" s="1215">
        <v>0.0</v>
      </c>
      <c r="E23" s="1160"/>
      <c r="F23" s="1160"/>
      <c r="G23" s="1216">
        <v>3.0</v>
      </c>
      <c r="H23" s="1216"/>
      <c r="I23" s="1217"/>
      <c r="J23" s="1217"/>
      <c r="K23" s="1217"/>
      <c r="L23" s="1217"/>
      <c r="M23" s="1217"/>
      <c r="N23" s="1217"/>
      <c r="O23" s="1217"/>
      <c r="P23" s="1216"/>
      <c r="Q23" s="1216"/>
      <c r="R23" s="1216"/>
      <c r="S23" s="1216"/>
      <c r="T23" s="1216"/>
      <c r="U23" s="1216"/>
      <c r="V23" s="1216">
        <v>42.0</v>
      </c>
      <c r="W23" s="1160">
        <v>58.0</v>
      </c>
      <c r="X23" s="1160">
        <v>60.0</v>
      </c>
      <c r="Y23" s="1160">
        <v>60.0</v>
      </c>
      <c r="Z23" s="1160">
        <v>2.88</v>
      </c>
      <c r="AA23" s="1160"/>
      <c r="AB23" s="1160"/>
      <c r="AC23" s="1160"/>
      <c r="AD23" s="1160"/>
      <c r="AE23" s="1160"/>
      <c r="AF23" s="1160"/>
      <c r="AG23" s="1160"/>
      <c r="AH23" s="1160"/>
      <c r="AI23" s="1160"/>
      <c r="AJ23" s="1160"/>
      <c r="AK23" s="1160"/>
      <c r="AL23" s="1160"/>
    </row>
    <row r="24" ht="15.0" customHeight="1">
      <c r="A24" s="1209" t="s">
        <v>1889</v>
      </c>
      <c r="B24" s="1209" t="s">
        <v>1913</v>
      </c>
      <c r="C24" s="1210">
        <v>6.0</v>
      </c>
      <c r="D24" s="1215">
        <v>0.0</v>
      </c>
      <c r="E24" s="1160"/>
      <c r="F24" s="1160"/>
      <c r="G24" s="1216">
        <v>5.0</v>
      </c>
      <c r="H24" s="1216">
        <v>8.0</v>
      </c>
      <c r="I24" s="1217">
        <v>600.0</v>
      </c>
      <c r="J24" s="1217">
        <v>330.0</v>
      </c>
      <c r="K24" s="1217">
        <v>120.0</v>
      </c>
      <c r="L24" s="1217">
        <v>90.0</v>
      </c>
      <c r="M24" s="1217">
        <v>520.0</v>
      </c>
      <c r="N24" s="1217">
        <v>11.0</v>
      </c>
      <c r="O24" s="1217">
        <v>17.0</v>
      </c>
      <c r="P24" s="1216"/>
      <c r="Q24" s="1216"/>
      <c r="R24" s="1216"/>
      <c r="S24" s="1216"/>
      <c r="T24" s="1216">
        <v>2.0</v>
      </c>
      <c r="U24" s="1216">
        <v>2.0</v>
      </c>
      <c r="V24" s="1216">
        <v>42.0</v>
      </c>
      <c r="W24" s="1160">
        <v>58.0</v>
      </c>
      <c r="X24" s="1160">
        <v>100.0</v>
      </c>
      <c r="Y24" s="1160">
        <v>100.0</v>
      </c>
      <c r="Z24" s="1160">
        <v>5.0</v>
      </c>
      <c r="AA24" s="1160"/>
      <c r="AB24" s="1160"/>
      <c r="AC24" s="1160"/>
      <c r="AD24" s="1160"/>
      <c r="AE24" s="1160"/>
      <c r="AF24" s="1160"/>
      <c r="AG24" s="1160"/>
      <c r="AH24" s="1160"/>
      <c r="AI24" s="1160"/>
      <c r="AJ24" s="1160"/>
      <c r="AK24" s="1160"/>
      <c r="AL24" s="1160"/>
    </row>
    <row r="25" ht="15.0" customHeight="1">
      <c r="A25" s="1209" t="s">
        <v>1889</v>
      </c>
      <c r="B25" s="1209" t="s">
        <v>1914</v>
      </c>
      <c r="C25" s="1210">
        <v>1.0</v>
      </c>
      <c r="D25" s="1215">
        <v>0.0</v>
      </c>
      <c r="E25" s="1160"/>
      <c r="F25" s="1160"/>
      <c r="G25" s="1216">
        <v>30.0</v>
      </c>
      <c r="H25" s="1216">
        <v>39.0</v>
      </c>
      <c r="I25" s="1217">
        <v>1100.0</v>
      </c>
      <c r="J25" s="1219">
        <v>600.0</v>
      </c>
      <c r="K25" s="1219">
        <v>180.0</v>
      </c>
      <c r="L25" s="1217">
        <v>200.0</v>
      </c>
      <c r="M25" s="1217">
        <v>1000.0</v>
      </c>
      <c r="N25" s="1217">
        <v>26.0</v>
      </c>
      <c r="O25" s="1217">
        <v>40.0</v>
      </c>
      <c r="P25" s="1216"/>
      <c r="Q25" s="1216"/>
      <c r="R25" s="1216"/>
      <c r="S25" s="1216"/>
      <c r="T25" s="1216">
        <v>3.0</v>
      </c>
      <c r="U25" s="1216">
        <v>6.0</v>
      </c>
      <c r="V25" s="1216"/>
      <c r="W25" s="1160"/>
      <c r="X25" s="1160"/>
      <c r="Y25" s="1160"/>
      <c r="Z25" s="1160"/>
      <c r="AA25" s="1160"/>
      <c r="AB25" s="1160"/>
      <c r="AC25" s="1160"/>
      <c r="AD25" s="1160"/>
      <c r="AE25" s="1160"/>
      <c r="AF25" s="1160"/>
      <c r="AG25" s="1160"/>
      <c r="AH25" s="1160"/>
      <c r="AI25" s="1160"/>
      <c r="AJ25" s="1160"/>
      <c r="AK25" s="1160"/>
      <c r="AL25" s="1160"/>
    </row>
    <row r="26" ht="15.0" customHeight="1">
      <c r="A26" s="1209" t="s">
        <v>1889</v>
      </c>
      <c r="B26" s="1209" t="s">
        <v>1915</v>
      </c>
      <c r="C26" s="1210">
        <v>10.0</v>
      </c>
      <c r="D26" s="1215">
        <v>0.0</v>
      </c>
      <c r="E26" s="1160"/>
      <c r="F26" s="1160"/>
      <c r="G26" s="1216">
        <v>25.0</v>
      </c>
      <c r="H26" s="1216">
        <v>33.0</v>
      </c>
      <c r="I26" s="1217">
        <v>1100.0</v>
      </c>
      <c r="J26" s="1219">
        <v>600.0</v>
      </c>
      <c r="K26" s="1219">
        <v>180.0</v>
      </c>
      <c r="L26" s="1217">
        <v>200.0</v>
      </c>
      <c r="M26" s="1217">
        <v>1000.0</v>
      </c>
      <c r="N26" s="1217">
        <v>26.0</v>
      </c>
      <c r="O26" s="1217">
        <v>40.0</v>
      </c>
      <c r="P26" s="1216"/>
      <c r="Q26" s="1216"/>
      <c r="R26" s="1216"/>
      <c r="S26" s="1216"/>
      <c r="T26" s="1216">
        <v>3.0</v>
      </c>
      <c r="U26" s="1216">
        <v>6.0</v>
      </c>
      <c r="V26" s="1216"/>
      <c r="W26" s="1160"/>
      <c r="X26" s="1160"/>
      <c r="Y26" s="1160"/>
      <c r="Z26" s="1160"/>
      <c r="AA26" s="1160"/>
      <c r="AB26" s="1160"/>
      <c r="AC26" s="1160"/>
      <c r="AD26" s="1160"/>
      <c r="AE26" s="1160"/>
      <c r="AF26" s="1160"/>
      <c r="AG26" s="1160"/>
      <c r="AH26" s="1160"/>
      <c r="AI26" s="1160"/>
      <c r="AJ26" s="1160"/>
      <c r="AK26" s="1160"/>
      <c r="AL26" s="1160"/>
    </row>
    <row r="27" ht="15.0" customHeight="1">
      <c r="A27" s="1209" t="s">
        <v>1889</v>
      </c>
      <c r="B27" s="1209" t="s">
        <v>1916</v>
      </c>
      <c r="C27" s="1210">
        <v>58.0</v>
      </c>
      <c r="D27" s="1215">
        <v>0.0</v>
      </c>
      <c r="E27" s="1160"/>
      <c r="F27" s="1160"/>
      <c r="G27" s="1216">
        <v>5.0</v>
      </c>
      <c r="H27" s="1216">
        <v>6.5</v>
      </c>
      <c r="I27" s="1217">
        <v>600.0</v>
      </c>
      <c r="J27" s="1217">
        <v>330.0</v>
      </c>
      <c r="K27" s="1217">
        <v>120.0</v>
      </c>
      <c r="L27" s="1217">
        <v>90.0</v>
      </c>
      <c r="M27" s="1217">
        <v>520.0</v>
      </c>
      <c r="N27" s="1217">
        <v>15.0</v>
      </c>
      <c r="O27" s="1217">
        <v>22.5</v>
      </c>
      <c r="P27" s="1216"/>
      <c r="Q27" s="1216"/>
      <c r="R27" s="1216"/>
      <c r="S27" s="1216"/>
      <c r="T27" s="1216">
        <v>2.0</v>
      </c>
      <c r="U27" s="1216">
        <v>2.0</v>
      </c>
      <c r="V27" s="1216">
        <v>42.0</v>
      </c>
      <c r="W27" s="1160">
        <v>58.0</v>
      </c>
      <c r="X27" s="1160">
        <v>100.0</v>
      </c>
      <c r="Y27" s="1160">
        <v>100.0</v>
      </c>
      <c r="Z27" s="1160">
        <v>5.0</v>
      </c>
      <c r="AA27" s="1160"/>
      <c r="AB27" s="1160"/>
      <c r="AC27" s="1160"/>
      <c r="AD27" s="1160"/>
      <c r="AE27" s="1160"/>
      <c r="AF27" s="1160"/>
      <c r="AG27" s="1160"/>
      <c r="AH27" s="1160"/>
      <c r="AI27" s="1160"/>
      <c r="AJ27" s="1160"/>
      <c r="AK27" s="1160"/>
      <c r="AL27" s="1160"/>
    </row>
    <row r="28" ht="15.0" customHeight="1">
      <c r="A28" s="1209"/>
      <c r="B28" s="1209"/>
      <c r="C28" s="1210"/>
      <c r="D28" s="1215"/>
      <c r="E28" s="1160"/>
      <c r="F28" s="1160"/>
      <c r="G28" s="1216"/>
      <c r="H28" s="1216"/>
      <c r="I28" s="1216"/>
      <c r="J28" s="1216"/>
      <c r="K28" s="1216"/>
      <c r="L28" s="1216"/>
      <c r="M28" s="1216"/>
      <c r="N28" s="1216"/>
      <c r="O28" s="1216"/>
      <c r="P28" s="1216"/>
      <c r="Q28" s="1216"/>
      <c r="R28" s="1216"/>
      <c r="S28" s="1216"/>
      <c r="T28" s="1216"/>
      <c r="U28" s="1216"/>
      <c r="V28" s="1216"/>
      <c r="W28" s="1160"/>
      <c r="X28" s="1160"/>
      <c r="Y28" s="1160"/>
      <c r="Z28" s="1160"/>
      <c r="AA28" s="1160"/>
      <c r="AB28" s="1160"/>
      <c r="AC28" s="1160"/>
      <c r="AD28" s="1160"/>
      <c r="AE28" s="1160"/>
      <c r="AF28" s="1160"/>
      <c r="AG28" s="1160"/>
      <c r="AH28" s="1160"/>
      <c r="AI28" s="1160"/>
      <c r="AJ28" s="1160"/>
      <c r="AK28" s="1160"/>
      <c r="AL28" s="1160"/>
    </row>
    <row r="29" ht="15.0" customHeight="1">
      <c r="A29" s="1209"/>
      <c r="B29" s="1209"/>
      <c r="C29" s="1210"/>
      <c r="D29" s="1215"/>
      <c r="E29" s="1160"/>
      <c r="F29" s="1160"/>
      <c r="G29" s="1216"/>
      <c r="H29" s="1216"/>
      <c r="I29" s="1216"/>
      <c r="J29" s="1216"/>
      <c r="K29" s="1216"/>
      <c r="L29" s="1216"/>
      <c r="M29" s="1216"/>
      <c r="N29" s="1216"/>
      <c r="O29" s="1216"/>
      <c r="P29" s="1216"/>
      <c r="Q29" s="1216"/>
      <c r="R29" s="1216"/>
      <c r="S29" s="1216"/>
      <c r="T29" s="1216"/>
      <c r="U29" s="1216"/>
      <c r="V29" s="1216"/>
      <c r="W29" s="1160"/>
      <c r="X29" s="1160"/>
      <c r="Y29" s="1160"/>
      <c r="Z29" s="1160"/>
      <c r="AA29" s="1160"/>
      <c r="AB29" s="1160"/>
      <c r="AC29" s="1160"/>
      <c r="AD29" s="1160"/>
      <c r="AE29" s="1160"/>
      <c r="AF29" s="1160"/>
      <c r="AG29" s="1160"/>
      <c r="AH29" s="1160"/>
      <c r="AI29" s="1160"/>
      <c r="AJ29" s="1160"/>
      <c r="AK29" s="1160"/>
      <c r="AL29" s="1160"/>
    </row>
    <row r="30" ht="15.0" customHeight="1">
      <c r="A30" s="1209" t="s">
        <v>1917</v>
      </c>
      <c r="B30" s="1209" t="s">
        <v>1918</v>
      </c>
      <c r="C30" s="1210">
        <v>27.0</v>
      </c>
      <c r="D30" s="1215">
        <v>0.0</v>
      </c>
      <c r="E30" s="1160"/>
      <c r="F30" s="1160"/>
      <c r="G30" s="1216">
        <v>0.8</v>
      </c>
      <c r="H30" s="1221">
        <v>0.6</v>
      </c>
      <c r="I30" s="1216">
        <v>145.0</v>
      </c>
      <c r="J30" s="1216">
        <v>115.0</v>
      </c>
      <c r="K30" s="1216">
        <v>17.0</v>
      </c>
      <c r="L30" s="1216">
        <v>30.0</v>
      </c>
      <c r="M30" s="1216">
        <v>115.0</v>
      </c>
      <c r="N30" s="1216">
        <v>60.0</v>
      </c>
      <c r="O30" s="1216"/>
      <c r="P30" s="1216"/>
      <c r="Q30" s="1216"/>
      <c r="R30" s="1216"/>
      <c r="S30" s="1216"/>
      <c r="T30" s="1216"/>
      <c r="U30" s="1216"/>
      <c r="V30" s="1216"/>
      <c r="W30" s="1160"/>
      <c r="X30" s="1160"/>
      <c r="Y30" s="1160"/>
      <c r="Z30" s="1160"/>
      <c r="AA30" s="1160"/>
      <c r="AB30" s="1160"/>
      <c r="AC30" s="1160"/>
      <c r="AD30" s="1160"/>
      <c r="AE30" s="1160"/>
      <c r="AF30" s="1160"/>
      <c r="AG30" s="1160"/>
      <c r="AH30" s="1160"/>
      <c r="AI30" s="1160"/>
      <c r="AJ30" s="1160"/>
      <c r="AK30" s="1160"/>
      <c r="AL30" s="1160"/>
    </row>
    <row r="31" ht="15.0" customHeight="1">
      <c r="A31" s="1209" t="s">
        <v>1917</v>
      </c>
      <c r="B31" s="1209" t="s">
        <v>1919</v>
      </c>
      <c r="C31" s="1210">
        <v>28.0</v>
      </c>
      <c r="D31" s="1215">
        <v>0.0</v>
      </c>
      <c r="E31" s="1160"/>
      <c r="F31" s="1160"/>
      <c r="G31" s="1160">
        <v>1.6</v>
      </c>
      <c r="H31" s="1221">
        <v>0.6</v>
      </c>
      <c r="I31" s="1216">
        <v>145.0</v>
      </c>
      <c r="J31" s="1216">
        <v>115.0</v>
      </c>
      <c r="K31" s="1216">
        <v>17.0</v>
      </c>
      <c r="L31" s="1216">
        <v>30.0</v>
      </c>
      <c r="M31" s="1216">
        <v>115.0</v>
      </c>
      <c r="N31" s="1216">
        <v>60.0</v>
      </c>
      <c r="O31" s="1216"/>
      <c r="P31" s="1216"/>
      <c r="Q31" s="1216"/>
      <c r="R31" s="1216"/>
      <c r="S31" s="1216"/>
      <c r="T31" s="1216"/>
      <c r="U31" s="1216"/>
      <c r="V31" s="1216"/>
      <c r="W31" s="1160"/>
      <c r="X31" s="1160"/>
      <c r="Y31" s="1160"/>
      <c r="Z31" s="1160"/>
      <c r="AA31" s="1160"/>
      <c r="AB31" s="1160"/>
      <c r="AC31" s="1160"/>
      <c r="AD31" s="1160"/>
      <c r="AE31" s="1160"/>
      <c r="AF31" s="1160"/>
      <c r="AG31" s="1160"/>
      <c r="AH31" s="1160"/>
      <c r="AI31" s="1160"/>
      <c r="AJ31" s="1160"/>
      <c r="AK31" s="1160"/>
      <c r="AL31" s="1160"/>
    </row>
    <row r="32" ht="15.0" customHeight="1">
      <c r="A32" s="1209" t="s">
        <v>1917</v>
      </c>
      <c r="B32" s="1209" t="s">
        <v>1920</v>
      </c>
      <c r="C32" s="1210">
        <v>29.0</v>
      </c>
      <c r="D32" s="1215">
        <v>0.0</v>
      </c>
      <c r="E32" s="1160"/>
      <c r="F32" s="1160"/>
      <c r="G32" s="1221">
        <v>2.4</v>
      </c>
      <c r="H32" s="1221">
        <v>0.6</v>
      </c>
      <c r="I32" s="1216">
        <v>145.0</v>
      </c>
      <c r="J32" s="1216">
        <v>115.0</v>
      </c>
      <c r="K32" s="1216">
        <v>17.0</v>
      </c>
      <c r="L32" s="1216">
        <v>30.0</v>
      </c>
      <c r="M32" s="1216">
        <v>115.0</v>
      </c>
      <c r="N32" s="1216">
        <v>60.0</v>
      </c>
      <c r="O32" s="1216"/>
      <c r="P32" s="1216"/>
      <c r="Q32" s="1216"/>
      <c r="R32" s="1216"/>
      <c r="S32" s="1216"/>
      <c r="T32" s="1216"/>
      <c r="U32" s="1216"/>
      <c r="V32" s="1216"/>
      <c r="W32" s="1160"/>
      <c r="X32" s="1160"/>
      <c r="Y32" s="1160"/>
      <c r="Z32" s="1160"/>
      <c r="AA32" s="1160"/>
      <c r="AB32" s="1160"/>
      <c r="AC32" s="1160"/>
      <c r="AD32" s="1160"/>
      <c r="AE32" s="1160"/>
      <c r="AF32" s="1160"/>
      <c r="AG32" s="1160"/>
      <c r="AH32" s="1160"/>
      <c r="AI32" s="1160"/>
      <c r="AJ32" s="1160"/>
      <c r="AK32" s="1160"/>
      <c r="AL32" s="1160"/>
    </row>
    <row r="33" ht="15.0" customHeight="1">
      <c r="A33" s="1209" t="s">
        <v>1917</v>
      </c>
      <c r="B33" s="1209" t="s">
        <v>1921</v>
      </c>
      <c r="C33" s="1210">
        <v>30.0</v>
      </c>
      <c r="D33" s="1215">
        <v>0.0</v>
      </c>
      <c r="E33" s="1160"/>
      <c r="F33" s="1160"/>
      <c r="G33" s="1221">
        <v>2.4</v>
      </c>
      <c r="H33" s="1221">
        <v>0.9</v>
      </c>
      <c r="I33" s="1216">
        <v>145.0</v>
      </c>
      <c r="J33" s="1216">
        <v>115.0</v>
      </c>
      <c r="K33" s="1216">
        <v>34.0</v>
      </c>
      <c r="L33" s="1216">
        <v>60.0</v>
      </c>
      <c r="M33" s="1216">
        <v>115.0</v>
      </c>
      <c r="N33" s="1216">
        <v>60.0</v>
      </c>
      <c r="O33" s="1216"/>
      <c r="P33" s="1216"/>
      <c r="Q33" s="1216"/>
      <c r="R33" s="1216"/>
      <c r="S33" s="1216"/>
      <c r="T33" s="1216"/>
      <c r="U33" s="1216"/>
      <c r="V33" s="1216"/>
      <c r="W33" s="1160"/>
      <c r="X33" s="1160"/>
      <c r="Y33" s="1160"/>
      <c r="Z33" s="1160"/>
      <c r="AA33" s="1160"/>
      <c r="AB33" s="1160"/>
      <c r="AC33" s="1160"/>
      <c r="AD33" s="1160"/>
      <c r="AE33" s="1160"/>
      <c r="AF33" s="1160"/>
      <c r="AG33" s="1160"/>
      <c r="AH33" s="1160"/>
      <c r="AI33" s="1160"/>
      <c r="AJ33" s="1160"/>
      <c r="AK33" s="1160"/>
      <c r="AL33" s="1160"/>
    </row>
    <row r="34" ht="15.0" customHeight="1">
      <c r="A34" s="1209" t="s">
        <v>1917</v>
      </c>
      <c r="B34" s="1209" t="s">
        <v>1922</v>
      </c>
      <c r="C34" s="1210">
        <v>31.0</v>
      </c>
      <c r="D34" s="1215">
        <v>0.0</v>
      </c>
      <c r="E34" s="1160"/>
      <c r="F34" s="1160"/>
      <c r="G34" s="1216">
        <v>4.0</v>
      </c>
      <c r="H34" s="1216">
        <v>4.0</v>
      </c>
      <c r="I34" s="1216">
        <v>145.0</v>
      </c>
      <c r="J34" s="1216">
        <v>115.0</v>
      </c>
      <c r="K34" s="1216">
        <v>34.0</v>
      </c>
      <c r="L34" s="1216">
        <v>60.0</v>
      </c>
      <c r="M34" s="1216">
        <v>115.0</v>
      </c>
      <c r="N34" s="1216">
        <v>60.0</v>
      </c>
      <c r="O34" s="1216"/>
      <c r="P34" s="1216"/>
      <c r="Q34" s="1216"/>
      <c r="R34" s="1216"/>
      <c r="S34" s="1216"/>
      <c r="T34" s="1216"/>
      <c r="U34" s="1216"/>
      <c r="V34" s="1216"/>
      <c r="W34" s="1160"/>
      <c r="X34" s="1160"/>
      <c r="Y34" s="1160"/>
      <c r="Z34" s="1160"/>
      <c r="AA34" s="1160"/>
      <c r="AB34" s="1160"/>
      <c r="AC34" s="1160"/>
      <c r="AD34" s="1160"/>
      <c r="AE34" s="1160"/>
      <c r="AF34" s="1160"/>
      <c r="AG34" s="1160"/>
      <c r="AH34" s="1160"/>
      <c r="AI34" s="1160"/>
      <c r="AJ34" s="1160"/>
      <c r="AK34" s="1160"/>
      <c r="AL34" s="1160"/>
    </row>
    <row r="35" ht="15.0" customHeight="1">
      <c r="A35" s="1209" t="s">
        <v>1917</v>
      </c>
      <c r="B35" s="1209" t="s">
        <v>1923</v>
      </c>
      <c r="C35" s="1210">
        <v>32.0</v>
      </c>
      <c r="D35" s="1215">
        <v>0.0</v>
      </c>
      <c r="E35" s="1160"/>
      <c r="F35" s="1160"/>
      <c r="G35" s="1216">
        <v>5.0</v>
      </c>
      <c r="H35" s="1216">
        <v>4.0</v>
      </c>
      <c r="I35" s="1216">
        <v>145.0</v>
      </c>
      <c r="J35" s="1216">
        <v>115.0</v>
      </c>
      <c r="K35" s="1216">
        <v>17.0</v>
      </c>
      <c r="L35" s="1216">
        <v>30.0</v>
      </c>
      <c r="M35" s="1216">
        <v>115.0</v>
      </c>
      <c r="N35" s="1216">
        <v>60.0</v>
      </c>
      <c r="O35" s="1216"/>
      <c r="P35" s="1216"/>
      <c r="Q35" s="1216"/>
      <c r="R35" s="1216"/>
      <c r="S35" s="1216"/>
      <c r="T35" s="1216"/>
      <c r="U35" s="1216"/>
      <c r="V35" s="1216"/>
      <c r="W35" s="1160"/>
      <c r="X35" s="1160"/>
      <c r="Y35" s="1160"/>
      <c r="Z35" s="1160"/>
      <c r="AA35" s="1160"/>
      <c r="AB35" s="1160"/>
      <c r="AC35" s="1160"/>
      <c r="AD35" s="1160"/>
      <c r="AE35" s="1160"/>
      <c r="AF35" s="1160"/>
      <c r="AG35" s="1160"/>
      <c r="AH35" s="1160"/>
      <c r="AI35" s="1160"/>
      <c r="AJ35" s="1160"/>
      <c r="AK35" s="1160"/>
      <c r="AL35" s="1160"/>
    </row>
    <row r="36" ht="15.0" customHeight="1">
      <c r="A36" s="1209" t="s">
        <v>1917</v>
      </c>
      <c r="B36" s="1209" t="s">
        <v>1924</v>
      </c>
      <c r="C36" s="1210">
        <v>33.0</v>
      </c>
      <c r="D36" s="1215">
        <v>0.0</v>
      </c>
      <c r="E36" s="1160"/>
      <c r="F36" s="1160"/>
      <c r="G36" s="1216">
        <v>5.0</v>
      </c>
      <c r="H36" s="1216">
        <v>4.0</v>
      </c>
      <c r="I36" s="1216">
        <v>145.0</v>
      </c>
      <c r="J36" s="1216">
        <v>115.0</v>
      </c>
      <c r="K36" s="1216">
        <v>34.0</v>
      </c>
      <c r="L36" s="1216">
        <v>60.0</v>
      </c>
      <c r="M36" s="1216">
        <v>115.0</v>
      </c>
      <c r="N36" s="1216">
        <v>60.0</v>
      </c>
      <c r="O36" s="1216"/>
      <c r="P36" s="1216"/>
      <c r="Q36" s="1216"/>
      <c r="R36" s="1216"/>
      <c r="S36" s="1216"/>
      <c r="T36" s="1216"/>
      <c r="U36" s="1216"/>
      <c r="V36" s="1216"/>
      <c r="W36" s="1160"/>
      <c r="X36" s="1160"/>
      <c r="Y36" s="1160"/>
      <c r="Z36" s="1160"/>
      <c r="AA36" s="1160"/>
      <c r="AB36" s="1160"/>
      <c r="AC36" s="1160"/>
      <c r="AD36" s="1160"/>
      <c r="AE36" s="1160"/>
      <c r="AF36" s="1160"/>
      <c r="AG36" s="1160"/>
      <c r="AH36" s="1160"/>
      <c r="AI36" s="1160"/>
      <c r="AJ36" s="1160"/>
      <c r="AK36" s="1160"/>
      <c r="AL36" s="1160"/>
    </row>
    <row r="37" ht="15.0" customHeight="1">
      <c r="A37" s="1209" t="s">
        <v>1917</v>
      </c>
      <c r="B37" s="1209" t="s">
        <v>1925</v>
      </c>
      <c r="C37" s="1210">
        <v>34.0</v>
      </c>
      <c r="D37" s="1215">
        <v>0.0</v>
      </c>
      <c r="E37" s="1160"/>
      <c r="F37" s="1160"/>
      <c r="G37" s="1216">
        <v>5.0</v>
      </c>
      <c r="H37" s="1216">
        <v>4.0</v>
      </c>
      <c r="I37" s="1216">
        <v>145.0</v>
      </c>
      <c r="J37" s="1216">
        <v>115.0</v>
      </c>
      <c r="K37" s="1216">
        <v>34.0</v>
      </c>
      <c r="L37" s="1216">
        <v>60.0</v>
      </c>
      <c r="M37" s="1216">
        <v>115.0</v>
      </c>
      <c r="N37" s="1216">
        <v>60.0</v>
      </c>
      <c r="O37" s="1216"/>
      <c r="P37" s="1216"/>
      <c r="Q37" s="1216"/>
      <c r="R37" s="1216"/>
      <c r="S37" s="1216"/>
      <c r="T37" s="1216"/>
      <c r="U37" s="1216"/>
      <c r="V37" s="1216"/>
      <c r="W37" s="1160"/>
      <c r="X37" s="1160"/>
      <c r="Y37" s="1160"/>
      <c r="Z37" s="1160"/>
      <c r="AA37" s="1160"/>
      <c r="AB37" s="1160"/>
      <c r="AC37" s="1160"/>
      <c r="AD37" s="1160"/>
      <c r="AE37" s="1160"/>
      <c r="AF37" s="1160"/>
      <c r="AG37" s="1160"/>
      <c r="AH37" s="1160"/>
      <c r="AI37" s="1160"/>
      <c r="AJ37" s="1160"/>
      <c r="AK37" s="1160"/>
      <c r="AL37" s="1160"/>
    </row>
    <row r="38" ht="15.0" customHeight="1">
      <c r="A38" s="1209" t="s">
        <v>1917</v>
      </c>
      <c r="B38" s="1209" t="s">
        <v>1926</v>
      </c>
      <c r="C38" s="1210">
        <v>35.0</v>
      </c>
      <c r="D38" s="1215">
        <v>0.0</v>
      </c>
      <c r="E38" s="1160"/>
      <c r="F38" s="1160"/>
      <c r="G38" s="1221">
        <v>1.6</v>
      </c>
      <c r="H38" s="1221">
        <v>1.5</v>
      </c>
      <c r="I38" s="1216">
        <v>145.0</v>
      </c>
      <c r="J38" s="1216">
        <v>115.0</v>
      </c>
      <c r="K38" s="1216">
        <v>17.0</v>
      </c>
      <c r="L38" s="1216">
        <v>30.0</v>
      </c>
      <c r="M38" s="1216">
        <v>115.0</v>
      </c>
      <c r="N38" s="1216">
        <v>60.0</v>
      </c>
      <c r="O38" s="1216"/>
      <c r="P38" s="1216"/>
      <c r="Q38" s="1216"/>
      <c r="R38" s="1216"/>
      <c r="S38" s="1216"/>
      <c r="T38" s="1216"/>
      <c r="U38" s="1216"/>
      <c r="V38" s="1216"/>
      <c r="W38" s="1160"/>
      <c r="X38" s="1160"/>
      <c r="Y38" s="1160"/>
      <c r="Z38" s="1160"/>
      <c r="AA38" s="1160"/>
      <c r="AB38" s="1160"/>
      <c r="AC38" s="1160"/>
      <c r="AD38" s="1160"/>
      <c r="AE38" s="1160"/>
      <c r="AF38" s="1160"/>
      <c r="AG38" s="1160"/>
      <c r="AH38" s="1160"/>
      <c r="AI38" s="1160"/>
      <c r="AJ38" s="1160"/>
      <c r="AK38" s="1160"/>
      <c r="AL38" s="1160"/>
    </row>
    <row r="39" ht="15.0" customHeight="1">
      <c r="A39" s="1209" t="s">
        <v>1917</v>
      </c>
      <c r="B39" s="1209" t="s">
        <v>1927</v>
      </c>
      <c r="C39" s="1210">
        <v>36.0</v>
      </c>
      <c r="D39" s="1215">
        <v>0.0</v>
      </c>
      <c r="E39" s="1160"/>
      <c r="F39" s="1160"/>
      <c r="G39" s="1221">
        <v>1.6</v>
      </c>
      <c r="H39" s="1216">
        <v>3.0</v>
      </c>
      <c r="I39" s="1216">
        <v>145.0</v>
      </c>
      <c r="J39" s="1216">
        <v>115.0</v>
      </c>
      <c r="K39" s="1216">
        <v>34.0</v>
      </c>
      <c r="L39" s="1216">
        <v>60.0</v>
      </c>
      <c r="M39" s="1216">
        <v>115.0</v>
      </c>
      <c r="N39" s="1216">
        <v>60.0</v>
      </c>
      <c r="O39" s="1216"/>
      <c r="P39" s="1216"/>
      <c r="Q39" s="1216"/>
      <c r="R39" s="1216"/>
      <c r="S39" s="1216"/>
      <c r="T39" s="1216"/>
      <c r="U39" s="1216"/>
      <c r="V39" s="1216"/>
      <c r="W39" s="1160"/>
      <c r="X39" s="1160"/>
      <c r="Y39" s="1160"/>
      <c r="Z39" s="1160"/>
      <c r="AA39" s="1160"/>
      <c r="AB39" s="1160"/>
      <c r="AC39" s="1160"/>
      <c r="AD39" s="1160"/>
      <c r="AE39" s="1160"/>
      <c r="AF39" s="1160"/>
      <c r="AG39" s="1160"/>
      <c r="AH39" s="1160"/>
      <c r="AI39" s="1160"/>
      <c r="AJ39" s="1160"/>
      <c r="AK39" s="1160"/>
      <c r="AL39" s="1160"/>
    </row>
    <row r="40" ht="15.0" customHeight="1">
      <c r="A40" s="1209" t="s">
        <v>1917</v>
      </c>
      <c r="B40" s="1209" t="s">
        <v>1928</v>
      </c>
      <c r="C40" s="1210">
        <v>37.0</v>
      </c>
      <c r="D40" s="1215">
        <v>0.0</v>
      </c>
      <c r="E40" s="1160"/>
      <c r="F40" s="1160"/>
      <c r="G40" s="1216">
        <v>3.0</v>
      </c>
      <c r="H40" s="1221">
        <v>1.5</v>
      </c>
      <c r="I40" s="1216">
        <v>145.0</v>
      </c>
      <c r="J40" s="1216">
        <v>115.0</v>
      </c>
      <c r="K40" s="1216">
        <v>17.0</v>
      </c>
      <c r="L40" s="1216">
        <v>30.0</v>
      </c>
      <c r="M40" s="1216">
        <v>115.0</v>
      </c>
      <c r="N40" s="1216">
        <v>60.0</v>
      </c>
      <c r="O40" s="1216"/>
      <c r="P40" s="1216"/>
      <c r="Q40" s="1216"/>
      <c r="R40" s="1216"/>
      <c r="S40" s="1216"/>
      <c r="T40" s="1216"/>
      <c r="U40" s="1216"/>
      <c r="V40" s="1216"/>
      <c r="W40" s="1160"/>
      <c r="X40" s="1160"/>
      <c r="Y40" s="1160"/>
      <c r="Z40" s="1160"/>
      <c r="AA40" s="1160"/>
      <c r="AB40" s="1160"/>
      <c r="AC40" s="1160"/>
      <c r="AD40" s="1160"/>
      <c r="AE40" s="1160"/>
      <c r="AF40" s="1160"/>
      <c r="AG40" s="1160"/>
      <c r="AH40" s="1160"/>
      <c r="AI40" s="1160"/>
      <c r="AJ40" s="1160"/>
      <c r="AK40" s="1160"/>
      <c r="AL40" s="1160"/>
    </row>
    <row r="41" ht="15.0" customHeight="1">
      <c r="A41" s="1209" t="s">
        <v>1917</v>
      </c>
      <c r="B41" s="1209" t="s">
        <v>1929</v>
      </c>
      <c r="C41" s="1210">
        <v>38.0</v>
      </c>
      <c r="D41" s="1215">
        <v>0.0</v>
      </c>
      <c r="E41" s="1160"/>
      <c r="F41" s="1160"/>
      <c r="G41" s="1216">
        <v>3.0</v>
      </c>
      <c r="H41" s="1216">
        <v>3.0</v>
      </c>
      <c r="I41" s="1216">
        <v>145.0</v>
      </c>
      <c r="J41" s="1216">
        <v>115.0</v>
      </c>
      <c r="K41" s="1216">
        <v>34.0</v>
      </c>
      <c r="L41" s="1216">
        <v>60.0</v>
      </c>
      <c r="M41" s="1216">
        <v>115.0</v>
      </c>
      <c r="N41" s="1216">
        <v>60.0</v>
      </c>
      <c r="O41" s="1216"/>
      <c r="P41" s="1216"/>
      <c r="Q41" s="1216"/>
      <c r="R41" s="1216"/>
      <c r="S41" s="1216"/>
      <c r="T41" s="1216"/>
      <c r="U41" s="1216"/>
      <c r="V41" s="1216"/>
      <c r="W41" s="1160"/>
      <c r="X41" s="1160"/>
      <c r="Y41" s="1160"/>
      <c r="Z41" s="1160"/>
      <c r="AA41" s="1160"/>
      <c r="AB41" s="1160"/>
      <c r="AC41" s="1160"/>
      <c r="AD41" s="1160"/>
      <c r="AE41" s="1160"/>
      <c r="AF41" s="1160"/>
      <c r="AG41" s="1160"/>
      <c r="AH41" s="1160"/>
      <c r="AI41" s="1160"/>
      <c r="AJ41" s="1160"/>
      <c r="AK41" s="1160"/>
      <c r="AL41" s="1160"/>
    </row>
    <row r="42" ht="15.0" customHeight="1">
      <c r="A42" s="1209"/>
      <c r="B42" s="1209"/>
      <c r="C42" s="1210"/>
      <c r="D42" s="1215"/>
      <c r="E42" s="1160"/>
      <c r="F42" s="1160"/>
      <c r="G42" s="1216"/>
      <c r="H42" s="1216"/>
      <c r="I42" s="1216"/>
      <c r="J42" s="1216"/>
      <c r="K42" s="1216"/>
      <c r="L42" s="1216"/>
      <c r="M42" s="1216"/>
      <c r="N42" s="1216"/>
      <c r="O42" s="1216"/>
      <c r="P42" s="1216"/>
      <c r="Q42" s="1216"/>
      <c r="R42" s="1216"/>
      <c r="S42" s="1216"/>
      <c r="T42" s="1216"/>
      <c r="U42" s="1216"/>
      <c r="V42" s="1216"/>
      <c r="W42" s="1160"/>
      <c r="X42" s="1160"/>
      <c r="Y42" s="1160"/>
      <c r="Z42" s="1160"/>
      <c r="AA42" s="1160"/>
      <c r="AB42" s="1160"/>
      <c r="AC42" s="1160"/>
      <c r="AD42" s="1160"/>
      <c r="AE42" s="1160"/>
      <c r="AF42" s="1160"/>
      <c r="AG42" s="1160"/>
      <c r="AH42" s="1160"/>
      <c r="AI42" s="1160"/>
      <c r="AJ42" s="1160"/>
      <c r="AK42" s="1160"/>
      <c r="AL42" s="1160"/>
    </row>
    <row r="43" ht="15.0" customHeight="1">
      <c r="A43" s="1209" t="s">
        <v>1930</v>
      </c>
      <c r="B43" s="1209" t="s">
        <v>1931</v>
      </c>
      <c r="C43" s="1210">
        <v>40.0</v>
      </c>
      <c r="D43" s="1215">
        <v>0.0</v>
      </c>
      <c r="E43" s="1160"/>
      <c r="F43" s="1160"/>
      <c r="G43" s="1216">
        <v>1.0</v>
      </c>
      <c r="H43" s="1221">
        <v>0.6</v>
      </c>
      <c r="I43" s="1216">
        <v>145.0</v>
      </c>
      <c r="J43" s="1216">
        <v>115.0</v>
      </c>
      <c r="K43" s="1216">
        <v>17.0</v>
      </c>
      <c r="L43" s="1216">
        <v>30.0</v>
      </c>
      <c r="M43" s="1216">
        <v>115.0</v>
      </c>
      <c r="N43" s="1216">
        <v>60.0</v>
      </c>
      <c r="O43" s="1216"/>
      <c r="P43" s="1216"/>
      <c r="Q43" s="1216"/>
      <c r="R43" s="1216"/>
      <c r="S43" s="1216"/>
      <c r="T43" s="1216"/>
      <c r="U43" s="1216"/>
      <c r="V43" s="1216"/>
      <c r="W43" s="1160"/>
      <c r="X43" s="1160"/>
      <c r="Y43" s="1160"/>
      <c r="Z43" s="1160"/>
      <c r="AA43" s="1160"/>
      <c r="AB43" s="1160"/>
      <c r="AC43" s="1160"/>
      <c r="AD43" s="1160"/>
      <c r="AE43" s="1160"/>
      <c r="AF43" s="1160"/>
      <c r="AG43" s="1160"/>
      <c r="AH43" s="1160"/>
      <c r="AI43" s="1160"/>
      <c r="AJ43" s="1160"/>
      <c r="AK43" s="1160"/>
      <c r="AL43" s="1160"/>
    </row>
    <row r="44" ht="15.0" customHeight="1">
      <c r="A44" s="1209" t="s">
        <v>1930</v>
      </c>
      <c r="B44" s="1209" t="s">
        <v>1932</v>
      </c>
      <c r="C44" s="1210">
        <v>41.0</v>
      </c>
      <c r="D44" s="1215">
        <v>0.0</v>
      </c>
      <c r="E44" s="1160"/>
      <c r="F44" s="1160"/>
      <c r="G44" s="1216">
        <v>2.0</v>
      </c>
      <c r="H44" s="1221">
        <v>1.2</v>
      </c>
      <c r="I44" s="1216">
        <v>145.0</v>
      </c>
      <c r="J44" s="1216">
        <v>115.0</v>
      </c>
      <c r="K44" s="1216">
        <v>17.0</v>
      </c>
      <c r="L44" s="1216">
        <v>30.0</v>
      </c>
      <c r="M44" s="1216">
        <v>115.0</v>
      </c>
      <c r="N44" s="1216">
        <v>60.0</v>
      </c>
      <c r="O44" s="1216"/>
      <c r="P44" s="1216"/>
      <c r="Q44" s="1216"/>
      <c r="R44" s="1216"/>
      <c r="S44" s="1216"/>
      <c r="T44" s="1216"/>
      <c r="U44" s="1216"/>
      <c r="V44" s="1216"/>
      <c r="W44" s="1160"/>
      <c r="X44" s="1160"/>
      <c r="Y44" s="1160"/>
      <c r="Z44" s="1160"/>
      <c r="AA44" s="1160"/>
      <c r="AB44" s="1160"/>
      <c r="AC44" s="1160"/>
      <c r="AD44" s="1160"/>
      <c r="AE44" s="1160"/>
      <c r="AF44" s="1160"/>
      <c r="AG44" s="1160"/>
      <c r="AH44" s="1160"/>
      <c r="AI44" s="1160"/>
      <c r="AJ44" s="1160"/>
      <c r="AK44" s="1160"/>
      <c r="AL44" s="1160"/>
    </row>
    <row r="45" ht="15.0" customHeight="1">
      <c r="A45" s="1209" t="s">
        <v>1930</v>
      </c>
      <c r="B45" s="1209" t="s">
        <v>1933</v>
      </c>
      <c r="C45" s="1210">
        <v>42.0</v>
      </c>
      <c r="D45" s="1215">
        <v>0.0</v>
      </c>
      <c r="E45" s="1160"/>
      <c r="F45" s="1160"/>
      <c r="G45" s="1216">
        <v>3.0</v>
      </c>
      <c r="H45" s="1221">
        <v>1.2</v>
      </c>
      <c r="I45" s="1216">
        <v>145.0</v>
      </c>
      <c r="J45" s="1216">
        <v>115.0</v>
      </c>
      <c r="K45" s="1216">
        <v>17.0</v>
      </c>
      <c r="L45" s="1216">
        <v>30.0</v>
      </c>
      <c r="M45" s="1216">
        <v>115.0</v>
      </c>
      <c r="N45" s="1216">
        <v>60.0</v>
      </c>
      <c r="O45" s="1216"/>
      <c r="P45" s="1216"/>
      <c r="Q45" s="1216"/>
      <c r="R45" s="1216"/>
      <c r="S45" s="1216"/>
      <c r="T45" s="1216"/>
      <c r="U45" s="1216"/>
      <c r="V45" s="1216"/>
      <c r="W45" s="1160"/>
      <c r="X45" s="1160"/>
      <c r="Y45" s="1160"/>
      <c r="Z45" s="1160"/>
      <c r="AA45" s="1160"/>
      <c r="AB45" s="1160"/>
      <c r="AC45" s="1160"/>
      <c r="AD45" s="1160"/>
      <c r="AE45" s="1160"/>
      <c r="AF45" s="1160"/>
      <c r="AG45" s="1160"/>
      <c r="AH45" s="1160"/>
      <c r="AI45" s="1160"/>
      <c r="AJ45" s="1160"/>
      <c r="AK45" s="1160"/>
      <c r="AL45" s="1160"/>
    </row>
    <row r="46" ht="15.0" customHeight="1">
      <c r="A46" s="1209" t="s">
        <v>1930</v>
      </c>
      <c r="B46" s="1209" t="s">
        <v>1934</v>
      </c>
      <c r="C46" s="1210">
        <v>43.0</v>
      </c>
      <c r="D46" s="1215">
        <v>0.0</v>
      </c>
      <c r="E46" s="1160"/>
      <c r="F46" s="1160"/>
      <c r="G46" s="1216">
        <v>4.0</v>
      </c>
      <c r="H46" s="1221">
        <v>2.4</v>
      </c>
      <c r="I46" s="1216">
        <v>145.0</v>
      </c>
      <c r="J46" s="1216">
        <v>115.0</v>
      </c>
      <c r="K46" s="1216">
        <v>34.0</v>
      </c>
      <c r="L46" s="1216">
        <v>60.0</v>
      </c>
      <c r="M46" s="1216">
        <v>115.0</v>
      </c>
      <c r="N46" s="1216">
        <v>60.0</v>
      </c>
      <c r="O46" s="1216"/>
      <c r="P46" s="1216"/>
      <c r="Q46" s="1216"/>
      <c r="R46" s="1216"/>
      <c r="S46" s="1216"/>
      <c r="T46" s="1216"/>
      <c r="U46" s="1216"/>
      <c r="V46" s="1216"/>
      <c r="W46" s="1160"/>
      <c r="X46" s="1160"/>
      <c r="Y46" s="1160"/>
      <c r="Z46" s="1160"/>
      <c r="AA46" s="1160"/>
      <c r="AB46" s="1160"/>
      <c r="AC46" s="1160"/>
      <c r="AD46" s="1160"/>
      <c r="AE46" s="1160"/>
      <c r="AF46" s="1160"/>
      <c r="AG46" s="1160"/>
      <c r="AH46" s="1160"/>
      <c r="AI46" s="1160"/>
      <c r="AJ46" s="1160"/>
      <c r="AK46" s="1160"/>
      <c r="AL46" s="1160"/>
    </row>
    <row r="47" ht="15.0" customHeight="1">
      <c r="A47" s="1209" t="s">
        <v>1930</v>
      </c>
      <c r="B47" s="1209" t="s">
        <v>1935</v>
      </c>
      <c r="C47" s="1210">
        <v>44.0</v>
      </c>
      <c r="D47" s="1215">
        <v>0.0</v>
      </c>
      <c r="E47" s="1160"/>
      <c r="F47" s="1160"/>
      <c r="G47" s="1216">
        <v>5.0</v>
      </c>
      <c r="H47" s="1221">
        <v>2.4</v>
      </c>
      <c r="I47" s="1216">
        <v>145.0</v>
      </c>
      <c r="J47" s="1216">
        <v>115.0</v>
      </c>
      <c r="K47" s="1216">
        <v>34.0</v>
      </c>
      <c r="L47" s="1216">
        <v>60.0</v>
      </c>
      <c r="M47" s="1216">
        <v>115.0</v>
      </c>
      <c r="N47" s="1216">
        <v>60.0</v>
      </c>
      <c r="O47" s="1216"/>
      <c r="P47" s="1216"/>
      <c r="Q47" s="1216"/>
      <c r="R47" s="1216"/>
      <c r="S47" s="1216"/>
      <c r="T47" s="1216"/>
      <c r="U47" s="1216"/>
      <c r="V47" s="1216"/>
      <c r="W47" s="1160"/>
      <c r="X47" s="1160"/>
      <c r="Y47" s="1160"/>
      <c r="Z47" s="1160"/>
      <c r="AA47" s="1160"/>
      <c r="AB47" s="1160"/>
      <c r="AC47" s="1160"/>
      <c r="AD47" s="1160"/>
      <c r="AE47" s="1160"/>
      <c r="AF47" s="1160"/>
      <c r="AG47" s="1160"/>
      <c r="AH47" s="1160"/>
      <c r="AI47" s="1160"/>
      <c r="AJ47" s="1160"/>
      <c r="AK47" s="1160"/>
      <c r="AL47" s="1160"/>
    </row>
    <row r="48" ht="15.0" customHeight="1">
      <c r="A48" s="1209"/>
      <c r="B48" s="1209"/>
      <c r="C48" s="1210"/>
      <c r="D48" s="1215"/>
      <c r="E48" s="1160"/>
      <c r="F48" s="1160"/>
      <c r="G48" s="1216"/>
      <c r="H48" s="1216"/>
      <c r="I48" s="1216"/>
      <c r="J48" s="1216"/>
      <c r="K48" s="1216"/>
      <c r="L48" s="1216"/>
      <c r="M48" s="1216"/>
      <c r="N48" s="1216"/>
      <c r="O48" s="1216"/>
      <c r="P48" s="1216"/>
      <c r="Q48" s="1216"/>
      <c r="R48" s="1216"/>
      <c r="S48" s="1216"/>
      <c r="T48" s="1216"/>
      <c r="U48" s="1216"/>
      <c r="V48" s="1216"/>
      <c r="W48" s="1160"/>
      <c r="X48" s="1160"/>
      <c r="Y48" s="1160"/>
      <c r="Z48" s="1160"/>
      <c r="AA48" s="1160"/>
      <c r="AB48" s="1160"/>
      <c r="AC48" s="1160"/>
      <c r="AD48" s="1160"/>
      <c r="AE48" s="1160"/>
      <c r="AF48" s="1160"/>
      <c r="AG48" s="1160"/>
      <c r="AH48" s="1160"/>
      <c r="AI48" s="1160"/>
      <c r="AJ48" s="1160"/>
      <c r="AK48" s="1160"/>
      <c r="AL48" s="1160"/>
    </row>
    <row r="49" ht="15.0" customHeight="1">
      <c r="A49" s="1209" t="s">
        <v>1889</v>
      </c>
      <c r="B49" s="1209" t="s">
        <v>1936</v>
      </c>
      <c r="C49" s="1210">
        <v>48.0</v>
      </c>
      <c r="D49" s="1215">
        <v>0.0</v>
      </c>
      <c r="E49" s="1160"/>
      <c r="F49" s="1160"/>
      <c r="G49" s="1216">
        <v>5.0</v>
      </c>
      <c r="H49" s="1221">
        <v>6.0</v>
      </c>
      <c r="I49" s="1217">
        <v>500.0</v>
      </c>
      <c r="J49" s="1217">
        <v>360.0</v>
      </c>
      <c r="K49" s="1217">
        <v>120.0</v>
      </c>
      <c r="L49" s="1217">
        <v>120.0</v>
      </c>
      <c r="M49" s="1217">
        <v>450.0</v>
      </c>
      <c r="N49" s="1217">
        <v>18.0</v>
      </c>
      <c r="O49" s="1217">
        <v>18.0</v>
      </c>
      <c r="P49" s="1216"/>
      <c r="Q49" s="1216"/>
      <c r="R49" s="1216"/>
      <c r="S49" s="1216"/>
      <c r="T49" s="1216">
        <v>1.0</v>
      </c>
      <c r="U49" s="1216">
        <v>1.0</v>
      </c>
      <c r="V49" s="1216">
        <v>42.0</v>
      </c>
      <c r="W49" s="1160">
        <v>64.0</v>
      </c>
      <c r="X49" s="1160">
        <v>100.0</v>
      </c>
      <c r="Y49" s="1160">
        <v>100.0</v>
      </c>
      <c r="Z49" s="1160">
        <v>4.0</v>
      </c>
      <c r="AA49" s="1160"/>
      <c r="AB49" s="1160"/>
      <c r="AC49" s="1160"/>
      <c r="AD49" s="1160"/>
      <c r="AE49" s="1160"/>
      <c r="AF49" s="1160"/>
      <c r="AG49" s="1160"/>
      <c r="AH49" s="1160"/>
      <c r="AI49" s="1160"/>
      <c r="AJ49" s="1160"/>
      <c r="AK49" s="1160"/>
      <c r="AL49" s="1160"/>
    </row>
    <row r="50" ht="15.0" customHeight="1">
      <c r="A50" s="1209" t="s">
        <v>1889</v>
      </c>
      <c r="B50" s="1209" t="s">
        <v>1937</v>
      </c>
      <c r="C50" s="1210">
        <v>47.0</v>
      </c>
      <c r="D50" s="1215">
        <v>0.0</v>
      </c>
      <c r="E50" s="1160"/>
      <c r="F50" s="1160"/>
      <c r="G50" s="1216">
        <v>3.0</v>
      </c>
      <c r="H50" s="1221">
        <v>3.0</v>
      </c>
      <c r="I50" s="1217">
        <v>450.0</v>
      </c>
      <c r="J50" s="1217">
        <v>360.0</v>
      </c>
      <c r="K50" s="1217">
        <v>120.0</v>
      </c>
      <c r="L50" s="1217">
        <v>225.0</v>
      </c>
      <c r="M50" s="1217">
        <v>430.0</v>
      </c>
      <c r="N50" s="1217">
        <v>18.0</v>
      </c>
      <c r="O50" s="1217">
        <v>18.0</v>
      </c>
      <c r="P50" s="1216"/>
      <c r="Q50" s="1216"/>
      <c r="R50" s="1216"/>
      <c r="S50" s="1216"/>
      <c r="T50" s="1216">
        <v>1.0</v>
      </c>
      <c r="U50" s="1216">
        <v>1.0</v>
      </c>
      <c r="V50" s="1216">
        <v>42.0</v>
      </c>
      <c r="W50" s="1160">
        <v>64.0</v>
      </c>
      <c r="X50" s="1160">
        <v>82.0</v>
      </c>
      <c r="Y50" s="1160">
        <v>82.0</v>
      </c>
      <c r="Z50" s="1160">
        <v>3.0</v>
      </c>
      <c r="AA50" s="1160"/>
      <c r="AB50" s="1160"/>
      <c r="AC50" s="1160"/>
      <c r="AD50" s="1160"/>
      <c r="AE50" s="1160"/>
      <c r="AF50" s="1160"/>
      <c r="AG50" s="1160"/>
      <c r="AH50" s="1160"/>
      <c r="AI50" s="1160"/>
      <c r="AJ50" s="1160"/>
      <c r="AK50" s="1160"/>
      <c r="AL50" s="1160"/>
    </row>
    <row r="51" ht="15.0" customHeight="1">
      <c r="A51" s="1209" t="s">
        <v>1889</v>
      </c>
      <c r="B51" s="1209" t="s">
        <v>1938</v>
      </c>
      <c r="C51" s="1210">
        <v>46.0</v>
      </c>
      <c r="D51" s="1215">
        <v>0.0</v>
      </c>
      <c r="E51" s="1160"/>
      <c r="F51" s="1160"/>
      <c r="G51" s="1216">
        <v>5.0</v>
      </c>
      <c r="H51" s="1221">
        <v>5.0</v>
      </c>
      <c r="I51" s="1217">
        <v>450.0</v>
      </c>
      <c r="J51" s="1217">
        <v>330.0</v>
      </c>
      <c r="K51" s="1217">
        <v>120.0</v>
      </c>
      <c r="L51" s="1217">
        <v>120.0</v>
      </c>
      <c r="M51" s="1217">
        <v>430.0</v>
      </c>
      <c r="N51" s="1217">
        <v>18.0</v>
      </c>
      <c r="O51" s="1217">
        <v>18.0</v>
      </c>
      <c r="P51" s="1216"/>
      <c r="Q51" s="1216"/>
      <c r="R51" s="1216"/>
      <c r="S51" s="1216"/>
      <c r="T51" s="1216">
        <v>1.0</v>
      </c>
      <c r="U51" s="1216">
        <v>1.0</v>
      </c>
      <c r="V51" s="1216">
        <v>42.0</v>
      </c>
      <c r="W51" s="1160">
        <v>64.0</v>
      </c>
      <c r="X51" s="1160"/>
      <c r="Y51" s="1160"/>
      <c r="Z51" s="1160">
        <v>5.0</v>
      </c>
      <c r="AA51" s="1160"/>
      <c r="AB51" s="1160"/>
      <c r="AC51" s="1160"/>
      <c r="AD51" s="1160"/>
      <c r="AE51" s="1160"/>
      <c r="AF51" s="1160"/>
      <c r="AG51" s="1160"/>
      <c r="AH51" s="1160"/>
      <c r="AI51" s="1160"/>
      <c r="AJ51" s="1160"/>
      <c r="AK51" s="1160"/>
      <c r="AL51" s="1160"/>
    </row>
    <row r="52" ht="15.0" customHeight="1">
      <c r="A52" s="1209" t="s">
        <v>1889</v>
      </c>
      <c r="B52" s="1209" t="s">
        <v>1939</v>
      </c>
      <c r="C52" s="1210">
        <v>50.0</v>
      </c>
      <c r="D52" s="1215">
        <v>0.0</v>
      </c>
      <c r="E52" s="1160"/>
      <c r="F52" s="1160"/>
      <c r="G52" s="1216">
        <v>5.0</v>
      </c>
      <c r="H52" s="1221">
        <v>6.4</v>
      </c>
      <c r="I52" s="1217">
        <v>145.0</v>
      </c>
      <c r="J52" s="1217">
        <v>60.0</v>
      </c>
      <c r="K52" s="1217">
        <v>48.0</v>
      </c>
      <c r="L52" s="1217">
        <v>40.0</v>
      </c>
      <c r="M52" s="1217">
        <v>145.0</v>
      </c>
      <c r="N52" s="1217">
        <v>117.0</v>
      </c>
      <c r="O52" s="1217">
        <v>120.0</v>
      </c>
      <c r="P52" s="1216"/>
      <c r="Q52" s="1216"/>
      <c r="R52" s="1216"/>
      <c r="S52" s="1216"/>
      <c r="T52" s="1216">
        <v>1.0</v>
      </c>
      <c r="U52" s="1216">
        <v>1.0</v>
      </c>
      <c r="V52" s="1216">
        <v>42.0</v>
      </c>
      <c r="W52" s="1160">
        <v>58.0</v>
      </c>
      <c r="X52" s="1160">
        <v>60.0</v>
      </c>
      <c r="Y52" s="1160">
        <v>60.0</v>
      </c>
      <c r="Z52" s="1160">
        <v>5.0</v>
      </c>
      <c r="AA52" s="1160"/>
      <c r="AB52" s="1160"/>
      <c r="AC52" s="1160"/>
      <c r="AD52" s="1160"/>
      <c r="AE52" s="1160"/>
      <c r="AF52" s="1160"/>
      <c r="AG52" s="1160"/>
      <c r="AH52" s="1160"/>
      <c r="AI52" s="1160"/>
      <c r="AJ52" s="1160"/>
      <c r="AK52" s="1160"/>
      <c r="AL52" s="1160"/>
    </row>
    <row r="53" ht="15.0" customHeight="1">
      <c r="A53" s="1209" t="s">
        <v>1889</v>
      </c>
      <c r="B53" s="1209" t="s">
        <v>1940</v>
      </c>
      <c r="C53" s="1210" t="s">
        <v>1941</v>
      </c>
      <c r="D53" s="1215">
        <v>0.0</v>
      </c>
      <c r="E53" s="1160"/>
      <c r="F53" s="1160"/>
      <c r="G53" s="1216">
        <v>5.0</v>
      </c>
      <c r="H53" s="1221">
        <v>6.4</v>
      </c>
      <c r="I53" s="1217">
        <v>105.0</v>
      </c>
      <c r="J53" s="1217">
        <v>48.0</v>
      </c>
      <c r="K53" s="1217">
        <v>36.0</v>
      </c>
      <c r="L53" s="1217">
        <v>36.0</v>
      </c>
      <c r="M53" s="1217">
        <v>105.0</v>
      </c>
      <c r="N53" s="1217">
        <v>50.0</v>
      </c>
      <c r="O53" s="1217">
        <v>50.0</v>
      </c>
      <c r="P53" s="1216"/>
      <c r="Q53" s="1216"/>
      <c r="R53" s="1216"/>
      <c r="S53" s="1216"/>
      <c r="T53" s="1216">
        <v>1.0</v>
      </c>
      <c r="U53" s="1216">
        <v>1.0</v>
      </c>
      <c r="V53" s="1216">
        <v>42.0</v>
      </c>
      <c r="W53" s="1160">
        <v>58.0</v>
      </c>
      <c r="X53" s="1160">
        <v>60.0</v>
      </c>
      <c r="Y53" s="1160">
        <v>60.0</v>
      </c>
      <c r="Z53" s="1160">
        <v>5.0</v>
      </c>
      <c r="AA53" s="1160"/>
      <c r="AB53" s="1160"/>
      <c r="AC53" s="1160"/>
      <c r="AD53" s="1160"/>
      <c r="AE53" s="1160"/>
      <c r="AF53" s="1160"/>
      <c r="AG53" s="1160"/>
      <c r="AH53" s="1160"/>
      <c r="AI53" s="1160"/>
      <c r="AJ53" s="1160"/>
      <c r="AK53" s="1160"/>
      <c r="AL53" s="1160"/>
    </row>
    <row r="54" ht="15.0" customHeight="1">
      <c r="A54" s="1209" t="s">
        <v>1889</v>
      </c>
      <c r="B54" s="1209" t="s">
        <v>1942</v>
      </c>
      <c r="C54" s="1210">
        <v>56.0</v>
      </c>
      <c r="D54" s="1215">
        <v>0.0</v>
      </c>
      <c r="E54" s="1160"/>
      <c r="F54" s="1160"/>
      <c r="G54" s="1216">
        <v>2.0</v>
      </c>
      <c r="H54" s="1216">
        <v>3.0</v>
      </c>
      <c r="I54" s="1216">
        <v>50.0</v>
      </c>
      <c r="J54" s="1216">
        <v>24.0</v>
      </c>
      <c r="K54" s="1216">
        <v>24.0</v>
      </c>
      <c r="L54" s="1216">
        <v>24.0</v>
      </c>
      <c r="M54" s="1216">
        <v>50.0</v>
      </c>
      <c r="N54" s="1216">
        <v>60.0</v>
      </c>
      <c r="O54" s="1216">
        <v>60.0</v>
      </c>
      <c r="P54" s="1216"/>
      <c r="Q54" s="1216"/>
      <c r="R54" s="1216"/>
      <c r="S54" s="1216"/>
      <c r="T54" s="1216">
        <v>2.0</v>
      </c>
      <c r="U54" s="1216">
        <v>1.0</v>
      </c>
      <c r="V54" s="1216">
        <v>24.0</v>
      </c>
      <c r="W54" s="1160">
        <v>24.0</v>
      </c>
      <c r="X54" s="1160">
        <v>60.0</v>
      </c>
      <c r="Y54" s="1160">
        <v>60.0</v>
      </c>
      <c r="Z54" s="1160"/>
      <c r="AA54" s="1160"/>
      <c r="AB54" s="1160"/>
      <c r="AC54" s="1160"/>
      <c r="AD54" s="1160"/>
      <c r="AE54" s="1160"/>
      <c r="AF54" s="1160"/>
      <c r="AG54" s="1160"/>
      <c r="AH54" s="1160"/>
      <c r="AI54" s="1160"/>
      <c r="AJ54" s="1160"/>
      <c r="AK54" s="1160"/>
      <c r="AL54" s="1160"/>
    </row>
    <row r="55" ht="15.0" customHeight="1">
      <c r="A55" s="1209" t="s">
        <v>1889</v>
      </c>
      <c r="B55" s="1209" t="s">
        <v>1943</v>
      </c>
      <c r="C55" s="1210">
        <v>57.0</v>
      </c>
      <c r="D55" s="1215">
        <v>0.0</v>
      </c>
      <c r="E55" s="1160"/>
      <c r="F55" s="1160"/>
      <c r="G55" s="1216">
        <v>3.0</v>
      </c>
      <c r="H55" s="1221">
        <v>3.0</v>
      </c>
      <c r="I55" s="1217">
        <v>100.0</v>
      </c>
      <c r="J55" s="1217">
        <v>60.0</v>
      </c>
      <c r="K55" s="1217">
        <v>30.0</v>
      </c>
      <c r="L55" s="1217">
        <v>30.0</v>
      </c>
      <c r="M55" s="1217">
        <v>80.0</v>
      </c>
      <c r="N55" s="1217">
        <v>40.0</v>
      </c>
      <c r="O55" s="1217">
        <v>40.0</v>
      </c>
      <c r="P55" s="1216"/>
      <c r="Q55" s="1216"/>
      <c r="R55" s="1216"/>
      <c r="S55" s="1216"/>
      <c r="T55" s="1216">
        <v>1.0</v>
      </c>
      <c r="U55" s="1216">
        <v>1.0</v>
      </c>
      <c r="V55" s="1216">
        <v>22.0</v>
      </c>
      <c r="W55" s="1160">
        <v>26.0</v>
      </c>
      <c r="X55" s="1160"/>
      <c r="Y55" s="1160"/>
      <c r="Z55" s="1160">
        <v>1.5</v>
      </c>
      <c r="AA55" s="1160"/>
      <c r="AB55" s="1160"/>
      <c r="AC55" s="1160"/>
      <c r="AD55" s="1160"/>
      <c r="AE55" s="1160"/>
      <c r="AF55" s="1160"/>
      <c r="AG55" s="1160"/>
      <c r="AH55" s="1160"/>
      <c r="AI55" s="1160"/>
      <c r="AJ55" s="1160"/>
      <c r="AK55" s="1160"/>
      <c r="AL55" s="1160"/>
    </row>
    <row r="56" ht="15.0" customHeight="1">
      <c r="A56" s="1209" t="s">
        <v>1889</v>
      </c>
      <c r="B56" s="1209" t="s">
        <v>1944</v>
      </c>
      <c r="C56" s="1210">
        <v>23.0</v>
      </c>
      <c r="D56" s="1215">
        <v>0.0</v>
      </c>
      <c r="E56" s="1160"/>
      <c r="F56" s="1160"/>
      <c r="G56" s="1216">
        <v>30.0</v>
      </c>
      <c r="H56" s="1216">
        <v>33.0</v>
      </c>
      <c r="I56" s="1216">
        <v>1000.0</v>
      </c>
      <c r="J56" s="1216">
        <v>600.0</v>
      </c>
      <c r="K56" s="1216">
        <v>200.0</v>
      </c>
      <c r="L56" s="1216">
        <v>450.0</v>
      </c>
      <c r="M56" s="1216">
        <v>800.0</v>
      </c>
      <c r="N56" s="1216">
        <v>34.0</v>
      </c>
      <c r="O56" s="1216"/>
      <c r="P56" s="1216"/>
      <c r="Q56" s="1216"/>
      <c r="R56" s="1216"/>
      <c r="S56" s="1216"/>
      <c r="T56" s="1216">
        <v>2.0</v>
      </c>
      <c r="U56" s="1216">
        <v>8.0</v>
      </c>
      <c r="V56" s="1216"/>
      <c r="W56" s="1160"/>
      <c r="X56" s="1160"/>
      <c r="Y56" s="1160"/>
      <c r="Z56" s="1160"/>
      <c r="AA56" s="1160"/>
      <c r="AB56" s="1160"/>
      <c r="AC56" s="1160"/>
      <c r="AD56" s="1160"/>
      <c r="AE56" s="1160"/>
      <c r="AF56" s="1160"/>
      <c r="AG56" s="1160"/>
      <c r="AH56" s="1160"/>
      <c r="AI56" s="1160"/>
      <c r="AJ56" s="1160"/>
      <c r="AK56" s="1160"/>
      <c r="AL56" s="1160"/>
    </row>
    <row r="57" ht="15.0" customHeight="1">
      <c r="A57" s="1209" t="s">
        <v>1889</v>
      </c>
      <c r="B57" s="1209" t="s">
        <v>1945</v>
      </c>
      <c r="C57" s="1210">
        <v>61.0</v>
      </c>
      <c r="D57" s="1215">
        <v>0.0</v>
      </c>
      <c r="E57" s="1160"/>
      <c r="F57" s="1160"/>
      <c r="G57" s="1216">
        <v>5.0</v>
      </c>
      <c r="H57" s="1221">
        <v>5.0</v>
      </c>
      <c r="I57" s="1217">
        <v>500.0</v>
      </c>
      <c r="J57" s="1217">
        <v>350.0</v>
      </c>
      <c r="K57" s="1217">
        <v>120.0</v>
      </c>
      <c r="L57" s="1217">
        <v>120.0</v>
      </c>
      <c r="M57" s="1217">
        <v>450.0</v>
      </c>
      <c r="N57" s="1217">
        <v>18.0</v>
      </c>
      <c r="O57" s="1217">
        <v>18.0</v>
      </c>
      <c r="P57" s="1216"/>
      <c r="Q57" s="1216"/>
      <c r="R57" s="1216"/>
      <c r="S57" s="1216"/>
      <c r="T57" s="1216">
        <v>1.0</v>
      </c>
      <c r="U57" s="1216">
        <v>2.0</v>
      </c>
      <c r="V57" s="1216">
        <v>42.0</v>
      </c>
      <c r="W57" s="1160">
        <v>58.0</v>
      </c>
      <c r="X57" s="1160"/>
      <c r="Y57" s="1160"/>
      <c r="Z57" s="1160">
        <v>3.8</v>
      </c>
      <c r="AA57" s="1160"/>
      <c r="AB57" s="1160"/>
      <c r="AC57" s="1160"/>
      <c r="AD57" s="1160"/>
      <c r="AE57" s="1160"/>
      <c r="AF57" s="1160"/>
      <c r="AG57" s="1160"/>
      <c r="AH57" s="1160"/>
      <c r="AI57" s="1160"/>
      <c r="AJ57" s="1160"/>
      <c r="AK57" s="1160"/>
      <c r="AL57" s="1160"/>
    </row>
    <row r="58" ht="15.0" customHeight="1">
      <c r="A58" s="1209" t="s">
        <v>1889</v>
      </c>
      <c r="B58" s="1209" t="s">
        <v>1946</v>
      </c>
      <c r="C58" s="1210" t="s">
        <v>1947</v>
      </c>
      <c r="D58" s="1215">
        <v>0.0</v>
      </c>
      <c r="E58" s="1160"/>
      <c r="F58" s="1160"/>
      <c r="G58" s="1216">
        <v>10.0</v>
      </c>
      <c r="H58" s="1221">
        <v>11.0</v>
      </c>
      <c r="I58" s="1217">
        <v>500.0</v>
      </c>
      <c r="J58" s="1217">
        <v>350.0</v>
      </c>
      <c r="K58" s="1217">
        <v>110.0</v>
      </c>
      <c r="L58" s="1217">
        <v>90.0</v>
      </c>
      <c r="M58" s="1217">
        <v>450.0</v>
      </c>
      <c r="N58" s="1217">
        <v>12.0</v>
      </c>
      <c r="O58" s="1217">
        <v>12.0</v>
      </c>
      <c r="P58" s="1216"/>
      <c r="Q58" s="1216"/>
      <c r="R58" s="1216"/>
      <c r="S58" s="1216"/>
      <c r="T58" s="1216">
        <v>2.0</v>
      </c>
      <c r="U58" s="1216">
        <v>2.0</v>
      </c>
      <c r="V58" s="1216">
        <v>42.0</v>
      </c>
      <c r="W58" s="1160">
        <v>58.0</v>
      </c>
      <c r="X58" s="1160">
        <v>120.0</v>
      </c>
      <c r="Y58" s="1160">
        <v>120.0</v>
      </c>
      <c r="Z58" s="1160">
        <v>11.0</v>
      </c>
      <c r="AA58" s="1160"/>
      <c r="AB58" s="1160"/>
      <c r="AC58" s="1160"/>
      <c r="AD58" s="1160"/>
      <c r="AE58" s="1160"/>
      <c r="AF58" s="1160"/>
      <c r="AG58" s="1160"/>
      <c r="AH58" s="1160"/>
      <c r="AI58" s="1160"/>
      <c r="AJ58" s="1160"/>
      <c r="AK58" s="1160"/>
      <c r="AL58" s="1160"/>
    </row>
    <row r="59" ht="15.0" customHeight="1">
      <c r="A59" s="1209" t="s">
        <v>1889</v>
      </c>
      <c r="B59" s="1209" t="s">
        <v>1948</v>
      </c>
      <c r="C59" s="1210">
        <v>62.0</v>
      </c>
      <c r="D59" s="1215">
        <v>0.0</v>
      </c>
      <c r="E59" s="1160"/>
      <c r="F59" s="1160"/>
      <c r="G59" s="1216">
        <v>10.0</v>
      </c>
      <c r="H59" s="1221">
        <v>10.0</v>
      </c>
      <c r="I59" s="1217">
        <v>1000.0</v>
      </c>
      <c r="J59" s="1217">
        <v>610.0</v>
      </c>
      <c r="K59" s="1217">
        <v>370.0</v>
      </c>
      <c r="L59" s="1217">
        <v>370.0</v>
      </c>
      <c r="M59" s="1217">
        <v>800.0</v>
      </c>
      <c r="N59" s="1222">
        <v>45217.0</v>
      </c>
      <c r="O59" s="1217" t="s">
        <v>1949</v>
      </c>
      <c r="P59" s="1216"/>
      <c r="Q59" s="1216"/>
      <c r="R59" s="1216"/>
      <c r="S59" s="1216"/>
      <c r="T59" s="1216">
        <v>2.0</v>
      </c>
      <c r="U59" s="1216">
        <v>2.0</v>
      </c>
      <c r="V59" s="1216"/>
      <c r="W59" s="1160"/>
      <c r="X59" s="1160"/>
      <c r="Y59" s="1160"/>
      <c r="Z59" s="1160"/>
      <c r="AA59" s="1160"/>
      <c r="AB59" s="1160"/>
      <c r="AC59" s="1160"/>
      <c r="AD59" s="1160"/>
      <c r="AE59" s="1160"/>
      <c r="AF59" s="1160"/>
      <c r="AG59" s="1160"/>
      <c r="AH59" s="1160"/>
      <c r="AI59" s="1160"/>
      <c r="AJ59" s="1160"/>
      <c r="AK59" s="1160"/>
      <c r="AL59" s="1160"/>
    </row>
    <row r="60" ht="15.0" customHeight="1">
      <c r="A60" s="1209" t="s">
        <v>1889</v>
      </c>
      <c r="B60" s="1209" t="s">
        <v>1950</v>
      </c>
      <c r="C60" s="1210" t="s">
        <v>1951</v>
      </c>
      <c r="D60" s="1215">
        <v>0.0</v>
      </c>
      <c r="E60" s="1160"/>
      <c r="F60" s="1160"/>
      <c r="G60" s="1216">
        <v>5.0</v>
      </c>
      <c r="H60" s="1216">
        <v>3.2</v>
      </c>
      <c r="I60" s="1217">
        <v>150.0</v>
      </c>
      <c r="J60" s="1217">
        <v>120.0</v>
      </c>
      <c r="K60" s="1217">
        <v>65.0</v>
      </c>
      <c r="L60" s="1217">
        <v>65.0</v>
      </c>
      <c r="M60" s="1217">
        <v>150.0</v>
      </c>
      <c r="N60" s="1217">
        <v>30.0</v>
      </c>
      <c r="O60" s="1217">
        <v>30.0</v>
      </c>
      <c r="P60" s="1216"/>
      <c r="Q60" s="1216"/>
      <c r="R60" s="1216"/>
      <c r="S60" s="1216"/>
      <c r="T60" s="1216">
        <v>1.0</v>
      </c>
      <c r="U60" s="1216">
        <v>1.0</v>
      </c>
      <c r="V60" s="1216">
        <v>42.0</v>
      </c>
      <c r="W60" s="1160">
        <v>58.0</v>
      </c>
      <c r="X60" s="1160">
        <v>60.0</v>
      </c>
      <c r="Y60" s="1160">
        <v>60.0</v>
      </c>
      <c r="Z60" s="1160">
        <v>3.2</v>
      </c>
      <c r="AA60" s="1160"/>
      <c r="AB60" s="1160"/>
      <c r="AC60" s="1160"/>
      <c r="AD60" s="1160"/>
      <c r="AE60" s="1160"/>
      <c r="AF60" s="1160"/>
      <c r="AG60" s="1160"/>
      <c r="AH60" s="1160"/>
      <c r="AI60" s="1160"/>
      <c r="AJ60" s="1160"/>
      <c r="AK60" s="1160"/>
      <c r="AL60" s="1160"/>
    </row>
    <row r="61" ht="15.0" customHeight="1">
      <c r="A61" s="1209" t="s">
        <v>1889</v>
      </c>
      <c r="B61" s="1209" t="s">
        <v>1952</v>
      </c>
      <c r="C61" s="1210">
        <v>73.0</v>
      </c>
      <c r="D61" s="1215">
        <v>0.0</v>
      </c>
      <c r="E61" s="1160"/>
      <c r="F61" s="1160"/>
      <c r="G61" s="1216">
        <v>20.0</v>
      </c>
      <c r="H61" s="1216">
        <v>20.0</v>
      </c>
      <c r="I61" s="1216">
        <v>1000.0</v>
      </c>
      <c r="J61" s="1216">
        <v>650.0</v>
      </c>
      <c r="K61" s="1216">
        <v>135.0</v>
      </c>
      <c r="L61" s="1216">
        <v>200.0</v>
      </c>
      <c r="M61" s="1216">
        <v>950.0</v>
      </c>
      <c r="N61" s="1216">
        <v>30.0</v>
      </c>
      <c r="O61" s="1216">
        <v>40.0</v>
      </c>
      <c r="P61" s="1216"/>
      <c r="Q61" s="1216"/>
      <c r="R61" s="1216"/>
      <c r="S61" s="1216"/>
      <c r="T61" s="1216">
        <v>2.0</v>
      </c>
      <c r="U61" s="1216">
        <v>4.0</v>
      </c>
      <c r="V61" s="1216">
        <v>135.0</v>
      </c>
      <c r="W61" s="1160">
        <v>750.0</v>
      </c>
      <c r="X61" s="1160">
        <v>40.0</v>
      </c>
      <c r="Y61" s="1160">
        <v>40.0</v>
      </c>
      <c r="Z61" s="1160"/>
      <c r="AA61" s="1160"/>
      <c r="AB61" s="1160"/>
      <c r="AC61" s="1160"/>
      <c r="AD61" s="1160"/>
      <c r="AE61" s="1160"/>
      <c r="AF61" s="1160"/>
      <c r="AG61" s="1160"/>
      <c r="AH61" s="1160"/>
      <c r="AI61" s="1160"/>
      <c r="AJ61" s="1160"/>
      <c r="AK61" s="1160"/>
      <c r="AL61" s="1160"/>
    </row>
    <row r="62" ht="15.0" customHeight="1">
      <c r="A62" s="1209"/>
      <c r="B62" s="1209"/>
      <c r="C62" s="1210"/>
      <c r="D62" s="1215"/>
      <c r="E62" s="1160"/>
      <c r="F62" s="1160"/>
      <c r="G62" s="1216"/>
      <c r="H62" s="1216"/>
      <c r="I62" s="1216"/>
      <c r="J62" s="1216"/>
      <c r="K62" s="1216"/>
      <c r="L62" s="1216"/>
      <c r="M62" s="1216"/>
      <c r="N62" s="1216"/>
      <c r="O62" s="1216"/>
      <c r="P62" s="1216"/>
      <c r="Q62" s="1216"/>
      <c r="R62" s="1216"/>
      <c r="S62" s="1216"/>
      <c r="T62" s="1216"/>
      <c r="U62" s="1216"/>
      <c r="V62" s="1216"/>
      <c r="W62" s="1160"/>
      <c r="X62" s="1160"/>
      <c r="Y62" s="1160"/>
      <c r="Z62" s="1160"/>
      <c r="AA62" s="1160"/>
      <c r="AB62" s="1160"/>
      <c r="AC62" s="1160"/>
      <c r="AD62" s="1160"/>
      <c r="AE62" s="1160"/>
      <c r="AF62" s="1160"/>
      <c r="AG62" s="1160"/>
      <c r="AH62" s="1160"/>
      <c r="AI62" s="1160"/>
      <c r="AJ62" s="1160"/>
      <c r="AK62" s="1160"/>
      <c r="AL62" s="1160"/>
    </row>
    <row r="63" ht="15.0" customHeight="1">
      <c r="A63" s="1209" t="s">
        <v>1889</v>
      </c>
      <c r="B63" s="1209" t="s">
        <v>1953</v>
      </c>
      <c r="C63" s="1210">
        <v>53.0</v>
      </c>
      <c r="D63" s="1215">
        <v>0.0</v>
      </c>
      <c r="E63" s="1160"/>
      <c r="F63" s="1160"/>
      <c r="G63" s="1216">
        <v>5.0</v>
      </c>
      <c r="H63" s="1221">
        <v>7.5</v>
      </c>
      <c r="I63" s="1217">
        <v>550.0</v>
      </c>
      <c r="J63" s="1217">
        <v>360.0</v>
      </c>
      <c r="K63" s="1217">
        <v>100.0</v>
      </c>
      <c r="L63" s="1217">
        <v>80.0</v>
      </c>
      <c r="M63" s="1217">
        <v>500.0</v>
      </c>
      <c r="N63" s="1217">
        <v>18.5</v>
      </c>
      <c r="O63" s="1217">
        <v>26.0</v>
      </c>
      <c r="P63" s="1216"/>
      <c r="Q63" s="1216"/>
      <c r="R63" s="1216"/>
      <c r="S63" s="1216"/>
      <c r="T63" s="1216">
        <v>2.0</v>
      </c>
      <c r="U63" s="1216">
        <v>2.0</v>
      </c>
      <c r="V63" s="1216">
        <v>42.0</v>
      </c>
      <c r="W63" s="1160">
        <v>58.0</v>
      </c>
      <c r="X63" s="1160"/>
      <c r="Y63" s="1160"/>
      <c r="Z63" s="1160">
        <v>5.0</v>
      </c>
      <c r="AA63" s="1160"/>
      <c r="AB63" s="1160"/>
      <c r="AC63" s="1160"/>
      <c r="AD63" s="1160"/>
      <c r="AE63" s="1160"/>
      <c r="AF63" s="1160"/>
      <c r="AG63" s="1160"/>
      <c r="AH63" s="1160"/>
      <c r="AI63" s="1160"/>
      <c r="AJ63" s="1160"/>
      <c r="AK63" s="1160"/>
      <c r="AL63" s="1160"/>
    </row>
    <row r="64" ht="15.0" customHeight="1">
      <c r="A64" s="1209"/>
      <c r="B64" s="1209"/>
      <c r="C64" s="1210"/>
      <c r="D64" s="1215"/>
      <c r="E64" s="1160"/>
      <c r="F64" s="1160"/>
      <c r="G64" s="1216"/>
      <c r="H64" s="1216"/>
      <c r="I64" s="1216"/>
      <c r="J64" s="1216"/>
      <c r="K64" s="1216"/>
      <c r="L64" s="1216"/>
      <c r="M64" s="1216"/>
      <c r="N64" s="1216"/>
      <c r="O64" s="1216"/>
      <c r="P64" s="1216"/>
      <c r="Q64" s="1216"/>
      <c r="R64" s="1216"/>
      <c r="S64" s="1216"/>
      <c r="T64" s="1216"/>
      <c r="U64" s="1216"/>
      <c r="V64" s="1216"/>
      <c r="W64" s="1160"/>
      <c r="X64" s="1160"/>
      <c r="Y64" s="1160"/>
      <c r="Z64" s="1160"/>
      <c r="AA64" s="1160"/>
      <c r="AB64" s="1160"/>
      <c r="AC64" s="1160"/>
      <c r="AD64" s="1160"/>
      <c r="AE64" s="1160"/>
      <c r="AF64" s="1160"/>
      <c r="AG64" s="1160"/>
      <c r="AH64" s="1160"/>
      <c r="AI64" s="1160"/>
      <c r="AJ64" s="1160"/>
      <c r="AK64" s="1160"/>
      <c r="AL64" s="1160"/>
    </row>
    <row r="65" ht="15.0" customHeight="1">
      <c r="A65" s="1209"/>
      <c r="B65" s="1209"/>
      <c r="C65" s="1210"/>
      <c r="D65" s="1215"/>
      <c r="E65" s="1160"/>
      <c r="F65" s="1160"/>
      <c r="G65" s="1216"/>
      <c r="H65" s="1216"/>
      <c r="I65" s="1216"/>
      <c r="J65" s="1216"/>
      <c r="K65" s="1216"/>
      <c r="L65" s="1216"/>
      <c r="M65" s="1216"/>
      <c r="N65" s="1216"/>
      <c r="O65" s="1216"/>
      <c r="P65" s="1216"/>
      <c r="Q65" s="1216"/>
      <c r="R65" s="1216"/>
      <c r="S65" s="1216"/>
      <c r="T65" s="1216"/>
      <c r="U65" s="1216"/>
      <c r="V65" s="1216"/>
      <c r="W65" s="1160"/>
      <c r="X65" s="1160"/>
      <c r="Y65" s="1160"/>
      <c r="Z65" s="1160"/>
      <c r="AA65" s="1160"/>
      <c r="AB65" s="1160"/>
      <c r="AC65" s="1160"/>
      <c r="AD65" s="1160"/>
      <c r="AE65" s="1160"/>
      <c r="AF65" s="1160"/>
      <c r="AG65" s="1160"/>
      <c r="AH65" s="1160"/>
      <c r="AI65" s="1160"/>
      <c r="AJ65" s="1160"/>
      <c r="AK65" s="1160"/>
      <c r="AL65" s="1160"/>
    </row>
    <row r="66" ht="15.0" customHeight="1">
      <c r="A66" s="1209"/>
      <c r="B66" s="1209"/>
      <c r="C66" s="1210"/>
      <c r="D66" s="1215"/>
      <c r="E66" s="1160"/>
      <c r="F66" s="1160"/>
      <c r="G66" s="1216"/>
      <c r="H66" s="1216"/>
      <c r="I66" s="1216"/>
      <c r="J66" s="1216"/>
      <c r="K66" s="1216"/>
      <c r="L66" s="1216"/>
      <c r="M66" s="1216"/>
      <c r="N66" s="1216"/>
      <c r="O66" s="1216"/>
      <c r="P66" s="1216"/>
      <c r="Q66" s="1216"/>
      <c r="R66" s="1216"/>
      <c r="S66" s="1216"/>
      <c r="T66" s="1216"/>
      <c r="U66" s="1216"/>
      <c r="V66" s="1216"/>
      <c r="W66" s="1160"/>
      <c r="X66" s="1160"/>
      <c r="Y66" s="1160"/>
      <c r="Z66" s="1160"/>
      <c r="AA66" s="1160"/>
      <c r="AB66" s="1160"/>
      <c r="AC66" s="1160"/>
      <c r="AD66" s="1160"/>
      <c r="AE66" s="1160"/>
      <c r="AF66" s="1160"/>
      <c r="AG66" s="1160"/>
      <c r="AH66" s="1160"/>
      <c r="AI66" s="1160"/>
      <c r="AJ66" s="1160"/>
      <c r="AK66" s="1160"/>
      <c r="AL66" s="1160"/>
    </row>
    <row r="67" ht="15.0" customHeight="1">
      <c r="A67" s="1209" t="s">
        <v>1889</v>
      </c>
      <c r="B67" s="1209" t="s">
        <v>1954</v>
      </c>
      <c r="C67" s="1210">
        <v>45.0</v>
      </c>
      <c r="D67" s="1215">
        <v>0.0</v>
      </c>
      <c r="E67" s="1160"/>
      <c r="F67" s="1160"/>
      <c r="G67" s="1216">
        <v>5.0</v>
      </c>
      <c r="H67" s="1221">
        <v>6.4</v>
      </c>
      <c r="I67" s="1217">
        <v>480.0</v>
      </c>
      <c r="J67" s="1217">
        <v>330.0</v>
      </c>
      <c r="K67" s="1217">
        <v>100.0</v>
      </c>
      <c r="L67" s="1217">
        <v>100.0</v>
      </c>
      <c r="M67" s="1217">
        <v>385.0</v>
      </c>
      <c r="N67" s="1217">
        <v>13.0</v>
      </c>
      <c r="O67" s="1217">
        <v>20.0</v>
      </c>
      <c r="P67" s="1216"/>
      <c r="Q67" s="1216"/>
      <c r="R67" s="1216"/>
      <c r="S67" s="1216"/>
      <c r="T67" s="1216">
        <v>2.0</v>
      </c>
      <c r="U67" s="1216">
        <v>2.0</v>
      </c>
      <c r="V67" s="1216">
        <v>42.0</v>
      </c>
      <c r="W67" s="1160">
        <v>58.0</v>
      </c>
      <c r="X67" s="1160"/>
      <c r="Y67" s="1160"/>
      <c r="Z67" s="1160">
        <v>5.0</v>
      </c>
      <c r="AA67" s="1160"/>
      <c r="AB67" s="1160"/>
      <c r="AC67" s="1160"/>
      <c r="AD67" s="1160"/>
      <c r="AE67" s="1160"/>
      <c r="AF67" s="1160"/>
      <c r="AG67" s="1160"/>
      <c r="AH67" s="1160"/>
      <c r="AI67" s="1160"/>
      <c r="AJ67" s="1160"/>
      <c r="AK67" s="1160"/>
      <c r="AL67" s="1160"/>
    </row>
    <row r="68" ht="15.0" customHeight="1">
      <c r="A68" s="1209"/>
      <c r="B68" s="1209"/>
      <c r="C68" s="1210"/>
      <c r="D68" s="1215"/>
      <c r="E68" s="1160"/>
      <c r="F68" s="1160"/>
      <c r="G68" s="1216"/>
      <c r="H68" s="1216"/>
      <c r="I68" s="1216"/>
      <c r="J68" s="1216"/>
      <c r="K68" s="1216"/>
      <c r="L68" s="1216"/>
      <c r="M68" s="1216"/>
      <c r="N68" s="1216"/>
      <c r="O68" s="1216"/>
      <c r="P68" s="1216"/>
      <c r="Q68" s="1216"/>
      <c r="R68" s="1216"/>
      <c r="S68" s="1216"/>
      <c r="T68" s="1216"/>
      <c r="U68" s="1216"/>
      <c r="V68" s="1216"/>
      <c r="W68" s="1160"/>
      <c r="X68" s="1160"/>
      <c r="Y68" s="1160"/>
      <c r="Z68" s="1160"/>
      <c r="AA68" s="1160"/>
      <c r="AB68" s="1160"/>
      <c r="AC68" s="1160"/>
      <c r="AD68" s="1160"/>
      <c r="AE68" s="1160"/>
      <c r="AF68" s="1160"/>
      <c r="AG68" s="1160"/>
      <c r="AH68" s="1160"/>
      <c r="AI68" s="1160"/>
      <c r="AJ68" s="1160"/>
      <c r="AK68" s="1160"/>
      <c r="AL68" s="1160"/>
    </row>
    <row r="69" ht="15.0" customHeight="1">
      <c r="A69" s="1209" t="s">
        <v>1889</v>
      </c>
      <c r="B69" s="1223" t="s">
        <v>1955</v>
      </c>
      <c r="C69" s="1210"/>
      <c r="D69" s="1215">
        <v>0.0</v>
      </c>
      <c r="E69" s="1160"/>
      <c r="F69" s="1160"/>
      <c r="G69" s="1224">
        <v>15.0</v>
      </c>
      <c r="H69" s="1225">
        <v>22.5</v>
      </c>
      <c r="I69" s="1216">
        <v>800.0</v>
      </c>
      <c r="J69" s="1216">
        <v>550.0</v>
      </c>
      <c r="K69" s="1224">
        <v>160.0</v>
      </c>
      <c r="L69" s="1224">
        <v>160.0</v>
      </c>
      <c r="M69" s="1216">
        <v>650.0</v>
      </c>
      <c r="N69" s="1224">
        <v>18.0</v>
      </c>
      <c r="O69" s="1224">
        <v>27.0</v>
      </c>
      <c r="P69" s="1224">
        <v>18.0</v>
      </c>
      <c r="Q69" s="1224">
        <v>27.0</v>
      </c>
      <c r="R69" s="1224">
        <v>20.0</v>
      </c>
      <c r="S69" s="1224">
        <v>30.0</v>
      </c>
      <c r="T69" s="1224">
        <v>2.0</v>
      </c>
      <c r="U69" s="1224" t="s">
        <v>1956</v>
      </c>
      <c r="V69" s="1216">
        <v>42.0</v>
      </c>
      <c r="W69" s="1160">
        <v>58.0</v>
      </c>
      <c r="X69" s="1160">
        <v>240.0</v>
      </c>
      <c r="Y69" s="1160">
        <v>240.0</v>
      </c>
      <c r="Z69" s="1160">
        <v>11.5</v>
      </c>
      <c r="AA69" s="1160"/>
      <c r="AB69" s="1160"/>
      <c r="AC69" s="1160"/>
      <c r="AD69" s="1160"/>
      <c r="AE69" s="1160"/>
      <c r="AF69" s="1160"/>
      <c r="AG69" s="1160"/>
      <c r="AH69" s="1160"/>
      <c r="AI69" s="1160"/>
      <c r="AJ69" s="1160"/>
      <c r="AK69" s="1160"/>
      <c r="AL69" s="1160"/>
    </row>
    <row r="70" ht="15.0" customHeight="1">
      <c r="A70" s="428" t="s">
        <v>1889</v>
      </c>
      <c r="B70" s="428" t="s">
        <v>1957</v>
      </c>
      <c r="C70" s="1226">
        <v>71.0</v>
      </c>
      <c r="D70" s="1227">
        <v>0.0</v>
      </c>
      <c r="E70" s="1228"/>
      <c r="F70" s="1228"/>
      <c r="G70" s="1229">
        <v>15.0</v>
      </c>
      <c r="H70" s="1229">
        <v>16.5</v>
      </c>
      <c r="I70" s="1229">
        <v>1000.0</v>
      </c>
      <c r="J70" s="1229">
        <v>600.0</v>
      </c>
      <c r="K70" s="1229">
        <v>180.0</v>
      </c>
      <c r="L70" s="1229">
        <v>150.0</v>
      </c>
      <c r="M70" s="1229">
        <v>850.0</v>
      </c>
      <c r="N70" s="1229">
        <v>26.0</v>
      </c>
      <c r="O70" s="1229">
        <v>39.0</v>
      </c>
      <c r="P70" s="1229">
        <v>20.0</v>
      </c>
      <c r="Q70" s="1229">
        <v>30.0</v>
      </c>
      <c r="R70" s="1230"/>
      <c r="S70" s="1230"/>
      <c r="T70" s="1229">
        <v>2.0</v>
      </c>
      <c r="U70" s="1229">
        <v>3.0</v>
      </c>
      <c r="V70" s="1229">
        <v>160.0</v>
      </c>
      <c r="W70" s="1231">
        <v>700.0</v>
      </c>
      <c r="X70" s="1231">
        <v>37.0</v>
      </c>
      <c r="Y70" s="1231">
        <v>37.0</v>
      </c>
      <c r="Z70" s="1231">
        <v>15.0</v>
      </c>
      <c r="AA70" s="1228"/>
      <c r="AB70" s="1228"/>
      <c r="AC70" s="1228"/>
      <c r="AD70" s="1228"/>
      <c r="AE70" s="1228"/>
      <c r="AF70" s="1228"/>
      <c r="AG70" s="1228"/>
      <c r="AH70" s="1228"/>
      <c r="AI70" s="1228"/>
      <c r="AJ70" s="1228"/>
      <c r="AK70" s="1228"/>
      <c r="AL70" s="1228"/>
    </row>
    <row r="71" ht="15.0" customHeight="1">
      <c r="A71" s="1209" t="s">
        <v>1889</v>
      </c>
      <c r="B71" s="1209" t="s">
        <v>1958</v>
      </c>
      <c r="C71" s="1210">
        <v>77.0</v>
      </c>
      <c r="D71" s="1215">
        <v>0.0</v>
      </c>
      <c r="E71" s="1160"/>
      <c r="F71" s="1160"/>
      <c r="G71" s="1216">
        <v>30.0</v>
      </c>
      <c r="H71" s="1216">
        <v>39.0</v>
      </c>
      <c r="I71" s="1216">
        <v>1000.0</v>
      </c>
      <c r="J71" s="1216">
        <v>600.0</v>
      </c>
      <c r="K71" s="1216">
        <v>180.0</v>
      </c>
      <c r="L71" s="1216">
        <v>150.0</v>
      </c>
      <c r="M71" s="1216">
        <v>850.0</v>
      </c>
      <c r="N71" s="1216">
        <v>36.0</v>
      </c>
      <c r="O71" s="1216">
        <v>55.0</v>
      </c>
      <c r="P71" s="1216"/>
      <c r="Q71" s="1216"/>
      <c r="R71" s="1216"/>
      <c r="S71" s="1216"/>
      <c r="T71" s="1216">
        <v>3.0</v>
      </c>
      <c r="U71" s="1216">
        <v>6.0</v>
      </c>
      <c r="V71" s="1216">
        <v>160.0</v>
      </c>
      <c r="W71" s="1160">
        <v>800.0</v>
      </c>
      <c r="X71" s="1160"/>
      <c r="Y71" s="1160"/>
      <c r="Z71" s="1160"/>
      <c r="AA71" s="1160"/>
      <c r="AB71" s="1160"/>
      <c r="AC71" s="1160"/>
      <c r="AD71" s="1160"/>
      <c r="AE71" s="1160"/>
      <c r="AF71" s="1160"/>
      <c r="AG71" s="1160"/>
      <c r="AH71" s="1160"/>
      <c r="AI71" s="1160"/>
      <c r="AJ71" s="1160"/>
      <c r="AK71" s="1160"/>
      <c r="AL71" s="1160"/>
    </row>
    <row r="72" ht="15.0" customHeight="1">
      <c r="A72" s="1209" t="s">
        <v>1889</v>
      </c>
      <c r="B72" s="1209" t="s">
        <v>1959</v>
      </c>
      <c r="C72" s="1210">
        <v>76.0</v>
      </c>
      <c r="D72" s="1215">
        <v>0.0</v>
      </c>
      <c r="E72" s="1160"/>
      <c r="F72" s="1160"/>
      <c r="G72" s="1216">
        <v>50.0</v>
      </c>
      <c r="H72" s="1216">
        <v>65.0</v>
      </c>
      <c r="I72" s="1216">
        <v>1000.0</v>
      </c>
      <c r="J72" s="1216">
        <v>600.0</v>
      </c>
      <c r="K72" s="1216">
        <v>180.0</v>
      </c>
      <c r="L72" s="1216">
        <v>150.0</v>
      </c>
      <c r="M72" s="1216">
        <v>850.0</v>
      </c>
      <c r="N72" s="1216">
        <v>36.0</v>
      </c>
      <c r="O72" s="1216">
        <v>55.0</v>
      </c>
      <c r="P72" s="1216"/>
      <c r="Q72" s="1216"/>
      <c r="R72" s="1216"/>
      <c r="S72" s="1216"/>
      <c r="T72" s="1216">
        <v>4.0</v>
      </c>
      <c r="U72" s="1216">
        <v>8.0</v>
      </c>
      <c r="V72" s="1216">
        <v>160.0</v>
      </c>
      <c r="W72" s="1160">
        <v>800.0</v>
      </c>
      <c r="X72" s="1160"/>
      <c r="Y72" s="1160"/>
      <c r="Z72" s="1160"/>
      <c r="AA72" s="1160"/>
      <c r="AB72" s="1160"/>
      <c r="AC72" s="1160"/>
      <c r="AD72" s="1160"/>
      <c r="AE72" s="1160"/>
      <c r="AF72" s="1160"/>
      <c r="AG72" s="1160"/>
      <c r="AH72" s="1160"/>
      <c r="AI72" s="1160"/>
      <c r="AJ72" s="1160"/>
      <c r="AK72" s="1160"/>
      <c r="AL72" s="1160"/>
    </row>
    <row r="73" ht="15.0" customHeight="1">
      <c r="A73" s="1209" t="s">
        <v>1889</v>
      </c>
      <c r="B73" s="1209" t="s">
        <v>1960</v>
      </c>
      <c r="C73" s="1210" t="s">
        <v>1961</v>
      </c>
      <c r="D73" s="1215">
        <v>0.0</v>
      </c>
      <c r="E73" s="1160"/>
      <c r="F73" s="1160"/>
      <c r="G73" s="1216">
        <v>80.0</v>
      </c>
      <c r="H73" s="1216">
        <v>104.0</v>
      </c>
      <c r="I73" s="1216">
        <v>1000.0</v>
      </c>
      <c r="J73" s="1216">
        <v>600.0</v>
      </c>
      <c r="K73" s="1216">
        <v>250.0</v>
      </c>
      <c r="L73" s="1216">
        <v>200.0</v>
      </c>
      <c r="M73" s="1216">
        <v>850.0</v>
      </c>
      <c r="N73" s="1216">
        <v>40.0</v>
      </c>
      <c r="O73" s="1216">
        <v>60.0</v>
      </c>
      <c r="P73" s="1216"/>
      <c r="Q73" s="1216"/>
      <c r="R73" s="1216"/>
      <c r="S73" s="1216"/>
      <c r="T73" s="1216">
        <v>4.0</v>
      </c>
      <c r="U73" s="1216">
        <v>16.0</v>
      </c>
      <c r="V73" s="1216"/>
      <c r="W73" s="1160"/>
      <c r="X73" s="1160"/>
      <c r="Y73" s="1160"/>
      <c r="Z73" s="1160"/>
      <c r="AA73" s="1160"/>
      <c r="AB73" s="1160"/>
      <c r="AC73" s="1160"/>
      <c r="AD73" s="1160"/>
      <c r="AE73" s="1160"/>
      <c r="AF73" s="1160"/>
      <c r="AG73" s="1160"/>
      <c r="AH73" s="1160"/>
      <c r="AI73" s="1160"/>
      <c r="AJ73" s="1160"/>
      <c r="AK73" s="1160"/>
      <c r="AL73" s="1160"/>
    </row>
    <row r="74" ht="15.0" customHeight="1">
      <c r="A74" s="1209" t="s">
        <v>1889</v>
      </c>
      <c r="B74" s="1209" t="s">
        <v>1962</v>
      </c>
      <c r="C74" s="1210" t="s">
        <v>1963</v>
      </c>
      <c r="D74" s="1215">
        <v>0.0</v>
      </c>
      <c r="E74" s="1160"/>
      <c r="F74" s="1160"/>
      <c r="G74" s="1216">
        <v>75.0</v>
      </c>
      <c r="H74" s="1216">
        <v>97.5</v>
      </c>
      <c r="I74" s="1216">
        <v>1000.0</v>
      </c>
      <c r="J74" s="1216">
        <v>600.0</v>
      </c>
      <c r="K74" s="1216">
        <v>250.0</v>
      </c>
      <c r="L74" s="1216">
        <v>200.0</v>
      </c>
      <c r="M74" s="1216">
        <v>850.0</v>
      </c>
      <c r="N74" s="1216">
        <v>40.0</v>
      </c>
      <c r="O74" s="1216">
        <v>60.0</v>
      </c>
      <c r="P74" s="1216"/>
      <c r="Q74" s="1216"/>
      <c r="R74" s="1216"/>
      <c r="S74" s="1216"/>
      <c r="T74" s="1216">
        <v>4.0</v>
      </c>
      <c r="U74" s="1216">
        <v>16.0</v>
      </c>
      <c r="V74" s="1216"/>
      <c r="W74" s="1160"/>
      <c r="X74" s="1160"/>
      <c r="Y74" s="1160"/>
      <c r="Z74" s="1160"/>
      <c r="AA74" s="1160"/>
      <c r="AB74" s="1160"/>
      <c r="AC74" s="1160"/>
      <c r="AD74" s="1160"/>
      <c r="AE74" s="1160"/>
      <c r="AF74" s="1160"/>
      <c r="AG74" s="1160"/>
      <c r="AH74" s="1160"/>
      <c r="AI74" s="1160"/>
      <c r="AJ74" s="1160"/>
      <c r="AK74" s="1160"/>
      <c r="AL74" s="1160"/>
    </row>
    <row r="75" ht="15.0" customHeight="1">
      <c r="A75" s="1209" t="s">
        <v>1889</v>
      </c>
      <c r="B75" s="1209" t="s">
        <v>1964</v>
      </c>
      <c r="C75" s="1210" t="s">
        <v>1965</v>
      </c>
      <c r="D75" s="1215">
        <v>0.0</v>
      </c>
      <c r="E75" s="1160"/>
      <c r="F75" s="1160"/>
      <c r="G75" s="1216">
        <v>70.0</v>
      </c>
      <c r="H75" s="1216">
        <v>91.0</v>
      </c>
      <c r="I75" s="1216">
        <v>1000.0</v>
      </c>
      <c r="J75" s="1216">
        <v>600.0</v>
      </c>
      <c r="K75" s="1216">
        <v>250.0</v>
      </c>
      <c r="L75" s="1216">
        <v>200.0</v>
      </c>
      <c r="M75" s="1216">
        <v>850.0</v>
      </c>
      <c r="N75" s="1216">
        <v>40.0</v>
      </c>
      <c r="O75" s="1216">
        <v>60.0</v>
      </c>
      <c r="P75" s="1216"/>
      <c r="Q75" s="1216"/>
      <c r="R75" s="1216"/>
      <c r="S75" s="1216"/>
      <c r="T75" s="1216">
        <v>4.0</v>
      </c>
      <c r="U75" s="1216">
        <v>16.0</v>
      </c>
      <c r="V75" s="1216"/>
      <c r="W75" s="1160"/>
      <c r="X75" s="1160"/>
      <c r="Y75" s="1160"/>
      <c r="Z75" s="1160"/>
      <c r="AA75" s="1160"/>
      <c r="AB75" s="1160"/>
      <c r="AC75" s="1160"/>
      <c r="AD75" s="1160"/>
      <c r="AE75" s="1160"/>
      <c r="AF75" s="1160"/>
      <c r="AG75" s="1160"/>
      <c r="AH75" s="1160"/>
      <c r="AI75" s="1160"/>
      <c r="AJ75" s="1160"/>
      <c r="AK75" s="1160"/>
      <c r="AL75" s="1160"/>
    </row>
    <row r="76" ht="15.0" customHeight="1">
      <c r="A76" s="1209" t="s">
        <v>1889</v>
      </c>
      <c r="B76" s="1209" t="s">
        <v>1966</v>
      </c>
      <c r="C76" s="1210" t="s">
        <v>1967</v>
      </c>
      <c r="D76" s="1215">
        <v>0.0</v>
      </c>
      <c r="E76" s="1160"/>
      <c r="F76" s="1160"/>
      <c r="G76" s="1216">
        <v>60.0</v>
      </c>
      <c r="H76" s="1216">
        <v>78.0</v>
      </c>
      <c r="I76" s="1216">
        <v>1000.0</v>
      </c>
      <c r="J76" s="1216">
        <v>600.0</v>
      </c>
      <c r="K76" s="1216">
        <v>250.0</v>
      </c>
      <c r="L76" s="1216">
        <v>200.0</v>
      </c>
      <c r="M76" s="1216">
        <v>850.0</v>
      </c>
      <c r="N76" s="1216">
        <v>40.0</v>
      </c>
      <c r="O76" s="1216">
        <v>60.0</v>
      </c>
      <c r="P76" s="1216"/>
      <c r="Q76" s="1216"/>
      <c r="R76" s="1216"/>
      <c r="S76" s="1216"/>
      <c r="T76" s="1216">
        <v>4.0</v>
      </c>
      <c r="U76" s="1216">
        <v>12.0</v>
      </c>
      <c r="V76" s="1216"/>
      <c r="W76" s="1160"/>
      <c r="X76" s="1160"/>
      <c r="Y76" s="1160"/>
      <c r="Z76" s="1160"/>
      <c r="AA76" s="1160"/>
      <c r="AB76" s="1160"/>
      <c r="AC76" s="1160"/>
      <c r="AD76" s="1160"/>
      <c r="AE76" s="1160"/>
      <c r="AF76" s="1160"/>
      <c r="AG76" s="1160"/>
      <c r="AH76" s="1160"/>
      <c r="AI76" s="1160"/>
      <c r="AJ76" s="1160"/>
      <c r="AK76" s="1160"/>
      <c r="AL76" s="1160"/>
    </row>
    <row r="77" ht="15.0" customHeight="1">
      <c r="A77" s="1232" t="s">
        <v>1889</v>
      </c>
      <c r="B77" s="1232" t="s">
        <v>1968</v>
      </c>
      <c r="C77" s="1233">
        <v>74.0</v>
      </c>
      <c r="D77" s="1234">
        <v>0.0</v>
      </c>
      <c r="E77" s="1235"/>
      <c r="F77" s="1235"/>
      <c r="G77" s="1236">
        <v>20.0</v>
      </c>
      <c r="H77" s="1236">
        <v>26.0</v>
      </c>
      <c r="I77" s="1236">
        <v>1000.0</v>
      </c>
      <c r="J77" s="1236">
        <v>600.0</v>
      </c>
      <c r="K77" s="1236">
        <v>180.0</v>
      </c>
      <c r="L77" s="1236">
        <v>150.0</v>
      </c>
      <c r="M77" s="1236">
        <v>850.0</v>
      </c>
      <c r="N77" s="1237">
        <v>36.0</v>
      </c>
      <c r="O77" s="1237">
        <v>54.0</v>
      </c>
      <c r="P77" s="1237">
        <v>20.0</v>
      </c>
      <c r="Q77" s="1237">
        <v>30.0</v>
      </c>
      <c r="R77" s="1236"/>
      <c r="S77" s="1236"/>
      <c r="T77" s="1236">
        <v>2.0</v>
      </c>
      <c r="U77" s="1237">
        <v>3.0</v>
      </c>
      <c r="V77" s="1236">
        <v>160.0</v>
      </c>
      <c r="W77" s="1235">
        <v>700.0</v>
      </c>
      <c r="X77" s="1235">
        <v>37.0</v>
      </c>
      <c r="Y77" s="1235">
        <v>37.0</v>
      </c>
      <c r="Z77" s="1235"/>
      <c r="AA77" s="1235"/>
      <c r="AB77" s="1235"/>
      <c r="AC77" s="1235"/>
      <c r="AD77" s="1235"/>
      <c r="AE77" s="1235"/>
      <c r="AF77" s="1235"/>
      <c r="AG77" s="1235"/>
      <c r="AH77" s="1235"/>
      <c r="AI77" s="1235"/>
      <c r="AJ77" s="1235"/>
      <c r="AK77" s="1235"/>
      <c r="AL77" s="1235"/>
    </row>
    <row r="78" ht="15.0" customHeight="1">
      <c r="A78" s="1209" t="s">
        <v>1889</v>
      </c>
      <c r="B78" s="1209" t="s">
        <v>1969</v>
      </c>
      <c r="C78" s="1210">
        <v>71.0</v>
      </c>
      <c r="D78" s="1215">
        <v>0.0</v>
      </c>
      <c r="E78" s="1160"/>
      <c r="F78" s="1160"/>
      <c r="G78" s="1216">
        <v>30.0</v>
      </c>
      <c r="H78" s="1216">
        <v>39.0</v>
      </c>
      <c r="I78" s="1216">
        <v>1000.0</v>
      </c>
      <c r="J78" s="1216">
        <v>600.0</v>
      </c>
      <c r="K78" s="1216">
        <v>180.0</v>
      </c>
      <c r="L78" s="1216">
        <v>150.0</v>
      </c>
      <c r="M78" s="1216">
        <v>850.0</v>
      </c>
      <c r="N78" s="1216">
        <v>36.0</v>
      </c>
      <c r="O78" s="1216">
        <v>55.0</v>
      </c>
      <c r="P78" s="1216"/>
      <c r="Q78" s="1216"/>
      <c r="R78" s="1216"/>
      <c r="S78" s="1216"/>
      <c r="T78" s="1216">
        <v>3.0</v>
      </c>
      <c r="U78" s="1216">
        <v>6.0</v>
      </c>
      <c r="V78" s="1216">
        <v>160.0</v>
      </c>
      <c r="W78" s="1160">
        <v>800.0</v>
      </c>
      <c r="X78" s="1160" t="s">
        <v>1970</v>
      </c>
      <c r="Y78" s="1160" t="s">
        <v>1970</v>
      </c>
      <c r="Z78" s="1160"/>
      <c r="AA78" s="1160"/>
      <c r="AB78" s="1160"/>
      <c r="AC78" s="1160"/>
      <c r="AD78" s="1160"/>
      <c r="AE78" s="1160"/>
      <c r="AF78" s="1160"/>
      <c r="AG78" s="1160"/>
      <c r="AH78" s="1160"/>
      <c r="AI78" s="1160"/>
      <c r="AJ78" s="1160"/>
      <c r="AK78" s="1160"/>
      <c r="AL78" s="1160"/>
    </row>
    <row r="79" ht="15.0" customHeight="1">
      <c r="A79" s="1209" t="s">
        <v>1889</v>
      </c>
      <c r="B79" s="1209" t="s">
        <v>1971</v>
      </c>
      <c r="C79" s="1210">
        <v>67.0</v>
      </c>
      <c r="D79" s="1215">
        <v>0.0</v>
      </c>
      <c r="E79" s="1160"/>
      <c r="F79" s="1160"/>
      <c r="G79" s="1216">
        <v>12.0</v>
      </c>
      <c r="H79" s="1221">
        <v>15.6</v>
      </c>
      <c r="I79" s="1216">
        <v>800.0</v>
      </c>
      <c r="J79" s="1216">
        <v>550.0</v>
      </c>
      <c r="K79" s="1216">
        <v>150.0</v>
      </c>
      <c r="L79" s="1216">
        <v>150.0</v>
      </c>
      <c r="M79" s="1216">
        <v>650.0</v>
      </c>
      <c r="N79" s="1224" t="s">
        <v>1972</v>
      </c>
      <c r="O79" s="1224" t="s">
        <v>1973</v>
      </c>
      <c r="P79" s="1224">
        <v>13.0</v>
      </c>
      <c r="Q79" s="1224">
        <v>17.0</v>
      </c>
      <c r="R79" s="1216"/>
      <c r="S79" s="1216"/>
      <c r="T79" s="1224">
        <v>2.0</v>
      </c>
      <c r="U79" s="1224">
        <v>3.0</v>
      </c>
      <c r="V79" s="1216">
        <v>42.0</v>
      </c>
      <c r="W79" s="1160">
        <v>58.0</v>
      </c>
      <c r="X79" s="1160">
        <v>240.0</v>
      </c>
      <c r="Y79" s="1160">
        <v>240.0</v>
      </c>
      <c r="Z79" s="1160">
        <v>11.5</v>
      </c>
      <c r="AA79" s="1160"/>
      <c r="AB79" s="1160"/>
      <c r="AC79" s="1160"/>
      <c r="AD79" s="1160"/>
      <c r="AE79" s="1160"/>
      <c r="AF79" s="1160"/>
      <c r="AG79" s="1160"/>
      <c r="AH79" s="1160"/>
      <c r="AI79" s="1160"/>
      <c r="AJ79" s="1160"/>
      <c r="AK79" s="1160"/>
      <c r="AL79" s="1160"/>
    </row>
    <row r="80" ht="15.0" customHeight="1">
      <c r="A80" s="1209" t="s">
        <v>1889</v>
      </c>
      <c r="B80" s="1209" t="s">
        <v>1974</v>
      </c>
      <c r="C80" s="1210">
        <v>63.0</v>
      </c>
      <c r="D80" s="1215">
        <v>0.0</v>
      </c>
      <c r="E80" s="1160"/>
      <c r="F80" s="1160"/>
      <c r="G80" s="1216">
        <v>10.0</v>
      </c>
      <c r="H80" s="1221">
        <v>13.0</v>
      </c>
      <c r="I80" s="1217">
        <v>1000.0</v>
      </c>
      <c r="J80" s="1217">
        <v>600.0</v>
      </c>
      <c r="K80" s="1217">
        <v>180.0</v>
      </c>
      <c r="L80" s="1217">
        <v>150.0</v>
      </c>
      <c r="M80" s="1217">
        <v>850.0</v>
      </c>
      <c r="N80" s="1217">
        <v>20.0</v>
      </c>
      <c r="O80" s="1217">
        <v>30.0</v>
      </c>
      <c r="P80" s="1216"/>
      <c r="Q80" s="1216"/>
      <c r="R80" s="1216"/>
      <c r="S80" s="1216"/>
      <c r="T80" s="1216">
        <v>2.0</v>
      </c>
      <c r="U80" s="1216">
        <v>2.0</v>
      </c>
      <c r="V80" s="1216">
        <v>160.0</v>
      </c>
      <c r="W80" s="1160">
        <v>700.0</v>
      </c>
      <c r="X80" s="1160">
        <v>37.0</v>
      </c>
      <c r="Y80" s="1160">
        <v>37.0</v>
      </c>
      <c r="Z80" s="1160"/>
      <c r="AA80" s="1160"/>
      <c r="AB80" s="1160"/>
      <c r="AC80" s="1160"/>
      <c r="AD80" s="1160"/>
      <c r="AE80" s="1160"/>
      <c r="AF80" s="1160"/>
      <c r="AG80" s="1160"/>
      <c r="AH80" s="1160"/>
      <c r="AI80" s="1160"/>
      <c r="AJ80" s="1160"/>
      <c r="AK80" s="1160"/>
      <c r="AL80" s="1160"/>
    </row>
    <row r="81" ht="15.0" customHeight="1">
      <c r="A81" s="1209" t="s">
        <v>1889</v>
      </c>
      <c r="B81" s="1209" t="s">
        <v>1975</v>
      </c>
      <c r="C81" s="1210">
        <v>64.0</v>
      </c>
      <c r="D81" s="1215">
        <v>0.0</v>
      </c>
      <c r="E81" s="1160"/>
      <c r="F81" s="1160"/>
      <c r="G81" s="1216">
        <v>10.0</v>
      </c>
      <c r="H81" s="1221">
        <v>13.0</v>
      </c>
      <c r="I81" s="1217">
        <v>800.0</v>
      </c>
      <c r="J81" s="1217">
        <v>550.0</v>
      </c>
      <c r="K81" s="1238">
        <v>150.0</v>
      </c>
      <c r="L81" s="1238">
        <v>200.0</v>
      </c>
      <c r="M81" s="1217">
        <v>650.0</v>
      </c>
      <c r="N81" s="1238">
        <v>26.0</v>
      </c>
      <c r="O81" s="1217">
        <v>34.0</v>
      </c>
      <c r="P81" s="1224">
        <v>13.0</v>
      </c>
      <c r="Q81" s="1224">
        <v>20.0</v>
      </c>
      <c r="R81" s="1216"/>
      <c r="S81" s="1216"/>
      <c r="T81" s="1216">
        <v>2.0</v>
      </c>
      <c r="U81" s="1216">
        <v>3.0</v>
      </c>
      <c r="V81" s="1216">
        <v>42.0</v>
      </c>
      <c r="W81" s="1160">
        <v>58.0</v>
      </c>
      <c r="X81" s="1160">
        <v>210.0</v>
      </c>
      <c r="Y81" s="1160">
        <v>210.0</v>
      </c>
      <c r="Z81" s="1160">
        <v>10.0</v>
      </c>
      <c r="AA81" s="1160"/>
      <c r="AB81" s="1160"/>
      <c r="AC81" s="1160"/>
      <c r="AD81" s="1160"/>
      <c r="AE81" s="1160"/>
      <c r="AF81" s="1160"/>
      <c r="AG81" s="1160"/>
      <c r="AH81" s="1160"/>
      <c r="AI81" s="1160"/>
      <c r="AJ81" s="1160"/>
      <c r="AK81" s="1160"/>
      <c r="AL81" s="1160"/>
    </row>
    <row r="82" ht="15.0" customHeight="1">
      <c r="A82" s="1209" t="s">
        <v>1889</v>
      </c>
      <c r="B82" s="1223" t="s">
        <v>1976</v>
      </c>
      <c r="C82" s="1210">
        <v>64.0</v>
      </c>
      <c r="D82" s="1215">
        <v>0.0</v>
      </c>
      <c r="E82" s="1160"/>
      <c r="F82" s="1160"/>
      <c r="G82" s="1216">
        <v>10.0</v>
      </c>
      <c r="H82" s="1221">
        <v>13.0</v>
      </c>
      <c r="I82" s="1224">
        <v>500.0</v>
      </c>
      <c r="J82" s="1224">
        <v>370.0</v>
      </c>
      <c r="K82" s="1224">
        <v>125.0</v>
      </c>
      <c r="L82" s="1224">
        <v>150.0</v>
      </c>
      <c r="M82" s="1224">
        <v>425.0</v>
      </c>
      <c r="N82" s="1224">
        <v>26.0</v>
      </c>
      <c r="O82" s="1224">
        <v>44.0</v>
      </c>
      <c r="P82" s="1224">
        <v>26.0</v>
      </c>
      <c r="Q82" s="1224">
        <v>44.0</v>
      </c>
      <c r="R82" s="1224">
        <v>26.0</v>
      </c>
      <c r="S82" s="1224">
        <v>44.0</v>
      </c>
      <c r="T82" s="1224">
        <v>3.0</v>
      </c>
      <c r="U82" s="1224">
        <v>2.0</v>
      </c>
      <c r="V82" s="1216">
        <v>42.0</v>
      </c>
      <c r="W82" s="1160">
        <v>58.0</v>
      </c>
      <c r="X82" s="1239">
        <v>220.0</v>
      </c>
      <c r="Y82" s="1239">
        <v>220.0</v>
      </c>
      <c r="Z82" s="1160">
        <v>10.0</v>
      </c>
      <c r="AA82" s="1160"/>
      <c r="AB82" s="1160"/>
      <c r="AC82" s="1160"/>
      <c r="AD82" s="1160"/>
      <c r="AE82" s="1160"/>
      <c r="AF82" s="1160"/>
      <c r="AG82" s="1160"/>
      <c r="AH82" s="1160"/>
      <c r="AI82" s="1160"/>
      <c r="AJ82" s="1160"/>
      <c r="AK82" s="1160"/>
      <c r="AL82" s="1160"/>
    </row>
    <row r="83" ht="15.0" customHeight="1">
      <c r="A83" s="1209" t="s">
        <v>1889</v>
      </c>
      <c r="B83" s="1209" t="s">
        <v>1977</v>
      </c>
      <c r="C83" s="1210">
        <v>65.0</v>
      </c>
      <c r="D83" s="1215">
        <v>0.0</v>
      </c>
      <c r="E83" s="1160"/>
      <c r="F83" s="1160"/>
      <c r="G83" s="1216">
        <v>8.0</v>
      </c>
      <c r="H83" s="1221">
        <v>10.4</v>
      </c>
      <c r="I83" s="1217">
        <v>500.0</v>
      </c>
      <c r="J83" s="1217">
        <v>370.0</v>
      </c>
      <c r="K83" s="1217">
        <v>125.0</v>
      </c>
      <c r="L83" s="1217">
        <v>150.0</v>
      </c>
      <c r="M83" s="1217">
        <v>425.0</v>
      </c>
      <c r="N83" s="1217">
        <v>26.0</v>
      </c>
      <c r="O83" s="1217">
        <v>44.0</v>
      </c>
      <c r="P83" s="1216"/>
      <c r="Q83" s="1216"/>
      <c r="R83" s="1216"/>
      <c r="S83" s="1216"/>
      <c r="T83" s="1216">
        <v>2.0</v>
      </c>
      <c r="U83" s="1216">
        <v>2.0</v>
      </c>
      <c r="V83" s="1216">
        <v>42.0</v>
      </c>
      <c r="W83" s="1160">
        <v>58.0</v>
      </c>
      <c r="X83" s="1160">
        <v>190.0</v>
      </c>
      <c r="Y83" s="1160">
        <v>190.0</v>
      </c>
      <c r="Z83" s="1160">
        <v>8.0</v>
      </c>
      <c r="AA83" s="1160"/>
      <c r="AB83" s="1160"/>
      <c r="AC83" s="1160"/>
      <c r="AD83" s="1160"/>
      <c r="AE83" s="1160"/>
      <c r="AF83" s="1160"/>
      <c r="AG83" s="1160"/>
      <c r="AH83" s="1160"/>
      <c r="AI83" s="1160"/>
      <c r="AJ83" s="1160"/>
      <c r="AK83" s="1160"/>
      <c r="AL83" s="1160"/>
    </row>
    <row r="84" ht="15.0" customHeight="1">
      <c r="A84" s="1209" t="s">
        <v>1889</v>
      </c>
      <c r="B84" s="1209" t="s">
        <v>1978</v>
      </c>
      <c r="C84" s="1210">
        <v>60.0</v>
      </c>
      <c r="D84" s="1215">
        <v>0.0</v>
      </c>
      <c r="E84" s="1160"/>
      <c r="F84" s="1160"/>
      <c r="G84" s="1216">
        <v>5.0</v>
      </c>
      <c r="H84" s="1216">
        <v>6.5</v>
      </c>
      <c r="I84" s="1216">
        <v>500.0</v>
      </c>
      <c r="J84" s="1216">
        <v>370.0</v>
      </c>
      <c r="K84" s="1216">
        <v>125.0</v>
      </c>
      <c r="L84" s="1216">
        <v>150.0</v>
      </c>
      <c r="M84" s="1216">
        <v>425.0</v>
      </c>
      <c r="N84" s="1216">
        <v>13.0</v>
      </c>
      <c r="O84" s="1216">
        <v>17.0</v>
      </c>
      <c r="P84" s="1216"/>
      <c r="Q84" s="1216"/>
      <c r="R84" s="1216"/>
      <c r="S84" s="1216"/>
      <c r="T84" s="1216">
        <v>2.0</v>
      </c>
      <c r="U84" s="1216">
        <v>2.0</v>
      </c>
      <c r="V84" s="1216">
        <v>42.0</v>
      </c>
      <c r="W84" s="1160">
        <v>58.0</v>
      </c>
      <c r="X84" s="1160">
        <v>120.0</v>
      </c>
      <c r="Y84" s="1160">
        <v>120.0</v>
      </c>
      <c r="Z84" s="1160">
        <v>120.0</v>
      </c>
      <c r="AA84" s="1160"/>
      <c r="AB84" s="1160"/>
      <c r="AC84" s="1160"/>
      <c r="AD84" s="1160"/>
      <c r="AE84" s="1160"/>
      <c r="AF84" s="1160"/>
      <c r="AG84" s="1160"/>
      <c r="AH84" s="1160"/>
      <c r="AI84" s="1160"/>
      <c r="AJ84" s="1160"/>
      <c r="AK84" s="1160"/>
      <c r="AL84" s="1160"/>
    </row>
    <row r="85" ht="15.0" customHeight="1">
      <c r="A85" s="1209" t="s">
        <v>1889</v>
      </c>
      <c r="B85" s="1209" t="s">
        <v>1979</v>
      </c>
      <c r="C85" s="1210" t="s">
        <v>1980</v>
      </c>
      <c r="D85" s="1215">
        <v>0.0</v>
      </c>
      <c r="E85" s="1160"/>
      <c r="F85" s="1160"/>
      <c r="G85" s="1216">
        <v>6.0</v>
      </c>
      <c r="H85" s="1216">
        <v>7.8</v>
      </c>
      <c r="I85" s="1216">
        <v>500.0</v>
      </c>
      <c r="J85" s="1216">
        <v>370.0</v>
      </c>
      <c r="K85" s="1216">
        <v>125.0</v>
      </c>
      <c r="L85" s="1216">
        <v>150.0</v>
      </c>
      <c r="M85" s="1216">
        <v>425.0</v>
      </c>
      <c r="N85" s="1216">
        <v>13.0</v>
      </c>
      <c r="O85" s="1216">
        <v>17.0</v>
      </c>
      <c r="P85" s="1216"/>
      <c r="Q85" s="1216"/>
      <c r="R85" s="1216"/>
      <c r="S85" s="1216"/>
      <c r="T85" s="1216">
        <v>2.0</v>
      </c>
      <c r="U85" s="1216">
        <v>2.0</v>
      </c>
      <c r="V85" s="1216">
        <v>42.0</v>
      </c>
      <c r="W85" s="1160">
        <v>58.0</v>
      </c>
      <c r="X85" s="1160">
        <v>135.0</v>
      </c>
      <c r="Y85" s="1160">
        <v>135.0</v>
      </c>
      <c r="Z85" s="1160">
        <v>135.0</v>
      </c>
      <c r="AA85" s="1160"/>
      <c r="AB85" s="1160"/>
      <c r="AC85" s="1160"/>
      <c r="AD85" s="1160"/>
      <c r="AE85" s="1160"/>
      <c r="AF85" s="1160"/>
      <c r="AG85" s="1160"/>
      <c r="AH85" s="1160"/>
      <c r="AI85" s="1160"/>
      <c r="AJ85" s="1160"/>
      <c r="AK85" s="1160"/>
      <c r="AL85" s="1160"/>
    </row>
    <row r="86" ht="15.0" customHeight="1">
      <c r="A86" s="1209" t="s">
        <v>1889</v>
      </c>
      <c r="B86" s="1209" t="s">
        <v>1981</v>
      </c>
      <c r="C86" s="1210" t="s">
        <v>1961</v>
      </c>
      <c r="D86" s="1215">
        <v>0.0</v>
      </c>
      <c r="E86" s="1160"/>
      <c r="F86" s="1160"/>
      <c r="G86" s="1216">
        <v>50.0</v>
      </c>
      <c r="H86" s="1216">
        <v>65.0</v>
      </c>
      <c r="I86" s="1216">
        <v>1000.0</v>
      </c>
      <c r="J86" s="1216">
        <v>600.0</v>
      </c>
      <c r="K86" s="1216">
        <v>250.0</v>
      </c>
      <c r="L86" s="1216">
        <v>200.0</v>
      </c>
      <c r="M86" s="1216">
        <v>850.0</v>
      </c>
      <c r="N86" s="1216">
        <v>40.0</v>
      </c>
      <c r="O86" s="1216">
        <v>60.0</v>
      </c>
      <c r="P86" s="1216"/>
      <c r="Q86" s="1216"/>
      <c r="R86" s="1216"/>
      <c r="S86" s="1216"/>
      <c r="T86" s="1216">
        <v>4.0</v>
      </c>
      <c r="U86" s="1216">
        <v>12.0</v>
      </c>
      <c r="V86" s="1216"/>
      <c r="W86" s="1160"/>
      <c r="X86" s="1160"/>
      <c r="Y86" s="1160"/>
      <c r="Z86" s="1160"/>
      <c r="AA86" s="1160"/>
      <c r="AB86" s="1160"/>
      <c r="AC86" s="1160"/>
      <c r="AD86" s="1160"/>
      <c r="AE86" s="1160"/>
      <c r="AF86" s="1160"/>
      <c r="AG86" s="1160"/>
      <c r="AH86" s="1160"/>
      <c r="AI86" s="1160"/>
      <c r="AJ86" s="1160"/>
      <c r="AK86" s="1160"/>
      <c r="AL86" s="1160"/>
    </row>
    <row r="87" ht="15.0" customHeight="1">
      <c r="A87" s="1209" t="s">
        <v>1889</v>
      </c>
      <c r="B87" s="1209" t="s">
        <v>1982</v>
      </c>
      <c r="C87" s="1210" t="s">
        <v>1961</v>
      </c>
      <c r="D87" s="1215">
        <v>0.0</v>
      </c>
      <c r="E87" s="1160"/>
      <c r="F87" s="1160"/>
      <c r="G87" s="1216">
        <v>100.0</v>
      </c>
      <c r="H87" s="1216">
        <v>150.0</v>
      </c>
      <c r="I87" s="1216">
        <v>1000.0</v>
      </c>
      <c r="J87" s="1216">
        <v>600.0</v>
      </c>
      <c r="K87" s="1216">
        <v>250.0</v>
      </c>
      <c r="L87" s="1216">
        <v>200.0</v>
      </c>
      <c r="M87" s="1216">
        <v>850.0</v>
      </c>
      <c r="N87" s="1216">
        <v>40.0</v>
      </c>
      <c r="O87" s="1216">
        <v>60.0</v>
      </c>
      <c r="P87" s="1216"/>
      <c r="Q87" s="1216"/>
      <c r="R87" s="1216"/>
      <c r="S87" s="1216"/>
      <c r="T87" s="1216">
        <v>6.0</v>
      </c>
      <c r="U87" s="1216">
        <v>24.0</v>
      </c>
      <c r="V87" s="1216"/>
      <c r="W87" s="1160"/>
      <c r="X87" s="1160"/>
      <c r="Y87" s="1160"/>
      <c r="Z87" s="1160"/>
      <c r="AA87" s="1160"/>
      <c r="AB87" s="1160"/>
      <c r="AC87" s="1160"/>
      <c r="AD87" s="1160"/>
      <c r="AE87" s="1160"/>
      <c r="AF87" s="1160"/>
      <c r="AG87" s="1160"/>
      <c r="AH87" s="1160"/>
      <c r="AI87" s="1160"/>
      <c r="AJ87" s="1160"/>
      <c r="AK87" s="1160"/>
      <c r="AL87" s="1160"/>
    </row>
    <row r="88" ht="15.0" customHeight="1">
      <c r="A88" s="1240" t="s">
        <v>1889</v>
      </c>
      <c r="B88" s="1240" t="s">
        <v>1739</v>
      </c>
      <c r="C88" s="1241" t="s">
        <v>1983</v>
      </c>
      <c r="D88" s="1242">
        <v>0.0</v>
      </c>
      <c r="E88" s="1243"/>
      <c r="F88" s="1243"/>
      <c r="G88" s="1244">
        <v>80.0</v>
      </c>
      <c r="H88" s="1244">
        <v>128.0</v>
      </c>
      <c r="I88" s="1244">
        <v>1000.0</v>
      </c>
      <c r="J88" s="1244">
        <v>650.0</v>
      </c>
      <c r="K88" s="1244">
        <v>180.0</v>
      </c>
      <c r="L88" s="1244">
        <v>150.0</v>
      </c>
      <c r="M88" s="1244">
        <v>850.0</v>
      </c>
      <c r="N88" s="1244">
        <v>36.0</v>
      </c>
      <c r="O88" s="1244">
        <v>54.0</v>
      </c>
      <c r="P88" s="1244">
        <v>36.0</v>
      </c>
      <c r="Q88" s="1244">
        <v>54.0</v>
      </c>
      <c r="R88" s="1244">
        <v>36.0</v>
      </c>
      <c r="S88" s="1244">
        <v>54.0</v>
      </c>
      <c r="T88" s="1244">
        <v>6.0</v>
      </c>
      <c r="U88" s="1244">
        <v>12.0</v>
      </c>
      <c r="V88" s="1244">
        <v>160.0</v>
      </c>
      <c r="W88" s="1245">
        <v>1000.0</v>
      </c>
      <c r="X88" s="1245" t="s">
        <v>1984</v>
      </c>
      <c r="Y88" s="1245" t="s">
        <v>1984</v>
      </c>
      <c r="Z88" s="1243"/>
      <c r="AA88" s="1243"/>
      <c r="AB88" s="1243"/>
      <c r="AC88" s="1243"/>
      <c r="AD88" s="1243"/>
      <c r="AE88" s="1243"/>
      <c r="AF88" s="1243"/>
      <c r="AG88" s="1243"/>
      <c r="AH88" s="1243"/>
      <c r="AI88" s="1243"/>
      <c r="AJ88" s="1243"/>
      <c r="AK88" s="1243"/>
      <c r="AL88" s="1243"/>
    </row>
    <row r="89" ht="15.0" customHeight="1">
      <c r="A89" s="1209"/>
      <c r="B89" s="1209"/>
      <c r="C89" s="1210"/>
      <c r="D89" s="1215"/>
      <c r="E89" s="1160"/>
      <c r="F89" s="1160"/>
      <c r="G89" s="1216"/>
      <c r="H89" s="1216"/>
      <c r="I89" s="1216"/>
      <c r="J89" s="1216"/>
      <c r="K89" s="1216"/>
      <c r="L89" s="1216"/>
      <c r="M89" s="1216"/>
      <c r="N89" s="1216"/>
      <c r="O89" s="1216"/>
      <c r="P89" s="1216"/>
      <c r="Q89" s="1216"/>
      <c r="R89" s="1216"/>
      <c r="S89" s="1216"/>
      <c r="T89" s="1216"/>
      <c r="U89" s="1216"/>
      <c r="V89" s="1216"/>
      <c r="W89" s="1160"/>
      <c r="X89" s="1160"/>
      <c r="Y89" s="1160"/>
      <c r="Z89" s="1160"/>
      <c r="AA89" s="1160"/>
      <c r="AB89" s="1160"/>
      <c r="AC89" s="1160"/>
      <c r="AD89" s="1160"/>
      <c r="AE89" s="1160"/>
      <c r="AF89" s="1160"/>
      <c r="AG89" s="1160"/>
      <c r="AH89" s="1160"/>
      <c r="AI89" s="1160"/>
      <c r="AJ89" s="1160"/>
      <c r="AK89" s="1160"/>
      <c r="AL89" s="1160"/>
    </row>
    <row r="90" ht="15.0" customHeight="1">
      <c r="A90" s="1209" t="s">
        <v>1889</v>
      </c>
      <c r="B90" s="1209" t="s">
        <v>1985</v>
      </c>
      <c r="C90" s="1210">
        <v>70.0</v>
      </c>
      <c r="D90" s="1215">
        <v>0.0</v>
      </c>
      <c r="E90" s="1160"/>
      <c r="F90" s="1160"/>
      <c r="G90" s="1216">
        <v>15.0</v>
      </c>
      <c r="H90" s="1216">
        <v>22.5</v>
      </c>
      <c r="I90" s="1216">
        <v>1000.0</v>
      </c>
      <c r="J90" s="1216">
        <v>600.0</v>
      </c>
      <c r="K90" s="1216">
        <v>200.0</v>
      </c>
      <c r="L90" s="1216">
        <v>180.0</v>
      </c>
      <c r="M90" s="1216">
        <v>960.0</v>
      </c>
      <c r="N90" s="1216">
        <v>25.0</v>
      </c>
      <c r="O90" s="1216">
        <v>30.0</v>
      </c>
      <c r="P90" s="1216"/>
      <c r="Q90" s="1216"/>
      <c r="R90" s="1216"/>
      <c r="S90" s="1216"/>
      <c r="T90" s="1216">
        <v>2.0</v>
      </c>
      <c r="U90" s="1216">
        <v>4.0</v>
      </c>
      <c r="V90" s="1216" t="s">
        <v>1986</v>
      </c>
      <c r="W90" s="1160">
        <v>800.0</v>
      </c>
      <c r="X90" s="1160" t="s">
        <v>1987</v>
      </c>
      <c r="Y90" s="1160" t="s">
        <v>1987</v>
      </c>
      <c r="Z90" s="1160">
        <v>15000.0</v>
      </c>
      <c r="AA90" s="1160"/>
      <c r="AB90" s="1160"/>
      <c r="AC90" s="1160"/>
      <c r="AD90" s="1160"/>
      <c r="AE90" s="1160"/>
      <c r="AF90" s="1160"/>
      <c r="AG90" s="1160"/>
      <c r="AH90" s="1160"/>
      <c r="AI90" s="1160"/>
      <c r="AJ90" s="1160"/>
      <c r="AK90" s="1160"/>
      <c r="AL90" s="1160"/>
    </row>
    <row r="91" ht="15.0" customHeight="1">
      <c r="A91" s="1209" t="s">
        <v>1889</v>
      </c>
      <c r="B91" s="1209" t="s">
        <v>1988</v>
      </c>
      <c r="C91" s="1210">
        <v>78.0</v>
      </c>
      <c r="D91" s="1215">
        <v>0.0</v>
      </c>
      <c r="E91" s="1160"/>
      <c r="F91" s="1160"/>
      <c r="G91" s="1216">
        <v>100.0</v>
      </c>
      <c r="H91" s="1216">
        <v>100.0</v>
      </c>
      <c r="I91" s="1216">
        <v>1100.0</v>
      </c>
      <c r="J91" s="1216">
        <v>650.0</v>
      </c>
      <c r="K91" s="1216">
        <v>200.0</v>
      </c>
      <c r="L91" s="1216">
        <v>180.0</v>
      </c>
      <c r="M91" s="1216">
        <v>1000.0</v>
      </c>
      <c r="N91" s="1216">
        <v>40.0</v>
      </c>
      <c r="O91" s="1216">
        <v>50.0</v>
      </c>
      <c r="P91" s="1216"/>
      <c r="Q91" s="1216"/>
      <c r="R91" s="1216"/>
      <c r="S91" s="1216"/>
      <c r="T91" s="1216">
        <v>10.0</v>
      </c>
      <c r="U91" s="1216">
        <v>20.0</v>
      </c>
      <c r="V91" s="1216"/>
      <c r="W91" s="1160"/>
      <c r="X91" s="1160"/>
      <c r="Y91" s="1160"/>
      <c r="Z91" s="1160"/>
      <c r="AA91" s="1160"/>
      <c r="AB91" s="1160"/>
      <c r="AC91" s="1160"/>
      <c r="AD91" s="1160"/>
      <c r="AE91" s="1160"/>
      <c r="AF91" s="1160"/>
      <c r="AG91" s="1160"/>
      <c r="AH91" s="1160"/>
      <c r="AI91" s="1160"/>
      <c r="AJ91" s="1160"/>
      <c r="AK91" s="1160"/>
      <c r="AL91" s="1160"/>
    </row>
    <row r="92" ht="15.0" customHeight="1">
      <c r="A92" s="1209"/>
      <c r="B92" s="1209"/>
      <c r="C92" s="1210"/>
      <c r="D92" s="1215"/>
      <c r="E92" s="1160"/>
      <c r="F92" s="1160"/>
      <c r="G92" s="1216"/>
      <c r="H92" s="1221"/>
      <c r="I92" s="1216"/>
      <c r="J92" s="1216"/>
      <c r="K92" s="1216"/>
      <c r="L92" s="1216"/>
      <c r="M92" s="1216"/>
      <c r="N92" s="1216"/>
      <c r="O92" s="1216"/>
      <c r="P92" s="1216"/>
      <c r="Q92" s="1216"/>
      <c r="R92" s="1216"/>
      <c r="S92" s="1216"/>
      <c r="T92" s="1216"/>
      <c r="U92" s="1216"/>
      <c r="V92" s="1216"/>
      <c r="W92" s="1160"/>
      <c r="X92" s="1160"/>
      <c r="Y92" s="1160"/>
      <c r="Z92" s="1160"/>
      <c r="AA92" s="1160"/>
      <c r="AB92" s="1160"/>
      <c r="AC92" s="1160"/>
      <c r="AD92" s="1160"/>
      <c r="AE92" s="1160"/>
      <c r="AF92" s="1160"/>
      <c r="AG92" s="1160"/>
      <c r="AH92" s="1160"/>
      <c r="AI92" s="1160"/>
      <c r="AJ92" s="1160"/>
      <c r="AK92" s="1160"/>
      <c r="AL92" s="1160"/>
    </row>
    <row r="93" ht="15.0" customHeight="1">
      <c r="A93" s="1209"/>
      <c r="B93" s="1209"/>
      <c r="C93" s="1210"/>
      <c r="D93" s="1215"/>
      <c r="E93" s="1160"/>
      <c r="F93" s="1160"/>
      <c r="G93" s="1216"/>
      <c r="H93" s="1216"/>
      <c r="I93" s="1216"/>
      <c r="J93" s="1216"/>
      <c r="K93" s="1216"/>
      <c r="L93" s="1216"/>
      <c r="M93" s="1216"/>
      <c r="N93" s="1216">
        <v>13.0</v>
      </c>
      <c r="O93" s="1216"/>
      <c r="P93" s="1216"/>
      <c r="Q93" s="1216"/>
      <c r="R93" s="1216"/>
      <c r="S93" s="1216"/>
      <c r="T93" s="1216">
        <v>1.0</v>
      </c>
      <c r="U93" s="1216">
        <v>1.0</v>
      </c>
      <c r="V93" s="1216"/>
      <c r="W93" s="1160"/>
      <c r="X93" s="1160"/>
      <c r="Y93" s="1160"/>
      <c r="Z93" s="1160"/>
      <c r="AA93" s="1160"/>
      <c r="AB93" s="1160"/>
      <c r="AC93" s="1160"/>
      <c r="AD93" s="1160"/>
      <c r="AE93" s="1160"/>
      <c r="AF93" s="1160"/>
      <c r="AG93" s="1160"/>
      <c r="AH93" s="1160"/>
      <c r="AI93" s="1160"/>
      <c r="AJ93" s="1160"/>
      <c r="AK93" s="1160"/>
      <c r="AL93" s="1160"/>
    </row>
    <row r="94" ht="15.0" customHeight="1">
      <c r="A94" s="1209"/>
      <c r="B94" s="1209"/>
      <c r="C94" s="1210"/>
      <c r="D94" s="1215"/>
      <c r="E94" s="1160"/>
      <c r="F94" s="1160"/>
      <c r="G94" s="1216"/>
      <c r="H94" s="1216"/>
      <c r="I94" s="1216"/>
      <c r="J94" s="1216"/>
      <c r="K94" s="1216"/>
      <c r="L94" s="1216"/>
      <c r="M94" s="1216"/>
      <c r="N94" s="1216"/>
      <c r="O94" s="1216"/>
      <c r="P94" s="1216"/>
      <c r="Q94" s="1216"/>
      <c r="R94" s="1216"/>
      <c r="S94" s="1216"/>
      <c r="T94" s="1216"/>
      <c r="U94" s="1216"/>
      <c r="V94" s="1216"/>
      <c r="W94" s="1160"/>
      <c r="X94" s="1160"/>
      <c r="Y94" s="1160"/>
      <c r="Z94" s="1160"/>
      <c r="AA94" s="1160"/>
      <c r="AB94" s="1160"/>
      <c r="AC94" s="1160"/>
      <c r="AD94" s="1160"/>
      <c r="AE94" s="1160"/>
      <c r="AF94" s="1160"/>
      <c r="AG94" s="1160"/>
      <c r="AH94" s="1160"/>
      <c r="AI94" s="1160"/>
      <c r="AJ94" s="1160"/>
      <c r="AK94" s="1160"/>
      <c r="AL94" s="1160"/>
    </row>
    <row r="95" ht="15.0" customHeight="1">
      <c r="A95" s="1209" t="s">
        <v>1889</v>
      </c>
      <c r="B95" s="1246" t="s">
        <v>1989</v>
      </c>
      <c r="C95" s="1210" t="s">
        <v>1990</v>
      </c>
      <c r="D95" s="1215">
        <v>0.0</v>
      </c>
      <c r="E95" s="1160"/>
      <c r="F95" s="1160"/>
      <c r="G95" s="1221">
        <v>7.2</v>
      </c>
      <c r="H95" s="1216">
        <v>8.0</v>
      </c>
      <c r="I95" s="1216">
        <v>500.0</v>
      </c>
      <c r="J95" s="1216">
        <v>330.0</v>
      </c>
      <c r="K95" s="1216">
        <v>90.0</v>
      </c>
      <c r="L95" s="1216">
        <v>90.0</v>
      </c>
      <c r="M95" s="1216">
        <v>450.0</v>
      </c>
      <c r="N95" s="1216">
        <v>18.0</v>
      </c>
      <c r="O95" s="1216">
        <v>30.0</v>
      </c>
      <c r="P95" s="1216"/>
      <c r="Q95" s="1216"/>
      <c r="R95" s="1216"/>
      <c r="S95" s="1216"/>
      <c r="T95" s="1216">
        <v>2.0</v>
      </c>
      <c r="U95" s="1216">
        <v>1.0</v>
      </c>
      <c r="V95" s="1216">
        <v>48.0</v>
      </c>
      <c r="W95" s="1160">
        <v>66.0</v>
      </c>
      <c r="X95" s="1160">
        <v>80.0</v>
      </c>
      <c r="Y95" s="1160">
        <v>80.0</v>
      </c>
      <c r="Z95" s="1160"/>
      <c r="AA95" s="1160"/>
      <c r="AB95" s="1160"/>
      <c r="AC95" s="1160"/>
      <c r="AD95" s="1160"/>
      <c r="AE95" s="1160"/>
      <c r="AF95" s="1160"/>
      <c r="AG95" s="1160"/>
      <c r="AH95" s="1160"/>
      <c r="AI95" s="1160"/>
      <c r="AJ95" s="1160"/>
      <c r="AK95" s="1160"/>
      <c r="AL95" s="1160"/>
    </row>
    <row r="96" ht="15.0" customHeight="1">
      <c r="A96" s="1209"/>
      <c r="B96" s="1209"/>
      <c r="C96" s="1210"/>
      <c r="D96" s="1215"/>
      <c r="E96" s="1160"/>
      <c r="F96" s="1160"/>
      <c r="G96" s="1216"/>
      <c r="H96" s="1216"/>
      <c r="I96" s="1216"/>
      <c r="J96" s="1216"/>
      <c r="K96" s="1216"/>
      <c r="L96" s="1216"/>
      <c r="M96" s="1216"/>
      <c r="N96" s="1216"/>
      <c r="O96" s="1216"/>
      <c r="P96" s="1216"/>
      <c r="Q96" s="1216"/>
      <c r="R96" s="1216"/>
      <c r="S96" s="1216"/>
      <c r="T96" s="1216"/>
      <c r="U96" s="1216"/>
      <c r="V96" s="1216"/>
      <c r="W96" s="1160"/>
      <c r="X96" s="1160"/>
      <c r="Y96" s="1160"/>
      <c r="Z96" s="1160"/>
      <c r="AA96" s="1160"/>
      <c r="AB96" s="1160"/>
      <c r="AC96" s="1160"/>
      <c r="AD96" s="1160"/>
      <c r="AE96" s="1160"/>
      <c r="AF96" s="1160"/>
      <c r="AG96" s="1160"/>
      <c r="AH96" s="1160"/>
      <c r="AI96" s="1160"/>
      <c r="AJ96" s="1160"/>
      <c r="AK96" s="1160"/>
      <c r="AL96" s="1160"/>
    </row>
    <row r="97" ht="15.0" customHeight="1">
      <c r="A97" s="1209"/>
      <c r="B97" s="1209"/>
      <c r="C97" s="1210"/>
      <c r="D97" s="1215"/>
      <c r="E97" s="1160"/>
      <c r="F97" s="1160"/>
      <c r="G97" s="1216"/>
      <c r="H97" s="1216"/>
      <c r="I97" s="1216"/>
      <c r="J97" s="1216"/>
      <c r="K97" s="1216"/>
      <c r="L97" s="1216"/>
      <c r="M97" s="1216"/>
      <c r="N97" s="1216"/>
      <c r="O97" s="1216"/>
      <c r="P97" s="1216"/>
      <c r="Q97" s="1216"/>
      <c r="R97" s="1216"/>
      <c r="S97" s="1216"/>
      <c r="T97" s="1216"/>
      <c r="U97" s="1216"/>
      <c r="V97" s="1216"/>
      <c r="W97" s="1160"/>
      <c r="X97" s="1160"/>
      <c r="Y97" s="1160"/>
      <c r="Z97" s="1160"/>
      <c r="AA97" s="1160"/>
      <c r="AB97" s="1160"/>
      <c r="AC97" s="1160"/>
      <c r="AD97" s="1160"/>
      <c r="AE97" s="1160"/>
      <c r="AF97" s="1160"/>
      <c r="AG97" s="1160"/>
      <c r="AH97" s="1160"/>
      <c r="AI97" s="1160"/>
      <c r="AJ97" s="1160"/>
      <c r="AK97" s="1160"/>
      <c r="AL97" s="1160"/>
    </row>
    <row r="98" ht="15.0" customHeight="1">
      <c r="A98" s="1209"/>
      <c r="B98" s="1209"/>
      <c r="C98" s="1210"/>
      <c r="D98" s="1215"/>
      <c r="E98" s="1160"/>
      <c r="F98" s="1160"/>
      <c r="G98" s="1216"/>
      <c r="H98" s="1216"/>
      <c r="I98" s="1216"/>
      <c r="J98" s="1216"/>
      <c r="K98" s="1216"/>
      <c r="L98" s="1216"/>
      <c r="M98" s="1216"/>
      <c r="N98" s="1216"/>
      <c r="O98" s="1216"/>
      <c r="P98" s="1216"/>
      <c r="Q98" s="1216"/>
      <c r="R98" s="1216"/>
      <c r="S98" s="1216"/>
      <c r="T98" s="1216"/>
      <c r="U98" s="1216"/>
      <c r="V98" s="1216"/>
      <c r="W98" s="1160"/>
      <c r="X98" s="1160"/>
      <c r="Y98" s="1160"/>
      <c r="Z98" s="1160"/>
      <c r="AA98" s="1160"/>
      <c r="AB98" s="1160"/>
      <c r="AC98" s="1160"/>
      <c r="AD98" s="1160"/>
      <c r="AE98" s="1160"/>
      <c r="AF98" s="1160"/>
      <c r="AG98" s="1160"/>
      <c r="AH98" s="1160"/>
      <c r="AI98" s="1160"/>
      <c r="AJ98" s="1160"/>
      <c r="AK98" s="1160"/>
      <c r="AL98" s="1160"/>
    </row>
    <row r="99" ht="15.0" customHeight="1">
      <c r="A99" s="1209"/>
      <c r="B99" s="1209"/>
      <c r="C99" s="1210"/>
      <c r="D99" s="1215"/>
      <c r="E99" s="1160"/>
      <c r="F99" s="1160"/>
      <c r="G99" s="1216"/>
      <c r="H99" s="1216"/>
      <c r="I99" s="1216"/>
      <c r="J99" s="1216"/>
      <c r="K99" s="1216"/>
      <c r="L99" s="1216"/>
      <c r="M99" s="1216"/>
      <c r="N99" s="1216"/>
      <c r="O99" s="1216"/>
      <c r="P99" s="1216"/>
      <c r="Q99" s="1216"/>
      <c r="R99" s="1216"/>
      <c r="S99" s="1216"/>
      <c r="T99" s="1216"/>
      <c r="U99" s="1216"/>
      <c r="V99" s="1216"/>
      <c r="W99" s="1160"/>
      <c r="X99" s="1160"/>
      <c r="Y99" s="1160"/>
      <c r="Z99" s="1160"/>
      <c r="AA99" s="1160"/>
      <c r="AB99" s="1160"/>
      <c r="AC99" s="1160"/>
      <c r="AD99" s="1160"/>
      <c r="AE99" s="1160"/>
      <c r="AF99" s="1160"/>
      <c r="AG99" s="1160"/>
      <c r="AH99" s="1160"/>
      <c r="AI99" s="1160"/>
      <c r="AJ99" s="1160"/>
      <c r="AK99" s="1160"/>
      <c r="AL99" s="1160"/>
    </row>
    <row r="100" ht="15.0" customHeight="1">
      <c r="A100" s="1209"/>
      <c r="B100" s="1209"/>
      <c r="C100" s="1210"/>
      <c r="D100" s="1215"/>
      <c r="E100" s="1160"/>
      <c r="F100" s="1160"/>
      <c r="G100" s="1216"/>
      <c r="H100" s="1216"/>
      <c r="I100" s="1216"/>
      <c r="J100" s="1216"/>
      <c r="K100" s="1216"/>
      <c r="L100" s="1216"/>
      <c r="M100" s="1216"/>
      <c r="N100" s="1216"/>
      <c r="O100" s="1216"/>
      <c r="P100" s="1216"/>
      <c r="Q100" s="1216"/>
      <c r="R100" s="1216"/>
      <c r="S100" s="1216"/>
      <c r="T100" s="1216"/>
      <c r="U100" s="1216"/>
      <c r="V100" s="1216"/>
      <c r="W100" s="1160"/>
      <c r="X100" s="1160"/>
      <c r="Y100" s="1160"/>
      <c r="Z100" s="1160"/>
      <c r="AA100" s="1160"/>
      <c r="AB100" s="1160"/>
      <c r="AC100" s="1160"/>
      <c r="AD100" s="1160"/>
      <c r="AE100" s="1160"/>
      <c r="AF100" s="1160"/>
      <c r="AG100" s="1160"/>
      <c r="AH100" s="1160"/>
      <c r="AI100" s="1160"/>
      <c r="AJ100" s="1160"/>
      <c r="AK100" s="1160"/>
      <c r="AL100" s="1160"/>
    </row>
    <row r="101" ht="15.0" customHeight="1">
      <c r="A101" s="1209"/>
      <c r="B101" s="1223"/>
      <c r="C101" s="1210"/>
      <c r="D101" s="1215"/>
      <c r="E101" s="1160"/>
      <c r="F101" s="1160"/>
      <c r="G101" s="1216"/>
      <c r="H101" s="1216"/>
      <c r="I101" s="1216"/>
      <c r="J101" s="1216"/>
      <c r="K101" s="1216"/>
      <c r="L101" s="1216"/>
      <c r="M101" s="1216"/>
      <c r="N101" s="1216"/>
      <c r="O101" s="1216"/>
      <c r="P101" s="1216"/>
      <c r="Q101" s="1216"/>
      <c r="R101" s="1216"/>
      <c r="S101" s="1216"/>
      <c r="T101" s="1216"/>
      <c r="U101" s="1216"/>
      <c r="V101" s="1216"/>
      <c r="W101" s="1160"/>
      <c r="X101" s="1160"/>
      <c r="Y101" s="1160"/>
      <c r="Z101" s="1160"/>
      <c r="AA101" s="1160"/>
      <c r="AB101" s="1160"/>
      <c r="AC101" s="1160"/>
      <c r="AD101" s="1160"/>
      <c r="AE101" s="1160"/>
      <c r="AF101" s="1160"/>
      <c r="AG101" s="1160"/>
      <c r="AH101" s="1160"/>
      <c r="AI101" s="1160"/>
      <c r="AJ101" s="1160"/>
      <c r="AK101" s="1160"/>
      <c r="AL101" s="1160"/>
    </row>
    <row r="102" ht="15.0" customHeight="1">
      <c r="A102" s="1209" t="s">
        <v>1889</v>
      </c>
      <c r="B102" s="1223" t="s">
        <v>1991</v>
      </c>
      <c r="C102" s="1210">
        <v>15.0</v>
      </c>
      <c r="D102" s="1215">
        <v>0.0</v>
      </c>
      <c r="E102" s="1160"/>
      <c r="F102" s="1160"/>
      <c r="G102" s="1224">
        <v>4.0</v>
      </c>
      <c r="H102" s="1224">
        <v>4.0</v>
      </c>
      <c r="I102" s="1224">
        <v>450.0</v>
      </c>
      <c r="J102" s="1224">
        <v>370.0</v>
      </c>
      <c r="K102" s="1224">
        <v>120.0</v>
      </c>
      <c r="L102" s="1224">
        <v>80.0</v>
      </c>
      <c r="M102" s="1224">
        <v>450.0</v>
      </c>
      <c r="N102" s="1224">
        <v>18.0</v>
      </c>
      <c r="O102" s="1224">
        <v>30.0</v>
      </c>
      <c r="P102" s="1216"/>
      <c r="Q102" s="1216"/>
      <c r="R102" s="1216"/>
      <c r="S102" s="1216"/>
      <c r="T102" s="1224">
        <v>1.0</v>
      </c>
      <c r="U102" s="1224">
        <v>1.0</v>
      </c>
      <c r="V102" s="1224">
        <v>38.0</v>
      </c>
      <c r="W102" s="1239">
        <v>60.0</v>
      </c>
      <c r="X102" s="1239">
        <v>100.0</v>
      </c>
      <c r="Y102" s="1239">
        <v>100.0</v>
      </c>
      <c r="Z102" s="1239">
        <v>4.0</v>
      </c>
      <c r="AA102" s="1160"/>
      <c r="AB102" s="1160"/>
      <c r="AC102" s="1160"/>
      <c r="AD102" s="1160"/>
      <c r="AE102" s="1160"/>
      <c r="AF102" s="1160"/>
      <c r="AG102" s="1160"/>
      <c r="AH102" s="1160"/>
      <c r="AI102" s="1160"/>
      <c r="AJ102" s="1160"/>
      <c r="AK102" s="1160"/>
      <c r="AL102" s="1160"/>
    </row>
    <row r="103" ht="15.0" customHeight="1">
      <c r="A103" s="1209" t="s">
        <v>1992</v>
      </c>
      <c r="B103" s="1209" t="s">
        <v>1993</v>
      </c>
      <c r="C103" s="1210">
        <v>59.0</v>
      </c>
      <c r="D103" s="1215">
        <v>0.0</v>
      </c>
      <c r="E103" s="1160"/>
      <c r="F103" s="1160"/>
      <c r="G103" s="1216">
        <v>4.0</v>
      </c>
      <c r="H103" s="1216">
        <v>4.0</v>
      </c>
      <c r="I103" s="1216">
        <v>245.0</v>
      </c>
      <c r="J103" s="1216">
        <v>200.0</v>
      </c>
      <c r="K103" s="1216">
        <v>120.0</v>
      </c>
      <c r="L103" s="1216">
        <v>120.0</v>
      </c>
      <c r="M103" s="1216">
        <v>245.0</v>
      </c>
      <c r="N103" s="1216">
        <v>30.0</v>
      </c>
      <c r="O103" s="1216">
        <v>30.0</v>
      </c>
      <c r="P103" s="1216"/>
      <c r="Q103" s="1216"/>
      <c r="R103" s="1216"/>
      <c r="S103" s="1216"/>
      <c r="T103" s="1216">
        <v>1.0</v>
      </c>
      <c r="U103" s="1216">
        <v>1.0</v>
      </c>
      <c r="V103" s="1216">
        <v>42.0</v>
      </c>
      <c r="W103" s="1160">
        <v>58.0</v>
      </c>
      <c r="X103" s="1160">
        <v>70.0</v>
      </c>
      <c r="Y103" s="1160">
        <v>70.0</v>
      </c>
      <c r="Z103" s="1160">
        <v>4.0</v>
      </c>
      <c r="AA103" s="1160"/>
      <c r="AB103" s="1160"/>
      <c r="AC103" s="1160"/>
      <c r="AD103" s="1160"/>
      <c r="AE103" s="1160"/>
      <c r="AF103" s="1160"/>
      <c r="AG103" s="1160"/>
      <c r="AH103" s="1160"/>
      <c r="AI103" s="1160"/>
      <c r="AJ103" s="1160"/>
      <c r="AK103" s="1160"/>
      <c r="AL103" s="1160"/>
    </row>
    <row r="104" ht="15.0" customHeight="1">
      <c r="A104" s="1209" t="s">
        <v>1889</v>
      </c>
      <c r="B104" s="1209" t="s">
        <v>1994</v>
      </c>
      <c r="C104" s="1210">
        <v>72.0</v>
      </c>
      <c r="D104" s="1215">
        <v>0.0</v>
      </c>
      <c r="E104" s="1160"/>
      <c r="F104" s="1160"/>
      <c r="G104" s="1216">
        <v>15.0</v>
      </c>
      <c r="H104" s="1216">
        <v>12.0</v>
      </c>
      <c r="I104" s="1216"/>
      <c r="J104" s="1216"/>
      <c r="K104" s="1216"/>
      <c r="L104" s="1216"/>
      <c r="M104" s="1216"/>
      <c r="N104" s="1216"/>
      <c r="O104" s="1216"/>
      <c r="P104" s="1216"/>
      <c r="Q104" s="1216"/>
      <c r="R104" s="1216"/>
      <c r="S104" s="1216"/>
      <c r="T104" s="1216"/>
      <c r="U104" s="1216"/>
      <c r="V104" s="1216"/>
      <c r="W104" s="1160"/>
      <c r="X104" s="1160"/>
      <c r="Y104" s="1160"/>
      <c r="Z104" s="1160"/>
      <c r="AA104" s="1160"/>
      <c r="AB104" s="1160"/>
      <c r="AC104" s="1160"/>
      <c r="AD104" s="1160"/>
      <c r="AE104" s="1160"/>
      <c r="AF104" s="1160"/>
      <c r="AG104" s="1160"/>
      <c r="AH104" s="1160"/>
      <c r="AI104" s="1160"/>
      <c r="AJ104" s="1160"/>
      <c r="AK104" s="1160"/>
      <c r="AL104" s="1160"/>
    </row>
    <row r="105" ht="15.0" customHeight="1">
      <c r="A105" s="1209" t="s">
        <v>1889</v>
      </c>
      <c r="B105" s="1209" t="s">
        <v>1995</v>
      </c>
      <c r="C105" s="1210">
        <v>15.0</v>
      </c>
      <c r="D105" s="1215">
        <v>0.0</v>
      </c>
      <c r="E105" s="1160"/>
      <c r="F105" s="1160"/>
      <c r="G105" s="1216"/>
      <c r="H105" s="1216"/>
      <c r="I105" s="1216"/>
      <c r="J105" s="1216"/>
      <c r="K105" s="1216"/>
      <c r="L105" s="1216"/>
      <c r="M105" s="1216"/>
      <c r="N105" s="1216"/>
      <c r="O105" s="1216"/>
      <c r="P105" s="1216"/>
      <c r="Q105" s="1216"/>
      <c r="R105" s="1216"/>
      <c r="S105" s="1216"/>
      <c r="T105" s="1216"/>
      <c r="U105" s="1216"/>
      <c r="V105" s="1216"/>
      <c r="W105" s="1160"/>
      <c r="X105" s="1160"/>
      <c r="Y105" s="1160"/>
      <c r="Z105" s="1160"/>
      <c r="AA105" s="1160"/>
      <c r="AB105" s="1160"/>
      <c r="AC105" s="1160"/>
      <c r="AD105" s="1160"/>
      <c r="AE105" s="1160"/>
      <c r="AF105" s="1160"/>
      <c r="AG105" s="1160"/>
      <c r="AH105" s="1160"/>
      <c r="AI105" s="1160"/>
      <c r="AJ105" s="1160"/>
      <c r="AK105" s="1160"/>
      <c r="AL105" s="1160"/>
    </row>
    <row r="106" ht="15.0" customHeight="1">
      <c r="A106" s="1209" t="s">
        <v>1992</v>
      </c>
      <c r="B106" s="1209" t="s">
        <v>1996</v>
      </c>
      <c r="C106" s="1210">
        <v>69.0</v>
      </c>
      <c r="D106" s="1215">
        <v>0.0</v>
      </c>
      <c r="E106" s="1160"/>
      <c r="F106" s="1160"/>
      <c r="G106" s="1216">
        <v>11.0</v>
      </c>
      <c r="H106" s="1216">
        <v>11.0</v>
      </c>
      <c r="I106" s="1216">
        <v>450.0</v>
      </c>
      <c r="J106" s="1216">
        <v>420.0</v>
      </c>
      <c r="K106" s="1216">
        <v>120.0</v>
      </c>
      <c r="L106" s="1216">
        <v>80.0</v>
      </c>
      <c r="M106" s="1216">
        <v>450.0</v>
      </c>
      <c r="N106" s="1216">
        <v>18.0</v>
      </c>
      <c r="O106" s="1216">
        <v>20.0</v>
      </c>
      <c r="P106" s="1216"/>
      <c r="Q106" s="1216"/>
      <c r="R106" s="1216"/>
      <c r="S106" s="1216"/>
      <c r="T106" s="1216">
        <v>4.0</v>
      </c>
      <c r="U106" s="1216">
        <v>4.0</v>
      </c>
      <c r="V106" s="1216">
        <v>42.0</v>
      </c>
      <c r="W106" s="1160">
        <v>58.0</v>
      </c>
      <c r="X106" s="1160">
        <v>100.0</v>
      </c>
      <c r="Y106" s="1160">
        <v>100.0</v>
      </c>
      <c r="Z106" s="1160">
        <v>5.5</v>
      </c>
      <c r="AA106" s="1160"/>
      <c r="AB106" s="1160"/>
      <c r="AC106" s="1160"/>
      <c r="AD106" s="1160"/>
      <c r="AE106" s="1160"/>
      <c r="AF106" s="1160"/>
      <c r="AG106" s="1160"/>
      <c r="AH106" s="1160"/>
      <c r="AI106" s="1160"/>
      <c r="AJ106" s="1160"/>
      <c r="AK106" s="1160"/>
      <c r="AL106" s="1160"/>
    </row>
    <row r="107" ht="15.0" customHeight="1">
      <c r="A107" s="1209" t="s">
        <v>1992</v>
      </c>
      <c r="B107" s="1209" t="s">
        <v>1997</v>
      </c>
      <c r="C107" s="1210">
        <v>68.0</v>
      </c>
      <c r="D107" s="1215">
        <v>0.0</v>
      </c>
      <c r="E107" s="1160"/>
      <c r="F107" s="1160"/>
      <c r="G107" s="1216">
        <v>5.5</v>
      </c>
      <c r="H107" s="1216">
        <v>5.5</v>
      </c>
      <c r="I107" s="1216">
        <v>450.0</v>
      </c>
      <c r="J107" s="1216">
        <v>420.0</v>
      </c>
      <c r="K107" s="1216">
        <v>120.0</v>
      </c>
      <c r="L107" s="1216">
        <v>80.0</v>
      </c>
      <c r="M107" s="1216">
        <v>450.0</v>
      </c>
      <c r="N107" s="1216">
        <v>18.0</v>
      </c>
      <c r="O107" s="1216">
        <v>20.0</v>
      </c>
      <c r="P107" s="1216"/>
      <c r="Q107" s="1216"/>
      <c r="R107" s="1216"/>
      <c r="S107" s="1216"/>
      <c r="T107" s="1216">
        <v>2.0</v>
      </c>
      <c r="U107" s="1216">
        <v>2.0</v>
      </c>
      <c r="V107" s="1216">
        <v>42.0</v>
      </c>
      <c r="W107" s="1160">
        <v>58.0</v>
      </c>
      <c r="X107" s="1160">
        <v>100.0</v>
      </c>
      <c r="Y107" s="1160">
        <v>100.0</v>
      </c>
      <c r="Z107" s="1160">
        <v>5.5</v>
      </c>
      <c r="AA107" s="1160"/>
      <c r="AB107" s="1160"/>
      <c r="AC107" s="1160"/>
      <c r="AD107" s="1160"/>
      <c r="AE107" s="1160"/>
      <c r="AF107" s="1160"/>
      <c r="AG107" s="1160"/>
      <c r="AH107" s="1160"/>
      <c r="AI107" s="1160"/>
      <c r="AJ107" s="1160"/>
      <c r="AK107" s="1160"/>
      <c r="AL107" s="1160"/>
    </row>
    <row r="109" ht="15.0" customHeight="1">
      <c r="A109" s="1209"/>
      <c r="B109" s="1209"/>
      <c r="C109" s="1210"/>
      <c r="D109" s="1215"/>
      <c r="E109" s="1160"/>
      <c r="F109" s="1160"/>
      <c r="G109" s="1216"/>
      <c r="H109" s="1216"/>
      <c r="I109" s="1216"/>
      <c r="J109" s="1216"/>
      <c r="K109" s="1216"/>
      <c r="L109" s="1216"/>
      <c r="M109" s="1216"/>
      <c r="N109" s="1216"/>
      <c r="O109" s="1216"/>
      <c r="P109" s="1216"/>
      <c r="Q109" s="1216"/>
      <c r="R109" s="1216"/>
      <c r="S109" s="1216"/>
      <c r="T109" s="1216"/>
      <c r="U109" s="1216"/>
      <c r="V109" s="1216"/>
      <c r="W109" s="1160"/>
      <c r="X109" s="1160"/>
      <c r="Y109" s="1160"/>
      <c r="Z109" s="1160"/>
      <c r="AA109" s="1160"/>
      <c r="AB109" s="1160"/>
      <c r="AC109" s="1160"/>
      <c r="AD109" s="1160"/>
      <c r="AE109" s="1160"/>
      <c r="AF109" s="1160"/>
      <c r="AG109" s="1160"/>
      <c r="AH109" s="1160"/>
      <c r="AI109" s="1160"/>
      <c r="AJ109" s="1160"/>
      <c r="AK109" s="1160"/>
      <c r="AL109" s="1160"/>
    </row>
    <row r="110" ht="15.0" customHeight="1">
      <c r="A110" s="1209"/>
      <c r="B110" s="1209"/>
      <c r="C110" s="1210"/>
      <c r="D110" s="1215"/>
      <c r="E110" s="1160"/>
      <c r="F110" s="1160"/>
      <c r="G110" s="1216"/>
      <c r="H110" s="1216"/>
      <c r="I110" s="1216"/>
      <c r="J110" s="1216"/>
      <c r="K110" s="1216"/>
      <c r="L110" s="1216"/>
      <c r="M110" s="1216"/>
      <c r="N110" s="1216"/>
      <c r="O110" s="1216"/>
      <c r="P110" s="1216"/>
      <c r="Q110" s="1216"/>
      <c r="R110" s="1216"/>
      <c r="S110" s="1216"/>
      <c r="T110" s="1216"/>
      <c r="U110" s="1216"/>
      <c r="V110" s="1216"/>
      <c r="W110" s="1160"/>
      <c r="X110" s="1160"/>
      <c r="Y110" s="1160"/>
      <c r="Z110" s="1160"/>
      <c r="AA110" s="1160"/>
      <c r="AB110" s="1160"/>
      <c r="AC110" s="1160"/>
      <c r="AD110" s="1160"/>
      <c r="AE110" s="1160"/>
      <c r="AF110" s="1160"/>
      <c r="AG110" s="1160"/>
      <c r="AH110" s="1160"/>
      <c r="AI110" s="1160"/>
      <c r="AJ110" s="1160"/>
      <c r="AK110" s="1160"/>
      <c r="AL110" s="1160"/>
    </row>
    <row r="111" ht="15.0" customHeight="1">
      <c r="A111" s="1209" t="s">
        <v>1889</v>
      </c>
      <c r="B111" s="1209" t="s">
        <v>1998</v>
      </c>
      <c r="C111" s="1210">
        <v>4.0</v>
      </c>
      <c r="D111" s="1215">
        <v>0.0</v>
      </c>
      <c r="E111" s="1160"/>
      <c r="F111" s="1160"/>
      <c r="G111" s="1216">
        <v>9.0</v>
      </c>
      <c r="H111" s="1216">
        <v>12.0</v>
      </c>
      <c r="I111" s="1217">
        <v>850.0</v>
      </c>
      <c r="J111" s="1219">
        <v>600.0</v>
      </c>
      <c r="K111" s="1217">
        <v>380.0</v>
      </c>
      <c r="L111" s="1217">
        <v>380.0</v>
      </c>
      <c r="M111" s="1217">
        <v>750.0</v>
      </c>
      <c r="N111" s="1217">
        <v>18.0</v>
      </c>
      <c r="O111" s="1217">
        <v>23.0</v>
      </c>
      <c r="P111" s="1216"/>
      <c r="Q111" s="1216"/>
      <c r="R111" s="1216"/>
      <c r="S111" s="1216"/>
      <c r="T111" s="1216">
        <v>2.0</v>
      </c>
      <c r="U111" s="1216">
        <v>2.0</v>
      </c>
      <c r="V111" s="1216">
        <v>42.0</v>
      </c>
      <c r="W111" s="1160">
        <v>62.0</v>
      </c>
      <c r="X111" s="1160" t="s">
        <v>1999</v>
      </c>
      <c r="Y111" s="1160" t="s">
        <v>1999</v>
      </c>
      <c r="Z111" s="1160"/>
      <c r="AA111" s="1160"/>
      <c r="AB111" s="1160"/>
      <c r="AC111" s="1160"/>
      <c r="AD111" s="1160"/>
      <c r="AE111" s="1160"/>
      <c r="AF111" s="1160"/>
      <c r="AG111" s="1160"/>
      <c r="AH111" s="1160"/>
      <c r="AI111" s="1160"/>
      <c r="AJ111" s="1160"/>
      <c r="AK111" s="1160"/>
      <c r="AL111" s="1160"/>
    </row>
    <row r="112" ht="15.0" customHeight="1">
      <c r="A112" s="1209" t="s">
        <v>1889</v>
      </c>
      <c r="B112" s="1209" t="s">
        <v>2000</v>
      </c>
      <c r="C112" s="1247">
        <v>5.0</v>
      </c>
      <c r="D112" s="1215">
        <v>0.0</v>
      </c>
      <c r="E112" s="1160"/>
      <c r="F112" s="1160"/>
      <c r="G112" s="1216">
        <v>30.0</v>
      </c>
      <c r="H112" s="1216">
        <v>45.0</v>
      </c>
      <c r="I112" s="1217">
        <v>830.0</v>
      </c>
      <c r="J112" s="1217">
        <v>750.0</v>
      </c>
      <c r="K112" s="1217">
        <v>375.0</v>
      </c>
      <c r="L112" s="1217">
        <v>375.0</v>
      </c>
      <c r="M112" s="1217">
        <v>750.0</v>
      </c>
      <c r="N112" s="1217">
        <v>43.5</v>
      </c>
      <c r="O112" s="1217">
        <v>48.25</v>
      </c>
      <c r="P112" s="1216"/>
      <c r="Q112" s="1216"/>
      <c r="R112" s="1216"/>
      <c r="S112" s="1216"/>
      <c r="T112" s="1216">
        <v>1.0</v>
      </c>
      <c r="U112" s="1216">
        <v>3.0</v>
      </c>
      <c r="V112" s="1216"/>
      <c r="W112" s="1160"/>
      <c r="X112" s="1160"/>
      <c r="Y112" s="1160"/>
      <c r="Z112" s="1160"/>
      <c r="AA112" s="1160"/>
      <c r="AB112" s="1160"/>
      <c r="AC112" s="1160"/>
      <c r="AD112" s="1160"/>
      <c r="AE112" s="1160"/>
      <c r="AF112" s="1160"/>
      <c r="AG112" s="1160"/>
      <c r="AH112" s="1160"/>
      <c r="AI112" s="1160"/>
      <c r="AJ112" s="1160"/>
      <c r="AK112" s="1160"/>
      <c r="AL112" s="1160"/>
    </row>
    <row r="113" ht="15.0" customHeight="1">
      <c r="A113" s="1209"/>
      <c r="B113" s="1209"/>
      <c r="C113" s="1210"/>
      <c r="D113" s="1215"/>
      <c r="E113" s="1160"/>
      <c r="F113" s="1160"/>
      <c r="G113" s="1216"/>
      <c r="H113" s="1216"/>
      <c r="I113" s="1216"/>
      <c r="J113" s="1216"/>
      <c r="K113" s="1216"/>
      <c r="L113" s="1216"/>
      <c r="M113" s="1216"/>
      <c r="N113" s="1216"/>
      <c r="O113" s="1216"/>
      <c r="P113" s="1216"/>
      <c r="Q113" s="1216"/>
      <c r="R113" s="1216"/>
      <c r="S113" s="1216"/>
      <c r="T113" s="1216"/>
      <c r="U113" s="1216"/>
      <c r="V113" s="1216"/>
      <c r="W113" s="1160"/>
      <c r="X113" s="1160"/>
      <c r="Y113" s="1160"/>
      <c r="Z113" s="1160"/>
      <c r="AA113" s="1160"/>
      <c r="AB113" s="1160"/>
      <c r="AC113" s="1160"/>
      <c r="AD113" s="1160"/>
      <c r="AE113" s="1160"/>
      <c r="AF113" s="1160"/>
      <c r="AG113" s="1160"/>
      <c r="AH113" s="1160"/>
      <c r="AI113" s="1160"/>
      <c r="AJ113" s="1160"/>
      <c r="AK113" s="1160"/>
      <c r="AL113" s="1160"/>
    </row>
    <row r="114" ht="15.0" customHeight="1">
      <c r="A114" s="1209" t="s">
        <v>1889</v>
      </c>
      <c r="B114" s="1223" t="s">
        <v>2001</v>
      </c>
      <c r="C114" s="1210"/>
      <c r="D114" s="1215">
        <v>0.0</v>
      </c>
      <c r="E114" s="1160"/>
      <c r="F114" s="1160"/>
      <c r="G114" s="1224">
        <v>150.0</v>
      </c>
      <c r="H114" s="1224">
        <v>165.0</v>
      </c>
      <c r="I114" s="1217">
        <v>1100.0</v>
      </c>
      <c r="J114" s="1217">
        <v>600.0</v>
      </c>
      <c r="K114" s="1216">
        <v>200.0</v>
      </c>
      <c r="L114" s="1217">
        <v>200.0</v>
      </c>
      <c r="M114" s="1217">
        <v>1000.0</v>
      </c>
      <c r="N114" s="1238">
        <v>48.0</v>
      </c>
      <c r="O114" s="1238">
        <v>66.0</v>
      </c>
      <c r="P114" s="1216"/>
      <c r="Q114" s="1216"/>
      <c r="R114" s="1216"/>
      <c r="S114" s="1216"/>
      <c r="T114" s="1224">
        <v>7.0</v>
      </c>
      <c r="U114" s="1224">
        <v>21.0</v>
      </c>
      <c r="V114" s="1216"/>
      <c r="W114" s="1160"/>
      <c r="X114" s="1160"/>
      <c r="Y114" s="1160"/>
      <c r="Z114" s="1160"/>
      <c r="AA114" s="1160"/>
      <c r="AB114" s="1160"/>
      <c r="AC114" s="1160"/>
      <c r="AD114" s="1160"/>
      <c r="AE114" s="1160"/>
      <c r="AF114" s="1160"/>
      <c r="AG114" s="1160"/>
      <c r="AH114" s="1160"/>
      <c r="AI114" s="1160"/>
      <c r="AJ114" s="1160"/>
      <c r="AK114" s="1160"/>
      <c r="AL114" s="1160"/>
    </row>
    <row r="115" ht="15.0" customHeight="1">
      <c r="A115" s="1209" t="s">
        <v>1889</v>
      </c>
      <c r="B115" s="1223" t="s">
        <v>2002</v>
      </c>
      <c r="C115" s="1210"/>
      <c r="D115" s="1215">
        <v>0.0</v>
      </c>
      <c r="E115" s="1160"/>
      <c r="F115" s="1160"/>
      <c r="G115" s="1224">
        <v>115.0</v>
      </c>
      <c r="H115" s="1224">
        <v>125.0</v>
      </c>
      <c r="I115" s="1217">
        <v>1100.0</v>
      </c>
      <c r="J115" s="1217">
        <v>600.0</v>
      </c>
      <c r="K115" s="1216">
        <v>200.0</v>
      </c>
      <c r="L115" s="1217">
        <v>200.0</v>
      </c>
      <c r="M115" s="1217">
        <v>1000.0</v>
      </c>
      <c r="N115" s="1217">
        <v>30.0</v>
      </c>
      <c r="O115" s="1217">
        <v>40.0</v>
      </c>
      <c r="P115" s="1216"/>
      <c r="Q115" s="1216"/>
      <c r="R115" s="1216"/>
      <c r="S115" s="1216"/>
      <c r="T115" s="1216">
        <v>10.0</v>
      </c>
      <c r="U115" s="1216">
        <v>20.0</v>
      </c>
      <c r="V115" s="1216"/>
      <c r="W115" s="1160"/>
      <c r="X115" s="1160"/>
      <c r="Y115" s="1160"/>
      <c r="Z115" s="1160"/>
      <c r="AA115" s="1160"/>
      <c r="AB115" s="1160"/>
      <c r="AC115" s="1160"/>
      <c r="AD115" s="1160"/>
      <c r="AE115" s="1160"/>
      <c r="AF115" s="1160"/>
      <c r="AG115" s="1160"/>
      <c r="AH115" s="1160"/>
      <c r="AI115" s="1160"/>
      <c r="AJ115" s="1160"/>
      <c r="AK115" s="1160"/>
      <c r="AL115" s="1160"/>
    </row>
    <row r="116" ht="15.0" customHeight="1">
      <c r="A116" s="1209" t="s">
        <v>1889</v>
      </c>
      <c r="B116" s="1209" t="s">
        <v>2003</v>
      </c>
      <c r="C116" s="1210"/>
      <c r="D116" s="1215">
        <v>0.0</v>
      </c>
      <c r="E116" s="1160"/>
      <c r="F116" s="1160"/>
      <c r="G116" s="1216">
        <v>100.0</v>
      </c>
      <c r="H116" s="1216">
        <v>112.2</v>
      </c>
      <c r="I116" s="1217">
        <v>1100.0</v>
      </c>
      <c r="J116" s="1217">
        <v>600.0</v>
      </c>
      <c r="K116" s="1216">
        <v>200.0</v>
      </c>
      <c r="L116" s="1217">
        <v>200.0</v>
      </c>
      <c r="M116" s="1217">
        <v>1000.0</v>
      </c>
      <c r="N116" s="1217">
        <v>30.0</v>
      </c>
      <c r="O116" s="1217">
        <v>40.0</v>
      </c>
      <c r="P116" s="1216"/>
      <c r="Q116" s="1216"/>
      <c r="R116" s="1216"/>
      <c r="S116" s="1216"/>
      <c r="T116" s="1216">
        <v>10.0</v>
      </c>
      <c r="U116" s="1216">
        <v>20.0</v>
      </c>
      <c r="V116" s="1216"/>
      <c r="W116" s="1160"/>
      <c r="X116" s="1160"/>
      <c r="Y116" s="1160"/>
      <c r="Z116" s="1160"/>
      <c r="AA116" s="1160"/>
      <c r="AB116" s="1160"/>
      <c r="AC116" s="1160"/>
      <c r="AD116" s="1160"/>
      <c r="AE116" s="1160"/>
      <c r="AF116" s="1160"/>
      <c r="AG116" s="1160"/>
      <c r="AH116" s="1160"/>
      <c r="AI116" s="1160"/>
      <c r="AJ116" s="1160"/>
      <c r="AK116" s="1160"/>
      <c r="AL116" s="1160"/>
    </row>
    <row r="117" ht="15.0" customHeight="1">
      <c r="A117" s="1209" t="s">
        <v>1889</v>
      </c>
      <c r="B117" s="1209" t="s">
        <v>2004</v>
      </c>
      <c r="C117" s="1210">
        <v>21.0</v>
      </c>
      <c r="D117" s="1215">
        <v>0.0</v>
      </c>
      <c r="E117" s="1160"/>
      <c r="F117" s="1160"/>
      <c r="G117" s="1216">
        <v>100.0</v>
      </c>
      <c r="H117" s="1216">
        <v>112.2</v>
      </c>
      <c r="I117" s="1217">
        <v>1100.0</v>
      </c>
      <c r="J117" s="1217">
        <v>600.0</v>
      </c>
      <c r="K117" s="1216">
        <v>200.0</v>
      </c>
      <c r="L117" s="1217">
        <v>540.0</v>
      </c>
      <c r="M117" s="1217">
        <v>800.0</v>
      </c>
      <c r="N117" s="1217">
        <v>26.0</v>
      </c>
      <c r="O117" s="1217">
        <v>40.0</v>
      </c>
      <c r="P117" s="1216"/>
      <c r="Q117" s="1216"/>
      <c r="R117" s="1216"/>
      <c r="S117" s="1216"/>
      <c r="T117" s="1216">
        <v>10.0</v>
      </c>
      <c r="U117" s="1216">
        <v>20.0</v>
      </c>
      <c r="V117" s="1216"/>
      <c r="W117" s="1160"/>
      <c r="X117" s="1160"/>
      <c r="Y117" s="1160"/>
      <c r="Z117" s="1160"/>
      <c r="AA117" s="1160"/>
      <c r="AB117" s="1160"/>
      <c r="AC117" s="1160"/>
      <c r="AD117" s="1160"/>
      <c r="AE117" s="1160"/>
      <c r="AF117" s="1160"/>
      <c r="AG117" s="1160"/>
      <c r="AH117" s="1160"/>
      <c r="AI117" s="1160"/>
      <c r="AJ117" s="1160"/>
      <c r="AK117" s="1160"/>
      <c r="AL117" s="1160"/>
    </row>
    <row r="118" ht="15.0" customHeight="1">
      <c r="A118" s="1209" t="s">
        <v>1889</v>
      </c>
      <c r="B118" s="1209" t="s">
        <v>2005</v>
      </c>
      <c r="C118" s="1210">
        <v>18.0</v>
      </c>
      <c r="D118" s="1215">
        <v>0.0</v>
      </c>
      <c r="E118" s="1160"/>
      <c r="F118" s="1160"/>
      <c r="G118" s="1216">
        <v>50.0</v>
      </c>
      <c r="H118" s="1216">
        <v>51.3</v>
      </c>
      <c r="I118" s="1217">
        <v>1100.0</v>
      </c>
      <c r="J118" s="1217">
        <v>600.0</v>
      </c>
      <c r="K118" s="1216">
        <v>200.0</v>
      </c>
      <c r="L118" s="1217">
        <v>200.0</v>
      </c>
      <c r="M118" s="1217">
        <v>1000.0</v>
      </c>
      <c r="N118" s="1217">
        <v>22.0</v>
      </c>
      <c r="O118" s="1217">
        <v>30.0</v>
      </c>
      <c r="P118" s="1216"/>
      <c r="Q118" s="1216"/>
      <c r="R118" s="1216"/>
      <c r="S118" s="1216"/>
      <c r="T118" s="1216">
        <v>6.0</v>
      </c>
      <c r="U118" s="1216">
        <v>12.0</v>
      </c>
      <c r="V118" s="1216"/>
      <c r="W118" s="1160"/>
      <c r="X118" s="1160"/>
      <c r="Y118" s="1160"/>
      <c r="Z118" s="1160"/>
      <c r="AA118" s="1160"/>
      <c r="AB118" s="1160"/>
      <c r="AC118" s="1160"/>
      <c r="AD118" s="1160"/>
      <c r="AE118" s="1160"/>
      <c r="AF118" s="1160"/>
      <c r="AG118" s="1160"/>
      <c r="AH118" s="1160"/>
      <c r="AI118" s="1160"/>
      <c r="AJ118" s="1160"/>
      <c r="AK118" s="1160"/>
      <c r="AL118" s="1160"/>
    </row>
    <row r="119" ht="15.0" customHeight="1">
      <c r="A119" s="1209" t="s">
        <v>1889</v>
      </c>
      <c r="B119" s="1209" t="s">
        <v>2006</v>
      </c>
      <c r="C119" s="1210">
        <v>16.0</v>
      </c>
      <c r="D119" s="1215">
        <v>0.0</v>
      </c>
      <c r="E119" s="1160"/>
      <c r="F119" s="1160"/>
      <c r="G119" s="1216">
        <v>20.0</v>
      </c>
      <c r="H119" s="1216">
        <v>24.0</v>
      </c>
      <c r="I119" s="1217">
        <v>1080.0</v>
      </c>
      <c r="J119" s="1217">
        <v>600.0</v>
      </c>
      <c r="K119" s="1216">
        <v>200.0</v>
      </c>
      <c r="L119" s="1217">
        <v>160.0</v>
      </c>
      <c r="M119" s="1217">
        <v>950.0</v>
      </c>
      <c r="N119" s="1217">
        <v>22.0</v>
      </c>
      <c r="O119" s="1217">
        <v>30.0</v>
      </c>
      <c r="P119" s="1216"/>
      <c r="Q119" s="1216"/>
      <c r="R119" s="1216"/>
      <c r="S119" s="1216"/>
      <c r="T119" s="1216">
        <v>2.0</v>
      </c>
      <c r="U119" s="1216">
        <v>4.0</v>
      </c>
      <c r="V119" s="1216"/>
      <c r="W119" s="1160"/>
      <c r="X119" s="1160"/>
      <c r="Y119" s="1160"/>
      <c r="Z119" s="1160"/>
      <c r="AA119" s="1160"/>
      <c r="AB119" s="1160"/>
      <c r="AC119" s="1160"/>
      <c r="AD119" s="1160"/>
      <c r="AE119" s="1160"/>
      <c r="AF119" s="1160"/>
      <c r="AG119" s="1160"/>
      <c r="AH119" s="1160"/>
      <c r="AI119" s="1160"/>
      <c r="AJ119" s="1160"/>
      <c r="AK119" s="1160"/>
      <c r="AL119" s="1160"/>
    </row>
    <row r="120" ht="15.0" customHeight="1">
      <c r="A120" s="1209" t="s">
        <v>1889</v>
      </c>
      <c r="B120" s="1209" t="s">
        <v>2007</v>
      </c>
      <c r="C120" s="1210">
        <v>9.0</v>
      </c>
      <c r="D120" s="1215">
        <v>0.0</v>
      </c>
      <c r="E120" s="1160"/>
      <c r="F120" s="1160"/>
      <c r="G120" s="1216">
        <v>15.0</v>
      </c>
      <c r="H120" s="1218">
        <v>44338.0</v>
      </c>
      <c r="I120" s="1217">
        <v>1080.0</v>
      </c>
      <c r="J120" s="1217">
        <v>600.0</v>
      </c>
      <c r="K120" s="1216">
        <v>200.0</v>
      </c>
      <c r="L120" s="1217">
        <v>160.0</v>
      </c>
      <c r="M120" s="1217">
        <v>950.0</v>
      </c>
      <c r="N120" s="1217">
        <v>22.0</v>
      </c>
      <c r="O120" s="1217">
        <v>30.0</v>
      </c>
      <c r="P120" s="1216"/>
      <c r="Q120" s="1216"/>
      <c r="R120" s="1216"/>
      <c r="S120" s="1216"/>
      <c r="T120" s="1216">
        <v>2.0</v>
      </c>
      <c r="U120" s="1216">
        <v>4.0</v>
      </c>
      <c r="V120" s="1216"/>
      <c r="W120" s="1160"/>
      <c r="X120" s="1160"/>
      <c r="Y120" s="1160"/>
      <c r="Z120" s="1160"/>
      <c r="AA120" s="1160"/>
      <c r="AB120" s="1160"/>
      <c r="AC120" s="1160"/>
      <c r="AD120" s="1160"/>
      <c r="AE120" s="1160"/>
      <c r="AF120" s="1160"/>
      <c r="AG120" s="1160"/>
      <c r="AH120" s="1160"/>
      <c r="AI120" s="1160"/>
      <c r="AJ120" s="1160"/>
      <c r="AK120" s="1160"/>
      <c r="AL120" s="1160"/>
    </row>
    <row r="121" ht="15.0" customHeight="1">
      <c r="A121" s="1209" t="s">
        <v>1889</v>
      </c>
      <c r="B121" s="1209" t="s">
        <v>2008</v>
      </c>
      <c r="C121" s="1210">
        <v>3.0</v>
      </c>
      <c r="D121" s="1215">
        <v>0.0</v>
      </c>
      <c r="E121" s="1160"/>
      <c r="F121" s="1160"/>
      <c r="G121" s="1216">
        <v>30.0</v>
      </c>
      <c r="H121" s="1216">
        <v>45.0</v>
      </c>
      <c r="I121" s="1217">
        <v>1100.0</v>
      </c>
      <c r="J121" s="1217">
        <v>600.0</v>
      </c>
      <c r="K121" s="1216">
        <v>200.0</v>
      </c>
      <c r="L121" s="1217">
        <v>200.0</v>
      </c>
      <c r="M121" s="1217">
        <v>1000.0</v>
      </c>
      <c r="N121" s="1217">
        <v>26.0</v>
      </c>
      <c r="O121" s="1217">
        <v>40.0</v>
      </c>
      <c r="P121" s="1216"/>
      <c r="Q121" s="1216"/>
      <c r="R121" s="1216"/>
      <c r="S121" s="1216"/>
      <c r="T121" s="1216">
        <v>4.0</v>
      </c>
      <c r="U121" s="1216">
        <v>8.0</v>
      </c>
      <c r="V121" s="1216"/>
      <c r="W121" s="1160"/>
      <c r="X121" s="1160"/>
      <c r="Y121" s="1160"/>
      <c r="Z121" s="1160"/>
      <c r="AA121" s="1160"/>
      <c r="AB121" s="1160"/>
      <c r="AC121" s="1160"/>
      <c r="AD121" s="1160"/>
      <c r="AE121" s="1160"/>
      <c r="AF121" s="1160"/>
      <c r="AG121" s="1160"/>
      <c r="AH121" s="1160"/>
      <c r="AI121" s="1160"/>
      <c r="AJ121" s="1160"/>
      <c r="AK121" s="1160"/>
      <c r="AL121" s="1160"/>
    </row>
    <row r="122" ht="15.0" customHeight="1">
      <c r="A122" s="1209" t="s">
        <v>1889</v>
      </c>
      <c r="B122" s="1209" t="s">
        <v>2009</v>
      </c>
      <c r="C122" s="1210">
        <v>24.0</v>
      </c>
      <c r="D122" s="1215">
        <v>0.0</v>
      </c>
      <c r="E122" s="1160"/>
      <c r="F122" s="1160"/>
      <c r="G122" s="1216">
        <v>60.0</v>
      </c>
      <c r="H122" s="1160">
        <v>75.0</v>
      </c>
      <c r="I122" s="1217">
        <v>1100.0</v>
      </c>
      <c r="J122" s="1217">
        <v>600.0</v>
      </c>
      <c r="K122" s="1216">
        <v>200.0</v>
      </c>
      <c r="L122" s="1217">
        <v>200.0</v>
      </c>
      <c r="M122" s="1217">
        <v>1000.0</v>
      </c>
      <c r="N122" s="1217">
        <v>22.0</v>
      </c>
      <c r="O122" s="1217">
        <v>30.0</v>
      </c>
      <c r="P122" s="1216"/>
      <c r="Q122" s="1216"/>
      <c r="R122" s="1216"/>
      <c r="S122" s="1216"/>
      <c r="T122" s="1216">
        <v>6.0</v>
      </c>
      <c r="U122" s="1216">
        <v>12.0</v>
      </c>
      <c r="V122" s="1216"/>
      <c r="W122" s="1160"/>
      <c r="X122" s="1160"/>
      <c r="Y122" s="1160"/>
      <c r="Z122" s="1160"/>
      <c r="AA122" s="1160"/>
      <c r="AB122" s="1160"/>
      <c r="AC122" s="1160"/>
      <c r="AD122" s="1160"/>
      <c r="AE122" s="1160"/>
      <c r="AF122" s="1160"/>
      <c r="AG122" s="1160"/>
      <c r="AH122" s="1160"/>
      <c r="AI122" s="1160"/>
      <c r="AJ122" s="1160"/>
      <c r="AK122" s="1160"/>
      <c r="AL122" s="1160"/>
    </row>
    <row r="123" ht="15.0" customHeight="1">
      <c r="A123" s="1209" t="s">
        <v>1889</v>
      </c>
      <c r="B123" s="1209" t="s">
        <v>2010</v>
      </c>
      <c r="C123" s="1210" t="s">
        <v>2011</v>
      </c>
      <c r="D123" s="1215">
        <v>0.0</v>
      </c>
      <c r="E123" s="1160"/>
      <c r="F123" s="1160"/>
      <c r="G123" s="1216">
        <v>50.0</v>
      </c>
      <c r="H123" s="1160">
        <v>60.0</v>
      </c>
      <c r="I123" s="1217">
        <v>1100.0</v>
      </c>
      <c r="J123" s="1217">
        <v>600.0</v>
      </c>
      <c r="K123" s="1216">
        <v>200.0</v>
      </c>
      <c r="L123" s="1217">
        <v>200.0</v>
      </c>
      <c r="M123" s="1217">
        <v>1000.0</v>
      </c>
      <c r="N123" s="1217">
        <v>30.0</v>
      </c>
      <c r="O123" s="1217">
        <v>40.0</v>
      </c>
      <c r="P123" s="1216"/>
      <c r="Q123" s="1216"/>
      <c r="R123" s="1216"/>
      <c r="S123" s="1216"/>
      <c r="T123" s="1216">
        <v>4.0</v>
      </c>
      <c r="U123" s="1216">
        <v>8.0</v>
      </c>
      <c r="V123" s="1216"/>
      <c r="W123" s="1160"/>
      <c r="X123" s="1160"/>
      <c r="Y123" s="1160"/>
      <c r="Z123" s="1160"/>
      <c r="AA123" s="1160"/>
      <c r="AB123" s="1160"/>
      <c r="AC123" s="1160"/>
      <c r="AD123" s="1160"/>
      <c r="AE123" s="1160"/>
      <c r="AF123" s="1160"/>
      <c r="AG123" s="1160"/>
      <c r="AH123" s="1160"/>
      <c r="AI123" s="1160"/>
      <c r="AJ123" s="1160"/>
      <c r="AK123" s="1160"/>
      <c r="AL123" s="1160"/>
    </row>
    <row r="124" ht="15.0" customHeight="1">
      <c r="A124" s="1209" t="s">
        <v>1889</v>
      </c>
      <c r="B124" s="1209" t="s">
        <v>2012</v>
      </c>
      <c r="C124" s="1210">
        <v>54.0</v>
      </c>
      <c r="D124" s="1215">
        <v>0.0</v>
      </c>
      <c r="E124" s="1160"/>
      <c r="F124" s="1160"/>
      <c r="G124" s="1216">
        <v>10.0</v>
      </c>
      <c r="H124" s="1216">
        <v>10.0</v>
      </c>
      <c r="I124" s="1216">
        <v>1100.0</v>
      </c>
      <c r="J124" s="1216">
        <v>600.0</v>
      </c>
      <c r="K124" s="1216">
        <v>200.0</v>
      </c>
      <c r="L124" s="1216">
        <v>470.0</v>
      </c>
      <c r="M124" s="1216">
        <v>850.0</v>
      </c>
      <c r="N124" s="1216">
        <v>13.5</v>
      </c>
      <c r="O124" s="1216">
        <v>19.5</v>
      </c>
      <c r="P124" s="1216"/>
      <c r="Q124" s="1216"/>
      <c r="R124" s="1216"/>
      <c r="S124" s="1216"/>
      <c r="T124" s="1216">
        <v>2.0</v>
      </c>
      <c r="U124" s="1216">
        <v>2.0</v>
      </c>
      <c r="V124" s="1216">
        <v>600.0</v>
      </c>
      <c r="W124" s="1160">
        <v>1000.0</v>
      </c>
      <c r="X124" s="1160">
        <v>16.7</v>
      </c>
      <c r="Y124" s="1160">
        <v>16.7</v>
      </c>
      <c r="Z124" s="1160"/>
      <c r="AA124" s="1160"/>
      <c r="AB124" s="1160"/>
      <c r="AC124" s="1160"/>
      <c r="AD124" s="1160"/>
      <c r="AE124" s="1160"/>
      <c r="AF124" s="1160"/>
      <c r="AG124" s="1160"/>
      <c r="AH124" s="1160"/>
      <c r="AI124" s="1160"/>
      <c r="AJ124" s="1160"/>
      <c r="AK124" s="1160"/>
      <c r="AL124" s="1160"/>
    </row>
    <row r="125" ht="15.0" customHeight="1">
      <c r="A125" s="1209"/>
      <c r="B125" s="1209"/>
      <c r="C125" s="1210"/>
      <c r="D125" s="1215"/>
      <c r="E125" s="1160"/>
      <c r="F125" s="1160"/>
      <c r="G125" s="1160"/>
      <c r="H125" s="1160"/>
      <c r="I125" s="1160"/>
      <c r="J125" s="1160"/>
      <c r="K125" s="1160"/>
      <c r="L125" s="1160"/>
      <c r="M125" s="1160"/>
      <c r="N125" s="1160"/>
      <c r="O125" s="1160"/>
      <c r="P125" s="1160"/>
      <c r="Q125" s="1160"/>
      <c r="R125" s="1160"/>
      <c r="S125" s="1160"/>
      <c r="T125" s="1160"/>
      <c r="U125" s="1160"/>
      <c r="V125" s="1160"/>
      <c r="W125" s="1160"/>
      <c r="X125" s="1160"/>
      <c r="Y125" s="1160"/>
      <c r="Z125" s="1160"/>
      <c r="AA125" s="1160"/>
      <c r="AB125" s="1160"/>
      <c r="AC125" s="1160"/>
      <c r="AD125" s="1160"/>
      <c r="AE125" s="1160"/>
      <c r="AF125" s="1160"/>
      <c r="AG125" s="1160"/>
      <c r="AH125" s="1160"/>
      <c r="AI125" s="1160"/>
      <c r="AJ125" s="1160"/>
      <c r="AK125" s="1160"/>
      <c r="AL125" s="1160"/>
    </row>
    <row r="126" ht="15.0" customHeight="1">
      <c r="A126" s="1209"/>
      <c r="B126" s="1209"/>
      <c r="C126" s="1210"/>
      <c r="D126" s="1215"/>
      <c r="E126" s="1160"/>
      <c r="F126" s="1160"/>
      <c r="G126" s="1160"/>
      <c r="H126" s="1160"/>
      <c r="I126" s="1160"/>
      <c r="J126" s="1160"/>
      <c r="K126" s="1160"/>
      <c r="L126" s="1160"/>
      <c r="M126" s="1160"/>
      <c r="N126" s="1160"/>
      <c r="O126" s="1160"/>
      <c r="P126" s="1160"/>
      <c r="Q126" s="1160"/>
      <c r="R126" s="1160"/>
      <c r="S126" s="1160"/>
      <c r="T126" s="1160"/>
      <c r="U126" s="1160"/>
      <c r="V126" s="1160"/>
      <c r="W126" s="1160"/>
      <c r="X126" s="1160"/>
      <c r="Y126" s="1160"/>
      <c r="Z126" s="1160"/>
      <c r="AA126" s="1160"/>
      <c r="AB126" s="1160"/>
      <c r="AC126" s="1160"/>
      <c r="AD126" s="1160"/>
      <c r="AE126" s="1160"/>
      <c r="AF126" s="1160"/>
      <c r="AG126" s="1160"/>
      <c r="AH126" s="1160"/>
      <c r="AI126" s="1160"/>
      <c r="AJ126" s="1160"/>
      <c r="AK126" s="1160"/>
      <c r="AL126" s="1160"/>
    </row>
    <row r="127" ht="15.0" customHeight="1">
      <c r="A127" s="1209" t="s">
        <v>1889</v>
      </c>
      <c r="B127" s="1209" t="s">
        <v>2013</v>
      </c>
      <c r="C127" s="1210"/>
      <c r="D127" s="1215">
        <v>0.0</v>
      </c>
      <c r="E127" s="1160"/>
      <c r="F127" s="1160"/>
      <c r="G127" s="1216">
        <v>3.0</v>
      </c>
      <c r="H127" s="1160">
        <v>3.0</v>
      </c>
      <c r="I127" s="1217"/>
      <c r="J127" s="1217">
        <v>450.0</v>
      </c>
      <c r="K127" s="1216"/>
      <c r="L127" s="1217">
        <v>60.0</v>
      </c>
      <c r="M127" s="1217">
        <v>400.0</v>
      </c>
      <c r="N127" s="1217">
        <v>13.0</v>
      </c>
      <c r="O127" s="1217">
        <v>13.0</v>
      </c>
      <c r="P127" s="1216"/>
      <c r="Q127" s="1216"/>
      <c r="R127" s="1216"/>
      <c r="S127" s="1216"/>
      <c r="T127" s="1216"/>
      <c r="U127" s="1216"/>
      <c r="V127" s="1216"/>
      <c r="W127" s="1160"/>
      <c r="X127" s="1160"/>
      <c r="Y127" s="1160"/>
      <c r="Z127" s="1160"/>
      <c r="AA127" s="1160"/>
      <c r="AB127" s="1160"/>
      <c r="AC127" s="1160"/>
      <c r="AD127" s="1160"/>
      <c r="AE127" s="1160"/>
      <c r="AF127" s="1160"/>
      <c r="AG127" s="1160"/>
      <c r="AH127" s="1160"/>
      <c r="AI127" s="1160"/>
      <c r="AJ127" s="1160"/>
      <c r="AK127" s="1160"/>
      <c r="AL127" s="1160"/>
    </row>
    <row r="128" ht="15.0" customHeight="1">
      <c r="A128" s="1209"/>
      <c r="B128" s="1209"/>
      <c r="C128" s="1210"/>
      <c r="D128" s="1215"/>
      <c r="E128" s="1160"/>
      <c r="F128" s="1160"/>
      <c r="G128" s="1160"/>
      <c r="H128" s="1160"/>
      <c r="I128" s="1160"/>
      <c r="J128" s="1160"/>
      <c r="K128" s="1160"/>
      <c r="L128" s="1160"/>
      <c r="M128" s="1160"/>
      <c r="N128" s="1160"/>
      <c r="O128" s="1160"/>
      <c r="P128" s="1160"/>
      <c r="Q128" s="1160"/>
      <c r="R128" s="1160"/>
      <c r="S128" s="1160"/>
      <c r="T128" s="1160"/>
      <c r="U128" s="1160"/>
      <c r="V128" s="1160"/>
      <c r="W128" s="1160"/>
      <c r="X128" s="1160"/>
      <c r="Y128" s="1160"/>
      <c r="Z128" s="1160"/>
      <c r="AA128" s="1160"/>
      <c r="AB128" s="1160"/>
      <c r="AC128" s="1160"/>
      <c r="AD128" s="1160"/>
      <c r="AE128" s="1160"/>
      <c r="AF128" s="1160"/>
      <c r="AG128" s="1160"/>
      <c r="AH128" s="1160"/>
      <c r="AI128" s="1160"/>
      <c r="AJ128" s="1160"/>
      <c r="AK128" s="1160"/>
      <c r="AL128" s="1160"/>
    </row>
    <row r="129" ht="15.0" customHeight="1">
      <c r="A129" s="1209"/>
      <c r="B129" s="1209"/>
      <c r="C129" s="1210"/>
      <c r="D129" s="1215"/>
      <c r="E129" s="1160"/>
      <c r="F129" s="1160"/>
      <c r="G129" s="1160"/>
      <c r="H129" s="1160"/>
      <c r="I129" s="1160"/>
      <c r="J129" s="1160"/>
      <c r="K129" s="1160"/>
      <c r="L129" s="1160"/>
      <c r="M129" s="1160"/>
      <c r="N129" s="1160"/>
      <c r="O129" s="1160"/>
      <c r="P129" s="1160"/>
      <c r="Q129" s="1160"/>
      <c r="R129" s="1160"/>
      <c r="S129" s="1160"/>
      <c r="T129" s="1160"/>
      <c r="U129" s="1160"/>
      <c r="V129" s="1160"/>
      <c r="W129" s="1160"/>
      <c r="X129" s="1160"/>
      <c r="Y129" s="1160"/>
      <c r="Z129" s="1160"/>
      <c r="AA129" s="1160"/>
      <c r="AB129" s="1160"/>
      <c r="AC129" s="1160"/>
      <c r="AD129" s="1160"/>
      <c r="AE129" s="1160"/>
      <c r="AF129" s="1160"/>
      <c r="AG129" s="1160"/>
      <c r="AH129" s="1160"/>
      <c r="AI129" s="1160"/>
      <c r="AJ129" s="1160"/>
      <c r="AK129" s="1160"/>
      <c r="AL129" s="1160"/>
    </row>
    <row r="130" ht="15.0" customHeight="1">
      <c r="A130" s="1209"/>
      <c r="B130" s="1209"/>
      <c r="C130" s="1210"/>
      <c r="D130" s="1215"/>
      <c r="E130" s="1160"/>
      <c r="F130" s="1160"/>
      <c r="G130" s="1160"/>
      <c r="H130" s="1160"/>
      <c r="I130" s="1160"/>
      <c r="J130" s="1160"/>
      <c r="K130" s="1160"/>
      <c r="L130" s="1160"/>
      <c r="M130" s="1160"/>
      <c r="N130" s="1160"/>
      <c r="O130" s="1160"/>
      <c r="P130" s="1160"/>
      <c r="Q130" s="1160"/>
      <c r="R130" s="1160"/>
      <c r="S130" s="1160"/>
      <c r="T130" s="1160"/>
      <c r="U130" s="1160"/>
      <c r="V130" s="1160"/>
      <c r="W130" s="1160"/>
      <c r="X130" s="1160"/>
      <c r="Y130" s="1160"/>
      <c r="Z130" s="1160"/>
      <c r="AA130" s="1160"/>
      <c r="AB130" s="1160"/>
      <c r="AC130" s="1160"/>
      <c r="AD130" s="1160"/>
      <c r="AE130" s="1160"/>
      <c r="AF130" s="1160"/>
      <c r="AG130" s="1160"/>
      <c r="AH130" s="1160"/>
      <c r="AI130" s="1160"/>
      <c r="AJ130" s="1160"/>
      <c r="AK130" s="1160"/>
      <c r="AL130" s="1160"/>
    </row>
    <row r="131" ht="15.0" customHeight="1">
      <c r="A131" s="1209"/>
      <c r="B131" s="1209"/>
      <c r="C131" s="1210"/>
      <c r="D131" s="1215"/>
      <c r="E131" s="1160"/>
      <c r="F131" s="1160"/>
      <c r="G131" s="1160"/>
      <c r="H131" s="1160"/>
      <c r="I131" s="1160"/>
      <c r="J131" s="1160"/>
      <c r="K131" s="1160"/>
      <c r="L131" s="1160"/>
      <c r="M131" s="1160"/>
      <c r="N131" s="1160"/>
      <c r="O131" s="1160"/>
      <c r="P131" s="1160"/>
      <c r="Q131" s="1160"/>
      <c r="R131" s="1160"/>
      <c r="S131" s="1160"/>
      <c r="T131" s="1160"/>
      <c r="U131" s="1160"/>
      <c r="V131" s="1160"/>
      <c r="W131" s="1160"/>
      <c r="X131" s="1160"/>
      <c r="Y131" s="1160"/>
      <c r="Z131" s="1160"/>
      <c r="AA131" s="1160"/>
      <c r="AB131" s="1160"/>
      <c r="AC131" s="1160"/>
      <c r="AD131" s="1160"/>
      <c r="AE131" s="1160"/>
      <c r="AF131" s="1160"/>
      <c r="AG131" s="1160"/>
      <c r="AH131" s="1160"/>
      <c r="AI131" s="1160"/>
      <c r="AJ131" s="1160"/>
      <c r="AK131" s="1160"/>
      <c r="AL131" s="1160"/>
    </row>
    <row r="132" ht="15.0" customHeight="1">
      <c r="A132" s="1209"/>
      <c r="B132" s="1209"/>
      <c r="C132" s="1210"/>
      <c r="D132" s="1215"/>
      <c r="E132" s="1160"/>
      <c r="F132" s="1160"/>
      <c r="G132" s="1160"/>
      <c r="H132" s="1160"/>
      <c r="I132" s="1160"/>
      <c r="J132" s="1160"/>
      <c r="K132" s="1160"/>
      <c r="L132" s="1160"/>
      <c r="M132" s="1160"/>
      <c r="N132" s="1160"/>
      <c r="O132" s="1160"/>
      <c r="P132" s="1160"/>
      <c r="Q132" s="1160"/>
      <c r="R132" s="1160"/>
      <c r="S132" s="1160"/>
      <c r="T132" s="1160"/>
      <c r="U132" s="1160"/>
      <c r="V132" s="1160"/>
      <c r="W132" s="1160"/>
      <c r="X132" s="1160"/>
      <c r="Y132" s="1160"/>
      <c r="Z132" s="1160"/>
      <c r="AA132" s="1160"/>
      <c r="AB132" s="1160"/>
      <c r="AC132" s="1160"/>
      <c r="AD132" s="1160"/>
      <c r="AE132" s="1160"/>
      <c r="AF132" s="1160"/>
      <c r="AG132" s="1160"/>
      <c r="AH132" s="1160"/>
      <c r="AI132" s="1160"/>
      <c r="AJ132" s="1160"/>
      <c r="AK132" s="1160"/>
      <c r="AL132" s="1160"/>
    </row>
    <row r="133" ht="15.0" customHeight="1">
      <c r="A133" s="1209"/>
      <c r="B133" s="1209"/>
      <c r="C133" s="1210"/>
      <c r="D133" s="1215"/>
      <c r="E133" s="1160"/>
      <c r="F133" s="1160"/>
      <c r="G133" s="1160"/>
      <c r="H133" s="1160"/>
      <c r="I133" s="1160"/>
      <c r="J133" s="1160"/>
      <c r="K133" s="1160"/>
      <c r="L133" s="1160"/>
      <c r="M133" s="1160"/>
      <c r="N133" s="1160"/>
      <c r="O133" s="1160"/>
      <c r="P133" s="1160"/>
      <c r="Q133" s="1160"/>
      <c r="R133" s="1160"/>
      <c r="S133" s="1160"/>
      <c r="T133" s="1160"/>
      <c r="U133" s="1160"/>
      <c r="V133" s="1160"/>
      <c r="W133" s="1160"/>
      <c r="X133" s="1160"/>
      <c r="Y133" s="1160"/>
      <c r="Z133" s="1160"/>
      <c r="AA133" s="1160"/>
      <c r="AB133" s="1160"/>
      <c r="AC133" s="1160"/>
      <c r="AD133" s="1160"/>
      <c r="AE133" s="1160"/>
      <c r="AF133" s="1160"/>
      <c r="AG133" s="1160"/>
      <c r="AH133" s="1160"/>
      <c r="AI133" s="1160"/>
      <c r="AJ133" s="1160"/>
      <c r="AK133" s="1160"/>
      <c r="AL133" s="1160"/>
    </row>
    <row r="134" ht="15.0" customHeight="1">
      <c r="A134" s="1209"/>
      <c r="B134" s="1209"/>
      <c r="C134" s="1210"/>
      <c r="D134" s="1215"/>
      <c r="E134" s="1160"/>
      <c r="F134" s="1160"/>
      <c r="G134" s="1160"/>
      <c r="H134" s="1160"/>
      <c r="I134" s="1160"/>
      <c r="J134" s="1160"/>
      <c r="K134" s="1160"/>
      <c r="L134" s="1160"/>
      <c r="M134" s="1160"/>
      <c r="N134" s="1160"/>
      <c r="O134" s="1160"/>
      <c r="P134" s="1160"/>
      <c r="Q134" s="1160"/>
      <c r="R134" s="1160"/>
      <c r="S134" s="1160"/>
      <c r="T134" s="1160"/>
      <c r="U134" s="1160"/>
      <c r="V134" s="1160"/>
      <c r="W134" s="1160"/>
      <c r="X134" s="1160"/>
      <c r="Y134" s="1160"/>
      <c r="Z134" s="1160"/>
      <c r="AA134" s="1160"/>
      <c r="AB134" s="1160"/>
      <c r="AC134" s="1160"/>
      <c r="AD134" s="1160"/>
      <c r="AE134" s="1160"/>
      <c r="AF134" s="1160"/>
      <c r="AG134" s="1160"/>
      <c r="AH134" s="1160"/>
      <c r="AI134" s="1160"/>
      <c r="AJ134" s="1160"/>
      <c r="AK134" s="1160"/>
      <c r="AL134" s="1160"/>
    </row>
    <row r="135" ht="15.0" customHeight="1">
      <c r="A135" s="1209"/>
      <c r="B135" s="1209"/>
      <c r="C135" s="1210"/>
      <c r="D135" s="1215"/>
      <c r="E135" s="1160"/>
      <c r="F135" s="1160"/>
      <c r="G135" s="1160"/>
      <c r="H135" s="1160"/>
      <c r="I135" s="1160"/>
      <c r="J135" s="1160"/>
      <c r="K135" s="1160"/>
      <c r="L135" s="1160"/>
      <c r="M135" s="1160"/>
      <c r="N135" s="1160"/>
      <c r="O135" s="1160"/>
      <c r="P135" s="1160"/>
      <c r="Q135" s="1160"/>
      <c r="R135" s="1160"/>
      <c r="S135" s="1160"/>
      <c r="T135" s="1160"/>
      <c r="U135" s="1160"/>
      <c r="V135" s="1160"/>
      <c r="W135" s="1160"/>
      <c r="X135" s="1160"/>
      <c r="Y135" s="1160"/>
      <c r="Z135" s="1160"/>
      <c r="AA135" s="1160"/>
      <c r="AB135" s="1160"/>
      <c r="AC135" s="1160"/>
      <c r="AD135" s="1160"/>
      <c r="AE135" s="1160"/>
      <c r="AF135" s="1160"/>
      <c r="AG135" s="1160"/>
      <c r="AH135" s="1160"/>
      <c r="AI135" s="1160"/>
      <c r="AJ135" s="1160"/>
      <c r="AK135" s="1160"/>
      <c r="AL135" s="1160"/>
    </row>
    <row r="136" ht="15.0" customHeight="1">
      <c r="A136" s="1209"/>
      <c r="B136" s="1209"/>
      <c r="C136" s="1210"/>
      <c r="D136" s="1215"/>
      <c r="E136" s="1160"/>
      <c r="F136" s="1160"/>
      <c r="G136" s="1160"/>
      <c r="H136" s="1160"/>
      <c r="I136" s="1160"/>
      <c r="J136" s="1160"/>
      <c r="K136" s="1160"/>
      <c r="L136" s="1160"/>
      <c r="M136" s="1160"/>
      <c r="N136" s="1160"/>
      <c r="O136" s="1160"/>
      <c r="P136" s="1160"/>
      <c r="Q136" s="1160"/>
      <c r="R136" s="1160"/>
      <c r="S136" s="1160"/>
      <c r="T136" s="1160"/>
      <c r="U136" s="1160"/>
      <c r="V136" s="1160"/>
      <c r="W136" s="1160"/>
      <c r="X136" s="1160"/>
      <c r="Y136" s="1160"/>
      <c r="Z136" s="1160"/>
      <c r="AA136" s="1160"/>
      <c r="AB136" s="1160"/>
      <c r="AC136" s="1160"/>
      <c r="AD136" s="1160"/>
      <c r="AE136" s="1160"/>
      <c r="AF136" s="1160"/>
      <c r="AG136" s="1160"/>
      <c r="AH136" s="1160"/>
      <c r="AI136" s="1160"/>
      <c r="AJ136" s="1160"/>
      <c r="AK136" s="1160"/>
      <c r="AL136" s="1160"/>
    </row>
    <row r="137" ht="15.0" customHeight="1">
      <c r="A137" s="1209"/>
      <c r="B137" s="1209"/>
      <c r="C137" s="1210"/>
      <c r="D137" s="1215"/>
      <c r="E137" s="1160"/>
      <c r="F137" s="1160"/>
      <c r="G137" s="1160"/>
      <c r="H137" s="1160"/>
      <c r="I137" s="1160"/>
      <c r="J137" s="1160"/>
      <c r="K137" s="1160"/>
      <c r="L137" s="1160"/>
      <c r="M137" s="1160"/>
      <c r="N137" s="1160"/>
      <c r="O137" s="1160"/>
      <c r="P137" s="1160"/>
      <c r="Q137" s="1160"/>
      <c r="R137" s="1160"/>
      <c r="S137" s="1160"/>
      <c r="T137" s="1160"/>
      <c r="U137" s="1160"/>
      <c r="V137" s="1160"/>
      <c r="W137" s="1160"/>
      <c r="X137" s="1160"/>
      <c r="Y137" s="1160"/>
      <c r="Z137" s="1160"/>
      <c r="AA137" s="1160"/>
      <c r="AB137" s="1160"/>
      <c r="AC137" s="1160"/>
      <c r="AD137" s="1160"/>
      <c r="AE137" s="1160"/>
      <c r="AF137" s="1160"/>
      <c r="AG137" s="1160"/>
      <c r="AH137" s="1160"/>
      <c r="AI137" s="1160"/>
      <c r="AJ137" s="1160"/>
      <c r="AK137" s="1160"/>
      <c r="AL137" s="1160"/>
    </row>
    <row r="138" ht="15.0" customHeight="1">
      <c r="A138" s="1209"/>
      <c r="B138" s="1209"/>
      <c r="C138" s="1210"/>
      <c r="D138" s="1215"/>
      <c r="E138" s="1160"/>
      <c r="F138" s="1160"/>
      <c r="G138" s="1160"/>
      <c r="H138" s="1160"/>
      <c r="I138" s="1160"/>
      <c r="J138" s="1160"/>
      <c r="K138" s="1160"/>
      <c r="L138" s="1160"/>
      <c r="M138" s="1160"/>
      <c r="N138" s="1160"/>
      <c r="O138" s="1160"/>
      <c r="P138" s="1160"/>
      <c r="Q138" s="1160"/>
      <c r="R138" s="1160"/>
      <c r="S138" s="1160"/>
      <c r="T138" s="1160"/>
      <c r="U138" s="1160"/>
      <c r="V138" s="1160"/>
      <c r="W138" s="1160"/>
      <c r="X138" s="1160"/>
      <c r="Y138" s="1160"/>
      <c r="Z138" s="1160"/>
      <c r="AA138" s="1160"/>
      <c r="AB138" s="1160"/>
      <c r="AC138" s="1160"/>
      <c r="AD138" s="1160"/>
      <c r="AE138" s="1160"/>
      <c r="AF138" s="1160"/>
      <c r="AG138" s="1160"/>
      <c r="AH138" s="1160"/>
      <c r="AI138" s="1160"/>
      <c r="AJ138" s="1160"/>
      <c r="AK138" s="1160"/>
      <c r="AL138" s="1160"/>
    </row>
    <row r="139" ht="15.0" customHeight="1">
      <c r="A139" s="1209"/>
      <c r="B139" s="1209"/>
      <c r="C139" s="1210"/>
      <c r="D139" s="1215"/>
      <c r="E139" s="1160"/>
      <c r="F139" s="1160"/>
      <c r="G139" s="1160"/>
      <c r="H139" s="1160"/>
      <c r="I139" s="1160"/>
      <c r="J139" s="1160"/>
      <c r="K139" s="1160"/>
      <c r="L139" s="1160"/>
      <c r="M139" s="1160"/>
      <c r="N139" s="1160"/>
      <c r="O139" s="1160"/>
      <c r="P139" s="1160"/>
      <c r="Q139" s="1160"/>
      <c r="R139" s="1160"/>
      <c r="S139" s="1160"/>
      <c r="T139" s="1160"/>
      <c r="U139" s="1160"/>
      <c r="V139" s="1160"/>
      <c r="W139" s="1160"/>
      <c r="X139" s="1160"/>
      <c r="Y139" s="1160"/>
      <c r="Z139" s="1160"/>
      <c r="AA139" s="1160"/>
      <c r="AB139" s="1160"/>
      <c r="AC139" s="1160"/>
      <c r="AD139" s="1160"/>
      <c r="AE139" s="1160"/>
      <c r="AF139" s="1160"/>
      <c r="AG139" s="1160"/>
      <c r="AH139" s="1160"/>
      <c r="AI139" s="1160"/>
      <c r="AJ139" s="1160"/>
      <c r="AK139" s="1160"/>
      <c r="AL139" s="1160"/>
    </row>
    <row r="140" ht="15.0" customHeight="1">
      <c r="A140" s="1209"/>
      <c r="B140" s="1209"/>
      <c r="C140" s="1210"/>
      <c r="D140" s="1215"/>
      <c r="E140" s="1160"/>
      <c r="F140" s="1160"/>
      <c r="G140" s="1160"/>
      <c r="H140" s="1160"/>
      <c r="I140" s="1160"/>
      <c r="J140" s="1160"/>
      <c r="K140" s="1160"/>
      <c r="L140" s="1160"/>
      <c r="M140" s="1160"/>
      <c r="N140" s="1160"/>
      <c r="O140" s="1160"/>
      <c r="P140" s="1160"/>
      <c r="Q140" s="1160"/>
      <c r="R140" s="1160"/>
      <c r="S140" s="1160"/>
      <c r="T140" s="1160"/>
      <c r="U140" s="1160"/>
      <c r="V140" s="1160"/>
      <c r="W140" s="1160"/>
      <c r="X140" s="1160"/>
      <c r="Y140" s="1160"/>
      <c r="Z140" s="1160"/>
      <c r="AA140" s="1160"/>
      <c r="AB140" s="1160"/>
      <c r="AC140" s="1160"/>
      <c r="AD140" s="1160"/>
      <c r="AE140" s="1160"/>
      <c r="AF140" s="1160"/>
      <c r="AG140" s="1160"/>
      <c r="AH140" s="1160"/>
      <c r="AI140" s="1160"/>
      <c r="AJ140" s="1160"/>
      <c r="AK140" s="1160"/>
      <c r="AL140" s="1160"/>
    </row>
    <row r="141" ht="15.0" customHeight="1">
      <c r="A141" s="1209"/>
      <c r="B141" s="1209"/>
      <c r="C141" s="1210"/>
      <c r="D141" s="1215"/>
      <c r="E141" s="1160"/>
      <c r="F141" s="1160"/>
      <c r="G141" s="1160"/>
      <c r="H141" s="1160"/>
      <c r="I141" s="1160"/>
      <c r="J141" s="1160"/>
      <c r="K141" s="1160"/>
      <c r="L141" s="1160"/>
      <c r="M141" s="1160"/>
      <c r="N141" s="1160"/>
      <c r="O141" s="1160"/>
      <c r="P141" s="1160"/>
      <c r="Q141" s="1160"/>
      <c r="R141" s="1160"/>
      <c r="S141" s="1160"/>
      <c r="T141" s="1160"/>
      <c r="U141" s="1160"/>
      <c r="V141" s="1160"/>
      <c r="W141" s="1160"/>
      <c r="X141" s="1160"/>
      <c r="Y141" s="1160"/>
      <c r="Z141" s="1160"/>
      <c r="AA141" s="1160"/>
      <c r="AB141" s="1160"/>
      <c r="AC141" s="1160"/>
      <c r="AD141" s="1160"/>
      <c r="AE141" s="1160"/>
      <c r="AF141" s="1160"/>
      <c r="AG141" s="1160"/>
      <c r="AH141" s="1160"/>
      <c r="AI141" s="1160"/>
      <c r="AJ141" s="1160"/>
      <c r="AK141" s="1160"/>
      <c r="AL141" s="1160"/>
    </row>
    <row r="142" ht="15.0" customHeight="1">
      <c r="A142" s="1209"/>
      <c r="B142" s="1209"/>
      <c r="C142" s="1210"/>
      <c r="D142" s="1215"/>
      <c r="E142" s="1160"/>
      <c r="F142" s="1160"/>
      <c r="G142" s="1160"/>
      <c r="H142" s="1160"/>
      <c r="I142" s="1160"/>
      <c r="J142" s="1160"/>
      <c r="K142" s="1160"/>
      <c r="L142" s="1160"/>
      <c r="M142" s="1160"/>
      <c r="N142" s="1160"/>
      <c r="O142" s="1160"/>
      <c r="P142" s="1160"/>
      <c r="Q142" s="1160"/>
      <c r="R142" s="1160"/>
      <c r="S142" s="1160"/>
      <c r="T142" s="1160"/>
      <c r="U142" s="1160"/>
      <c r="V142" s="1160"/>
      <c r="W142" s="1160"/>
      <c r="X142" s="1160"/>
      <c r="Y142" s="1160"/>
      <c r="Z142" s="1160"/>
      <c r="AA142" s="1160"/>
      <c r="AB142" s="1160"/>
      <c r="AC142" s="1160"/>
      <c r="AD142" s="1160"/>
      <c r="AE142" s="1160"/>
      <c r="AF142" s="1160"/>
      <c r="AG142" s="1160"/>
      <c r="AH142" s="1160"/>
      <c r="AI142" s="1160"/>
      <c r="AJ142" s="1160"/>
      <c r="AK142" s="1160"/>
      <c r="AL142" s="1160"/>
    </row>
    <row r="143" ht="15.0" customHeight="1">
      <c r="A143" s="1209"/>
      <c r="B143" s="1209"/>
      <c r="C143" s="1210"/>
      <c r="D143" s="1215"/>
      <c r="E143" s="1160"/>
      <c r="F143" s="1160"/>
      <c r="G143" s="1160"/>
      <c r="H143" s="1160"/>
      <c r="I143" s="1160"/>
      <c r="J143" s="1160"/>
      <c r="K143" s="1160"/>
      <c r="L143" s="1160"/>
      <c r="M143" s="1160"/>
      <c r="N143" s="1160"/>
      <c r="O143" s="1160"/>
      <c r="P143" s="1160"/>
      <c r="Q143" s="1160"/>
      <c r="R143" s="1160"/>
      <c r="S143" s="1160"/>
      <c r="T143" s="1160"/>
      <c r="U143" s="1160"/>
      <c r="V143" s="1160"/>
      <c r="W143" s="1160"/>
      <c r="X143" s="1160"/>
      <c r="Y143" s="1160"/>
      <c r="Z143" s="1160"/>
      <c r="AA143" s="1160"/>
      <c r="AB143" s="1160"/>
      <c r="AC143" s="1160"/>
      <c r="AD143" s="1160"/>
      <c r="AE143" s="1160"/>
      <c r="AF143" s="1160"/>
      <c r="AG143" s="1160"/>
      <c r="AH143" s="1160"/>
      <c r="AI143" s="1160"/>
      <c r="AJ143" s="1160"/>
      <c r="AK143" s="1160"/>
      <c r="AL143" s="1160"/>
    </row>
    <row r="144" ht="15.0" customHeight="1">
      <c r="A144" s="1209"/>
      <c r="B144" s="1209"/>
      <c r="C144" s="1210"/>
      <c r="D144" s="1215"/>
      <c r="E144" s="1160"/>
      <c r="F144" s="1160"/>
      <c r="G144" s="1160"/>
      <c r="H144" s="1160"/>
      <c r="I144" s="1160"/>
      <c r="J144" s="1160"/>
      <c r="K144" s="1160"/>
      <c r="L144" s="1160"/>
      <c r="M144" s="1160"/>
      <c r="N144" s="1160"/>
      <c r="O144" s="1160"/>
      <c r="P144" s="1160"/>
      <c r="Q144" s="1160"/>
      <c r="R144" s="1160"/>
      <c r="S144" s="1160"/>
      <c r="T144" s="1160"/>
      <c r="U144" s="1160"/>
      <c r="V144" s="1160"/>
      <c r="W144" s="1160"/>
      <c r="X144" s="1160"/>
      <c r="Y144" s="1160"/>
      <c r="Z144" s="1160"/>
      <c r="AA144" s="1160"/>
      <c r="AB144" s="1160"/>
      <c r="AC144" s="1160"/>
      <c r="AD144" s="1160"/>
      <c r="AE144" s="1160"/>
      <c r="AF144" s="1160"/>
      <c r="AG144" s="1160"/>
      <c r="AH144" s="1160"/>
      <c r="AI144" s="1160"/>
      <c r="AJ144" s="1160"/>
      <c r="AK144" s="1160"/>
      <c r="AL144" s="1160"/>
    </row>
    <row r="145" ht="15.0" customHeight="1">
      <c r="A145" s="1209"/>
      <c r="B145" s="1209"/>
      <c r="C145" s="1210"/>
      <c r="D145" s="1215"/>
      <c r="E145" s="1160"/>
      <c r="F145" s="1160"/>
      <c r="G145" s="1160"/>
      <c r="H145" s="1160"/>
      <c r="I145" s="1160"/>
      <c r="J145" s="1160"/>
      <c r="K145" s="1160"/>
      <c r="L145" s="1160"/>
      <c r="M145" s="1160"/>
      <c r="N145" s="1160"/>
      <c r="O145" s="1160"/>
      <c r="P145" s="1160"/>
      <c r="Q145" s="1160"/>
      <c r="R145" s="1160"/>
      <c r="S145" s="1160"/>
      <c r="T145" s="1160"/>
      <c r="U145" s="1160"/>
      <c r="V145" s="1160"/>
      <c r="W145" s="1160"/>
      <c r="X145" s="1160"/>
      <c r="Y145" s="1160"/>
      <c r="Z145" s="1160"/>
      <c r="AA145" s="1160"/>
      <c r="AB145" s="1160"/>
      <c r="AC145" s="1160"/>
      <c r="AD145" s="1160"/>
      <c r="AE145" s="1160"/>
      <c r="AF145" s="1160"/>
      <c r="AG145" s="1160"/>
      <c r="AH145" s="1160"/>
      <c r="AI145" s="1160"/>
      <c r="AJ145" s="1160"/>
      <c r="AK145" s="1160"/>
      <c r="AL145" s="1160"/>
    </row>
    <row r="146" ht="15.0" customHeight="1">
      <c r="A146" s="1209"/>
      <c r="B146" s="1209"/>
      <c r="C146" s="1210"/>
      <c r="D146" s="1215"/>
      <c r="E146" s="1160"/>
      <c r="F146" s="1160"/>
      <c r="G146" s="1160"/>
      <c r="H146" s="1160"/>
      <c r="I146" s="1160"/>
      <c r="J146" s="1160"/>
      <c r="K146" s="1160"/>
      <c r="L146" s="1160"/>
      <c r="M146" s="1160"/>
      <c r="N146" s="1160"/>
      <c r="O146" s="1160"/>
      <c r="P146" s="1160"/>
      <c r="Q146" s="1160"/>
      <c r="R146" s="1160"/>
      <c r="S146" s="1160"/>
      <c r="T146" s="1160"/>
      <c r="U146" s="1160"/>
      <c r="V146" s="1160"/>
      <c r="W146" s="1160"/>
      <c r="X146" s="1160"/>
      <c r="Y146" s="1160"/>
      <c r="Z146" s="1160"/>
      <c r="AA146" s="1160"/>
      <c r="AB146" s="1160"/>
      <c r="AC146" s="1160"/>
      <c r="AD146" s="1160"/>
      <c r="AE146" s="1160"/>
      <c r="AF146" s="1160"/>
      <c r="AG146" s="1160"/>
      <c r="AH146" s="1160"/>
      <c r="AI146" s="1160"/>
      <c r="AJ146" s="1160"/>
      <c r="AK146" s="1160"/>
      <c r="AL146" s="1160"/>
    </row>
    <row r="147" ht="15.0" customHeight="1">
      <c r="A147" s="1209"/>
      <c r="B147" s="1209"/>
      <c r="C147" s="1210"/>
      <c r="D147" s="1215"/>
      <c r="E147" s="1160"/>
      <c r="F147" s="1160"/>
      <c r="G147" s="1160"/>
      <c r="H147" s="1160"/>
      <c r="I147" s="1160"/>
      <c r="J147" s="1160"/>
      <c r="K147" s="1160"/>
      <c r="L147" s="1160"/>
      <c r="M147" s="1160"/>
      <c r="N147" s="1160"/>
      <c r="O147" s="1160"/>
      <c r="P147" s="1160"/>
      <c r="Q147" s="1160"/>
      <c r="R147" s="1160"/>
      <c r="S147" s="1160"/>
      <c r="T147" s="1160"/>
      <c r="U147" s="1160"/>
      <c r="V147" s="1160"/>
      <c r="W147" s="1160"/>
      <c r="X147" s="1160"/>
      <c r="Y147" s="1160"/>
      <c r="Z147" s="1160"/>
      <c r="AA147" s="1160"/>
      <c r="AB147" s="1160"/>
      <c r="AC147" s="1160"/>
      <c r="AD147" s="1160"/>
      <c r="AE147" s="1160"/>
      <c r="AF147" s="1160"/>
      <c r="AG147" s="1160"/>
      <c r="AH147" s="1160"/>
      <c r="AI147" s="1160"/>
      <c r="AJ147" s="1160"/>
      <c r="AK147" s="1160"/>
      <c r="AL147" s="1160"/>
    </row>
    <row r="148" ht="15.0" customHeight="1">
      <c r="A148" s="1209"/>
      <c r="B148" s="1209"/>
      <c r="C148" s="1210"/>
      <c r="D148" s="1215"/>
      <c r="E148" s="1160"/>
      <c r="F148" s="1160"/>
      <c r="G148" s="1160"/>
      <c r="H148" s="1160"/>
      <c r="I148" s="1160"/>
      <c r="J148" s="1160"/>
      <c r="K148" s="1160"/>
      <c r="L148" s="1160"/>
      <c r="M148" s="1160"/>
      <c r="N148" s="1160"/>
      <c r="O148" s="1160"/>
      <c r="P148" s="1160"/>
      <c r="Q148" s="1160"/>
      <c r="R148" s="1160"/>
      <c r="S148" s="1160"/>
      <c r="T148" s="1160"/>
      <c r="U148" s="1160"/>
      <c r="V148" s="1160"/>
      <c r="W148" s="1160"/>
      <c r="X148" s="1160"/>
      <c r="Y148" s="1160"/>
      <c r="Z148" s="1160"/>
      <c r="AA148" s="1160"/>
      <c r="AB148" s="1160"/>
      <c r="AC148" s="1160"/>
      <c r="AD148" s="1160"/>
      <c r="AE148" s="1160"/>
      <c r="AF148" s="1160"/>
      <c r="AG148" s="1160"/>
      <c r="AH148" s="1160"/>
      <c r="AI148" s="1160"/>
      <c r="AJ148" s="1160"/>
      <c r="AK148" s="1160"/>
      <c r="AL148" s="1160"/>
    </row>
    <row r="149" ht="15.0" customHeight="1">
      <c r="A149" s="1209"/>
      <c r="B149" s="1209"/>
      <c r="C149" s="1210"/>
      <c r="D149" s="1215"/>
      <c r="E149" s="1160"/>
      <c r="F149" s="1160"/>
      <c r="G149" s="1160"/>
      <c r="H149" s="1160"/>
      <c r="I149" s="1160"/>
      <c r="J149" s="1160"/>
      <c r="K149" s="1160"/>
      <c r="L149" s="1160"/>
      <c r="M149" s="1160"/>
      <c r="N149" s="1160"/>
      <c r="O149" s="1160"/>
      <c r="P149" s="1160"/>
      <c r="Q149" s="1160"/>
      <c r="R149" s="1160"/>
      <c r="S149" s="1160"/>
      <c r="T149" s="1160"/>
      <c r="U149" s="1160"/>
      <c r="V149" s="1160"/>
      <c r="W149" s="1160"/>
      <c r="X149" s="1160"/>
      <c r="Y149" s="1160"/>
      <c r="Z149" s="1160"/>
      <c r="AA149" s="1160"/>
      <c r="AB149" s="1160"/>
      <c r="AC149" s="1160"/>
      <c r="AD149" s="1160"/>
      <c r="AE149" s="1160"/>
      <c r="AF149" s="1160"/>
      <c r="AG149" s="1160"/>
      <c r="AH149" s="1160"/>
      <c r="AI149" s="1160"/>
      <c r="AJ149" s="1160"/>
      <c r="AK149" s="1160"/>
      <c r="AL149" s="1160"/>
    </row>
    <row r="150" ht="15.0" customHeight="1">
      <c r="A150" s="1209"/>
      <c r="B150" s="1209"/>
      <c r="C150" s="1210"/>
      <c r="D150" s="1215"/>
      <c r="E150" s="1160"/>
      <c r="F150" s="1160"/>
      <c r="G150" s="1160"/>
      <c r="H150" s="1160"/>
      <c r="I150" s="1160"/>
      <c r="J150" s="1160"/>
      <c r="K150" s="1160"/>
      <c r="L150" s="1160"/>
      <c r="M150" s="1160"/>
      <c r="N150" s="1160"/>
      <c r="O150" s="1160"/>
      <c r="P150" s="1160"/>
      <c r="Q150" s="1160"/>
      <c r="R150" s="1160"/>
      <c r="S150" s="1160"/>
      <c r="T150" s="1160"/>
      <c r="U150" s="1160"/>
      <c r="V150" s="1160"/>
      <c r="W150" s="1160"/>
      <c r="X150" s="1160"/>
      <c r="Y150" s="1160"/>
      <c r="Z150" s="1160"/>
      <c r="AA150" s="1160"/>
      <c r="AB150" s="1160"/>
      <c r="AC150" s="1160"/>
      <c r="AD150" s="1160"/>
      <c r="AE150" s="1160"/>
      <c r="AF150" s="1160"/>
      <c r="AG150" s="1160"/>
      <c r="AH150" s="1160"/>
      <c r="AI150" s="1160"/>
      <c r="AJ150" s="1160"/>
      <c r="AK150" s="1160"/>
      <c r="AL150" s="1160"/>
    </row>
    <row r="151" ht="15.0" customHeight="1">
      <c r="A151" s="1209"/>
      <c r="B151" s="1209"/>
      <c r="C151" s="1210"/>
      <c r="D151" s="1215"/>
      <c r="E151" s="1160"/>
      <c r="F151" s="1160"/>
      <c r="G151" s="1160"/>
      <c r="H151" s="1160"/>
      <c r="I151" s="1160"/>
      <c r="J151" s="1160"/>
      <c r="K151" s="1160"/>
      <c r="L151" s="1160"/>
      <c r="M151" s="1160"/>
      <c r="N151" s="1160"/>
      <c r="O151" s="1160"/>
      <c r="P151" s="1160"/>
      <c r="Q151" s="1160"/>
      <c r="R151" s="1160"/>
      <c r="S151" s="1160"/>
      <c r="T151" s="1160"/>
      <c r="U151" s="1160"/>
      <c r="V151" s="1160"/>
      <c r="W151" s="1160"/>
      <c r="X151" s="1160"/>
      <c r="Y151" s="1160"/>
      <c r="Z151" s="1160"/>
      <c r="AA151" s="1160"/>
      <c r="AB151" s="1160"/>
      <c r="AC151" s="1160"/>
      <c r="AD151" s="1160"/>
      <c r="AE151" s="1160"/>
      <c r="AF151" s="1160"/>
      <c r="AG151" s="1160"/>
      <c r="AH151" s="1160"/>
      <c r="AI151" s="1160"/>
      <c r="AJ151" s="1160"/>
      <c r="AK151" s="1160"/>
      <c r="AL151" s="1160"/>
    </row>
    <row r="152" ht="15.0" customHeight="1">
      <c r="A152" s="1209"/>
      <c r="B152" s="1209"/>
      <c r="C152" s="1210"/>
      <c r="D152" s="1215"/>
      <c r="E152" s="1160"/>
      <c r="F152" s="1160"/>
      <c r="G152" s="1160"/>
      <c r="H152" s="1160"/>
      <c r="I152" s="1160"/>
      <c r="J152" s="1160"/>
      <c r="K152" s="1160"/>
      <c r="L152" s="1160"/>
      <c r="M152" s="1160"/>
      <c r="N152" s="1160"/>
      <c r="O152" s="1160"/>
      <c r="P152" s="1160"/>
      <c r="Q152" s="1160"/>
      <c r="R152" s="1160"/>
      <c r="S152" s="1160"/>
      <c r="T152" s="1160"/>
      <c r="U152" s="1160"/>
      <c r="V152" s="1160"/>
      <c r="W152" s="1160"/>
      <c r="X152" s="1160"/>
      <c r="Y152" s="1160"/>
      <c r="Z152" s="1160"/>
      <c r="AA152" s="1160"/>
      <c r="AB152" s="1160"/>
      <c r="AC152" s="1160"/>
      <c r="AD152" s="1160"/>
      <c r="AE152" s="1160"/>
      <c r="AF152" s="1160"/>
      <c r="AG152" s="1160"/>
      <c r="AH152" s="1160"/>
      <c r="AI152" s="1160"/>
      <c r="AJ152" s="1160"/>
      <c r="AK152" s="1160"/>
      <c r="AL152" s="1160"/>
    </row>
    <row r="153" ht="15.0" customHeight="1">
      <c r="A153" s="1209"/>
      <c r="B153" s="1209"/>
      <c r="C153" s="1210"/>
      <c r="D153" s="1215"/>
      <c r="E153" s="1160"/>
      <c r="F153" s="1160"/>
      <c r="G153" s="1160"/>
      <c r="H153" s="1160"/>
      <c r="I153" s="1160"/>
      <c r="J153" s="1160"/>
      <c r="K153" s="1160"/>
      <c r="L153" s="1160"/>
      <c r="M153" s="1160"/>
      <c r="N153" s="1160"/>
      <c r="O153" s="1160"/>
      <c r="P153" s="1160"/>
      <c r="Q153" s="1160"/>
      <c r="R153" s="1160"/>
      <c r="S153" s="1160"/>
      <c r="T153" s="1160"/>
      <c r="U153" s="1160"/>
      <c r="V153" s="1160"/>
      <c r="W153" s="1160"/>
      <c r="X153" s="1160"/>
      <c r="Y153" s="1160"/>
      <c r="Z153" s="1160"/>
      <c r="AA153" s="1160"/>
      <c r="AB153" s="1160"/>
      <c r="AC153" s="1160"/>
      <c r="AD153" s="1160"/>
      <c r="AE153" s="1160"/>
      <c r="AF153" s="1160"/>
      <c r="AG153" s="1160"/>
      <c r="AH153" s="1160"/>
      <c r="AI153" s="1160"/>
      <c r="AJ153" s="1160"/>
      <c r="AK153" s="1160"/>
      <c r="AL153" s="1160"/>
    </row>
    <row r="154" ht="15.0" customHeight="1">
      <c r="A154" s="1209"/>
      <c r="B154" s="1209"/>
      <c r="C154" s="1210"/>
      <c r="D154" s="1215"/>
      <c r="E154" s="1160"/>
      <c r="F154" s="1160"/>
      <c r="G154" s="1160"/>
      <c r="H154" s="1160"/>
      <c r="I154" s="1160"/>
      <c r="J154" s="1160"/>
      <c r="K154" s="1160"/>
      <c r="L154" s="1160"/>
      <c r="M154" s="1160"/>
      <c r="N154" s="1160"/>
      <c r="O154" s="1160"/>
      <c r="P154" s="1160"/>
      <c r="Q154" s="1160"/>
      <c r="R154" s="1160"/>
      <c r="S154" s="1160"/>
      <c r="T154" s="1160"/>
      <c r="U154" s="1160"/>
      <c r="V154" s="1160"/>
      <c r="W154" s="1160"/>
      <c r="X154" s="1160"/>
      <c r="Y154" s="1160"/>
      <c r="Z154" s="1160"/>
      <c r="AA154" s="1160"/>
      <c r="AB154" s="1160"/>
      <c r="AC154" s="1160"/>
      <c r="AD154" s="1160"/>
      <c r="AE154" s="1160"/>
      <c r="AF154" s="1160"/>
      <c r="AG154" s="1160"/>
      <c r="AH154" s="1160"/>
      <c r="AI154" s="1160"/>
      <c r="AJ154" s="1160"/>
      <c r="AK154" s="1160"/>
      <c r="AL154" s="1160"/>
    </row>
    <row r="155" ht="15.0" customHeight="1">
      <c r="A155" s="1209"/>
      <c r="B155" s="1209"/>
      <c r="C155" s="1210"/>
      <c r="D155" s="1215"/>
      <c r="E155" s="1160"/>
      <c r="F155" s="1160"/>
      <c r="G155" s="1160"/>
      <c r="H155" s="1160"/>
      <c r="I155" s="1160"/>
      <c r="J155" s="1160"/>
      <c r="K155" s="1160"/>
      <c r="L155" s="1160"/>
      <c r="M155" s="1160"/>
      <c r="N155" s="1160"/>
      <c r="O155" s="1160"/>
      <c r="P155" s="1160"/>
      <c r="Q155" s="1160"/>
      <c r="R155" s="1160"/>
      <c r="S155" s="1160"/>
      <c r="T155" s="1160"/>
      <c r="U155" s="1160"/>
      <c r="V155" s="1160"/>
      <c r="W155" s="1160"/>
      <c r="X155" s="1160"/>
      <c r="Y155" s="1160"/>
      <c r="Z155" s="1160"/>
      <c r="AA155" s="1160"/>
      <c r="AB155" s="1160"/>
      <c r="AC155" s="1160"/>
      <c r="AD155" s="1160"/>
      <c r="AE155" s="1160"/>
      <c r="AF155" s="1160"/>
      <c r="AG155" s="1160"/>
      <c r="AH155" s="1160"/>
      <c r="AI155" s="1160"/>
      <c r="AJ155" s="1160"/>
      <c r="AK155" s="1160"/>
      <c r="AL155" s="1160"/>
    </row>
    <row r="156" ht="15.0" customHeight="1">
      <c r="A156" s="1209"/>
      <c r="B156" s="1209"/>
      <c r="C156" s="1210"/>
      <c r="D156" s="1215"/>
      <c r="E156" s="1160"/>
      <c r="F156" s="1160"/>
      <c r="G156" s="1160"/>
      <c r="H156" s="1160"/>
      <c r="I156" s="1160"/>
      <c r="J156" s="1160"/>
      <c r="K156" s="1160"/>
      <c r="L156" s="1160"/>
      <c r="M156" s="1160"/>
      <c r="N156" s="1160"/>
      <c r="O156" s="1160"/>
      <c r="P156" s="1160"/>
      <c r="Q156" s="1160"/>
      <c r="R156" s="1160"/>
      <c r="S156" s="1160"/>
      <c r="T156" s="1160"/>
      <c r="U156" s="1160"/>
      <c r="V156" s="1160"/>
      <c r="W156" s="1160"/>
      <c r="X156" s="1160"/>
      <c r="Y156" s="1160"/>
      <c r="Z156" s="1160"/>
      <c r="AA156" s="1160"/>
      <c r="AB156" s="1160"/>
      <c r="AC156" s="1160"/>
      <c r="AD156" s="1160"/>
      <c r="AE156" s="1160"/>
      <c r="AF156" s="1160"/>
      <c r="AG156" s="1160"/>
      <c r="AH156" s="1160"/>
      <c r="AI156" s="1160"/>
      <c r="AJ156" s="1160"/>
      <c r="AK156" s="1160"/>
      <c r="AL156" s="1160"/>
    </row>
    <row r="157" ht="15.0" customHeight="1">
      <c r="A157" s="1209"/>
      <c r="B157" s="1209"/>
      <c r="C157" s="1210"/>
      <c r="D157" s="1215"/>
      <c r="E157" s="1160"/>
      <c r="F157" s="1160"/>
      <c r="G157" s="1160"/>
      <c r="H157" s="1160"/>
      <c r="I157" s="1160"/>
      <c r="J157" s="1160"/>
      <c r="K157" s="1160"/>
      <c r="L157" s="1160"/>
      <c r="M157" s="1160"/>
      <c r="N157" s="1160"/>
      <c r="O157" s="1160"/>
      <c r="P157" s="1160"/>
      <c r="Q157" s="1160"/>
      <c r="R157" s="1160"/>
      <c r="S157" s="1160"/>
      <c r="T157" s="1160"/>
      <c r="U157" s="1160"/>
      <c r="V157" s="1160"/>
      <c r="W157" s="1160"/>
      <c r="X157" s="1160"/>
      <c r="Y157" s="1160"/>
      <c r="Z157" s="1160"/>
      <c r="AA157" s="1160"/>
      <c r="AB157" s="1160"/>
      <c r="AC157" s="1160"/>
      <c r="AD157" s="1160"/>
      <c r="AE157" s="1160"/>
      <c r="AF157" s="1160"/>
      <c r="AG157" s="1160"/>
      <c r="AH157" s="1160"/>
      <c r="AI157" s="1160"/>
      <c r="AJ157" s="1160"/>
      <c r="AK157" s="1160"/>
      <c r="AL157" s="1160"/>
    </row>
    <row r="158" ht="15.0" customHeight="1">
      <c r="A158" s="1209"/>
      <c r="B158" s="1209"/>
      <c r="C158" s="1210"/>
      <c r="D158" s="1215"/>
      <c r="E158" s="1160"/>
      <c r="F158" s="1160"/>
      <c r="G158" s="1160"/>
      <c r="H158" s="1160"/>
      <c r="I158" s="1160"/>
      <c r="J158" s="1160"/>
      <c r="K158" s="1160"/>
      <c r="L158" s="1160"/>
      <c r="M158" s="1160"/>
      <c r="N158" s="1160"/>
      <c r="O158" s="1160"/>
      <c r="P158" s="1160"/>
      <c r="Q158" s="1160"/>
      <c r="R158" s="1160"/>
      <c r="S158" s="1160"/>
      <c r="T158" s="1160"/>
      <c r="U158" s="1160"/>
      <c r="V158" s="1160"/>
      <c r="W158" s="1160"/>
      <c r="X158" s="1160"/>
      <c r="Y158" s="1160"/>
      <c r="Z158" s="1160"/>
      <c r="AA158" s="1160"/>
      <c r="AB158" s="1160"/>
      <c r="AC158" s="1160"/>
      <c r="AD158" s="1160"/>
      <c r="AE158" s="1160"/>
      <c r="AF158" s="1160"/>
      <c r="AG158" s="1160"/>
      <c r="AH158" s="1160"/>
      <c r="AI158" s="1160"/>
      <c r="AJ158" s="1160"/>
      <c r="AK158" s="1160"/>
      <c r="AL158" s="1160"/>
    </row>
    <row r="159" ht="15.0" customHeight="1">
      <c r="A159" s="1209"/>
      <c r="B159" s="1209"/>
      <c r="C159" s="1210"/>
      <c r="D159" s="1215"/>
      <c r="E159" s="1160"/>
      <c r="F159" s="1160"/>
      <c r="G159" s="1160"/>
      <c r="H159" s="1160"/>
      <c r="I159" s="1160"/>
      <c r="J159" s="1160"/>
      <c r="K159" s="1160"/>
      <c r="L159" s="1160"/>
      <c r="M159" s="1160"/>
      <c r="N159" s="1160"/>
      <c r="O159" s="1160"/>
      <c r="P159" s="1160"/>
      <c r="Q159" s="1160"/>
      <c r="R159" s="1160"/>
      <c r="S159" s="1160"/>
      <c r="T159" s="1160"/>
      <c r="U159" s="1160"/>
      <c r="V159" s="1160"/>
      <c r="W159" s="1160"/>
      <c r="X159" s="1160"/>
      <c r="Y159" s="1160"/>
      <c r="Z159" s="1160"/>
      <c r="AA159" s="1160"/>
      <c r="AB159" s="1160"/>
      <c r="AC159" s="1160"/>
      <c r="AD159" s="1160"/>
      <c r="AE159" s="1160"/>
      <c r="AF159" s="1160"/>
      <c r="AG159" s="1160"/>
      <c r="AH159" s="1160"/>
      <c r="AI159" s="1160"/>
      <c r="AJ159" s="1160"/>
      <c r="AK159" s="1160"/>
      <c r="AL159" s="1160"/>
    </row>
    <row r="160" ht="15.0" customHeight="1">
      <c r="A160" s="1209"/>
      <c r="B160" s="1209"/>
      <c r="C160" s="1210"/>
      <c r="D160" s="1215"/>
      <c r="E160" s="1160"/>
      <c r="F160" s="1160"/>
      <c r="G160" s="1160"/>
      <c r="H160" s="1160"/>
      <c r="I160" s="1160"/>
      <c r="J160" s="1160"/>
      <c r="K160" s="1160"/>
      <c r="L160" s="1160"/>
      <c r="M160" s="1160"/>
      <c r="N160" s="1160"/>
      <c r="O160" s="1160"/>
      <c r="P160" s="1160"/>
      <c r="Q160" s="1160"/>
      <c r="R160" s="1160"/>
      <c r="S160" s="1160"/>
      <c r="T160" s="1160"/>
      <c r="U160" s="1160"/>
      <c r="V160" s="1160"/>
      <c r="W160" s="1160"/>
      <c r="X160" s="1160"/>
      <c r="Y160" s="1160"/>
      <c r="Z160" s="1160"/>
      <c r="AA160" s="1160"/>
      <c r="AB160" s="1160"/>
      <c r="AC160" s="1160"/>
      <c r="AD160" s="1160"/>
      <c r="AE160" s="1160"/>
      <c r="AF160" s="1160"/>
      <c r="AG160" s="1160"/>
      <c r="AH160" s="1160"/>
      <c r="AI160" s="1160"/>
      <c r="AJ160" s="1160"/>
      <c r="AK160" s="1160"/>
      <c r="AL160" s="1160"/>
    </row>
    <row r="161" ht="15.0" customHeight="1">
      <c r="A161" s="1209"/>
      <c r="B161" s="1209"/>
      <c r="C161" s="1210"/>
      <c r="D161" s="1215"/>
      <c r="E161" s="1160"/>
      <c r="F161" s="1160"/>
      <c r="G161" s="1160"/>
      <c r="H161" s="1160"/>
      <c r="I161" s="1160"/>
      <c r="J161" s="1160"/>
      <c r="K161" s="1160"/>
      <c r="L161" s="1160"/>
      <c r="M161" s="1160"/>
      <c r="N161" s="1160"/>
      <c r="O161" s="1160"/>
      <c r="P161" s="1160"/>
      <c r="Q161" s="1160"/>
      <c r="R161" s="1160"/>
      <c r="S161" s="1160"/>
      <c r="T161" s="1160"/>
      <c r="U161" s="1160"/>
      <c r="V161" s="1160"/>
      <c r="W161" s="1160"/>
      <c r="X161" s="1160"/>
      <c r="Y161" s="1160"/>
      <c r="Z161" s="1160"/>
      <c r="AA161" s="1160"/>
      <c r="AB161" s="1160"/>
      <c r="AC161" s="1160"/>
      <c r="AD161" s="1160"/>
      <c r="AE161" s="1160"/>
      <c r="AF161" s="1160"/>
      <c r="AG161" s="1160"/>
      <c r="AH161" s="1160"/>
      <c r="AI161" s="1160"/>
      <c r="AJ161" s="1160"/>
      <c r="AK161" s="1160"/>
      <c r="AL161" s="1160"/>
    </row>
    <row r="162" ht="15.0" customHeight="1">
      <c r="A162" s="1209"/>
      <c r="B162" s="1209"/>
      <c r="C162" s="1210"/>
      <c r="D162" s="1215"/>
      <c r="E162" s="1160"/>
      <c r="F162" s="1160"/>
      <c r="G162" s="1160"/>
      <c r="H162" s="1160"/>
      <c r="I162" s="1160"/>
      <c r="J162" s="1160"/>
      <c r="K162" s="1160"/>
      <c r="L162" s="1160"/>
      <c r="M162" s="1160"/>
      <c r="N162" s="1160"/>
      <c r="O162" s="1160"/>
      <c r="P162" s="1160"/>
      <c r="Q162" s="1160"/>
      <c r="R162" s="1160"/>
      <c r="S162" s="1160"/>
      <c r="T162" s="1160"/>
      <c r="U162" s="1160"/>
      <c r="V162" s="1160"/>
      <c r="W162" s="1160"/>
      <c r="X162" s="1160"/>
      <c r="Y162" s="1160"/>
      <c r="Z162" s="1160"/>
      <c r="AA162" s="1160"/>
      <c r="AB162" s="1160"/>
      <c r="AC162" s="1160"/>
      <c r="AD162" s="1160"/>
      <c r="AE162" s="1160"/>
      <c r="AF162" s="1160"/>
      <c r="AG162" s="1160"/>
      <c r="AH162" s="1160"/>
      <c r="AI162" s="1160"/>
      <c r="AJ162" s="1160"/>
      <c r="AK162" s="1160"/>
      <c r="AL162" s="1160"/>
    </row>
    <row r="163" ht="15.0" customHeight="1">
      <c r="A163" s="1209"/>
      <c r="B163" s="1209"/>
      <c r="C163" s="1210"/>
      <c r="D163" s="1215"/>
      <c r="E163" s="1160"/>
      <c r="F163" s="1160"/>
      <c r="G163" s="1160"/>
      <c r="H163" s="1160"/>
      <c r="I163" s="1160"/>
      <c r="J163" s="1160"/>
      <c r="K163" s="1160"/>
      <c r="L163" s="1160"/>
      <c r="M163" s="1160"/>
      <c r="N163" s="1160"/>
      <c r="O163" s="1160"/>
      <c r="P163" s="1160"/>
      <c r="Q163" s="1160"/>
      <c r="R163" s="1160"/>
      <c r="S163" s="1160"/>
      <c r="T163" s="1160"/>
      <c r="U163" s="1160"/>
      <c r="V163" s="1160"/>
      <c r="W163" s="1160"/>
      <c r="X163" s="1160"/>
      <c r="Y163" s="1160"/>
      <c r="Z163" s="1160"/>
      <c r="AA163" s="1160"/>
      <c r="AB163" s="1160"/>
      <c r="AC163" s="1160"/>
      <c r="AD163" s="1160"/>
      <c r="AE163" s="1160"/>
      <c r="AF163" s="1160"/>
      <c r="AG163" s="1160"/>
      <c r="AH163" s="1160"/>
      <c r="AI163" s="1160"/>
      <c r="AJ163" s="1160"/>
      <c r="AK163" s="1160"/>
      <c r="AL163" s="1160"/>
    </row>
    <row r="164" ht="15.0" customHeight="1">
      <c r="A164" s="1209"/>
      <c r="B164" s="1209"/>
      <c r="C164" s="1210"/>
      <c r="D164" s="1215"/>
      <c r="E164" s="1160"/>
      <c r="F164" s="1160"/>
      <c r="G164" s="1160"/>
      <c r="H164" s="1160"/>
      <c r="I164" s="1160"/>
      <c r="J164" s="1160"/>
      <c r="K164" s="1160"/>
      <c r="L164" s="1160"/>
      <c r="M164" s="1160"/>
      <c r="N164" s="1160"/>
      <c r="O164" s="1160"/>
      <c r="P164" s="1160"/>
      <c r="Q164" s="1160"/>
      <c r="R164" s="1160"/>
      <c r="S164" s="1160"/>
      <c r="T164" s="1160"/>
      <c r="U164" s="1160"/>
      <c r="V164" s="1160"/>
      <c r="W164" s="1160"/>
      <c r="X164" s="1160"/>
      <c r="Y164" s="1160"/>
      <c r="Z164" s="1160"/>
      <c r="AA164" s="1160"/>
      <c r="AB164" s="1160"/>
      <c r="AC164" s="1160"/>
      <c r="AD164" s="1160"/>
      <c r="AE164" s="1160"/>
      <c r="AF164" s="1160"/>
      <c r="AG164" s="1160"/>
      <c r="AH164" s="1160"/>
      <c r="AI164" s="1160"/>
      <c r="AJ164" s="1160"/>
      <c r="AK164" s="1160"/>
      <c r="AL164" s="1160"/>
    </row>
    <row r="165" ht="15.0" customHeight="1">
      <c r="A165" s="1209"/>
      <c r="B165" s="1209"/>
      <c r="C165" s="1210"/>
      <c r="D165" s="1215"/>
      <c r="E165" s="1160"/>
      <c r="F165" s="1160"/>
      <c r="G165" s="1160"/>
      <c r="H165" s="1160"/>
      <c r="I165" s="1160"/>
      <c r="J165" s="1160"/>
      <c r="K165" s="1160"/>
      <c r="L165" s="1160"/>
      <c r="M165" s="1160"/>
      <c r="N165" s="1160"/>
      <c r="O165" s="1160"/>
      <c r="P165" s="1160"/>
      <c r="Q165" s="1160"/>
      <c r="R165" s="1160"/>
      <c r="S165" s="1160"/>
      <c r="T165" s="1160"/>
      <c r="U165" s="1160"/>
      <c r="V165" s="1160"/>
      <c r="W165" s="1160"/>
      <c r="X165" s="1160"/>
      <c r="Y165" s="1160"/>
      <c r="Z165" s="1160"/>
      <c r="AA165" s="1160"/>
      <c r="AB165" s="1160"/>
      <c r="AC165" s="1160"/>
      <c r="AD165" s="1160"/>
      <c r="AE165" s="1160"/>
      <c r="AF165" s="1160"/>
      <c r="AG165" s="1160"/>
      <c r="AH165" s="1160"/>
      <c r="AI165" s="1160"/>
      <c r="AJ165" s="1160"/>
      <c r="AK165" s="1160"/>
      <c r="AL165" s="1160"/>
    </row>
    <row r="166" ht="15.0" customHeight="1">
      <c r="A166" s="1209"/>
      <c r="B166" s="1209"/>
      <c r="C166" s="1210"/>
      <c r="D166" s="1215"/>
      <c r="E166" s="1160"/>
      <c r="F166" s="1160"/>
      <c r="G166" s="1160"/>
      <c r="H166" s="1160"/>
      <c r="I166" s="1160"/>
      <c r="J166" s="1160"/>
      <c r="K166" s="1160"/>
      <c r="L166" s="1160"/>
      <c r="M166" s="1160"/>
      <c r="N166" s="1160"/>
      <c r="O166" s="1160"/>
      <c r="P166" s="1160"/>
      <c r="Q166" s="1160"/>
      <c r="R166" s="1160"/>
      <c r="S166" s="1160"/>
      <c r="T166" s="1160"/>
      <c r="U166" s="1160"/>
      <c r="V166" s="1160"/>
      <c r="W166" s="1160"/>
      <c r="X166" s="1160"/>
      <c r="Y166" s="1160"/>
      <c r="Z166" s="1160"/>
      <c r="AA166" s="1160"/>
      <c r="AB166" s="1160"/>
      <c r="AC166" s="1160"/>
      <c r="AD166" s="1160"/>
      <c r="AE166" s="1160"/>
      <c r="AF166" s="1160"/>
      <c r="AG166" s="1160"/>
      <c r="AH166" s="1160"/>
      <c r="AI166" s="1160"/>
      <c r="AJ166" s="1160"/>
      <c r="AK166" s="1160"/>
      <c r="AL166" s="1160"/>
    </row>
    <row r="167" ht="15.0" customHeight="1">
      <c r="A167" s="1209"/>
      <c r="B167" s="1209"/>
      <c r="C167" s="1210"/>
      <c r="D167" s="1215"/>
      <c r="E167" s="1160"/>
      <c r="F167" s="1160"/>
      <c r="G167" s="1160"/>
      <c r="H167" s="1160"/>
      <c r="I167" s="1160"/>
      <c r="J167" s="1160"/>
      <c r="K167" s="1160"/>
      <c r="L167" s="1160"/>
      <c r="M167" s="1160"/>
      <c r="N167" s="1160"/>
      <c r="O167" s="1160"/>
      <c r="P167" s="1160"/>
      <c r="Q167" s="1160"/>
      <c r="R167" s="1160"/>
      <c r="S167" s="1160"/>
      <c r="T167" s="1160"/>
      <c r="U167" s="1160"/>
      <c r="V167" s="1160"/>
      <c r="W167" s="1160"/>
      <c r="X167" s="1160"/>
      <c r="Y167" s="1160"/>
      <c r="Z167" s="1160"/>
      <c r="AA167" s="1160"/>
      <c r="AB167" s="1160"/>
      <c r="AC167" s="1160"/>
      <c r="AD167" s="1160"/>
      <c r="AE167" s="1160"/>
      <c r="AF167" s="1160"/>
      <c r="AG167" s="1160"/>
      <c r="AH167" s="1160"/>
      <c r="AI167" s="1160"/>
      <c r="AJ167" s="1160"/>
      <c r="AK167" s="1160"/>
      <c r="AL167" s="1160"/>
    </row>
    <row r="168" ht="15.0" customHeight="1">
      <c r="A168" s="1209"/>
      <c r="B168" s="1209"/>
      <c r="C168" s="1210"/>
      <c r="D168" s="1215"/>
      <c r="E168" s="1160"/>
      <c r="F168" s="1160"/>
      <c r="G168" s="1160"/>
      <c r="H168" s="1160"/>
      <c r="I168" s="1160"/>
      <c r="J168" s="1160"/>
      <c r="K168" s="1160"/>
      <c r="L168" s="1160"/>
      <c r="M168" s="1160"/>
      <c r="N168" s="1160"/>
      <c r="O168" s="1160"/>
      <c r="P168" s="1160"/>
      <c r="Q168" s="1160"/>
      <c r="R168" s="1160"/>
      <c r="S168" s="1160"/>
      <c r="T168" s="1160"/>
      <c r="U168" s="1160"/>
      <c r="V168" s="1160"/>
      <c r="W168" s="1160"/>
      <c r="X168" s="1160"/>
      <c r="Y168" s="1160"/>
      <c r="Z168" s="1160"/>
      <c r="AA168" s="1160"/>
      <c r="AB168" s="1160"/>
      <c r="AC168" s="1160"/>
      <c r="AD168" s="1160"/>
      <c r="AE168" s="1160"/>
      <c r="AF168" s="1160"/>
      <c r="AG168" s="1160"/>
      <c r="AH168" s="1160"/>
      <c r="AI168" s="1160"/>
      <c r="AJ168" s="1160"/>
      <c r="AK168" s="1160"/>
      <c r="AL168" s="1160"/>
    </row>
    <row r="169" ht="15.0" customHeight="1">
      <c r="A169" s="1209"/>
      <c r="B169" s="1209"/>
      <c r="C169" s="1210"/>
      <c r="D169" s="1215"/>
      <c r="E169" s="1160"/>
      <c r="F169" s="1160"/>
      <c r="G169" s="1160"/>
      <c r="H169" s="1160"/>
      <c r="I169" s="1160"/>
      <c r="J169" s="1160"/>
      <c r="K169" s="1160"/>
      <c r="L169" s="1160"/>
      <c r="M169" s="1160"/>
      <c r="N169" s="1160"/>
      <c r="O169" s="1160"/>
      <c r="P169" s="1160"/>
      <c r="Q169" s="1160"/>
      <c r="R169" s="1160"/>
      <c r="S169" s="1160"/>
      <c r="T169" s="1160"/>
      <c r="U169" s="1160"/>
      <c r="V169" s="1160"/>
      <c r="W169" s="1160"/>
      <c r="X169" s="1160"/>
      <c r="Y169" s="1160"/>
      <c r="Z169" s="1160"/>
      <c r="AA169" s="1160"/>
      <c r="AB169" s="1160"/>
      <c r="AC169" s="1160"/>
      <c r="AD169" s="1160"/>
      <c r="AE169" s="1160"/>
      <c r="AF169" s="1160"/>
      <c r="AG169" s="1160"/>
      <c r="AH169" s="1160"/>
      <c r="AI169" s="1160"/>
      <c r="AJ169" s="1160"/>
      <c r="AK169" s="1160"/>
      <c r="AL169" s="1160"/>
    </row>
    <row r="170" ht="15.0" customHeight="1">
      <c r="A170" s="1209"/>
      <c r="B170" s="1209"/>
      <c r="C170" s="1210"/>
      <c r="D170" s="1160"/>
      <c r="E170" s="1160"/>
      <c r="F170" s="1160"/>
      <c r="G170" s="1160"/>
      <c r="H170" s="1160"/>
      <c r="I170" s="1160"/>
      <c r="J170" s="1160"/>
      <c r="K170" s="1160"/>
      <c r="L170" s="1160"/>
      <c r="M170" s="1160"/>
      <c r="N170" s="1160"/>
      <c r="O170" s="1160"/>
      <c r="P170" s="1160"/>
      <c r="Q170" s="1160"/>
      <c r="R170" s="1160"/>
      <c r="S170" s="1160"/>
      <c r="T170" s="1160"/>
      <c r="U170" s="1160"/>
      <c r="V170" s="1160"/>
      <c r="W170" s="1160"/>
      <c r="X170" s="1160"/>
      <c r="Y170" s="1160"/>
      <c r="Z170" s="1160"/>
      <c r="AA170" s="1160"/>
      <c r="AB170" s="1160"/>
      <c r="AC170" s="1160"/>
      <c r="AD170" s="1160"/>
      <c r="AE170" s="1160"/>
      <c r="AF170" s="1160"/>
      <c r="AG170" s="1160"/>
      <c r="AH170" s="1160"/>
      <c r="AI170" s="1160"/>
      <c r="AJ170" s="1160"/>
      <c r="AK170" s="1160"/>
      <c r="AL170" s="1160"/>
    </row>
    <row r="171" ht="15.0" customHeight="1">
      <c r="A171" s="1209"/>
      <c r="B171" s="1209"/>
      <c r="C171" s="1210"/>
      <c r="D171" s="1160"/>
      <c r="E171" s="1160"/>
      <c r="F171" s="1160"/>
      <c r="G171" s="1160"/>
      <c r="H171" s="1160"/>
      <c r="I171" s="1160"/>
      <c r="J171" s="1160"/>
      <c r="K171" s="1160"/>
      <c r="L171" s="1160"/>
      <c r="M171" s="1160"/>
      <c r="N171" s="1160"/>
      <c r="O171" s="1160"/>
      <c r="P171" s="1160"/>
      <c r="Q171" s="1160"/>
      <c r="R171" s="1160"/>
      <c r="S171" s="1160"/>
      <c r="T171" s="1160"/>
      <c r="U171" s="1160"/>
      <c r="V171" s="1160"/>
      <c r="W171" s="1160"/>
      <c r="X171" s="1160"/>
      <c r="Y171" s="1160"/>
      <c r="Z171" s="1160"/>
      <c r="AA171" s="1160"/>
      <c r="AB171" s="1160"/>
      <c r="AC171" s="1160"/>
      <c r="AD171" s="1160"/>
      <c r="AE171" s="1160"/>
      <c r="AF171" s="1160"/>
      <c r="AG171" s="1160"/>
      <c r="AH171" s="1160"/>
      <c r="AI171" s="1160"/>
      <c r="AJ171" s="1160"/>
      <c r="AK171" s="1160"/>
      <c r="AL171" s="1160"/>
    </row>
    <row r="172" ht="15.0" customHeight="1">
      <c r="A172" s="1209"/>
      <c r="B172" s="1209"/>
      <c r="C172" s="1210"/>
      <c r="D172" s="1160"/>
      <c r="E172" s="1160"/>
      <c r="F172" s="1160"/>
      <c r="G172" s="1160"/>
      <c r="H172" s="1160"/>
      <c r="I172" s="1160"/>
      <c r="J172" s="1160"/>
      <c r="K172" s="1160"/>
      <c r="L172" s="1160"/>
      <c r="M172" s="1160"/>
      <c r="N172" s="1160"/>
      <c r="O172" s="1160"/>
      <c r="P172" s="1160"/>
      <c r="Q172" s="1160"/>
      <c r="R172" s="1160"/>
      <c r="S172" s="1160"/>
      <c r="T172" s="1160"/>
      <c r="U172" s="1160"/>
      <c r="V172" s="1160"/>
      <c r="W172" s="1160"/>
      <c r="X172" s="1160"/>
      <c r="Y172" s="1160"/>
      <c r="Z172" s="1160"/>
      <c r="AA172" s="1160"/>
      <c r="AB172" s="1160"/>
      <c r="AC172" s="1160"/>
      <c r="AD172" s="1160"/>
      <c r="AE172" s="1160"/>
      <c r="AF172" s="1160"/>
      <c r="AG172" s="1160"/>
      <c r="AH172" s="1160"/>
      <c r="AI172" s="1160"/>
      <c r="AJ172" s="1160"/>
      <c r="AK172" s="1160"/>
      <c r="AL172" s="1160"/>
    </row>
    <row r="173" ht="15.0" customHeight="1">
      <c r="A173" s="1209"/>
      <c r="B173" s="1209"/>
      <c r="C173" s="1210"/>
      <c r="D173" s="1160"/>
      <c r="E173" s="1160"/>
      <c r="F173" s="1160"/>
      <c r="G173" s="1160"/>
      <c r="H173" s="1160"/>
      <c r="I173" s="1160"/>
      <c r="J173" s="1160"/>
      <c r="K173" s="1160"/>
      <c r="L173" s="1160"/>
      <c r="M173" s="1160"/>
      <c r="N173" s="1160"/>
      <c r="O173" s="1160"/>
      <c r="P173" s="1160"/>
      <c r="Q173" s="1160"/>
      <c r="R173" s="1160"/>
      <c r="S173" s="1160"/>
      <c r="T173" s="1160"/>
      <c r="U173" s="1160"/>
      <c r="V173" s="1160"/>
      <c r="W173" s="1160"/>
      <c r="X173" s="1160"/>
      <c r="Y173" s="1160"/>
      <c r="Z173" s="1160"/>
      <c r="AA173" s="1160"/>
      <c r="AB173" s="1160"/>
      <c r="AC173" s="1160"/>
      <c r="AD173" s="1160"/>
      <c r="AE173" s="1160"/>
      <c r="AF173" s="1160"/>
      <c r="AG173" s="1160"/>
      <c r="AH173" s="1160"/>
      <c r="AI173" s="1160"/>
      <c r="AJ173" s="1160"/>
      <c r="AK173" s="1160"/>
      <c r="AL173" s="1160"/>
    </row>
    <row r="174" ht="15.0" customHeight="1">
      <c r="A174" s="1209"/>
      <c r="B174" s="1209"/>
      <c r="C174" s="1210"/>
      <c r="D174" s="1160"/>
      <c r="E174" s="1160"/>
      <c r="F174" s="1160"/>
      <c r="G174" s="1160"/>
      <c r="H174" s="1160"/>
      <c r="I174" s="1160"/>
      <c r="J174" s="1160"/>
      <c r="K174" s="1160"/>
      <c r="L174" s="1160"/>
      <c r="M174" s="1160"/>
      <c r="N174" s="1160"/>
      <c r="O174" s="1160"/>
      <c r="P174" s="1160"/>
      <c r="Q174" s="1160"/>
      <c r="R174" s="1160"/>
      <c r="S174" s="1160"/>
      <c r="T174" s="1160"/>
      <c r="U174" s="1160"/>
      <c r="V174" s="1160"/>
      <c r="W174" s="1160"/>
      <c r="X174" s="1160"/>
      <c r="Y174" s="1160"/>
      <c r="Z174" s="1160"/>
      <c r="AA174" s="1160"/>
      <c r="AB174" s="1160"/>
      <c r="AC174" s="1160"/>
      <c r="AD174" s="1160"/>
      <c r="AE174" s="1160"/>
      <c r="AF174" s="1160"/>
      <c r="AG174" s="1160"/>
      <c r="AH174" s="1160"/>
      <c r="AI174" s="1160"/>
      <c r="AJ174" s="1160"/>
      <c r="AK174" s="1160"/>
      <c r="AL174" s="1160"/>
    </row>
    <row r="175" ht="15.0" customHeight="1">
      <c r="A175" s="1209"/>
      <c r="B175" s="1209"/>
      <c r="C175" s="1210"/>
      <c r="D175" s="1160"/>
      <c r="E175" s="1160"/>
      <c r="F175" s="1160"/>
      <c r="G175" s="1160"/>
      <c r="H175" s="1160"/>
      <c r="I175" s="1160"/>
      <c r="J175" s="1160"/>
      <c r="K175" s="1160"/>
      <c r="L175" s="1160"/>
      <c r="M175" s="1160"/>
      <c r="N175" s="1160"/>
      <c r="O175" s="1160"/>
      <c r="P175" s="1160"/>
      <c r="Q175" s="1160"/>
      <c r="R175" s="1160"/>
      <c r="S175" s="1160"/>
      <c r="T175" s="1160"/>
      <c r="U175" s="1160"/>
      <c r="V175" s="1160"/>
      <c r="W175" s="1160"/>
      <c r="X175" s="1160"/>
      <c r="Y175" s="1160"/>
      <c r="Z175" s="1160"/>
      <c r="AA175" s="1160"/>
      <c r="AB175" s="1160"/>
      <c r="AC175" s="1160"/>
      <c r="AD175" s="1160"/>
      <c r="AE175" s="1160"/>
      <c r="AF175" s="1160"/>
      <c r="AG175" s="1160"/>
      <c r="AH175" s="1160"/>
      <c r="AI175" s="1160"/>
      <c r="AJ175" s="1160"/>
      <c r="AK175" s="1160"/>
      <c r="AL175" s="1160"/>
    </row>
    <row r="176" ht="15.0" customHeight="1">
      <c r="A176" s="1209"/>
      <c r="B176" s="1209"/>
      <c r="C176" s="1210"/>
      <c r="D176" s="1160"/>
      <c r="E176" s="1160"/>
      <c r="F176" s="1160"/>
      <c r="G176" s="1160"/>
      <c r="H176" s="1160"/>
      <c r="I176" s="1160"/>
      <c r="J176" s="1160"/>
      <c r="K176" s="1160"/>
      <c r="L176" s="1160"/>
      <c r="M176" s="1160"/>
      <c r="N176" s="1160"/>
      <c r="O176" s="1160"/>
      <c r="P176" s="1160"/>
      <c r="Q176" s="1160"/>
      <c r="R176" s="1160"/>
      <c r="S176" s="1160"/>
      <c r="T176" s="1160"/>
      <c r="U176" s="1160"/>
      <c r="V176" s="1160"/>
      <c r="W176" s="1160"/>
      <c r="X176" s="1160"/>
      <c r="Y176" s="1160"/>
      <c r="Z176" s="1160"/>
      <c r="AA176" s="1160"/>
      <c r="AB176" s="1160"/>
      <c r="AC176" s="1160"/>
      <c r="AD176" s="1160"/>
      <c r="AE176" s="1160"/>
      <c r="AF176" s="1160"/>
      <c r="AG176" s="1160"/>
      <c r="AH176" s="1160"/>
      <c r="AI176" s="1160"/>
      <c r="AJ176" s="1160"/>
      <c r="AK176" s="1160"/>
      <c r="AL176" s="1160"/>
    </row>
    <row r="177" ht="15.0" customHeight="1">
      <c r="A177" s="1209"/>
      <c r="B177" s="1209"/>
      <c r="C177" s="1210"/>
      <c r="D177" s="1160"/>
      <c r="E177" s="1160"/>
      <c r="F177" s="1160"/>
      <c r="G177" s="1160"/>
      <c r="H177" s="1160"/>
      <c r="I177" s="1160"/>
      <c r="J177" s="1160"/>
      <c r="K177" s="1160"/>
      <c r="L177" s="1160"/>
      <c r="M177" s="1160"/>
      <c r="N177" s="1160"/>
      <c r="O177" s="1160"/>
      <c r="P177" s="1160"/>
      <c r="Q177" s="1160"/>
      <c r="R177" s="1160"/>
      <c r="S177" s="1160"/>
      <c r="T177" s="1160"/>
      <c r="U177" s="1160"/>
      <c r="V177" s="1160"/>
      <c r="W177" s="1160"/>
      <c r="X177" s="1160"/>
      <c r="Y177" s="1160"/>
      <c r="Z177" s="1160"/>
      <c r="AA177" s="1160"/>
      <c r="AB177" s="1160"/>
      <c r="AC177" s="1160"/>
      <c r="AD177" s="1160"/>
      <c r="AE177" s="1160"/>
      <c r="AF177" s="1160"/>
      <c r="AG177" s="1160"/>
      <c r="AH177" s="1160"/>
      <c r="AI177" s="1160"/>
      <c r="AJ177" s="1160"/>
      <c r="AK177" s="1160"/>
      <c r="AL177" s="1160"/>
    </row>
    <row r="178" ht="15.0" customHeight="1">
      <c r="A178" s="1209"/>
      <c r="B178" s="1209"/>
      <c r="C178" s="1210"/>
      <c r="D178" s="1160"/>
      <c r="E178" s="1160"/>
      <c r="F178" s="1160"/>
      <c r="G178" s="1160"/>
      <c r="H178" s="1160"/>
      <c r="I178" s="1160"/>
      <c r="J178" s="1160"/>
      <c r="K178" s="1160"/>
      <c r="L178" s="1160"/>
      <c r="M178" s="1160"/>
      <c r="N178" s="1160"/>
      <c r="O178" s="1160"/>
      <c r="P178" s="1160"/>
      <c r="Q178" s="1160"/>
      <c r="R178" s="1160"/>
      <c r="S178" s="1160"/>
      <c r="T178" s="1160"/>
      <c r="U178" s="1160"/>
      <c r="V178" s="1160"/>
      <c r="W178" s="1160"/>
      <c r="X178" s="1160"/>
      <c r="Y178" s="1160"/>
      <c r="Z178" s="1160"/>
      <c r="AA178" s="1160"/>
      <c r="AB178" s="1160"/>
      <c r="AC178" s="1160"/>
      <c r="AD178" s="1160"/>
      <c r="AE178" s="1160"/>
      <c r="AF178" s="1160"/>
      <c r="AG178" s="1160"/>
      <c r="AH178" s="1160"/>
      <c r="AI178" s="1160"/>
      <c r="AJ178" s="1160"/>
      <c r="AK178" s="1160"/>
      <c r="AL178" s="1160"/>
    </row>
    <row r="179" ht="15.0" customHeight="1">
      <c r="A179" s="1209"/>
      <c r="B179" s="1209"/>
      <c r="C179" s="1210"/>
      <c r="D179" s="1160"/>
      <c r="E179" s="1160"/>
      <c r="F179" s="1160"/>
      <c r="G179" s="1160"/>
      <c r="H179" s="1160"/>
      <c r="I179" s="1160"/>
      <c r="J179" s="1160"/>
      <c r="K179" s="1160"/>
      <c r="L179" s="1160"/>
      <c r="M179" s="1160"/>
      <c r="N179" s="1160"/>
      <c r="O179" s="1160"/>
      <c r="P179" s="1160"/>
      <c r="Q179" s="1160"/>
      <c r="R179" s="1160"/>
      <c r="S179" s="1160"/>
      <c r="T179" s="1160"/>
      <c r="U179" s="1160"/>
      <c r="V179" s="1160"/>
      <c r="W179" s="1160"/>
      <c r="X179" s="1160"/>
      <c r="Y179" s="1160"/>
      <c r="Z179" s="1160"/>
      <c r="AA179" s="1160"/>
      <c r="AB179" s="1160"/>
      <c r="AC179" s="1160"/>
      <c r="AD179" s="1160"/>
      <c r="AE179" s="1160"/>
      <c r="AF179" s="1160"/>
      <c r="AG179" s="1160"/>
      <c r="AH179" s="1160"/>
      <c r="AI179" s="1160"/>
      <c r="AJ179" s="1160"/>
      <c r="AK179" s="1160"/>
      <c r="AL179" s="1160"/>
    </row>
    <row r="180" ht="15.0" customHeight="1">
      <c r="A180" s="1209"/>
      <c r="B180" s="1209"/>
      <c r="C180" s="1210"/>
      <c r="D180" s="1160"/>
      <c r="E180" s="1160"/>
      <c r="F180" s="1160"/>
      <c r="G180" s="1160"/>
      <c r="H180" s="1160"/>
      <c r="I180" s="1160"/>
      <c r="J180" s="1160"/>
      <c r="K180" s="1160"/>
      <c r="L180" s="1160"/>
      <c r="M180" s="1160"/>
      <c r="N180" s="1160"/>
      <c r="O180" s="1160"/>
      <c r="P180" s="1160"/>
      <c r="Q180" s="1160"/>
      <c r="R180" s="1160"/>
      <c r="S180" s="1160"/>
      <c r="T180" s="1160"/>
      <c r="U180" s="1160"/>
      <c r="V180" s="1160"/>
      <c r="W180" s="1160"/>
      <c r="X180" s="1160"/>
      <c r="Y180" s="1160"/>
      <c r="Z180" s="1160"/>
      <c r="AA180" s="1160"/>
      <c r="AB180" s="1160"/>
      <c r="AC180" s="1160"/>
      <c r="AD180" s="1160"/>
      <c r="AE180" s="1160"/>
      <c r="AF180" s="1160"/>
      <c r="AG180" s="1160"/>
      <c r="AH180" s="1160"/>
      <c r="AI180" s="1160"/>
      <c r="AJ180" s="1160"/>
      <c r="AK180" s="1160"/>
      <c r="AL180" s="1160"/>
    </row>
    <row r="181" ht="15.0" customHeight="1">
      <c r="A181" s="1209"/>
      <c r="B181" s="1209"/>
      <c r="C181" s="1210"/>
      <c r="D181" s="1160"/>
      <c r="E181" s="1160"/>
      <c r="F181" s="1160"/>
      <c r="G181" s="1160"/>
      <c r="H181" s="1160"/>
      <c r="I181" s="1160"/>
      <c r="J181" s="1160"/>
      <c r="K181" s="1160"/>
      <c r="L181" s="1160"/>
      <c r="M181" s="1160"/>
      <c r="N181" s="1160"/>
      <c r="O181" s="1160"/>
      <c r="P181" s="1160"/>
      <c r="Q181" s="1160"/>
      <c r="R181" s="1160"/>
      <c r="S181" s="1160"/>
      <c r="T181" s="1160"/>
      <c r="U181" s="1160"/>
      <c r="V181" s="1160"/>
      <c r="W181" s="1160"/>
      <c r="X181" s="1160"/>
      <c r="Y181" s="1160"/>
      <c r="Z181" s="1160"/>
      <c r="AA181" s="1160"/>
      <c r="AB181" s="1160"/>
      <c r="AC181" s="1160"/>
      <c r="AD181" s="1160"/>
      <c r="AE181" s="1160"/>
      <c r="AF181" s="1160"/>
      <c r="AG181" s="1160"/>
      <c r="AH181" s="1160"/>
      <c r="AI181" s="1160"/>
      <c r="AJ181" s="1160"/>
      <c r="AK181" s="1160"/>
      <c r="AL181" s="1160"/>
    </row>
    <row r="182" ht="15.0" customHeight="1">
      <c r="A182" s="1209"/>
      <c r="B182" s="1209"/>
      <c r="C182" s="1210"/>
      <c r="D182" s="1160"/>
      <c r="E182" s="1160"/>
      <c r="F182" s="1160"/>
      <c r="G182" s="1160"/>
      <c r="H182" s="1160"/>
      <c r="I182" s="1160"/>
      <c r="J182" s="1160"/>
      <c r="K182" s="1160"/>
      <c r="L182" s="1160"/>
      <c r="M182" s="1160"/>
      <c r="N182" s="1160"/>
      <c r="O182" s="1160"/>
      <c r="P182" s="1160"/>
      <c r="Q182" s="1160"/>
      <c r="R182" s="1160"/>
      <c r="S182" s="1160"/>
      <c r="T182" s="1160"/>
      <c r="U182" s="1160"/>
      <c r="V182" s="1160"/>
      <c r="W182" s="1160"/>
      <c r="X182" s="1160"/>
      <c r="Y182" s="1160"/>
      <c r="Z182" s="1160"/>
      <c r="AA182" s="1160"/>
      <c r="AB182" s="1160"/>
      <c r="AC182" s="1160"/>
      <c r="AD182" s="1160"/>
      <c r="AE182" s="1160"/>
      <c r="AF182" s="1160"/>
      <c r="AG182" s="1160"/>
      <c r="AH182" s="1160"/>
      <c r="AI182" s="1160"/>
      <c r="AJ182" s="1160"/>
      <c r="AK182" s="1160"/>
      <c r="AL182" s="1160"/>
    </row>
    <row r="183" ht="15.0" customHeight="1">
      <c r="A183" s="1209"/>
      <c r="B183" s="1209"/>
      <c r="C183" s="1210"/>
      <c r="D183" s="1160"/>
      <c r="E183" s="1160"/>
      <c r="F183" s="1160"/>
      <c r="G183" s="1160"/>
      <c r="H183" s="1160"/>
      <c r="I183" s="1160"/>
      <c r="J183" s="1160"/>
      <c r="K183" s="1160"/>
      <c r="L183" s="1160"/>
      <c r="M183" s="1160"/>
      <c r="N183" s="1160"/>
      <c r="O183" s="1160"/>
      <c r="P183" s="1160"/>
      <c r="Q183" s="1160"/>
      <c r="R183" s="1160"/>
      <c r="S183" s="1160"/>
      <c r="T183" s="1160"/>
      <c r="U183" s="1160"/>
      <c r="V183" s="1160"/>
      <c r="W183" s="1160"/>
      <c r="X183" s="1160"/>
      <c r="Y183" s="1160"/>
      <c r="Z183" s="1160"/>
      <c r="AA183" s="1160"/>
      <c r="AB183" s="1160"/>
      <c r="AC183" s="1160"/>
      <c r="AD183" s="1160"/>
      <c r="AE183" s="1160"/>
      <c r="AF183" s="1160"/>
      <c r="AG183" s="1160"/>
      <c r="AH183" s="1160"/>
      <c r="AI183" s="1160"/>
      <c r="AJ183" s="1160"/>
      <c r="AK183" s="1160"/>
      <c r="AL183" s="1160"/>
    </row>
    <row r="184" ht="15.0" customHeight="1">
      <c r="A184" s="1209"/>
      <c r="B184" s="1209"/>
      <c r="C184" s="1210"/>
      <c r="D184" s="1160"/>
      <c r="E184" s="1160"/>
      <c r="F184" s="1160"/>
      <c r="G184" s="1160"/>
      <c r="H184" s="1160"/>
      <c r="I184" s="1160"/>
      <c r="J184" s="1160"/>
      <c r="K184" s="1160"/>
      <c r="L184" s="1160"/>
      <c r="M184" s="1160"/>
      <c r="N184" s="1160"/>
      <c r="O184" s="1160"/>
      <c r="P184" s="1160"/>
      <c r="Q184" s="1160"/>
      <c r="R184" s="1160"/>
      <c r="S184" s="1160"/>
      <c r="T184" s="1160"/>
      <c r="U184" s="1160"/>
      <c r="V184" s="1160"/>
      <c r="W184" s="1160"/>
      <c r="X184" s="1160"/>
      <c r="Y184" s="1160"/>
      <c r="Z184" s="1160"/>
      <c r="AA184" s="1160"/>
      <c r="AB184" s="1160"/>
      <c r="AC184" s="1160"/>
      <c r="AD184" s="1160"/>
      <c r="AE184" s="1160"/>
      <c r="AF184" s="1160"/>
      <c r="AG184" s="1160"/>
      <c r="AH184" s="1160"/>
      <c r="AI184" s="1160"/>
      <c r="AJ184" s="1160"/>
      <c r="AK184" s="1160"/>
      <c r="AL184" s="1160"/>
    </row>
    <row r="185" ht="15.0" customHeight="1">
      <c r="A185" s="1209"/>
      <c r="B185" s="1209"/>
      <c r="C185" s="1210"/>
      <c r="D185" s="1160"/>
      <c r="E185" s="1160"/>
      <c r="F185" s="1160"/>
      <c r="G185" s="1160"/>
      <c r="H185" s="1160"/>
      <c r="I185" s="1160"/>
      <c r="J185" s="1160"/>
      <c r="K185" s="1160"/>
      <c r="L185" s="1160"/>
      <c r="M185" s="1160"/>
      <c r="N185" s="1160"/>
      <c r="O185" s="1160"/>
      <c r="P185" s="1160"/>
      <c r="Q185" s="1160"/>
      <c r="R185" s="1160"/>
      <c r="S185" s="1160"/>
      <c r="T185" s="1160"/>
      <c r="U185" s="1160"/>
      <c r="V185" s="1160"/>
      <c r="W185" s="1160"/>
      <c r="X185" s="1160"/>
      <c r="Y185" s="1160"/>
      <c r="Z185" s="1160"/>
      <c r="AA185" s="1160"/>
      <c r="AB185" s="1160"/>
      <c r="AC185" s="1160"/>
      <c r="AD185" s="1160"/>
      <c r="AE185" s="1160"/>
      <c r="AF185" s="1160"/>
      <c r="AG185" s="1160"/>
      <c r="AH185" s="1160"/>
      <c r="AI185" s="1160"/>
      <c r="AJ185" s="1160"/>
      <c r="AK185" s="1160"/>
      <c r="AL185" s="1160"/>
    </row>
    <row r="186" ht="15.0" customHeight="1">
      <c r="A186" s="1209"/>
      <c r="B186" s="1209"/>
      <c r="C186" s="1210"/>
      <c r="D186" s="1160"/>
      <c r="E186" s="1160"/>
      <c r="F186" s="1160"/>
      <c r="G186" s="1160"/>
      <c r="H186" s="1160"/>
      <c r="I186" s="1160"/>
      <c r="J186" s="1160"/>
      <c r="K186" s="1160"/>
      <c r="L186" s="1160"/>
      <c r="M186" s="1160"/>
      <c r="N186" s="1160"/>
      <c r="O186" s="1160"/>
      <c r="P186" s="1160"/>
      <c r="Q186" s="1160"/>
      <c r="R186" s="1160"/>
      <c r="S186" s="1160"/>
      <c r="T186" s="1160"/>
      <c r="U186" s="1160"/>
      <c r="V186" s="1160"/>
      <c r="W186" s="1160"/>
      <c r="X186" s="1160"/>
      <c r="Y186" s="1160"/>
      <c r="Z186" s="1160"/>
      <c r="AA186" s="1160"/>
      <c r="AB186" s="1160"/>
      <c r="AC186" s="1160"/>
      <c r="AD186" s="1160"/>
      <c r="AE186" s="1160"/>
      <c r="AF186" s="1160"/>
      <c r="AG186" s="1160"/>
      <c r="AH186" s="1160"/>
      <c r="AI186" s="1160"/>
      <c r="AJ186" s="1160"/>
      <c r="AK186" s="1160"/>
      <c r="AL186" s="1160"/>
    </row>
    <row r="187" ht="15.0" customHeight="1">
      <c r="A187" s="1209"/>
      <c r="B187" s="1209"/>
      <c r="C187" s="1210"/>
      <c r="D187" s="1160"/>
      <c r="E187" s="1160"/>
      <c r="F187" s="1160"/>
      <c r="G187" s="1160"/>
      <c r="H187" s="1160"/>
      <c r="I187" s="1160"/>
      <c r="J187" s="1160"/>
      <c r="K187" s="1160"/>
      <c r="L187" s="1160"/>
      <c r="M187" s="1160"/>
      <c r="N187" s="1160"/>
      <c r="O187" s="1160"/>
      <c r="P187" s="1160"/>
      <c r="Q187" s="1160"/>
      <c r="R187" s="1160"/>
      <c r="S187" s="1160"/>
      <c r="T187" s="1160"/>
      <c r="U187" s="1160"/>
      <c r="V187" s="1160"/>
      <c r="W187" s="1160"/>
      <c r="X187" s="1160"/>
      <c r="Y187" s="1160"/>
      <c r="Z187" s="1160"/>
      <c r="AA187" s="1160"/>
      <c r="AB187" s="1160"/>
      <c r="AC187" s="1160"/>
      <c r="AD187" s="1160"/>
      <c r="AE187" s="1160"/>
      <c r="AF187" s="1160"/>
      <c r="AG187" s="1160"/>
      <c r="AH187" s="1160"/>
      <c r="AI187" s="1160"/>
      <c r="AJ187" s="1160"/>
      <c r="AK187" s="1160"/>
      <c r="AL187" s="1160"/>
    </row>
    <row r="188" ht="15.0" customHeight="1">
      <c r="A188" s="1209"/>
      <c r="B188" s="1209"/>
      <c r="C188" s="1210"/>
      <c r="D188" s="1160"/>
      <c r="E188" s="1160"/>
      <c r="F188" s="1160"/>
      <c r="G188" s="1160"/>
      <c r="H188" s="1160"/>
      <c r="I188" s="1160"/>
      <c r="J188" s="1160"/>
      <c r="K188" s="1160"/>
      <c r="L188" s="1160"/>
      <c r="M188" s="1160"/>
      <c r="N188" s="1160"/>
      <c r="O188" s="1160"/>
      <c r="P188" s="1160"/>
      <c r="Q188" s="1160"/>
      <c r="R188" s="1160"/>
      <c r="S188" s="1160"/>
      <c r="T188" s="1160"/>
      <c r="U188" s="1160"/>
      <c r="V188" s="1160"/>
      <c r="W188" s="1160"/>
      <c r="X188" s="1160"/>
      <c r="Y188" s="1160"/>
      <c r="Z188" s="1160"/>
      <c r="AA188" s="1160"/>
      <c r="AB188" s="1160"/>
      <c r="AC188" s="1160"/>
      <c r="AD188" s="1160"/>
      <c r="AE188" s="1160"/>
      <c r="AF188" s="1160"/>
      <c r="AG188" s="1160"/>
      <c r="AH188" s="1160"/>
      <c r="AI188" s="1160"/>
      <c r="AJ188" s="1160"/>
      <c r="AK188" s="1160"/>
      <c r="AL188" s="1160"/>
    </row>
    <row r="189" ht="15.0" customHeight="1">
      <c r="A189" s="1209"/>
      <c r="B189" s="1209"/>
      <c r="C189" s="1210"/>
      <c r="D189" s="1160"/>
      <c r="E189" s="1160"/>
      <c r="F189" s="1160"/>
      <c r="G189" s="1160"/>
      <c r="H189" s="1160"/>
      <c r="I189" s="1160"/>
      <c r="J189" s="1160"/>
      <c r="K189" s="1160"/>
      <c r="L189" s="1160"/>
      <c r="M189" s="1160"/>
      <c r="N189" s="1160"/>
      <c r="O189" s="1160"/>
      <c r="P189" s="1160"/>
      <c r="Q189" s="1160"/>
      <c r="R189" s="1160"/>
      <c r="S189" s="1160"/>
      <c r="T189" s="1160"/>
      <c r="U189" s="1160"/>
      <c r="V189" s="1160"/>
      <c r="W189" s="1160"/>
      <c r="X189" s="1160"/>
      <c r="Y189" s="1160"/>
      <c r="Z189" s="1160"/>
      <c r="AA189" s="1160"/>
      <c r="AB189" s="1160"/>
      <c r="AC189" s="1160"/>
      <c r="AD189" s="1160"/>
      <c r="AE189" s="1160"/>
      <c r="AF189" s="1160"/>
      <c r="AG189" s="1160"/>
      <c r="AH189" s="1160"/>
      <c r="AI189" s="1160"/>
      <c r="AJ189" s="1160"/>
      <c r="AK189" s="1160"/>
      <c r="AL189" s="1160"/>
    </row>
    <row r="190" ht="15.0" customHeight="1">
      <c r="A190" s="1209"/>
      <c r="B190" s="1209"/>
      <c r="C190" s="1210"/>
      <c r="D190" s="1160"/>
      <c r="E190" s="1160"/>
      <c r="F190" s="1160"/>
      <c r="G190" s="1160"/>
      <c r="H190" s="1160"/>
      <c r="I190" s="1160"/>
      <c r="J190" s="1160"/>
      <c r="K190" s="1160"/>
      <c r="L190" s="1160"/>
      <c r="M190" s="1160"/>
      <c r="N190" s="1160"/>
      <c r="O190" s="1160"/>
      <c r="P190" s="1160"/>
      <c r="Q190" s="1160"/>
      <c r="R190" s="1160"/>
      <c r="S190" s="1160"/>
      <c r="T190" s="1160"/>
      <c r="U190" s="1160"/>
      <c r="V190" s="1160"/>
      <c r="W190" s="1160"/>
      <c r="X190" s="1160"/>
      <c r="Y190" s="1160"/>
      <c r="Z190" s="1160"/>
      <c r="AA190" s="1160"/>
      <c r="AB190" s="1160"/>
      <c r="AC190" s="1160"/>
      <c r="AD190" s="1160"/>
      <c r="AE190" s="1160"/>
      <c r="AF190" s="1160"/>
      <c r="AG190" s="1160"/>
      <c r="AH190" s="1160"/>
      <c r="AI190" s="1160"/>
      <c r="AJ190" s="1160"/>
      <c r="AK190" s="1160"/>
      <c r="AL190" s="1160"/>
    </row>
    <row r="191" ht="15.0" customHeight="1">
      <c r="A191" s="1209"/>
      <c r="B191" s="1209"/>
      <c r="C191" s="1210"/>
      <c r="D191" s="1160"/>
      <c r="E191" s="1160"/>
      <c r="F191" s="1160"/>
      <c r="G191" s="1160"/>
      <c r="H191" s="1160"/>
      <c r="I191" s="1160"/>
      <c r="J191" s="1160"/>
      <c r="K191" s="1160"/>
      <c r="L191" s="1160"/>
      <c r="M191" s="1160"/>
      <c r="N191" s="1160"/>
      <c r="O191" s="1160"/>
      <c r="P191" s="1160"/>
      <c r="Q191" s="1160"/>
      <c r="R191" s="1160"/>
      <c r="S191" s="1160"/>
      <c r="T191" s="1160"/>
      <c r="U191" s="1160"/>
      <c r="V191" s="1160"/>
      <c r="W191" s="1160"/>
      <c r="X191" s="1160"/>
      <c r="Y191" s="1160"/>
      <c r="Z191" s="1160"/>
      <c r="AA191" s="1160"/>
      <c r="AB191" s="1160"/>
      <c r="AC191" s="1160"/>
      <c r="AD191" s="1160"/>
      <c r="AE191" s="1160"/>
      <c r="AF191" s="1160"/>
      <c r="AG191" s="1160"/>
      <c r="AH191" s="1160"/>
      <c r="AI191" s="1160"/>
      <c r="AJ191" s="1160"/>
      <c r="AK191" s="1160"/>
      <c r="AL191" s="1160"/>
    </row>
    <row r="192" ht="15.0" customHeight="1">
      <c r="A192" s="1209"/>
      <c r="B192" s="1209"/>
      <c r="C192" s="1210"/>
      <c r="D192" s="1160"/>
      <c r="E192" s="1160"/>
      <c r="F192" s="1160"/>
      <c r="G192" s="1160"/>
      <c r="H192" s="1160"/>
      <c r="I192" s="1160"/>
      <c r="J192" s="1160"/>
      <c r="K192" s="1160"/>
      <c r="L192" s="1160"/>
      <c r="M192" s="1160"/>
      <c r="N192" s="1160"/>
      <c r="O192" s="1160"/>
      <c r="P192" s="1160"/>
      <c r="Q192" s="1160"/>
      <c r="R192" s="1160"/>
      <c r="S192" s="1160"/>
      <c r="T192" s="1160"/>
      <c r="U192" s="1160"/>
      <c r="V192" s="1160"/>
      <c r="W192" s="1160"/>
      <c r="X192" s="1160"/>
      <c r="Y192" s="1160"/>
      <c r="Z192" s="1160"/>
      <c r="AA192" s="1160"/>
      <c r="AB192" s="1160"/>
      <c r="AC192" s="1160"/>
      <c r="AD192" s="1160"/>
      <c r="AE192" s="1160"/>
      <c r="AF192" s="1160"/>
      <c r="AG192" s="1160"/>
      <c r="AH192" s="1160"/>
      <c r="AI192" s="1160"/>
      <c r="AJ192" s="1160"/>
      <c r="AK192" s="1160"/>
      <c r="AL192" s="1160"/>
    </row>
    <row r="193" ht="15.0" customHeight="1">
      <c r="A193" s="1209"/>
      <c r="B193" s="1209"/>
      <c r="C193" s="1210"/>
      <c r="D193" s="1160"/>
      <c r="E193" s="1160"/>
      <c r="F193" s="1160"/>
      <c r="G193" s="1160"/>
      <c r="H193" s="1160"/>
      <c r="I193" s="1160"/>
      <c r="J193" s="1160"/>
      <c r="K193" s="1160"/>
      <c r="L193" s="1160"/>
      <c r="M193" s="1160"/>
      <c r="N193" s="1160"/>
      <c r="O193" s="1160"/>
      <c r="P193" s="1160"/>
      <c r="Q193" s="1160"/>
      <c r="R193" s="1160"/>
      <c r="S193" s="1160"/>
      <c r="T193" s="1160"/>
      <c r="U193" s="1160"/>
      <c r="V193" s="1160"/>
      <c r="W193" s="1160"/>
      <c r="X193" s="1160"/>
      <c r="Y193" s="1160"/>
      <c r="Z193" s="1160"/>
      <c r="AA193" s="1160"/>
      <c r="AB193" s="1160"/>
      <c r="AC193" s="1160"/>
      <c r="AD193" s="1160"/>
      <c r="AE193" s="1160"/>
      <c r="AF193" s="1160"/>
      <c r="AG193" s="1160"/>
      <c r="AH193" s="1160"/>
      <c r="AI193" s="1160"/>
      <c r="AJ193" s="1160"/>
      <c r="AK193" s="1160"/>
      <c r="AL193" s="1160"/>
    </row>
    <row r="194" ht="15.0" customHeight="1">
      <c r="A194" s="1209"/>
      <c r="B194" s="1209"/>
      <c r="C194" s="1210"/>
      <c r="D194" s="1160"/>
      <c r="E194" s="1160"/>
      <c r="F194" s="1160"/>
      <c r="G194" s="1160"/>
      <c r="H194" s="1160"/>
      <c r="I194" s="1160"/>
      <c r="J194" s="1160"/>
      <c r="K194" s="1160"/>
      <c r="L194" s="1160"/>
      <c r="M194" s="1160"/>
      <c r="N194" s="1160"/>
      <c r="O194" s="1160"/>
      <c r="P194" s="1160"/>
      <c r="Q194" s="1160"/>
      <c r="R194" s="1160"/>
      <c r="S194" s="1160"/>
      <c r="T194" s="1160"/>
      <c r="U194" s="1160"/>
      <c r="V194" s="1160"/>
      <c r="W194" s="1160"/>
      <c r="X194" s="1160"/>
      <c r="Y194" s="1160"/>
      <c r="Z194" s="1160"/>
      <c r="AA194" s="1160"/>
      <c r="AB194" s="1160"/>
      <c r="AC194" s="1160"/>
      <c r="AD194" s="1160"/>
      <c r="AE194" s="1160"/>
      <c r="AF194" s="1160"/>
      <c r="AG194" s="1160"/>
      <c r="AH194" s="1160"/>
      <c r="AI194" s="1160"/>
      <c r="AJ194" s="1160"/>
      <c r="AK194" s="1160"/>
      <c r="AL194" s="1160"/>
    </row>
    <row r="195" ht="15.0" customHeight="1">
      <c r="A195" s="1209"/>
      <c r="B195" s="1209"/>
      <c r="C195" s="1210"/>
      <c r="D195" s="1160"/>
      <c r="E195" s="1160"/>
      <c r="F195" s="1160"/>
      <c r="G195" s="1160"/>
      <c r="H195" s="1160"/>
      <c r="I195" s="1160"/>
      <c r="J195" s="1160"/>
      <c r="K195" s="1160"/>
      <c r="L195" s="1160"/>
      <c r="M195" s="1160"/>
      <c r="N195" s="1160"/>
      <c r="O195" s="1160"/>
      <c r="P195" s="1160"/>
      <c r="Q195" s="1160"/>
      <c r="R195" s="1160"/>
      <c r="S195" s="1160"/>
      <c r="T195" s="1160"/>
      <c r="U195" s="1160"/>
      <c r="V195" s="1160"/>
      <c r="W195" s="1160"/>
      <c r="X195" s="1160"/>
      <c r="Y195" s="1160"/>
      <c r="Z195" s="1160"/>
      <c r="AA195" s="1160"/>
      <c r="AB195" s="1160"/>
      <c r="AC195" s="1160"/>
      <c r="AD195" s="1160"/>
      <c r="AE195" s="1160"/>
      <c r="AF195" s="1160"/>
      <c r="AG195" s="1160"/>
      <c r="AH195" s="1160"/>
      <c r="AI195" s="1160"/>
      <c r="AJ195" s="1160"/>
      <c r="AK195" s="1160"/>
      <c r="AL195" s="1160"/>
    </row>
    <row r="196" ht="15.0" customHeight="1">
      <c r="A196" s="1209"/>
      <c r="B196" s="1209"/>
      <c r="C196" s="1210"/>
      <c r="D196" s="1160"/>
      <c r="E196" s="1160"/>
      <c r="F196" s="1160"/>
      <c r="G196" s="1160"/>
      <c r="H196" s="1160"/>
      <c r="I196" s="1160"/>
      <c r="J196" s="1160"/>
      <c r="K196" s="1160"/>
      <c r="L196" s="1160"/>
      <c r="M196" s="1160"/>
      <c r="N196" s="1160"/>
      <c r="O196" s="1160"/>
      <c r="P196" s="1160"/>
      <c r="Q196" s="1160"/>
      <c r="R196" s="1160"/>
      <c r="S196" s="1160"/>
      <c r="T196" s="1160"/>
      <c r="U196" s="1160"/>
      <c r="V196" s="1160"/>
      <c r="W196" s="1160"/>
      <c r="X196" s="1160"/>
      <c r="Y196" s="1160"/>
      <c r="Z196" s="1160"/>
      <c r="AA196" s="1160"/>
      <c r="AB196" s="1160"/>
      <c r="AC196" s="1160"/>
      <c r="AD196" s="1160"/>
      <c r="AE196" s="1160"/>
      <c r="AF196" s="1160"/>
      <c r="AG196" s="1160"/>
      <c r="AH196" s="1160"/>
      <c r="AI196" s="1160"/>
      <c r="AJ196" s="1160"/>
      <c r="AK196" s="1160"/>
      <c r="AL196" s="1160"/>
    </row>
    <row r="197" ht="15.0" customHeight="1">
      <c r="A197" s="1209"/>
      <c r="B197" s="1209"/>
      <c r="C197" s="1210"/>
      <c r="D197" s="1160"/>
      <c r="E197" s="1160"/>
      <c r="F197" s="1160"/>
      <c r="G197" s="1160"/>
      <c r="H197" s="1160"/>
      <c r="I197" s="1160"/>
      <c r="J197" s="1160"/>
      <c r="K197" s="1160"/>
      <c r="L197" s="1160"/>
      <c r="M197" s="1160"/>
      <c r="N197" s="1160"/>
      <c r="O197" s="1160"/>
      <c r="P197" s="1160"/>
      <c r="Q197" s="1160"/>
      <c r="R197" s="1160"/>
      <c r="S197" s="1160"/>
      <c r="T197" s="1160"/>
      <c r="U197" s="1160"/>
      <c r="V197" s="1160"/>
      <c r="W197" s="1160"/>
      <c r="X197" s="1160"/>
      <c r="Y197" s="1160"/>
      <c r="Z197" s="1160"/>
      <c r="AA197" s="1160"/>
      <c r="AB197" s="1160"/>
      <c r="AC197" s="1160"/>
      <c r="AD197" s="1160"/>
      <c r="AE197" s="1160"/>
      <c r="AF197" s="1160"/>
      <c r="AG197" s="1160"/>
      <c r="AH197" s="1160"/>
      <c r="AI197" s="1160"/>
      <c r="AJ197" s="1160"/>
      <c r="AK197" s="1160"/>
      <c r="AL197" s="1160"/>
    </row>
    <row r="198" ht="15.0" customHeight="1">
      <c r="A198" s="1209"/>
      <c r="B198" s="1209"/>
      <c r="C198" s="1210"/>
      <c r="D198" s="1160"/>
      <c r="E198" s="1160"/>
      <c r="F198" s="1160"/>
      <c r="G198" s="1160"/>
      <c r="H198" s="1160"/>
      <c r="I198" s="1160"/>
      <c r="J198" s="1160"/>
      <c r="K198" s="1160"/>
      <c r="L198" s="1160"/>
      <c r="M198" s="1160"/>
      <c r="N198" s="1160"/>
      <c r="O198" s="1160"/>
      <c r="P198" s="1160"/>
      <c r="Q198" s="1160"/>
      <c r="R198" s="1160"/>
      <c r="S198" s="1160"/>
      <c r="T198" s="1160"/>
      <c r="U198" s="1160"/>
      <c r="V198" s="1160"/>
      <c r="W198" s="1160"/>
      <c r="X198" s="1160"/>
      <c r="Y198" s="1160"/>
      <c r="Z198" s="1160"/>
      <c r="AA198" s="1160"/>
      <c r="AB198" s="1160"/>
      <c r="AC198" s="1160"/>
      <c r="AD198" s="1160"/>
      <c r="AE198" s="1160"/>
      <c r="AF198" s="1160"/>
      <c r="AG198" s="1160"/>
      <c r="AH198" s="1160"/>
      <c r="AI198" s="1160"/>
      <c r="AJ198" s="1160"/>
      <c r="AK198" s="1160"/>
      <c r="AL198" s="1160"/>
    </row>
    <row r="199" ht="15.0" customHeight="1">
      <c r="A199" s="1209"/>
      <c r="B199" s="1209"/>
      <c r="C199" s="1210"/>
      <c r="D199" s="1160"/>
      <c r="E199" s="1160"/>
      <c r="F199" s="1160"/>
      <c r="G199" s="1160"/>
      <c r="H199" s="1160"/>
      <c r="I199" s="1160"/>
      <c r="J199" s="1160"/>
      <c r="K199" s="1160"/>
      <c r="L199" s="1160"/>
      <c r="M199" s="1160"/>
      <c r="N199" s="1160"/>
      <c r="O199" s="1160"/>
      <c r="P199" s="1160"/>
      <c r="Q199" s="1160"/>
      <c r="R199" s="1160"/>
      <c r="S199" s="1160"/>
      <c r="T199" s="1160"/>
      <c r="U199" s="1160"/>
      <c r="V199" s="1160"/>
      <c r="W199" s="1160"/>
      <c r="X199" s="1160"/>
      <c r="Y199" s="1160"/>
      <c r="Z199" s="1160"/>
      <c r="AA199" s="1160"/>
      <c r="AB199" s="1160"/>
      <c r="AC199" s="1160"/>
      <c r="AD199" s="1160"/>
      <c r="AE199" s="1160"/>
      <c r="AF199" s="1160"/>
      <c r="AG199" s="1160"/>
      <c r="AH199" s="1160"/>
      <c r="AI199" s="1160"/>
      <c r="AJ199" s="1160"/>
      <c r="AK199" s="1160"/>
      <c r="AL199" s="1160"/>
    </row>
    <row r="200" ht="15.0" customHeight="1">
      <c r="A200" s="1209"/>
      <c r="B200" s="1209"/>
      <c r="C200" s="1210"/>
      <c r="D200" s="1160"/>
      <c r="E200" s="1160"/>
      <c r="F200" s="1160"/>
      <c r="G200" s="1160"/>
      <c r="H200" s="1160"/>
      <c r="I200" s="1160"/>
      <c r="J200" s="1160"/>
      <c r="K200" s="1160"/>
      <c r="L200" s="1160"/>
      <c r="M200" s="1160"/>
      <c r="N200" s="1160"/>
      <c r="O200" s="1160"/>
      <c r="P200" s="1160"/>
      <c r="Q200" s="1160"/>
      <c r="R200" s="1160"/>
      <c r="S200" s="1160"/>
      <c r="T200" s="1160"/>
      <c r="U200" s="1160"/>
      <c r="V200" s="1160"/>
      <c r="W200" s="1160"/>
      <c r="X200" s="1160"/>
      <c r="Y200" s="1160"/>
      <c r="Z200" s="1160"/>
      <c r="AA200" s="1160"/>
      <c r="AB200" s="1160"/>
      <c r="AC200" s="1160"/>
      <c r="AD200" s="1160"/>
      <c r="AE200" s="1160"/>
      <c r="AF200" s="1160"/>
      <c r="AG200" s="1160"/>
      <c r="AH200" s="1160"/>
      <c r="AI200" s="1160"/>
      <c r="AJ200" s="1160"/>
      <c r="AK200" s="1160"/>
      <c r="AL200" s="1160"/>
    </row>
    <row r="201" ht="15.0" customHeight="1">
      <c r="A201" s="1209"/>
      <c r="B201" s="1209"/>
      <c r="C201" s="1210"/>
      <c r="D201" s="1160"/>
      <c r="E201" s="1160"/>
      <c r="F201" s="1160"/>
      <c r="G201" s="1160"/>
      <c r="H201" s="1160"/>
      <c r="I201" s="1160"/>
      <c r="J201" s="1160"/>
      <c r="K201" s="1160"/>
      <c r="L201" s="1160"/>
      <c r="M201" s="1160"/>
      <c r="N201" s="1160"/>
      <c r="O201" s="1160"/>
      <c r="P201" s="1160"/>
      <c r="Q201" s="1160"/>
      <c r="R201" s="1160"/>
      <c r="S201" s="1160"/>
      <c r="T201" s="1160"/>
      <c r="U201" s="1160"/>
      <c r="V201" s="1160"/>
      <c r="W201" s="1160"/>
      <c r="X201" s="1160"/>
      <c r="Y201" s="1160"/>
      <c r="Z201" s="1160"/>
      <c r="AA201" s="1160"/>
      <c r="AB201" s="1160"/>
      <c r="AC201" s="1160"/>
      <c r="AD201" s="1160"/>
      <c r="AE201" s="1160"/>
      <c r="AF201" s="1160"/>
      <c r="AG201" s="1160"/>
      <c r="AH201" s="1160"/>
      <c r="AI201" s="1160"/>
      <c r="AJ201" s="1160"/>
      <c r="AK201" s="1160"/>
      <c r="AL201" s="1160"/>
    </row>
    <row r="202" ht="15.0" customHeight="1">
      <c r="A202" s="1209"/>
      <c r="B202" s="1209"/>
      <c r="C202" s="1210"/>
      <c r="D202" s="1160"/>
      <c r="E202" s="1160"/>
      <c r="F202" s="1160"/>
      <c r="G202" s="1160"/>
      <c r="H202" s="1160"/>
      <c r="I202" s="1160"/>
      <c r="J202" s="1160"/>
      <c r="K202" s="1160"/>
      <c r="L202" s="1160"/>
      <c r="M202" s="1160"/>
      <c r="N202" s="1160"/>
      <c r="O202" s="1160"/>
      <c r="P202" s="1160"/>
      <c r="Q202" s="1160"/>
      <c r="R202" s="1160"/>
      <c r="S202" s="1160"/>
      <c r="T202" s="1160"/>
      <c r="U202" s="1160"/>
      <c r="V202" s="1160"/>
      <c r="W202" s="1160"/>
      <c r="X202" s="1160"/>
      <c r="Y202" s="1160"/>
      <c r="Z202" s="1160"/>
      <c r="AA202" s="1160"/>
      <c r="AB202" s="1160"/>
      <c r="AC202" s="1160"/>
      <c r="AD202" s="1160"/>
      <c r="AE202" s="1160"/>
      <c r="AF202" s="1160"/>
      <c r="AG202" s="1160"/>
      <c r="AH202" s="1160"/>
      <c r="AI202" s="1160"/>
      <c r="AJ202" s="1160"/>
      <c r="AK202" s="1160"/>
      <c r="AL202" s="1160"/>
    </row>
    <row r="203" ht="15.0" customHeight="1">
      <c r="A203" s="1209"/>
      <c r="B203" s="1209"/>
      <c r="C203" s="1210"/>
      <c r="D203" s="1160"/>
      <c r="E203" s="1160"/>
      <c r="F203" s="1160"/>
      <c r="G203" s="1160"/>
      <c r="H203" s="1160"/>
      <c r="I203" s="1160"/>
      <c r="J203" s="1160"/>
      <c r="K203" s="1160"/>
      <c r="L203" s="1160"/>
      <c r="M203" s="1160"/>
      <c r="N203" s="1160"/>
      <c r="O203" s="1160"/>
      <c r="P203" s="1160"/>
      <c r="Q203" s="1160"/>
      <c r="R203" s="1160"/>
      <c r="S203" s="1160"/>
      <c r="T203" s="1160"/>
      <c r="U203" s="1160"/>
      <c r="V203" s="1160"/>
      <c r="W203" s="1160"/>
      <c r="X203" s="1160"/>
      <c r="Y203" s="1160"/>
      <c r="Z203" s="1160"/>
      <c r="AA203" s="1160"/>
      <c r="AB203" s="1160"/>
      <c r="AC203" s="1160"/>
      <c r="AD203" s="1160"/>
      <c r="AE203" s="1160"/>
      <c r="AF203" s="1160"/>
      <c r="AG203" s="1160"/>
      <c r="AH203" s="1160"/>
      <c r="AI203" s="1160"/>
      <c r="AJ203" s="1160"/>
      <c r="AK203" s="1160"/>
      <c r="AL203" s="1160"/>
    </row>
    <row r="204" ht="15.0" customHeight="1">
      <c r="A204" s="1209"/>
      <c r="B204" s="1209"/>
      <c r="C204" s="1210"/>
      <c r="D204" s="1160"/>
      <c r="E204" s="1160"/>
      <c r="F204" s="1160"/>
      <c r="G204" s="1160"/>
      <c r="H204" s="1160"/>
      <c r="I204" s="1160"/>
      <c r="J204" s="1160"/>
      <c r="K204" s="1160"/>
      <c r="L204" s="1160"/>
      <c r="M204" s="1160"/>
      <c r="N204" s="1160"/>
      <c r="O204" s="1160"/>
      <c r="P204" s="1160"/>
      <c r="Q204" s="1160"/>
      <c r="R204" s="1160"/>
      <c r="S204" s="1160"/>
      <c r="T204" s="1160"/>
      <c r="U204" s="1160"/>
      <c r="V204" s="1160"/>
      <c r="W204" s="1160"/>
      <c r="X204" s="1160"/>
      <c r="Y204" s="1160"/>
      <c r="Z204" s="1160"/>
      <c r="AA204" s="1160"/>
      <c r="AB204" s="1160"/>
      <c r="AC204" s="1160"/>
      <c r="AD204" s="1160"/>
      <c r="AE204" s="1160"/>
      <c r="AF204" s="1160"/>
      <c r="AG204" s="1160"/>
      <c r="AH204" s="1160"/>
      <c r="AI204" s="1160"/>
      <c r="AJ204" s="1160"/>
      <c r="AK204" s="1160"/>
      <c r="AL204" s="1160"/>
    </row>
    <row r="205" ht="15.0" customHeight="1">
      <c r="A205" s="1209"/>
      <c r="B205" s="1209"/>
      <c r="C205" s="1210"/>
      <c r="D205" s="1160"/>
      <c r="E205" s="1160"/>
      <c r="F205" s="1160"/>
      <c r="G205" s="1160"/>
      <c r="H205" s="1160"/>
      <c r="I205" s="1160"/>
      <c r="J205" s="1160"/>
      <c r="K205" s="1160"/>
      <c r="L205" s="1160"/>
      <c r="M205" s="1160"/>
      <c r="N205" s="1160"/>
      <c r="O205" s="1160"/>
      <c r="P205" s="1160"/>
      <c r="Q205" s="1160"/>
      <c r="R205" s="1160"/>
      <c r="S205" s="1160"/>
      <c r="T205" s="1160"/>
      <c r="U205" s="1160"/>
      <c r="V205" s="1160"/>
      <c r="W205" s="1160"/>
      <c r="X205" s="1160"/>
      <c r="Y205" s="1160"/>
      <c r="Z205" s="1160"/>
      <c r="AA205" s="1160"/>
      <c r="AB205" s="1160"/>
      <c r="AC205" s="1160"/>
      <c r="AD205" s="1160"/>
      <c r="AE205" s="1160"/>
      <c r="AF205" s="1160"/>
      <c r="AG205" s="1160"/>
      <c r="AH205" s="1160"/>
      <c r="AI205" s="1160"/>
      <c r="AJ205" s="1160"/>
      <c r="AK205" s="1160"/>
      <c r="AL205" s="1160"/>
    </row>
    <row r="206" ht="15.0" customHeight="1">
      <c r="A206" s="1209"/>
      <c r="B206" s="1209"/>
      <c r="C206" s="1210"/>
      <c r="D206" s="1160"/>
      <c r="E206" s="1160"/>
      <c r="F206" s="1160"/>
      <c r="G206" s="1160"/>
      <c r="H206" s="1160"/>
      <c r="I206" s="1160"/>
      <c r="J206" s="1160"/>
      <c r="K206" s="1160"/>
      <c r="L206" s="1160"/>
      <c r="M206" s="1160"/>
      <c r="N206" s="1160"/>
      <c r="O206" s="1160"/>
      <c r="P206" s="1160"/>
      <c r="Q206" s="1160"/>
      <c r="R206" s="1160"/>
      <c r="S206" s="1160"/>
      <c r="T206" s="1160"/>
      <c r="U206" s="1160"/>
      <c r="V206" s="1160"/>
      <c r="W206" s="1160"/>
      <c r="X206" s="1160"/>
      <c r="Y206" s="1160"/>
      <c r="Z206" s="1160"/>
      <c r="AA206" s="1160"/>
      <c r="AB206" s="1160"/>
      <c r="AC206" s="1160"/>
      <c r="AD206" s="1160"/>
      <c r="AE206" s="1160"/>
      <c r="AF206" s="1160"/>
      <c r="AG206" s="1160"/>
      <c r="AH206" s="1160"/>
      <c r="AI206" s="1160"/>
      <c r="AJ206" s="1160"/>
      <c r="AK206" s="1160"/>
      <c r="AL206" s="1160"/>
    </row>
    <row r="207" ht="15.0" customHeight="1">
      <c r="A207" s="1209"/>
      <c r="B207" s="1209"/>
      <c r="C207" s="1210"/>
      <c r="D207" s="1160"/>
      <c r="E207" s="1160"/>
      <c r="F207" s="1160"/>
      <c r="G207" s="1160"/>
      <c r="H207" s="1160"/>
      <c r="I207" s="1160"/>
      <c r="J207" s="1160"/>
      <c r="K207" s="1160"/>
      <c r="L207" s="1160"/>
      <c r="M207" s="1160"/>
      <c r="N207" s="1160"/>
      <c r="O207" s="1160"/>
      <c r="P207" s="1160"/>
      <c r="Q207" s="1160"/>
      <c r="R207" s="1160"/>
      <c r="S207" s="1160"/>
      <c r="T207" s="1160"/>
      <c r="U207" s="1160"/>
      <c r="V207" s="1160"/>
      <c r="W207" s="1160"/>
      <c r="X207" s="1160"/>
      <c r="Y207" s="1160"/>
      <c r="Z207" s="1160"/>
      <c r="AA207" s="1160"/>
      <c r="AB207" s="1160"/>
      <c r="AC207" s="1160"/>
      <c r="AD207" s="1160"/>
      <c r="AE207" s="1160"/>
      <c r="AF207" s="1160"/>
      <c r="AG207" s="1160"/>
      <c r="AH207" s="1160"/>
      <c r="AI207" s="1160"/>
      <c r="AJ207" s="1160"/>
      <c r="AK207" s="1160"/>
      <c r="AL207" s="1160"/>
    </row>
    <row r="208" ht="15.0" customHeight="1">
      <c r="A208" s="1209"/>
      <c r="B208" s="1209"/>
      <c r="C208" s="1210"/>
      <c r="D208" s="1160"/>
      <c r="E208" s="1160"/>
      <c r="F208" s="1160"/>
      <c r="G208" s="1160"/>
      <c r="H208" s="1160"/>
      <c r="I208" s="1160"/>
      <c r="J208" s="1160"/>
      <c r="K208" s="1160"/>
      <c r="L208" s="1160"/>
      <c r="M208" s="1160"/>
      <c r="N208" s="1160"/>
      <c r="O208" s="1160"/>
      <c r="P208" s="1160"/>
      <c r="Q208" s="1160"/>
      <c r="R208" s="1160"/>
      <c r="S208" s="1160"/>
      <c r="T208" s="1160"/>
      <c r="U208" s="1160"/>
      <c r="V208" s="1160"/>
      <c r="W208" s="1160"/>
      <c r="X208" s="1160"/>
      <c r="Y208" s="1160"/>
      <c r="Z208" s="1160"/>
      <c r="AA208" s="1160"/>
      <c r="AB208" s="1160"/>
      <c r="AC208" s="1160"/>
      <c r="AD208" s="1160"/>
      <c r="AE208" s="1160"/>
      <c r="AF208" s="1160"/>
      <c r="AG208" s="1160"/>
      <c r="AH208" s="1160"/>
      <c r="AI208" s="1160"/>
      <c r="AJ208" s="1160"/>
      <c r="AK208" s="1160"/>
      <c r="AL208" s="1160"/>
    </row>
    <row r="209" ht="15.0" customHeight="1">
      <c r="A209" s="1209"/>
      <c r="B209" s="1209"/>
      <c r="C209" s="1210"/>
      <c r="D209" s="1160"/>
      <c r="E209" s="1160"/>
      <c r="F209" s="1160"/>
      <c r="G209" s="1160"/>
      <c r="H209" s="1160"/>
      <c r="I209" s="1160"/>
      <c r="J209" s="1160"/>
      <c r="K209" s="1160"/>
      <c r="L209" s="1160"/>
      <c r="M209" s="1160"/>
      <c r="N209" s="1160"/>
      <c r="O209" s="1160"/>
      <c r="P209" s="1160"/>
      <c r="Q209" s="1160"/>
      <c r="R209" s="1160"/>
      <c r="S209" s="1160"/>
      <c r="T209" s="1160"/>
      <c r="U209" s="1160"/>
      <c r="V209" s="1160"/>
      <c r="W209" s="1160"/>
      <c r="X209" s="1160"/>
      <c r="Y209" s="1160"/>
      <c r="Z209" s="1160"/>
      <c r="AA209" s="1160"/>
      <c r="AB209" s="1160"/>
      <c r="AC209" s="1160"/>
      <c r="AD209" s="1160"/>
      <c r="AE209" s="1160"/>
      <c r="AF209" s="1160"/>
      <c r="AG209" s="1160"/>
      <c r="AH209" s="1160"/>
      <c r="AI209" s="1160"/>
      <c r="AJ209" s="1160"/>
      <c r="AK209" s="1160"/>
      <c r="AL209" s="1160"/>
    </row>
    <row r="210" ht="15.0" customHeight="1">
      <c r="A210" s="1209"/>
      <c r="B210" s="1209"/>
      <c r="C210" s="1210"/>
      <c r="D210" s="1160"/>
      <c r="E210" s="1160"/>
      <c r="F210" s="1160"/>
      <c r="G210" s="1160"/>
      <c r="H210" s="1160"/>
      <c r="I210" s="1160"/>
      <c r="J210" s="1160"/>
      <c r="K210" s="1160"/>
      <c r="L210" s="1160"/>
      <c r="M210" s="1160"/>
      <c r="N210" s="1160"/>
      <c r="O210" s="1160"/>
      <c r="P210" s="1160"/>
      <c r="Q210" s="1160"/>
      <c r="R210" s="1160"/>
      <c r="S210" s="1160"/>
      <c r="T210" s="1160"/>
      <c r="U210" s="1160"/>
      <c r="V210" s="1160"/>
      <c r="W210" s="1160"/>
      <c r="X210" s="1160"/>
      <c r="Y210" s="1160"/>
      <c r="Z210" s="1160"/>
      <c r="AA210" s="1160"/>
      <c r="AB210" s="1160"/>
      <c r="AC210" s="1160"/>
      <c r="AD210" s="1160"/>
      <c r="AE210" s="1160"/>
      <c r="AF210" s="1160"/>
      <c r="AG210" s="1160"/>
      <c r="AH210" s="1160"/>
      <c r="AI210" s="1160"/>
      <c r="AJ210" s="1160"/>
      <c r="AK210" s="1160"/>
      <c r="AL210" s="1160"/>
    </row>
    <row r="211" ht="15.0" customHeight="1">
      <c r="A211" s="1209"/>
      <c r="B211" s="1209"/>
      <c r="C211" s="1210"/>
      <c r="D211" s="1160"/>
      <c r="E211" s="1160"/>
      <c r="F211" s="1160"/>
      <c r="G211" s="1160"/>
      <c r="H211" s="1160"/>
      <c r="I211" s="1160"/>
      <c r="J211" s="1160"/>
      <c r="K211" s="1160"/>
      <c r="L211" s="1160"/>
      <c r="M211" s="1160"/>
      <c r="N211" s="1160"/>
      <c r="O211" s="1160"/>
      <c r="P211" s="1160"/>
      <c r="Q211" s="1160"/>
      <c r="R211" s="1160"/>
      <c r="S211" s="1160"/>
      <c r="T211" s="1160"/>
      <c r="U211" s="1160"/>
      <c r="V211" s="1160"/>
      <c r="W211" s="1160"/>
      <c r="X211" s="1160"/>
      <c r="Y211" s="1160"/>
      <c r="Z211" s="1160"/>
      <c r="AA211" s="1160"/>
      <c r="AB211" s="1160"/>
      <c r="AC211" s="1160"/>
      <c r="AD211" s="1160"/>
      <c r="AE211" s="1160"/>
      <c r="AF211" s="1160"/>
      <c r="AG211" s="1160"/>
      <c r="AH211" s="1160"/>
      <c r="AI211" s="1160"/>
      <c r="AJ211" s="1160"/>
      <c r="AK211" s="1160"/>
      <c r="AL211" s="1160"/>
    </row>
    <row r="212" ht="15.0" customHeight="1">
      <c r="A212" s="1209"/>
      <c r="B212" s="1209"/>
      <c r="C212" s="1210"/>
      <c r="D212" s="1160"/>
      <c r="E212" s="1160"/>
      <c r="F212" s="1160"/>
      <c r="G212" s="1160"/>
      <c r="H212" s="1160"/>
      <c r="I212" s="1160"/>
      <c r="J212" s="1160"/>
      <c r="K212" s="1160"/>
      <c r="L212" s="1160"/>
      <c r="M212" s="1160"/>
      <c r="N212" s="1160"/>
      <c r="O212" s="1160"/>
      <c r="P212" s="1160"/>
      <c r="Q212" s="1160"/>
      <c r="R212" s="1160"/>
      <c r="S212" s="1160"/>
      <c r="T212" s="1160"/>
      <c r="U212" s="1160"/>
      <c r="V212" s="1160"/>
      <c r="W212" s="1160"/>
      <c r="X212" s="1160"/>
      <c r="Y212" s="1160"/>
      <c r="Z212" s="1160"/>
      <c r="AA212" s="1160"/>
      <c r="AB212" s="1160"/>
      <c r="AC212" s="1160"/>
      <c r="AD212" s="1160"/>
      <c r="AE212" s="1160"/>
      <c r="AF212" s="1160"/>
      <c r="AG212" s="1160"/>
      <c r="AH212" s="1160"/>
      <c r="AI212" s="1160"/>
      <c r="AJ212" s="1160"/>
      <c r="AK212" s="1160"/>
      <c r="AL212" s="1160"/>
    </row>
    <row r="213" ht="15.0" customHeight="1">
      <c r="A213" s="1209"/>
      <c r="B213" s="1209"/>
      <c r="C213" s="1210"/>
      <c r="D213" s="1160"/>
      <c r="E213" s="1160"/>
      <c r="F213" s="1160"/>
      <c r="G213" s="1160"/>
      <c r="H213" s="1160"/>
      <c r="I213" s="1160"/>
      <c r="J213" s="1160"/>
      <c r="K213" s="1160"/>
      <c r="L213" s="1160"/>
      <c r="M213" s="1160"/>
      <c r="N213" s="1160"/>
      <c r="O213" s="1160"/>
      <c r="P213" s="1160"/>
      <c r="Q213" s="1160"/>
      <c r="R213" s="1160"/>
      <c r="S213" s="1160"/>
      <c r="T213" s="1160"/>
      <c r="U213" s="1160"/>
      <c r="V213" s="1160"/>
      <c r="W213" s="1160"/>
      <c r="X213" s="1160"/>
      <c r="Y213" s="1160"/>
      <c r="Z213" s="1160"/>
      <c r="AA213" s="1160"/>
      <c r="AB213" s="1160"/>
      <c r="AC213" s="1160"/>
      <c r="AD213" s="1160"/>
      <c r="AE213" s="1160"/>
      <c r="AF213" s="1160"/>
      <c r="AG213" s="1160"/>
      <c r="AH213" s="1160"/>
      <c r="AI213" s="1160"/>
      <c r="AJ213" s="1160"/>
      <c r="AK213" s="1160"/>
      <c r="AL213" s="1160"/>
    </row>
    <row r="214" ht="15.0" customHeight="1">
      <c r="A214" s="1209"/>
      <c r="B214" s="1209"/>
      <c r="C214" s="1210"/>
      <c r="D214" s="1160"/>
      <c r="E214" s="1160"/>
      <c r="F214" s="1160"/>
      <c r="G214" s="1160"/>
      <c r="H214" s="1160"/>
      <c r="I214" s="1160"/>
      <c r="J214" s="1160"/>
      <c r="K214" s="1160"/>
      <c r="L214" s="1160"/>
      <c r="M214" s="1160"/>
      <c r="N214" s="1160"/>
      <c r="O214" s="1160"/>
      <c r="P214" s="1160"/>
      <c r="Q214" s="1160"/>
      <c r="R214" s="1160"/>
      <c r="S214" s="1160"/>
      <c r="T214" s="1160"/>
      <c r="U214" s="1160"/>
      <c r="V214" s="1160"/>
      <c r="W214" s="1160"/>
      <c r="X214" s="1160"/>
      <c r="Y214" s="1160"/>
      <c r="Z214" s="1160"/>
      <c r="AA214" s="1160"/>
      <c r="AB214" s="1160"/>
      <c r="AC214" s="1160"/>
      <c r="AD214" s="1160"/>
      <c r="AE214" s="1160"/>
      <c r="AF214" s="1160"/>
      <c r="AG214" s="1160"/>
      <c r="AH214" s="1160"/>
      <c r="AI214" s="1160"/>
      <c r="AJ214" s="1160"/>
      <c r="AK214" s="1160"/>
      <c r="AL214" s="1160"/>
    </row>
    <row r="215" ht="15.0" customHeight="1">
      <c r="A215" s="1209"/>
      <c r="B215" s="1209"/>
      <c r="C215" s="1210"/>
      <c r="D215" s="1160"/>
      <c r="E215" s="1160"/>
      <c r="F215" s="1160"/>
      <c r="G215" s="1160"/>
      <c r="H215" s="1160"/>
      <c r="I215" s="1160"/>
      <c r="J215" s="1160"/>
      <c r="K215" s="1160"/>
      <c r="L215" s="1160"/>
      <c r="M215" s="1160"/>
      <c r="N215" s="1160"/>
      <c r="O215" s="1160"/>
      <c r="P215" s="1160"/>
      <c r="Q215" s="1160"/>
      <c r="R215" s="1160"/>
      <c r="S215" s="1160"/>
      <c r="T215" s="1160"/>
      <c r="U215" s="1160"/>
      <c r="V215" s="1160"/>
      <c r="W215" s="1160"/>
      <c r="X215" s="1160"/>
      <c r="Y215" s="1160"/>
      <c r="Z215" s="1160"/>
      <c r="AA215" s="1160"/>
      <c r="AB215" s="1160"/>
      <c r="AC215" s="1160"/>
      <c r="AD215" s="1160"/>
      <c r="AE215" s="1160"/>
      <c r="AF215" s="1160"/>
      <c r="AG215" s="1160"/>
      <c r="AH215" s="1160"/>
      <c r="AI215" s="1160"/>
      <c r="AJ215" s="1160"/>
      <c r="AK215" s="1160"/>
      <c r="AL215" s="1160"/>
    </row>
    <row r="216" ht="15.0" customHeight="1">
      <c r="A216" s="1209"/>
      <c r="B216" s="1209"/>
      <c r="C216" s="1210"/>
      <c r="D216" s="1160"/>
      <c r="E216" s="1160"/>
      <c r="F216" s="1160"/>
      <c r="G216" s="1160"/>
      <c r="H216" s="1160"/>
      <c r="I216" s="1160"/>
      <c r="J216" s="1160"/>
      <c r="K216" s="1160"/>
      <c r="L216" s="1160"/>
      <c r="M216" s="1160"/>
      <c r="N216" s="1160"/>
      <c r="O216" s="1160"/>
      <c r="P216" s="1160"/>
      <c r="Q216" s="1160"/>
      <c r="R216" s="1160"/>
      <c r="S216" s="1160"/>
      <c r="T216" s="1160"/>
      <c r="U216" s="1160"/>
      <c r="V216" s="1160"/>
      <c r="W216" s="1160"/>
      <c r="X216" s="1160"/>
      <c r="Y216" s="1160"/>
      <c r="Z216" s="1160"/>
      <c r="AA216" s="1160"/>
      <c r="AB216" s="1160"/>
      <c r="AC216" s="1160"/>
      <c r="AD216" s="1160"/>
      <c r="AE216" s="1160"/>
      <c r="AF216" s="1160"/>
      <c r="AG216" s="1160"/>
      <c r="AH216" s="1160"/>
      <c r="AI216" s="1160"/>
      <c r="AJ216" s="1160"/>
      <c r="AK216" s="1160"/>
      <c r="AL216" s="1160"/>
    </row>
    <row r="217" ht="15.0" customHeight="1">
      <c r="A217" s="1209"/>
      <c r="B217" s="1209"/>
      <c r="C217" s="1210"/>
      <c r="D217" s="1160"/>
      <c r="E217" s="1160"/>
      <c r="F217" s="1160"/>
      <c r="G217" s="1160"/>
      <c r="H217" s="1160"/>
      <c r="I217" s="1160"/>
      <c r="J217" s="1160"/>
      <c r="K217" s="1160"/>
      <c r="L217" s="1160"/>
      <c r="M217" s="1160"/>
      <c r="N217" s="1160"/>
      <c r="O217" s="1160"/>
      <c r="P217" s="1160"/>
      <c r="Q217" s="1160"/>
      <c r="R217" s="1160"/>
      <c r="S217" s="1160"/>
      <c r="T217" s="1160"/>
      <c r="U217" s="1160"/>
      <c r="V217" s="1160"/>
      <c r="W217" s="1160"/>
      <c r="X217" s="1160"/>
      <c r="Y217" s="1160"/>
      <c r="Z217" s="1160"/>
      <c r="AA217" s="1160"/>
      <c r="AB217" s="1160"/>
      <c r="AC217" s="1160"/>
      <c r="AD217" s="1160"/>
      <c r="AE217" s="1160"/>
      <c r="AF217" s="1160"/>
      <c r="AG217" s="1160"/>
      <c r="AH217" s="1160"/>
      <c r="AI217" s="1160"/>
      <c r="AJ217" s="1160"/>
      <c r="AK217" s="1160"/>
      <c r="AL217" s="1160"/>
    </row>
    <row r="218" ht="15.0" customHeight="1">
      <c r="A218" s="1209"/>
      <c r="B218" s="1209"/>
      <c r="C218" s="1210"/>
      <c r="D218" s="1160"/>
      <c r="E218" s="1160"/>
      <c r="F218" s="1160"/>
      <c r="G218" s="1160"/>
      <c r="H218" s="1160"/>
      <c r="I218" s="1160"/>
      <c r="J218" s="1160"/>
      <c r="K218" s="1160"/>
      <c r="L218" s="1160"/>
      <c r="M218" s="1160"/>
      <c r="N218" s="1160"/>
      <c r="O218" s="1160"/>
      <c r="P218" s="1160"/>
      <c r="Q218" s="1160"/>
      <c r="R218" s="1160"/>
      <c r="S218" s="1160"/>
      <c r="T218" s="1160"/>
      <c r="U218" s="1160"/>
      <c r="V218" s="1160"/>
      <c r="W218" s="1160"/>
      <c r="X218" s="1160"/>
      <c r="Y218" s="1160"/>
      <c r="Z218" s="1160"/>
      <c r="AA218" s="1160"/>
      <c r="AB218" s="1160"/>
      <c r="AC218" s="1160"/>
      <c r="AD218" s="1160"/>
      <c r="AE218" s="1160"/>
      <c r="AF218" s="1160"/>
      <c r="AG218" s="1160"/>
      <c r="AH218" s="1160"/>
      <c r="AI218" s="1160"/>
      <c r="AJ218" s="1160"/>
      <c r="AK218" s="1160"/>
      <c r="AL218" s="1160"/>
    </row>
    <row r="219" ht="15.0" customHeight="1">
      <c r="A219" s="1209"/>
      <c r="B219" s="1209"/>
      <c r="C219" s="1210"/>
      <c r="D219" s="1160"/>
      <c r="E219" s="1160"/>
      <c r="F219" s="1160"/>
      <c r="G219" s="1160"/>
      <c r="H219" s="1160"/>
      <c r="I219" s="1160"/>
      <c r="J219" s="1160"/>
      <c r="K219" s="1160"/>
      <c r="L219" s="1160"/>
      <c r="M219" s="1160"/>
      <c r="N219" s="1160"/>
      <c r="O219" s="1160"/>
      <c r="P219" s="1160"/>
      <c r="Q219" s="1160"/>
      <c r="R219" s="1160"/>
      <c r="S219" s="1160"/>
      <c r="T219" s="1160"/>
      <c r="U219" s="1160"/>
      <c r="V219" s="1160"/>
      <c r="W219" s="1160"/>
      <c r="X219" s="1160"/>
      <c r="Y219" s="1160"/>
      <c r="Z219" s="1160"/>
      <c r="AA219" s="1160"/>
      <c r="AB219" s="1160"/>
      <c r="AC219" s="1160"/>
      <c r="AD219" s="1160"/>
      <c r="AE219" s="1160"/>
      <c r="AF219" s="1160"/>
      <c r="AG219" s="1160"/>
      <c r="AH219" s="1160"/>
      <c r="AI219" s="1160"/>
      <c r="AJ219" s="1160"/>
      <c r="AK219" s="1160"/>
      <c r="AL219" s="1160"/>
    </row>
    <row r="220" ht="15.0" customHeight="1">
      <c r="A220" s="1209"/>
      <c r="B220" s="1209"/>
      <c r="C220" s="1210"/>
      <c r="D220" s="1160"/>
      <c r="E220" s="1160"/>
      <c r="F220" s="1160"/>
      <c r="G220" s="1160"/>
      <c r="H220" s="1160"/>
      <c r="I220" s="1160"/>
      <c r="J220" s="1160"/>
      <c r="K220" s="1160"/>
      <c r="L220" s="1160"/>
      <c r="M220" s="1160"/>
      <c r="N220" s="1160"/>
      <c r="O220" s="1160"/>
      <c r="P220" s="1160"/>
      <c r="Q220" s="1160"/>
      <c r="R220" s="1160"/>
      <c r="S220" s="1160"/>
      <c r="T220" s="1160"/>
      <c r="U220" s="1160"/>
      <c r="V220" s="1160"/>
      <c r="W220" s="1160"/>
      <c r="X220" s="1160"/>
      <c r="Y220" s="1160"/>
      <c r="Z220" s="1160"/>
      <c r="AA220" s="1160"/>
      <c r="AB220" s="1160"/>
      <c r="AC220" s="1160"/>
      <c r="AD220" s="1160"/>
      <c r="AE220" s="1160"/>
      <c r="AF220" s="1160"/>
      <c r="AG220" s="1160"/>
      <c r="AH220" s="1160"/>
      <c r="AI220" s="1160"/>
      <c r="AJ220" s="1160"/>
      <c r="AK220" s="1160"/>
      <c r="AL220" s="1160"/>
    </row>
    <row r="221" ht="15.0" customHeight="1">
      <c r="A221" s="1209"/>
      <c r="B221" s="1209"/>
      <c r="C221" s="1210"/>
      <c r="D221" s="1160"/>
      <c r="E221" s="1160"/>
      <c r="F221" s="1160"/>
      <c r="G221" s="1160"/>
      <c r="H221" s="1160"/>
      <c r="I221" s="1160"/>
      <c r="J221" s="1160"/>
      <c r="K221" s="1160"/>
      <c r="L221" s="1160"/>
      <c r="M221" s="1160"/>
      <c r="N221" s="1160"/>
      <c r="O221" s="1160"/>
      <c r="P221" s="1160"/>
      <c r="Q221" s="1160"/>
      <c r="R221" s="1160"/>
      <c r="S221" s="1160"/>
      <c r="T221" s="1160"/>
      <c r="U221" s="1160"/>
      <c r="V221" s="1160"/>
      <c r="W221" s="1160"/>
      <c r="X221" s="1160"/>
      <c r="Y221" s="1160"/>
      <c r="Z221" s="1160"/>
      <c r="AA221" s="1160"/>
      <c r="AB221" s="1160"/>
      <c r="AC221" s="1160"/>
      <c r="AD221" s="1160"/>
      <c r="AE221" s="1160"/>
      <c r="AF221" s="1160"/>
      <c r="AG221" s="1160"/>
      <c r="AH221" s="1160"/>
      <c r="AI221" s="1160"/>
      <c r="AJ221" s="1160"/>
      <c r="AK221" s="1160"/>
      <c r="AL221" s="1160"/>
    </row>
    <row r="222" ht="15.0" customHeight="1">
      <c r="A222" s="1209"/>
      <c r="B222" s="1209"/>
      <c r="C222" s="1210"/>
      <c r="D222" s="1160"/>
      <c r="E222" s="1160"/>
      <c r="F222" s="1160"/>
      <c r="G222" s="1160"/>
      <c r="H222" s="1160"/>
      <c r="I222" s="1160"/>
      <c r="J222" s="1160"/>
      <c r="K222" s="1160"/>
      <c r="L222" s="1160"/>
      <c r="M222" s="1160"/>
      <c r="N222" s="1160"/>
      <c r="O222" s="1160"/>
      <c r="P222" s="1160"/>
      <c r="Q222" s="1160"/>
      <c r="R222" s="1160"/>
      <c r="S222" s="1160"/>
      <c r="T222" s="1160"/>
      <c r="U222" s="1160"/>
      <c r="V222" s="1160"/>
      <c r="W222" s="1160"/>
      <c r="X222" s="1160"/>
      <c r="Y222" s="1160"/>
      <c r="Z222" s="1160"/>
      <c r="AA222" s="1160"/>
      <c r="AB222" s="1160"/>
      <c r="AC222" s="1160"/>
      <c r="AD222" s="1160"/>
      <c r="AE222" s="1160"/>
      <c r="AF222" s="1160"/>
      <c r="AG222" s="1160"/>
      <c r="AH222" s="1160"/>
      <c r="AI222" s="1160"/>
      <c r="AJ222" s="1160"/>
      <c r="AK222" s="1160"/>
      <c r="AL222" s="1160"/>
    </row>
    <row r="223" ht="15.0" customHeight="1">
      <c r="A223" s="1209"/>
      <c r="B223" s="1209"/>
      <c r="C223" s="1210"/>
      <c r="D223" s="1160"/>
      <c r="E223" s="1160"/>
      <c r="F223" s="1160"/>
      <c r="G223" s="1160"/>
      <c r="H223" s="1160"/>
      <c r="I223" s="1160"/>
      <c r="J223" s="1160"/>
      <c r="K223" s="1160"/>
      <c r="L223" s="1160"/>
      <c r="M223" s="1160"/>
      <c r="N223" s="1160"/>
      <c r="O223" s="1160"/>
      <c r="P223" s="1160"/>
      <c r="Q223" s="1160"/>
      <c r="R223" s="1160"/>
      <c r="S223" s="1160"/>
      <c r="T223" s="1160"/>
      <c r="U223" s="1160"/>
      <c r="V223" s="1160"/>
      <c r="W223" s="1160"/>
      <c r="X223" s="1160"/>
      <c r="Y223" s="1160"/>
      <c r="Z223" s="1160"/>
      <c r="AA223" s="1160"/>
      <c r="AB223" s="1160"/>
      <c r="AC223" s="1160"/>
      <c r="AD223" s="1160"/>
      <c r="AE223" s="1160"/>
      <c r="AF223" s="1160"/>
      <c r="AG223" s="1160"/>
      <c r="AH223" s="1160"/>
      <c r="AI223" s="1160"/>
      <c r="AJ223" s="1160"/>
      <c r="AK223" s="1160"/>
      <c r="AL223" s="1160"/>
    </row>
    <row r="224" ht="15.0" customHeight="1">
      <c r="A224" s="1209"/>
      <c r="B224" s="1209"/>
      <c r="C224" s="1210"/>
      <c r="D224" s="1160"/>
      <c r="E224" s="1160"/>
      <c r="F224" s="1160"/>
      <c r="G224" s="1160"/>
      <c r="H224" s="1160"/>
      <c r="I224" s="1160"/>
      <c r="J224" s="1160"/>
      <c r="K224" s="1160"/>
      <c r="L224" s="1160"/>
      <c r="M224" s="1160"/>
      <c r="N224" s="1160"/>
      <c r="O224" s="1160"/>
      <c r="P224" s="1160"/>
      <c r="Q224" s="1160"/>
      <c r="R224" s="1160"/>
      <c r="S224" s="1160"/>
      <c r="T224" s="1160"/>
      <c r="U224" s="1160"/>
      <c r="V224" s="1160"/>
      <c r="W224" s="1160"/>
      <c r="X224" s="1160"/>
      <c r="Y224" s="1160"/>
      <c r="Z224" s="1160"/>
      <c r="AA224" s="1160"/>
      <c r="AB224" s="1160"/>
      <c r="AC224" s="1160"/>
      <c r="AD224" s="1160"/>
      <c r="AE224" s="1160"/>
      <c r="AF224" s="1160"/>
      <c r="AG224" s="1160"/>
      <c r="AH224" s="1160"/>
      <c r="AI224" s="1160"/>
      <c r="AJ224" s="1160"/>
      <c r="AK224" s="1160"/>
      <c r="AL224" s="1160"/>
    </row>
    <row r="225" ht="15.0" customHeight="1">
      <c r="A225" s="1209"/>
      <c r="B225" s="1209"/>
      <c r="C225" s="1210"/>
      <c r="D225" s="1160"/>
      <c r="E225" s="1160"/>
      <c r="F225" s="1160"/>
      <c r="G225" s="1160"/>
      <c r="H225" s="1160"/>
      <c r="I225" s="1160"/>
      <c r="J225" s="1160"/>
      <c r="K225" s="1160"/>
      <c r="L225" s="1160"/>
      <c r="M225" s="1160"/>
      <c r="N225" s="1160"/>
      <c r="O225" s="1160"/>
      <c r="P225" s="1160"/>
      <c r="Q225" s="1160"/>
      <c r="R225" s="1160"/>
      <c r="S225" s="1160"/>
      <c r="T225" s="1160"/>
      <c r="U225" s="1160"/>
      <c r="V225" s="1160"/>
      <c r="W225" s="1160"/>
      <c r="X225" s="1160"/>
      <c r="Y225" s="1160"/>
      <c r="Z225" s="1160"/>
      <c r="AA225" s="1160"/>
      <c r="AB225" s="1160"/>
      <c r="AC225" s="1160"/>
      <c r="AD225" s="1160"/>
      <c r="AE225" s="1160"/>
      <c r="AF225" s="1160"/>
      <c r="AG225" s="1160"/>
      <c r="AH225" s="1160"/>
      <c r="AI225" s="1160"/>
      <c r="AJ225" s="1160"/>
      <c r="AK225" s="1160"/>
      <c r="AL225" s="1160"/>
    </row>
    <row r="226" ht="15.0" customHeight="1">
      <c r="A226" s="1209"/>
      <c r="B226" s="1209"/>
      <c r="C226" s="1210"/>
      <c r="D226" s="1160"/>
      <c r="E226" s="1160"/>
      <c r="F226" s="1160"/>
      <c r="G226" s="1160"/>
      <c r="H226" s="1160"/>
      <c r="I226" s="1160"/>
      <c r="J226" s="1160"/>
      <c r="K226" s="1160"/>
      <c r="L226" s="1160"/>
      <c r="M226" s="1160"/>
      <c r="N226" s="1160"/>
      <c r="O226" s="1160"/>
      <c r="P226" s="1160"/>
      <c r="Q226" s="1160"/>
      <c r="R226" s="1160"/>
      <c r="S226" s="1160"/>
      <c r="T226" s="1160"/>
      <c r="U226" s="1160"/>
      <c r="V226" s="1160"/>
      <c r="W226" s="1160"/>
      <c r="X226" s="1160"/>
      <c r="Y226" s="1160"/>
      <c r="Z226" s="1160"/>
      <c r="AA226" s="1160"/>
      <c r="AB226" s="1160"/>
      <c r="AC226" s="1160"/>
      <c r="AD226" s="1160"/>
      <c r="AE226" s="1160"/>
      <c r="AF226" s="1160"/>
      <c r="AG226" s="1160"/>
      <c r="AH226" s="1160"/>
      <c r="AI226" s="1160"/>
      <c r="AJ226" s="1160"/>
      <c r="AK226" s="1160"/>
      <c r="AL226" s="1160"/>
    </row>
    <row r="227" ht="15.0" customHeight="1">
      <c r="A227" s="1209"/>
      <c r="B227" s="1209"/>
      <c r="C227" s="1210"/>
      <c r="D227" s="1160"/>
      <c r="E227" s="1160"/>
      <c r="F227" s="1160"/>
      <c r="G227" s="1160"/>
      <c r="H227" s="1160"/>
      <c r="I227" s="1160"/>
      <c r="J227" s="1160"/>
      <c r="K227" s="1160"/>
      <c r="L227" s="1160"/>
      <c r="M227" s="1160"/>
      <c r="N227" s="1160"/>
      <c r="O227" s="1160"/>
      <c r="P227" s="1160"/>
      <c r="Q227" s="1160"/>
      <c r="R227" s="1160"/>
      <c r="S227" s="1160"/>
      <c r="T227" s="1160"/>
      <c r="U227" s="1160"/>
      <c r="V227" s="1160"/>
      <c r="W227" s="1160"/>
      <c r="X227" s="1160"/>
      <c r="Y227" s="1160"/>
      <c r="Z227" s="1160"/>
      <c r="AA227" s="1160"/>
      <c r="AB227" s="1160"/>
      <c r="AC227" s="1160"/>
      <c r="AD227" s="1160"/>
      <c r="AE227" s="1160"/>
      <c r="AF227" s="1160"/>
      <c r="AG227" s="1160"/>
      <c r="AH227" s="1160"/>
      <c r="AI227" s="1160"/>
      <c r="AJ227" s="1160"/>
      <c r="AK227" s="1160"/>
      <c r="AL227" s="1160"/>
    </row>
    <row r="228" ht="15.0" customHeight="1">
      <c r="A228" s="1209"/>
      <c r="B228" s="1209"/>
      <c r="C228" s="1210"/>
      <c r="D228" s="1160"/>
      <c r="E228" s="1160"/>
      <c r="F228" s="1160"/>
      <c r="G228" s="1160"/>
      <c r="H228" s="1160"/>
      <c r="I228" s="1160"/>
      <c r="J228" s="1160"/>
      <c r="K228" s="1160"/>
      <c r="L228" s="1160"/>
      <c r="M228" s="1160"/>
      <c r="N228" s="1160"/>
      <c r="O228" s="1160"/>
      <c r="P228" s="1160"/>
      <c r="Q228" s="1160"/>
      <c r="R228" s="1160"/>
      <c r="S228" s="1160"/>
      <c r="T228" s="1160"/>
      <c r="U228" s="1160"/>
      <c r="V228" s="1160"/>
      <c r="W228" s="1160"/>
      <c r="X228" s="1160"/>
      <c r="Y228" s="1160"/>
      <c r="Z228" s="1160"/>
      <c r="AA228" s="1160"/>
      <c r="AB228" s="1160"/>
      <c r="AC228" s="1160"/>
      <c r="AD228" s="1160"/>
      <c r="AE228" s="1160"/>
      <c r="AF228" s="1160"/>
      <c r="AG228" s="1160"/>
      <c r="AH228" s="1160"/>
      <c r="AI228" s="1160"/>
      <c r="AJ228" s="1160"/>
      <c r="AK228" s="1160"/>
      <c r="AL228" s="1160"/>
    </row>
    <row r="229" ht="15.0" customHeight="1">
      <c r="A229" s="1209"/>
      <c r="B229" s="1209"/>
      <c r="C229" s="1210"/>
      <c r="D229" s="1160"/>
      <c r="E229" s="1160"/>
      <c r="F229" s="1160"/>
      <c r="G229" s="1160"/>
      <c r="H229" s="1160"/>
      <c r="I229" s="1160"/>
      <c r="J229" s="1160"/>
      <c r="K229" s="1160"/>
      <c r="L229" s="1160"/>
      <c r="M229" s="1160"/>
      <c r="N229" s="1160"/>
      <c r="O229" s="1160"/>
      <c r="P229" s="1160"/>
      <c r="Q229" s="1160"/>
      <c r="R229" s="1160"/>
      <c r="S229" s="1160"/>
      <c r="T229" s="1160"/>
      <c r="U229" s="1160"/>
      <c r="V229" s="1160"/>
      <c r="W229" s="1160"/>
      <c r="X229" s="1160"/>
      <c r="Y229" s="1160"/>
      <c r="Z229" s="1160"/>
      <c r="AA229" s="1160"/>
      <c r="AB229" s="1160"/>
      <c r="AC229" s="1160"/>
      <c r="AD229" s="1160"/>
      <c r="AE229" s="1160"/>
      <c r="AF229" s="1160"/>
      <c r="AG229" s="1160"/>
      <c r="AH229" s="1160"/>
      <c r="AI229" s="1160"/>
      <c r="AJ229" s="1160"/>
      <c r="AK229" s="1160"/>
      <c r="AL229" s="1160"/>
    </row>
    <row r="230" ht="15.0" customHeight="1">
      <c r="A230" s="1209"/>
      <c r="B230" s="1209"/>
      <c r="C230" s="1210"/>
      <c r="D230" s="1160"/>
      <c r="E230" s="1160"/>
      <c r="F230" s="1160"/>
      <c r="G230" s="1160"/>
      <c r="H230" s="1160"/>
      <c r="I230" s="1160"/>
      <c r="J230" s="1160"/>
      <c r="K230" s="1160"/>
      <c r="L230" s="1160"/>
      <c r="M230" s="1160"/>
      <c r="N230" s="1160"/>
      <c r="O230" s="1160"/>
      <c r="P230" s="1160"/>
      <c r="Q230" s="1160"/>
      <c r="R230" s="1160"/>
      <c r="S230" s="1160"/>
      <c r="T230" s="1160"/>
      <c r="U230" s="1160"/>
      <c r="V230" s="1160"/>
      <c r="W230" s="1160"/>
      <c r="X230" s="1160"/>
      <c r="Y230" s="1160"/>
      <c r="Z230" s="1160"/>
      <c r="AA230" s="1160"/>
      <c r="AB230" s="1160"/>
      <c r="AC230" s="1160"/>
      <c r="AD230" s="1160"/>
      <c r="AE230" s="1160"/>
      <c r="AF230" s="1160"/>
      <c r="AG230" s="1160"/>
      <c r="AH230" s="1160"/>
      <c r="AI230" s="1160"/>
      <c r="AJ230" s="1160"/>
      <c r="AK230" s="1160"/>
      <c r="AL230" s="1160"/>
    </row>
    <row r="231" ht="15.0" customHeight="1">
      <c r="A231" s="1209"/>
      <c r="B231" s="1209"/>
      <c r="C231" s="1210"/>
      <c r="D231" s="1160"/>
      <c r="E231" s="1160"/>
      <c r="F231" s="1160"/>
      <c r="G231" s="1160"/>
      <c r="H231" s="1160"/>
      <c r="I231" s="1160"/>
      <c r="J231" s="1160"/>
      <c r="K231" s="1160"/>
      <c r="L231" s="1160"/>
      <c r="M231" s="1160"/>
      <c r="N231" s="1160"/>
      <c r="O231" s="1160"/>
      <c r="P231" s="1160"/>
      <c r="Q231" s="1160"/>
      <c r="R231" s="1160"/>
      <c r="S231" s="1160"/>
      <c r="T231" s="1160"/>
      <c r="U231" s="1160"/>
      <c r="V231" s="1160"/>
      <c r="W231" s="1160"/>
      <c r="X231" s="1160"/>
      <c r="Y231" s="1160"/>
      <c r="Z231" s="1160"/>
      <c r="AA231" s="1160"/>
      <c r="AB231" s="1160"/>
      <c r="AC231" s="1160"/>
      <c r="AD231" s="1160"/>
      <c r="AE231" s="1160"/>
      <c r="AF231" s="1160"/>
      <c r="AG231" s="1160"/>
      <c r="AH231" s="1160"/>
      <c r="AI231" s="1160"/>
      <c r="AJ231" s="1160"/>
      <c r="AK231" s="1160"/>
      <c r="AL231" s="1160"/>
    </row>
    <row r="232" ht="15.0" customHeight="1">
      <c r="A232" s="1209"/>
      <c r="B232" s="1209"/>
      <c r="C232" s="1210"/>
      <c r="D232" s="1160"/>
      <c r="E232" s="1160"/>
      <c r="F232" s="1160"/>
      <c r="G232" s="1160"/>
      <c r="H232" s="1160"/>
      <c r="I232" s="1160"/>
      <c r="J232" s="1160"/>
      <c r="K232" s="1160"/>
      <c r="L232" s="1160"/>
      <c r="M232" s="1160"/>
      <c r="N232" s="1160"/>
      <c r="O232" s="1160"/>
      <c r="P232" s="1160"/>
      <c r="Q232" s="1160"/>
      <c r="R232" s="1160"/>
      <c r="S232" s="1160"/>
      <c r="T232" s="1160"/>
      <c r="U232" s="1160"/>
      <c r="V232" s="1160"/>
      <c r="W232" s="1160"/>
      <c r="X232" s="1160"/>
      <c r="Y232" s="1160"/>
      <c r="Z232" s="1160"/>
      <c r="AA232" s="1160"/>
      <c r="AB232" s="1160"/>
      <c r="AC232" s="1160"/>
      <c r="AD232" s="1160"/>
      <c r="AE232" s="1160"/>
      <c r="AF232" s="1160"/>
      <c r="AG232" s="1160"/>
      <c r="AH232" s="1160"/>
      <c r="AI232" s="1160"/>
      <c r="AJ232" s="1160"/>
      <c r="AK232" s="1160"/>
      <c r="AL232" s="1160"/>
    </row>
    <row r="233" ht="15.0" customHeight="1">
      <c r="A233" s="1209"/>
      <c r="B233" s="1209"/>
      <c r="C233" s="1210"/>
      <c r="D233" s="1160"/>
      <c r="E233" s="1160"/>
      <c r="F233" s="1160"/>
      <c r="G233" s="1160"/>
      <c r="H233" s="1160"/>
      <c r="I233" s="1160"/>
      <c r="J233" s="1160"/>
      <c r="K233" s="1160"/>
      <c r="L233" s="1160"/>
      <c r="M233" s="1160"/>
      <c r="N233" s="1160"/>
      <c r="O233" s="1160"/>
      <c r="P233" s="1160"/>
      <c r="Q233" s="1160"/>
      <c r="R233" s="1160"/>
      <c r="S233" s="1160"/>
      <c r="T233" s="1160"/>
      <c r="U233" s="1160"/>
      <c r="V233" s="1160"/>
      <c r="W233" s="1160"/>
      <c r="X233" s="1160"/>
      <c r="Y233" s="1160"/>
      <c r="Z233" s="1160"/>
      <c r="AA233" s="1160"/>
      <c r="AB233" s="1160"/>
      <c r="AC233" s="1160"/>
      <c r="AD233" s="1160"/>
      <c r="AE233" s="1160"/>
      <c r="AF233" s="1160"/>
      <c r="AG233" s="1160"/>
      <c r="AH233" s="1160"/>
      <c r="AI233" s="1160"/>
      <c r="AJ233" s="1160"/>
      <c r="AK233" s="1160"/>
      <c r="AL233" s="1160"/>
    </row>
    <row r="234" ht="15.0" customHeight="1">
      <c r="A234" s="1209"/>
      <c r="B234" s="1209"/>
      <c r="C234" s="1210"/>
      <c r="D234" s="1160"/>
      <c r="E234" s="1160"/>
      <c r="F234" s="1160"/>
      <c r="G234" s="1160"/>
      <c r="H234" s="1160"/>
      <c r="I234" s="1160"/>
      <c r="J234" s="1160"/>
      <c r="K234" s="1160"/>
      <c r="L234" s="1160"/>
      <c r="M234" s="1160"/>
      <c r="N234" s="1160"/>
      <c r="O234" s="1160"/>
      <c r="P234" s="1160"/>
      <c r="Q234" s="1160"/>
      <c r="R234" s="1160"/>
      <c r="S234" s="1160"/>
      <c r="T234" s="1160"/>
      <c r="U234" s="1160"/>
      <c r="V234" s="1160"/>
      <c r="W234" s="1160"/>
      <c r="X234" s="1160"/>
      <c r="Y234" s="1160"/>
      <c r="Z234" s="1160"/>
      <c r="AA234" s="1160"/>
      <c r="AB234" s="1160"/>
      <c r="AC234" s="1160"/>
      <c r="AD234" s="1160"/>
      <c r="AE234" s="1160"/>
      <c r="AF234" s="1160"/>
      <c r="AG234" s="1160"/>
      <c r="AH234" s="1160"/>
      <c r="AI234" s="1160"/>
      <c r="AJ234" s="1160"/>
      <c r="AK234" s="1160"/>
      <c r="AL234" s="1160"/>
    </row>
    <row r="235" ht="15.0" customHeight="1">
      <c r="A235" s="1209"/>
      <c r="B235" s="1209"/>
      <c r="C235" s="1210"/>
      <c r="D235" s="1160"/>
      <c r="E235" s="1160"/>
      <c r="F235" s="1160"/>
      <c r="G235" s="1160"/>
      <c r="H235" s="1160"/>
      <c r="I235" s="1160"/>
      <c r="J235" s="1160"/>
      <c r="K235" s="1160"/>
      <c r="L235" s="1160"/>
      <c r="M235" s="1160"/>
      <c r="N235" s="1160"/>
      <c r="O235" s="1160"/>
      <c r="P235" s="1160"/>
      <c r="Q235" s="1160"/>
      <c r="R235" s="1160"/>
      <c r="S235" s="1160"/>
      <c r="T235" s="1160"/>
      <c r="U235" s="1160"/>
      <c r="V235" s="1160"/>
      <c r="W235" s="1160"/>
      <c r="X235" s="1160"/>
      <c r="Y235" s="1160"/>
      <c r="Z235" s="1160"/>
      <c r="AA235" s="1160"/>
      <c r="AB235" s="1160"/>
      <c r="AC235" s="1160"/>
      <c r="AD235" s="1160"/>
      <c r="AE235" s="1160"/>
      <c r="AF235" s="1160"/>
      <c r="AG235" s="1160"/>
      <c r="AH235" s="1160"/>
      <c r="AI235" s="1160"/>
      <c r="AJ235" s="1160"/>
      <c r="AK235" s="1160"/>
      <c r="AL235" s="1160"/>
    </row>
    <row r="236" ht="15.0" customHeight="1">
      <c r="A236" s="1209"/>
      <c r="B236" s="1209"/>
      <c r="C236" s="1210"/>
      <c r="D236" s="1160"/>
      <c r="E236" s="1160"/>
      <c r="F236" s="1160"/>
      <c r="G236" s="1160"/>
      <c r="H236" s="1160"/>
      <c r="I236" s="1160"/>
      <c r="J236" s="1160"/>
      <c r="K236" s="1160"/>
      <c r="L236" s="1160"/>
      <c r="M236" s="1160"/>
      <c r="N236" s="1160"/>
      <c r="O236" s="1160"/>
      <c r="P236" s="1160"/>
      <c r="Q236" s="1160"/>
      <c r="R236" s="1160"/>
      <c r="S236" s="1160"/>
      <c r="T236" s="1160"/>
      <c r="U236" s="1160"/>
      <c r="V236" s="1160"/>
      <c r="W236" s="1160"/>
      <c r="X236" s="1160"/>
      <c r="Y236" s="1160"/>
      <c r="Z236" s="1160"/>
      <c r="AA236" s="1160"/>
      <c r="AB236" s="1160"/>
      <c r="AC236" s="1160"/>
      <c r="AD236" s="1160"/>
      <c r="AE236" s="1160"/>
      <c r="AF236" s="1160"/>
      <c r="AG236" s="1160"/>
      <c r="AH236" s="1160"/>
      <c r="AI236" s="1160"/>
      <c r="AJ236" s="1160"/>
      <c r="AK236" s="1160"/>
      <c r="AL236" s="1160"/>
    </row>
    <row r="237" ht="15.0" customHeight="1">
      <c r="A237" s="1209"/>
      <c r="B237" s="1209"/>
      <c r="C237" s="1210"/>
      <c r="D237" s="1160"/>
      <c r="E237" s="1160"/>
      <c r="F237" s="1160"/>
      <c r="G237" s="1160"/>
      <c r="H237" s="1160"/>
      <c r="I237" s="1160"/>
      <c r="J237" s="1160"/>
      <c r="K237" s="1160"/>
      <c r="L237" s="1160"/>
      <c r="M237" s="1160"/>
      <c r="N237" s="1160"/>
      <c r="O237" s="1160"/>
      <c r="P237" s="1160"/>
      <c r="Q237" s="1160"/>
      <c r="R237" s="1160"/>
      <c r="S237" s="1160"/>
      <c r="T237" s="1160"/>
      <c r="U237" s="1160"/>
      <c r="V237" s="1160"/>
      <c r="W237" s="1160"/>
      <c r="X237" s="1160"/>
      <c r="Y237" s="1160"/>
      <c r="Z237" s="1160"/>
      <c r="AA237" s="1160"/>
      <c r="AB237" s="1160"/>
      <c r="AC237" s="1160"/>
      <c r="AD237" s="1160"/>
      <c r="AE237" s="1160"/>
      <c r="AF237" s="1160"/>
      <c r="AG237" s="1160"/>
      <c r="AH237" s="1160"/>
      <c r="AI237" s="1160"/>
      <c r="AJ237" s="1160"/>
      <c r="AK237" s="1160"/>
      <c r="AL237" s="1160"/>
    </row>
    <row r="238" ht="15.0" customHeight="1">
      <c r="A238" s="1209"/>
      <c r="B238" s="1209"/>
      <c r="C238" s="1210"/>
      <c r="D238" s="1160"/>
      <c r="E238" s="1160"/>
      <c r="F238" s="1160"/>
      <c r="G238" s="1160"/>
      <c r="H238" s="1160"/>
      <c r="I238" s="1160"/>
      <c r="J238" s="1160"/>
      <c r="K238" s="1160"/>
      <c r="L238" s="1160"/>
      <c r="M238" s="1160"/>
      <c r="N238" s="1160"/>
      <c r="O238" s="1160"/>
      <c r="P238" s="1160"/>
      <c r="Q238" s="1160"/>
      <c r="R238" s="1160"/>
      <c r="S238" s="1160"/>
      <c r="T238" s="1160"/>
      <c r="U238" s="1160"/>
      <c r="V238" s="1160"/>
      <c r="W238" s="1160"/>
      <c r="X238" s="1160"/>
      <c r="Y238" s="1160"/>
      <c r="Z238" s="1160"/>
      <c r="AA238" s="1160"/>
      <c r="AB238" s="1160"/>
      <c r="AC238" s="1160"/>
      <c r="AD238" s="1160"/>
      <c r="AE238" s="1160"/>
      <c r="AF238" s="1160"/>
      <c r="AG238" s="1160"/>
      <c r="AH238" s="1160"/>
      <c r="AI238" s="1160"/>
      <c r="AJ238" s="1160"/>
      <c r="AK238" s="1160"/>
      <c r="AL238" s="1160"/>
    </row>
    <row r="239" ht="15.0" customHeight="1">
      <c r="A239" s="1209"/>
      <c r="B239" s="1209"/>
      <c r="C239" s="1210"/>
      <c r="D239" s="1160"/>
      <c r="E239" s="1160"/>
      <c r="F239" s="1160"/>
      <c r="G239" s="1160"/>
      <c r="H239" s="1160"/>
      <c r="I239" s="1160"/>
      <c r="J239" s="1160"/>
      <c r="K239" s="1160"/>
      <c r="L239" s="1160"/>
      <c r="M239" s="1160"/>
      <c r="N239" s="1160"/>
      <c r="O239" s="1160"/>
      <c r="P239" s="1160"/>
      <c r="Q239" s="1160"/>
      <c r="R239" s="1160"/>
      <c r="S239" s="1160"/>
      <c r="T239" s="1160"/>
      <c r="U239" s="1160"/>
      <c r="V239" s="1160"/>
      <c r="W239" s="1160"/>
      <c r="X239" s="1160"/>
      <c r="Y239" s="1160"/>
      <c r="Z239" s="1160"/>
      <c r="AA239" s="1160"/>
      <c r="AB239" s="1160"/>
      <c r="AC239" s="1160"/>
      <c r="AD239" s="1160"/>
      <c r="AE239" s="1160"/>
      <c r="AF239" s="1160"/>
      <c r="AG239" s="1160"/>
      <c r="AH239" s="1160"/>
      <c r="AI239" s="1160"/>
      <c r="AJ239" s="1160"/>
      <c r="AK239" s="1160"/>
      <c r="AL239" s="1160"/>
    </row>
    <row r="240" ht="15.0" customHeight="1">
      <c r="A240" s="1209"/>
      <c r="B240" s="1209"/>
      <c r="C240" s="1210"/>
      <c r="D240" s="1160"/>
      <c r="E240" s="1160"/>
      <c r="F240" s="1160"/>
      <c r="G240" s="1160"/>
      <c r="H240" s="1160"/>
      <c r="I240" s="1160"/>
      <c r="J240" s="1160"/>
      <c r="K240" s="1160"/>
      <c r="L240" s="1160"/>
      <c r="M240" s="1160"/>
      <c r="N240" s="1160"/>
      <c r="O240" s="1160"/>
      <c r="P240" s="1160"/>
      <c r="Q240" s="1160"/>
      <c r="R240" s="1160"/>
      <c r="S240" s="1160"/>
      <c r="T240" s="1160"/>
      <c r="U240" s="1160"/>
      <c r="V240" s="1160"/>
      <c r="W240" s="1160"/>
      <c r="X240" s="1160"/>
      <c r="Y240" s="1160"/>
      <c r="Z240" s="1160"/>
      <c r="AA240" s="1160"/>
      <c r="AB240" s="1160"/>
      <c r="AC240" s="1160"/>
      <c r="AD240" s="1160"/>
      <c r="AE240" s="1160"/>
      <c r="AF240" s="1160"/>
      <c r="AG240" s="1160"/>
      <c r="AH240" s="1160"/>
      <c r="AI240" s="1160"/>
      <c r="AJ240" s="1160"/>
      <c r="AK240" s="1160"/>
      <c r="AL240" s="1160"/>
    </row>
    <row r="241" ht="15.0" customHeight="1">
      <c r="A241" s="1209"/>
      <c r="B241" s="1209"/>
      <c r="C241" s="1210"/>
      <c r="D241" s="1160"/>
      <c r="E241" s="1160"/>
      <c r="F241" s="1160"/>
      <c r="G241" s="1160"/>
      <c r="H241" s="1160"/>
      <c r="I241" s="1160"/>
      <c r="J241" s="1160"/>
      <c r="K241" s="1160"/>
      <c r="L241" s="1160"/>
      <c r="M241" s="1160"/>
      <c r="N241" s="1160"/>
      <c r="O241" s="1160"/>
      <c r="P241" s="1160"/>
      <c r="Q241" s="1160"/>
      <c r="R241" s="1160"/>
      <c r="S241" s="1160"/>
      <c r="T241" s="1160"/>
      <c r="U241" s="1160"/>
      <c r="V241" s="1160"/>
      <c r="W241" s="1160"/>
      <c r="X241" s="1160"/>
      <c r="Y241" s="1160"/>
      <c r="Z241" s="1160"/>
      <c r="AA241" s="1160"/>
      <c r="AB241" s="1160"/>
      <c r="AC241" s="1160"/>
      <c r="AD241" s="1160"/>
      <c r="AE241" s="1160"/>
      <c r="AF241" s="1160"/>
      <c r="AG241" s="1160"/>
      <c r="AH241" s="1160"/>
      <c r="AI241" s="1160"/>
      <c r="AJ241" s="1160"/>
      <c r="AK241" s="1160"/>
      <c r="AL241" s="1160"/>
    </row>
    <row r="242" ht="15.0" customHeight="1">
      <c r="A242" s="1209"/>
      <c r="B242" s="1209"/>
      <c r="C242" s="1210"/>
      <c r="D242" s="1160"/>
      <c r="E242" s="1160"/>
      <c r="F242" s="1160"/>
      <c r="G242" s="1160"/>
      <c r="H242" s="1160"/>
      <c r="I242" s="1160"/>
      <c r="J242" s="1160"/>
      <c r="K242" s="1160"/>
      <c r="L242" s="1160"/>
      <c r="M242" s="1160"/>
      <c r="N242" s="1160"/>
      <c r="O242" s="1160"/>
      <c r="P242" s="1160"/>
      <c r="Q242" s="1160"/>
      <c r="R242" s="1160"/>
      <c r="S242" s="1160"/>
      <c r="T242" s="1160"/>
      <c r="U242" s="1160"/>
      <c r="V242" s="1160"/>
      <c r="W242" s="1160"/>
      <c r="X242" s="1160"/>
      <c r="Y242" s="1160"/>
      <c r="Z242" s="1160"/>
      <c r="AA242" s="1160"/>
      <c r="AB242" s="1160"/>
      <c r="AC242" s="1160"/>
      <c r="AD242" s="1160"/>
      <c r="AE242" s="1160"/>
      <c r="AF242" s="1160"/>
      <c r="AG242" s="1160"/>
      <c r="AH242" s="1160"/>
      <c r="AI242" s="1160"/>
      <c r="AJ242" s="1160"/>
      <c r="AK242" s="1160"/>
      <c r="AL242" s="1160"/>
    </row>
    <row r="243" ht="15.0" customHeight="1">
      <c r="A243" s="1209"/>
      <c r="B243" s="1209"/>
      <c r="C243" s="1210"/>
      <c r="D243" s="1160"/>
      <c r="E243" s="1160"/>
      <c r="F243" s="1160"/>
      <c r="G243" s="1160"/>
      <c r="H243" s="1160"/>
      <c r="I243" s="1160"/>
      <c r="J243" s="1160"/>
      <c r="K243" s="1160"/>
      <c r="L243" s="1160"/>
      <c r="M243" s="1160"/>
      <c r="N243" s="1160"/>
      <c r="O243" s="1160"/>
      <c r="P243" s="1160"/>
      <c r="Q243" s="1160"/>
      <c r="R243" s="1160"/>
      <c r="S243" s="1160"/>
      <c r="T243" s="1160"/>
      <c r="U243" s="1160"/>
      <c r="V243" s="1160"/>
      <c r="W243" s="1160"/>
      <c r="X243" s="1160"/>
      <c r="Y243" s="1160"/>
      <c r="Z243" s="1160"/>
      <c r="AA243" s="1160"/>
      <c r="AB243" s="1160"/>
      <c r="AC243" s="1160"/>
      <c r="AD243" s="1160"/>
      <c r="AE243" s="1160"/>
      <c r="AF243" s="1160"/>
      <c r="AG243" s="1160"/>
      <c r="AH243" s="1160"/>
      <c r="AI243" s="1160"/>
      <c r="AJ243" s="1160"/>
      <c r="AK243" s="1160"/>
      <c r="AL243" s="1160"/>
    </row>
    <row r="244" ht="15.0" customHeight="1">
      <c r="A244" s="1209"/>
      <c r="B244" s="1209"/>
      <c r="C244" s="1210"/>
      <c r="D244" s="1160"/>
      <c r="E244" s="1160"/>
      <c r="F244" s="1160"/>
      <c r="G244" s="1160"/>
      <c r="H244" s="1160"/>
      <c r="I244" s="1160"/>
      <c r="J244" s="1160"/>
      <c r="K244" s="1160"/>
      <c r="L244" s="1160"/>
      <c r="M244" s="1160"/>
      <c r="N244" s="1160"/>
      <c r="O244" s="1160"/>
      <c r="P244" s="1160"/>
      <c r="Q244" s="1160"/>
      <c r="R244" s="1160"/>
      <c r="S244" s="1160"/>
      <c r="T244" s="1160"/>
      <c r="U244" s="1160"/>
      <c r="V244" s="1160"/>
      <c r="W244" s="1160"/>
      <c r="X244" s="1160"/>
      <c r="Y244" s="1160"/>
      <c r="Z244" s="1160"/>
      <c r="AA244" s="1160"/>
      <c r="AB244" s="1160"/>
      <c r="AC244" s="1160"/>
      <c r="AD244" s="1160"/>
      <c r="AE244" s="1160"/>
      <c r="AF244" s="1160"/>
      <c r="AG244" s="1160"/>
      <c r="AH244" s="1160"/>
      <c r="AI244" s="1160"/>
      <c r="AJ244" s="1160"/>
      <c r="AK244" s="1160"/>
      <c r="AL244" s="1160"/>
    </row>
    <row r="245" ht="15.0" customHeight="1">
      <c r="A245" s="1209"/>
      <c r="B245" s="1209"/>
      <c r="C245" s="1210"/>
      <c r="D245" s="1160"/>
      <c r="E245" s="1160"/>
      <c r="F245" s="1160"/>
      <c r="G245" s="1160"/>
      <c r="H245" s="1160"/>
      <c r="I245" s="1160"/>
      <c r="J245" s="1160"/>
      <c r="K245" s="1160"/>
      <c r="L245" s="1160"/>
      <c r="M245" s="1160"/>
      <c r="N245" s="1160"/>
      <c r="O245" s="1160"/>
      <c r="P245" s="1160"/>
      <c r="Q245" s="1160"/>
      <c r="R245" s="1160"/>
      <c r="S245" s="1160"/>
      <c r="T245" s="1160"/>
      <c r="U245" s="1160"/>
      <c r="V245" s="1160"/>
      <c r="W245" s="1160"/>
      <c r="X245" s="1160"/>
      <c r="Y245" s="1160"/>
      <c r="Z245" s="1160"/>
      <c r="AA245" s="1160"/>
      <c r="AB245" s="1160"/>
      <c r="AC245" s="1160"/>
      <c r="AD245" s="1160"/>
      <c r="AE245" s="1160"/>
      <c r="AF245" s="1160"/>
      <c r="AG245" s="1160"/>
      <c r="AH245" s="1160"/>
      <c r="AI245" s="1160"/>
      <c r="AJ245" s="1160"/>
      <c r="AK245" s="1160"/>
      <c r="AL245" s="1160"/>
    </row>
    <row r="246" ht="15.0" customHeight="1">
      <c r="A246" s="1209"/>
      <c r="B246" s="1209"/>
      <c r="C246" s="1210"/>
      <c r="D246" s="1160"/>
      <c r="E246" s="1160"/>
      <c r="F246" s="1160"/>
      <c r="G246" s="1160"/>
      <c r="H246" s="1160"/>
      <c r="I246" s="1160"/>
      <c r="J246" s="1160"/>
      <c r="K246" s="1160"/>
      <c r="L246" s="1160"/>
      <c r="M246" s="1160"/>
      <c r="N246" s="1160"/>
      <c r="O246" s="1160"/>
      <c r="P246" s="1160"/>
      <c r="Q246" s="1160"/>
      <c r="R246" s="1160"/>
      <c r="S246" s="1160"/>
      <c r="T246" s="1160"/>
      <c r="U246" s="1160"/>
      <c r="V246" s="1160"/>
      <c r="W246" s="1160"/>
      <c r="X246" s="1160"/>
      <c r="Y246" s="1160"/>
      <c r="Z246" s="1160"/>
      <c r="AA246" s="1160"/>
      <c r="AB246" s="1160"/>
      <c r="AC246" s="1160"/>
      <c r="AD246" s="1160"/>
      <c r="AE246" s="1160"/>
      <c r="AF246" s="1160"/>
      <c r="AG246" s="1160"/>
      <c r="AH246" s="1160"/>
      <c r="AI246" s="1160"/>
      <c r="AJ246" s="1160"/>
      <c r="AK246" s="1160"/>
      <c r="AL246" s="1160"/>
    </row>
    <row r="247" ht="15.0" customHeight="1">
      <c r="A247" s="1209"/>
      <c r="B247" s="1209"/>
      <c r="C247" s="1210"/>
      <c r="D247" s="1160"/>
      <c r="E247" s="1160"/>
      <c r="F247" s="1160"/>
      <c r="G247" s="1160"/>
      <c r="H247" s="1160"/>
      <c r="I247" s="1160"/>
      <c r="J247" s="1160"/>
      <c r="K247" s="1160"/>
      <c r="L247" s="1160"/>
      <c r="M247" s="1160"/>
      <c r="N247" s="1160"/>
      <c r="O247" s="1160"/>
      <c r="P247" s="1160"/>
      <c r="Q247" s="1160"/>
      <c r="R247" s="1160"/>
      <c r="S247" s="1160"/>
      <c r="T247" s="1160"/>
      <c r="U247" s="1160"/>
      <c r="V247" s="1160"/>
      <c r="W247" s="1160"/>
      <c r="X247" s="1160"/>
      <c r="Y247" s="1160"/>
      <c r="Z247" s="1160"/>
      <c r="AA247" s="1160"/>
      <c r="AB247" s="1160"/>
      <c r="AC247" s="1160"/>
      <c r="AD247" s="1160"/>
      <c r="AE247" s="1160"/>
      <c r="AF247" s="1160"/>
      <c r="AG247" s="1160"/>
      <c r="AH247" s="1160"/>
      <c r="AI247" s="1160"/>
      <c r="AJ247" s="1160"/>
      <c r="AK247" s="1160"/>
      <c r="AL247" s="1160"/>
    </row>
    <row r="248" ht="15.0" customHeight="1">
      <c r="A248" s="1209"/>
      <c r="B248" s="1209"/>
      <c r="C248" s="1210"/>
      <c r="D248" s="1160"/>
      <c r="E248" s="1160"/>
      <c r="F248" s="1160"/>
      <c r="G248" s="1160"/>
      <c r="H248" s="1160"/>
      <c r="I248" s="1160"/>
      <c r="J248" s="1160"/>
      <c r="K248" s="1160"/>
      <c r="L248" s="1160"/>
      <c r="M248" s="1160"/>
      <c r="N248" s="1160"/>
      <c r="O248" s="1160"/>
      <c r="P248" s="1160"/>
      <c r="Q248" s="1160"/>
      <c r="R248" s="1160"/>
      <c r="S248" s="1160"/>
      <c r="T248" s="1160"/>
      <c r="U248" s="1160"/>
      <c r="V248" s="1160"/>
      <c r="W248" s="1160"/>
      <c r="X248" s="1160"/>
      <c r="Y248" s="1160"/>
      <c r="Z248" s="1160"/>
      <c r="AA248" s="1160"/>
      <c r="AB248" s="1160"/>
      <c r="AC248" s="1160"/>
      <c r="AD248" s="1160"/>
      <c r="AE248" s="1160"/>
      <c r="AF248" s="1160"/>
      <c r="AG248" s="1160"/>
      <c r="AH248" s="1160"/>
      <c r="AI248" s="1160"/>
      <c r="AJ248" s="1160"/>
      <c r="AK248" s="1160"/>
      <c r="AL248" s="1160"/>
    </row>
    <row r="249" ht="15.0" customHeight="1">
      <c r="A249" s="1209"/>
      <c r="B249" s="1209"/>
      <c r="C249" s="1210"/>
      <c r="D249" s="1160"/>
      <c r="E249" s="1160"/>
      <c r="F249" s="1160"/>
      <c r="G249" s="1160"/>
      <c r="H249" s="1160"/>
      <c r="I249" s="1160"/>
      <c r="J249" s="1160"/>
      <c r="K249" s="1160"/>
      <c r="L249" s="1160"/>
      <c r="M249" s="1160"/>
      <c r="N249" s="1160"/>
      <c r="O249" s="1160"/>
      <c r="P249" s="1160"/>
      <c r="Q249" s="1160"/>
      <c r="R249" s="1160"/>
      <c r="S249" s="1160"/>
      <c r="T249" s="1160"/>
      <c r="U249" s="1160"/>
      <c r="V249" s="1160"/>
      <c r="W249" s="1160"/>
      <c r="X249" s="1160"/>
      <c r="Y249" s="1160"/>
      <c r="Z249" s="1160"/>
      <c r="AA249" s="1160"/>
      <c r="AB249" s="1160"/>
      <c r="AC249" s="1160"/>
      <c r="AD249" s="1160"/>
      <c r="AE249" s="1160"/>
      <c r="AF249" s="1160"/>
      <c r="AG249" s="1160"/>
      <c r="AH249" s="1160"/>
      <c r="AI249" s="1160"/>
      <c r="AJ249" s="1160"/>
      <c r="AK249" s="1160"/>
      <c r="AL249" s="1160"/>
    </row>
    <row r="250" ht="15.0" customHeight="1">
      <c r="A250" s="1209"/>
      <c r="B250" s="1209"/>
      <c r="C250" s="1210"/>
      <c r="D250" s="1160"/>
      <c r="E250" s="1160"/>
      <c r="F250" s="1160"/>
      <c r="G250" s="1160"/>
      <c r="H250" s="1160"/>
      <c r="I250" s="1160"/>
      <c r="J250" s="1160"/>
      <c r="K250" s="1160"/>
      <c r="L250" s="1160"/>
      <c r="M250" s="1160"/>
      <c r="N250" s="1160"/>
      <c r="O250" s="1160"/>
      <c r="P250" s="1160"/>
      <c r="Q250" s="1160"/>
      <c r="R250" s="1160"/>
      <c r="S250" s="1160"/>
      <c r="T250" s="1160"/>
      <c r="U250" s="1160"/>
      <c r="V250" s="1160"/>
      <c r="W250" s="1160"/>
      <c r="X250" s="1160"/>
      <c r="Y250" s="1160"/>
      <c r="Z250" s="1160"/>
      <c r="AA250" s="1160"/>
      <c r="AB250" s="1160"/>
      <c r="AC250" s="1160"/>
      <c r="AD250" s="1160"/>
      <c r="AE250" s="1160"/>
      <c r="AF250" s="1160"/>
      <c r="AG250" s="1160"/>
      <c r="AH250" s="1160"/>
      <c r="AI250" s="1160"/>
      <c r="AJ250" s="1160"/>
      <c r="AK250" s="1160"/>
      <c r="AL250" s="1160"/>
    </row>
    <row r="251" ht="15.0" customHeight="1">
      <c r="A251" s="1209"/>
      <c r="B251" s="1209"/>
      <c r="C251" s="1210"/>
      <c r="D251" s="1160"/>
      <c r="E251" s="1160"/>
      <c r="F251" s="1160"/>
      <c r="G251" s="1160"/>
      <c r="H251" s="1160"/>
      <c r="I251" s="1160"/>
      <c r="J251" s="1160"/>
      <c r="K251" s="1160"/>
      <c r="L251" s="1160"/>
      <c r="M251" s="1160"/>
      <c r="N251" s="1160"/>
      <c r="O251" s="1160"/>
      <c r="P251" s="1160"/>
      <c r="Q251" s="1160"/>
      <c r="R251" s="1160"/>
      <c r="S251" s="1160"/>
      <c r="T251" s="1160"/>
      <c r="U251" s="1160"/>
      <c r="V251" s="1160"/>
      <c r="W251" s="1160"/>
      <c r="X251" s="1160"/>
      <c r="Y251" s="1160"/>
      <c r="Z251" s="1160"/>
      <c r="AA251" s="1160"/>
      <c r="AB251" s="1160"/>
      <c r="AC251" s="1160"/>
      <c r="AD251" s="1160"/>
      <c r="AE251" s="1160"/>
      <c r="AF251" s="1160"/>
      <c r="AG251" s="1160"/>
      <c r="AH251" s="1160"/>
      <c r="AI251" s="1160"/>
      <c r="AJ251" s="1160"/>
      <c r="AK251" s="1160"/>
      <c r="AL251" s="1160"/>
    </row>
    <row r="252" ht="15.0" customHeight="1">
      <c r="A252" s="1209"/>
      <c r="B252" s="1209"/>
      <c r="C252" s="1210"/>
      <c r="D252" s="1160"/>
      <c r="E252" s="1160"/>
      <c r="F252" s="1160"/>
      <c r="G252" s="1160"/>
      <c r="H252" s="1160"/>
      <c r="I252" s="1160"/>
      <c r="J252" s="1160"/>
      <c r="K252" s="1160"/>
      <c r="L252" s="1160"/>
      <c r="M252" s="1160"/>
      <c r="N252" s="1160"/>
      <c r="O252" s="1160"/>
      <c r="P252" s="1160"/>
      <c r="Q252" s="1160"/>
      <c r="R252" s="1160"/>
      <c r="S252" s="1160"/>
      <c r="T252" s="1160"/>
      <c r="U252" s="1160"/>
      <c r="V252" s="1160"/>
      <c r="W252" s="1160"/>
      <c r="X252" s="1160"/>
      <c r="Y252" s="1160"/>
      <c r="Z252" s="1160"/>
      <c r="AA252" s="1160"/>
      <c r="AB252" s="1160"/>
      <c r="AC252" s="1160"/>
      <c r="AD252" s="1160"/>
      <c r="AE252" s="1160"/>
      <c r="AF252" s="1160"/>
      <c r="AG252" s="1160"/>
      <c r="AH252" s="1160"/>
      <c r="AI252" s="1160"/>
      <c r="AJ252" s="1160"/>
      <c r="AK252" s="1160"/>
      <c r="AL252" s="1160"/>
    </row>
    <row r="253" ht="15.0" customHeight="1">
      <c r="A253" s="1209"/>
      <c r="B253" s="1209"/>
      <c r="C253" s="1210"/>
      <c r="D253" s="1160"/>
      <c r="E253" s="1160"/>
      <c r="F253" s="1160"/>
      <c r="G253" s="1160"/>
      <c r="H253" s="1160"/>
      <c r="I253" s="1160"/>
      <c r="J253" s="1160"/>
      <c r="K253" s="1160"/>
      <c r="L253" s="1160"/>
      <c r="M253" s="1160"/>
      <c r="N253" s="1160"/>
      <c r="O253" s="1160"/>
      <c r="P253" s="1160"/>
      <c r="Q253" s="1160"/>
      <c r="R253" s="1160"/>
      <c r="S253" s="1160"/>
      <c r="T253" s="1160"/>
      <c r="U253" s="1160"/>
      <c r="V253" s="1160"/>
      <c r="W253" s="1160"/>
      <c r="X253" s="1160"/>
      <c r="Y253" s="1160"/>
      <c r="Z253" s="1160"/>
      <c r="AA253" s="1160"/>
      <c r="AB253" s="1160"/>
      <c r="AC253" s="1160"/>
      <c r="AD253" s="1160"/>
      <c r="AE253" s="1160"/>
      <c r="AF253" s="1160"/>
      <c r="AG253" s="1160"/>
      <c r="AH253" s="1160"/>
      <c r="AI253" s="1160"/>
      <c r="AJ253" s="1160"/>
      <c r="AK253" s="1160"/>
      <c r="AL253" s="1160"/>
    </row>
    <row r="254" ht="15.0" customHeight="1">
      <c r="A254" s="1209"/>
      <c r="B254" s="1209"/>
      <c r="C254" s="1210"/>
      <c r="D254" s="1160"/>
      <c r="E254" s="1160"/>
      <c r="F254" s="1160"/>
      <c r="G254" s="1160"/>
      <c r="H254" s="1160"/>
      <c r="I254" s="1160"/>
      <c r="J254" s="1160"/>
      <c r="K254" s="1160"/>
      <c r="L254" s="1160"/>
      <c r="M254" s="1160"/>
      <c r="N254" s="1160"/>
      <c r="O254" s="1160"/>
      <c r="P254" s="1160"/>
      <c r="Q254" s="1160"/>
      <c r="R254" s="1160"/>
      <c r="S254" s="1160"/>
      <c r="T254" s="1160"/>
      <c r="U254" s="1160"/>
      <c r="V254" s="1160"/>
      <c r="W254" s="1160"/>
      <c r="X254" s="1160"/>
      <c r="Y254" s="1160"/>
      <c r="Z254" s="1160"/>
      <c r="AA254" s="1160"/>
      <c r="AB254" s="1160"/>
      <c r="AC254" s="1160"/>
      <c r="AD254" s="1160"/>
      <c r="AE254" s="1160"/>
      <c r="AF254" s="1160"/>
      <c r="AG254" s="1160"/>
      <c r="AH254" s="1160"/>
      <c r="AI254" s="1160"/>
      <c r="AJ254" s="1160"/>
      <c r="AK254" s="1160"/>
      <c r="AL254" s="1160"/>
    </row>
    <row r="255" ht="15.0" customHeight="1">
      <c r="A255" s="1209"/>
      <c r="B255" s="1209"/>
      <c r="C255" s="1210"/>
      <c r="D255" s="1160"/>
      <c r="E255" s="1160"/>
      <c r="F255" s="1160"/>
      <c r="G255" s="1160"/>
      <c r="H255" s="1160"/>
      <c r="I255" s="1160"/>
      <c r="J255" s="1160"/>
      <c r="K255" s="1160"/>
      <c r="L255" s="1160"/>
      <c r="M255" s="1160"/>
      <c r="N255" s="1160"/>
      <c r="O255" s="1160"/>
      <c r="P255" s="1160"/>
      <c r="Q255" s="1160"/>
      <c r="R255" s="1160"/>
      <c r="S255" s="1160"/>
      <c r="T255" s="1160"/>
      <c r="U255" s="1160"/>
      <c r="V255" s="1160"/>
      <c r="W255" s="1160"/>
      <c r="X255" s="1160"/>
      <c r="Y255" s="1160"/>
      <c r="Z255" s="1160"/>
      <c r="AA255" s="1160"/>
      <c r="AB255" s="1160"/>
      <c r="AC255" s="1160"/>
      <c r="AD255" s="1160"/>
      <c r="AE255" s="1160"/>
      <c r="AF255" s="1160"/>
      <c r="AG255" s="1160"/>
      <c r="AH255" s="1160"/>
      <c r="AI255" s="1160"/>
      <c r="AJ255" s="1160"/>
      <c r="AK255" s="1160"/>
      <c r="AL255" s="1160"/>
    </row>
    <row r="256" ht="15.0" customHeight="1">
      <c r="A256" s="1209"/>
      <c r="B256" s="1209"/>
      <c r="C256" s="1210"/>
      <c r="D256" s="1160"/>
      <c r="E256" s="1160"/>
      <c r="F256" s="1160"/>
      <c r="G256" s="1160"/>
      <c r="H256" s="1160"/>
      <c r="I256" s="1160"/>
      <c r="J256" s="1160"/>
      <c r="K256" s="1160"/>
      <c r="L256" s="1160"/>
      <c r="M256" s="1160"/>
      <c r="N256" s="1160"/>
      <c r="O256" s="1160"/>
      <c r="P256" s="1160"/>
      <c r="Q256" s="1160"/>
      <c r="R256" s="1160"/>
      <c r="S256" s="1160"/>
      <c r="T256" s="1160"/>
      <c r="U256" s="1160"/>
      <c r="V256" s="1160"/>
      <c r="W256" s="1160"/>
      <c r="X256" s="1160"/>
      <c r="Y256" s="1160"/>
      <c r="Z256" s="1160"/>
      <c r="AA256" s="1160"/>
      <c r="AB256" s="1160"/>
      <c r="AC256" s="1160"/>
      <c r="AD256" s="1160"/>
      <c r="AE256" s="1160"/>
      <c r="AF256" s="1160"/>
      <c r="AG256" s="1160"/>
      <c r="AH256" s="1160"/>
      <c r="AI256" s="1160"/>
      <c r="AJ256" s="1160"/>
      <c r="AK256" s="1160"/>
      <c r="AL256" s="1160"/>
    </row>
    <row r="257" ht="15.0" customHeight="1">
      <c r="A257" s="1209"/>
      <c r="B257" s="1209"/>
      <c r="C257" s="1210"/>
      <c r="D257" s="1160"/>
      <c r="E257" s="1160"/>
      <c r="F257" s="1160"/>
      <c r="G257" s="1160"/>
      <c r="H257" s="1160"/>
      <c r="I257" s="1160"/>
      <c r="J257" s="1160"/>
      <c r="K257" s="1160"/>
      <c r="L257" s="1160"/>
      <c r="M257" s="1160"/>
      <c r="N257" s="1160"/>
      <c r="O257" s="1160"/>
      <c r="P257" s="1160"/>
      <c r="Q257" s="1160"/>
      <c r="R257" s="1160"/>
      <c r="S257" s="1160"/>
      <c r="T257" s="1160"/>
      <c r="U257" s="1160"/>
      <c r="V257" s="1160"/>
      <c r="W257" s="1160"/>
      <c r="X257" s="1160"/>
      <c r="Y257" s="1160"/>
      <c r="Z257" s="1160"/>
      <c r="AA257" s="1160"/>
      <c r="AB257" s="1160"/>
      <c r="AC257" s="1160"/>
      <c r="AD257" s="1160"/>
      <c r="AE257" s="1160"/>
      <c r="AF257" s="1160"/>
      <c r="AG257" s="1160"/>
      <c r="AH257" s="1160"/>
      <c r="AI257" s="1160"/>
      <c r="AJ257" s="1160"/>
      <c r="AK257" s="1160"/>
      <c r="AL257" s="1160"/>
    </row>
    <row r="258" ht="15.0" customHeight="1">
      <c r="A258" s="1209"/>
      <c r="B258" s="1209"/>
      <c r="C258" s="1210"/>
      <c r="D258" s="1160"/>
      <c r="E258" s="1160"/>
      <c r="F258" s="1160"/>
      <c r="G258" s="1160"/>
      <c r="H258" s="1160"/>
      <c r="I258" s="1160"/>
      <c r="J258" s="1160"/>
      <c r="K258" s="1160"/>
      <c r="L258" s="1160"/>
      <c r="M258" s="1160"/>
      <c r="N258" s="1160"/>
      <c r="O258" s="1160"/>
      <c r="P258" s="1160"/>
      <c r="Q258" s="1160"/>
      <c r="R258" s="1160"/>
      <c r="S258" s="1160"/>
      <c r="T258" s="1160"/>
      <c r="U258" s="1160"/>
      <c r="V258" s="1160"/>
      <c r="W258" s="1160"/>
      <c r="X258" s="1160"/>
      <c r="Y258" s="1160"/>
      <c r="Z258" s="1160"/>
      <c r="AA258" s="1160"/>
      <c r="AB258" s="1160"/>
      <c r="AC258" s="1160"/>
      <c r="AD258" s="1160"/>
      <c r="AE258" s="1160"/>
      <c r="AF258" s="1160"/>
      <c r="AG258" s="1160"/>
      <c r="AH258" s="1160"/>
      <c r="AI258" s="1160"/>
      <c r="AJ258" s="1160"/>
      <c r="AK258" s="1160"/>
      <c r="AL258" s="1160"/>
    </row>
    <row r="259" ht="15.0" customHeight="1">
      <c r="A259" s="1209"/>
      <c r="B259" s="1209"/>
      <c r="C259" s="1210"/>
      <c r="D259" s="1160"/>
      <c r="E259" s="1160"/>
      <c r="F259" s="1160"/>
      <c r="G259" s="1160"/>
      <c r="H259" s="1160"/>
      <c r="I259" s="1160"/>
      <c r="J259" s="1160"/>
      <c r="K259" s="1160"/>
      <c r="L259" s="1160"/>
      <c r="M259" s="1160"/>
      <c r="N259" s="1160"/>
      <c r="O259" s="1160"/>
      <c r="P259" s="1160"/>
      <c r="Q259" s="1160"/>
      <c r="R259" s="1160"/>
      <c r="S259" s="1160"/>
      <c r="T259" s="1160"/>
      <c r="U259" s="1160"/>
      <c r="V259" s="1160"/>
      <c r="W259" s="1160"/>
      <c r="X259" s="1160"/>
      <c r="Y259" s="1160"/>
      <c r="Z259" s="1160"/>
      <c r="AA259" s="1160"/>
      <c r="AB259" s="1160"/>
      <c r="AC259" s="1160"/>
      <c r="AD259" s="1160"/>
      <c r="AE259" s="1160"/>
      <c r="AF259" s="1160"/>
      <c r="AG259" s="1160"/>
      <c r="AH259" s="1160"/>
      <c r="AI259" s="1160"/>
      <c r="AJ259" s="1160"/>
      <c r="AK259" s="1160"/>
      <c r="AL259" s="1160"/>
    </row>
    <row r="260" ht="15.0" customHeight="1">
      <c r="A260" s="1209"/>
      <c r="B260" s="1209"/>
      <c r="C260" s="1210"/>
      <c r="D260" s="1160"/>
      <c r="E260" s="1160"/>
      <c r="F260" s="1160"/>
      <c r="G260" s="1160"/>
      <c r="H260" s="1160"/>
      <c r="I260" s="1160"/>
      <c r="J260" s="1160"/>
      <c r="K260" s="1160"/>
      <c r="L260" s="1160"/>
      <c r="M260" s="1160"/>
      <c r="N260" s="1160"/>
      <c r="O260" s="1160"/>
      <c r="P260" s="1160"/>
      <c r="Q260" s="1160"/>
      <c r="R260" s="1160"/>
      <c r="S260" s="1160"/>
      <c r="T260" s="1160"/>
      <c r="U260" s="1160"/>
      <c r="V260" s="1160"/>
      <c r="W260" s="1160"/>
      <c r="X260" s="1160"/>
      <c r="Y260" s="1160"/>
      <c r="Z260" s="1160"/>
      <c r="AA260" s="1160"/>
      <c r="AB260" s="1160"/>
      <c r="AC260" s="1160"/>
      <c r="AD260" s="1160"/>
      <c r="AE260" s="1160"/>
      <c r="AF260" s="1160"/>
      <c r="AG260" s="1160"/>
      <c r="AH260" s="1160"/>
      <c r="AI260" s="1160"/>
      <c r="AJ260" s="1160"/>
      <c r="AK260" s="1160"/>
      <c r="AL260" s="1160"/>
    </row>
    <row r="261" ht="15.0" customHeight="1">
      <c r="A261" s="1209"/>
      <c r="B261" s="1209"/>
      <c r="C261" s="1210"/>
      <c r="D261" s="1160"/>
      <c r="E261" s="1160"/>
      <c r="F261" s="1160"/>
      <c r="G261" s="1160"/>
      <c r="H261" s="1160"/>
      <c r="I261" s="1160"/>
      <c r="J261" s="1160"/>
      <c r="K261" s="1160"/>
      <c r="L261" s="1160"/>
      <c r="M261" s="1160"/>
      <c r="N261" s="1160"/>
      <c r="O261" s="1160"/>
      <c r="P261" s="1160"/>
      <c r="Q261" s="1160"/>
      <c r="R261" s="1160"/>
      <c r="S261" s="1160"/>
      <c r="T261" s="1160"/>
      <c r="U261" s="1160"/>
      <c r="V261" s="1160"/>
      <c r="W261" s="1160"/>
      <c r="X261" s="1160"/>
      <c r="Y261" s="1160"/>
      <c r="Z261" s="1160"/>
      <c r="AA261" s="1160"/>
      <c r="AB261" s="1160"/>
      <c r="AC261" s="1160"/>
      <c r="AD261" s="1160"/>
      <c r="AE261" s="1160"/>
      <c r="AF261" s="1160"/>
      <c r="AG261" s="1160"/>
      <c r="AH261" s="1160"/>
      <c r="AI261" s="1160"/>
      <c r="AJ261" s="1160"/>
      <c r="AK261" s="1160"/>
      <c r="AL261" s="1160"/>
    </row>
    <row r="262" ht="15.0" customHeight="1">
      <c r="A262" s="1209"/>
      <c r="B262" s="1209"/>
      <c r="C262" s="1210"/>
      <c r="D262" s="1160"/>
      <c r="E262" s="1160"/>
      <c r="F262" s="1160"/>
      <c r="G262" s="1160"/>
      <c r="H262" s="1160"/>
      <c r="I262" s="1160"/>
      <c r="J262" s="1160"/>
      <c r="K262" s="1160"/>
      <c r="L262" s="1160"/>
      <c r="M262" s="1160"/>
      <c r="N262" s="1160"/>
      <c r="O262" s="1160"/>
      <c r="P262" s="1160"/>
      <c r="Q262" s="1160"/>
      <c r="R262" s="1160"/>
      <c r="S262" s="1160"/>
      <c r="T262" s="1160"/>
      <c r="U262" s="1160"/>
      <c r="V262" s="1160"/>
      <c r="W262" s="1160"/>
      <c r="X262" s="1160"/>
      <c r="Y262" s="1160"/>
      <c r="Z262" s="1160"/>
      <c r="AA262" s="1160"/>
      <c r="AB262" s="1160"/>
      <c r="AC262" s="1160"/>
      <c r="AD262" s="1160"/>
      <c r="AE262" s="1160"/>
      <c r="AF262" s="1160"/>
      <c r="AG262" s="1160"/>
      <c r="AH262" s="1160"/>
      <c r="AI262" s="1160"/>
      <c r="AJ262" s="1160"/>
      <c r="AK262" s="1160"/>
      <c r="AL262" s="1160"/>
    </row>
    <row r="263" ht="15.0" customHeight="1">
      <c r="A263" s="1209"/>
      <c r="B263" s="1209"/>
      <c r="C263" s="1210"/>
      <c r="D263" s="1160"/>
      <c r="E263" s="1160"/>
      <c r="F263" s="1160"/>
      <c r="G263" s="1160"/>
      <c r="H263" s="1160"/>
      <c r="I263" s="1160"/>
      <c r="J263" s="1160"/>
      <c r="K263" s="1160"/>
      <c r="L263" s="1160"/>
      <c r="M263" s="1160"/>
      <c r="N263" s="1160"/>
      <c r="O263" s="1160"/>
      <c r="P263" s="1160"/>
      <c r="Q263" s="1160"/>
      <c r="R263" s="1160"/>
      <c r="S263" s="1160"/>
      <c r="T263" s="1160"/>
      <c r="U263" s="1160"/>
      <c r="V263" s="1160"/>
      <c r="W263" s="1160"/>
      <c r="X263" s="1160"/>
      <c r="Y263" s="1160"/>
      <c r="Z263" s="1160"/>
      <c r="AA263" s="1160"/>
      <c r="AB263" s="1160"/>
      <c r="AC263" s="1160"/>
      <c r="AD263" s="1160"/>
      <c r="AE263" s="1160"/>
      <c r="AF263" s="1160"/>
      <c r="AG263" s="1160"/>
      <c r="AH263" s="1160"/>
      <c r="AI263" s="1160"/>
      <c r="AJ263" s="1160"/>
      <c r="AK263" s="1160"/>
      <c r="AL263" s="1160"/>
    </row>
    <row r="264" ht="15.0" customHeight="1">
      <c r="A264" s="1209"/>
      <c r="B264" s="1209"/>
      <c r="C264" s="1210"/>
      <c r="D264" s="1160"/>
      <c r="E264" s="1160"/>
      <c r="F264" s="1160"/>
      <c r="G264" s="1160"/>
      <c r="H264" s="1160"/>
      <c r="I264" s="1160"/>
      <c r="J264" s="1160"/>
      <c r="K264" s="1160"/>
      <c r="L264" s="1160"/>
      <c r="M264" s="1160"/>
      <c r="N264" s="1160"/>
      <c r="O264" s="1160"/>
      <c r="P264" s="1160"/>
      <c r="Q264" s="1160"/>
      <c r="R264" s="1160"/>
      <c r="S264" s="1160"/>
      <c r="T264" s="1160"/>
      <c r="U264" s="1160"/>
      <c r="V264" s="1160"/>
      <c r="W264" s="1160"/>
      <c r="X264" s="1160"/>
      <c r="Y264" s="1160"/>
      <c r="Z264" s="1160"/>
      <c r="AA264" s="1160"/>
      <c r="AB264" s="1160"/>
      <c r="AC264" s="1160"/>
      <c r="AD264" s="1160"/>
      <c r="AE264" s="1160"/>
      <c r="AF264" s="1160"/>
      <c r="AG264" s="1160"/>
      <c r="AH264" s="1160"/>
      <c r="AI264" s="1160"/>
      <c r="AJ264" s="1160"/>
      <c r="AK264" s="1160"/>
      <c r="AL264" s="1160"/>
    </row>
    <row r="265" ht="15.0" customHeight="1">
      <c r="A265" s="1209"/>
      <c r="B265" s="1209"/>
      <c r="C265" s="1210"/>
      <c r="D265" s="1160"/>
      <c r="E265" s="1160"/>
      <c r="F265" s="1160"/>
      <c r="G265" s="1160"/>
      <c r="H265" s="1160"/>
      <c r="I265" s="1160"/>
      <c r="J265" s="1160"/>
      <c r="K265" s="1160"/>
      <c r="L265" s="1160"/>
      <c r="M265" s="1160"/>
      <c r="N265" s="1160"/>
      <c r="O265" s="1160"/>
      <c r="P265" s="1160"/>
      <c r="Q265" s="1160"/>
      <c r="R265" s="1160"/>
      <c r="S265" s="1160"/>
      <c r="T265" s="1160"/>
      <c r="U265" s="1160"/>
      <c r="V265" s="1160"/>
      <c r="W265" s="1160"/>
      <c r="X265" s="1160"/>
      <c r="Y265" s="1160"/>
      <c r="Z265" s="1160"/>
      <c r="AA265" s="1160"/>
      <c r="AB265" s="1160"/>
      <c r="AC265" s="1160"/>
      <c r="AD265" s="1160"/>
      <c r="AE265" s="1160"/>
      <c r="AF265" s="1160"/>
      <c r="AG265" s="1160"/>
      <c r="AH265" s="1160"/>
      <c r="AI265" s="1160"/>
      <c r="AJ265" s="1160"/>
      <c r="AK265" s="1160"/>
      <c r="AL265" s="1160"/>
    </row>
    <row r="266" ht="15.0" customHeight="1">
      <c r="A266" s="1209"/>
      <c r="B266" s="1209"/>
      <c r="C266" s="1210"/>
      <c r="D266" s="1160"/>
      <c r="E266" s="1160"/>
      <c r="F266" s="1160"/>
      <c r="G266" s="1160"/>
      <c r="H266" s="1160"/>
      <c r="I266" s="1160"/>
      <c r="J266" s="1160"/>
      <c r="K266" s="1160"/>
      <c r="L266" s="1160"/>
      <c r="M266" s="1160"/>
      <c r="N266" s="1160"/>
      <c r="O266" s="1160"/>
      <c r="P266" s="1160"/>
      <c r="Q266" s="1160"/>
      <c r="R266" s="1160"/>
      <c r="S266" s="1160"/>
      <c r="T266" s="1160"/>
      <c r="U266" s="1160"/>
      <c r="V266" s="1160"/>
      <c r="W266" s="1160"/>
      <c r="X266" s="1160"/>
      <c r="Y266" s="1160"/>
      <c r="Z266" s="1160"/>
      <c r="AA266" s="1160"/>
      <c r="AB266" s="1160"/>
      <c r="AC266" s="1160"/>
      <c r="AD266" s="1160"/>
      <c r="AE266" s="1160"/>
      <c r="AF266" s="1160"/>
      <c r="AG266" s="1160"/>
      <c r="AH266" s="1160"/>
      <c r="AI266" s="1160"/>
      <c r="AJ266" s="1160"/>
      <c r="AK266" s="1160"/>
      <c r="AL266" s="1160"/>
    </row>
    <row r="267" ht="15.0" customHeight="1">
      <c r="A267" s="1209"/>
      <c r="B267" s="1209"/>
      <c r="C267" s="1210"/>
      <c r="D267" s="1160"/>
      <c r="E267" s="1160"/>
      <c r="F267" s="1160"/>
      <c r="G267" s="1160"/>
      <c r="H267" s="1160"/>
      <c r="I267" s="1160"/>
      <c r="J267" s="1160"/>
      <c r="K267" s="1160"/>
      <c r="L267" s="1160"/>
      <c r="M267" s="1160"/>
      <c r="N267" s="1160"/>
      <c r="O267" s="1160"/>
      <c r="P267" s="1160"/>
      <c r="Q267" s="1160"/>
      <c r="R267" s="1160"/>
      <c r="S267" s="1160"/>
      <c r="T267" s="1160"/>
      <c r="U267" s="1160"/>
      <c r="V267" s="1160"/>
      <c r="W267" s="1160"/>
      <c r="X267" s="1160"/>
      <c r="Y267" s="1160"/>
      <c r="Z267" s="1160"/>
      <c r="AA267" s="1160"/>
      <c r="AB267" s="1160"/>
      <c r="AC267" s="1160"/>
      <c r="AD267" s="1160"/>
      <c r="AE267" s="1160"/>
      <c r="AF267" s="1160"/>
      <c r="AG267" s="1160"/>
      <c r="AH267" s="1160"/>
      <c r="AI267" s="1160"/>
      <c r="AJ267" s="1160"/>
      <c r="AK267" s="1160"/>
      <c r="AL267" s="1160"/>
    </row>
    <row r="268" ht="15.0" customHeight="1">
      <c r="A268" s="1209"/>
      <c r="B268" s="1209"/>
      <c r="C268" s="1210"/>
      <c r="D268" s="1160"/>
      <c r="E268" s="1160"/>
      <c r="F268" s="1160"/>
      <c r="G268" s="1160"/>
      <c r="H268" s="1160"/>
      <c r="I268" s="1160"/>
      <c r="J268" s="1160"/>
      <c r="K268" s="1160"/>
      <c r="L268" s="1160"/>
      <c r="M268" s="1160"/>
      <c r="N268" s="1160"/>
      <c r="O268" s="1160"/>
      <c r="P268" s="1160"/>
      <c r="Q268" s="1160"/>
      <c r="R268" s="1160"/>
      <c r="S268" s="1160"/>
      <c r="T268" s="1160"/>
      <c r="U268" s="1160"/>
      <c r="V268" s="1160"/>
      <c r="W268" s="1160"/>
      <c r="X268" s="1160"/>
      <c r="Y268" s="1160"/>
      <c r="Z268" s="1160"/>
      <c r="AA268" s="1160"/>
      <c r="AB268" s="1160"/>
      <c r="AC268" s="1160"/>
      <c r="AD268" s="1160"/>
      <c r="AE268" s="1160"/>
      <c r="AF268" s="1160"/>
      <c r="AG268" s="1160"/>
      <c r="AH268" s="1160"/>
      <c r="AI268" s="1160"/>
      <c r="AJ268" s="1160"/>
      <c r="AK268" s="1160"/>
      <c r="AL268" s="1160"/>
    </row>
    <row r="269" ht="15.0" customHeight="1">
      <c r="A269" s="1209"/>
      <c r="B269" s="1209"/>
      <c r="C269" s="1210"/>
      <c r="D269" s="1160"/>
      <c r="E269" s="1160"/>
      <c r="F269" s="1160"/>
      <c r="G269" s="1160"/>
      <c r="H269" s="1160"/>
      <c r="I269" s="1160"/>
      <c r="J269" s="1160"/>
      <c r="K269" s="1160"/>
      <c r="L269" s="1160"/>
      <c r="M269" s="1160"/>
      <c r="N269" s="1160"/>
      <c r="O269" s="1160"/>
      <c r="P269" s="1160"/>
      <c r="Q269" s="1160"/>
      <c r="R269" s="1160"/>
      <c r="S269" s="1160"/>
      <c r="T269" s="1160"/>
      <c r="U269" s="1160"/>
      <c r="V269" s="1160"/>
      <c r="W269" s="1160"/>
      <c r="X269" s="1160"/>
      <c r="Y269" s="1160"/>
      <c r="Z269" s="1160"/>
      <c r="AA269" s="1160"/>
      <c r="AB269" s="1160"/>
      <c r="AC269" s="1160"/>
      <c r="AD269" s="1160"/>
      <c r="AE269" s="1160"/>
      <c r="AF269" s="1160"/>
      <c r="AG269" s="1160"/>
      <c r="AH269" s="1160"/>
      <c r="AI269" s="1160"/>
      <c r="AJ269" s="1160"/>
      <c r="AK269" s="1160"/>
      <c r="AL269" s="1160"/>
    </row>
    <row r="270" ht="15.0" customHeight="1">
      <c r="A270" s="1209"/>
      <c r="B270" s="1209"/>
      <c r="C270" s="1210"/>
      <c r="D270" s="1160"/>
      <c r="E270" s="1160"/>
      <c r="F270" s="1160"/>
      <c r="G270" s="1160"/>
      <c r="H270" s="1160"/>
      <c r="I270" s="1160"/>
      <c r="J270" s="1160"/>
      <c r="K270" s="1160"/>
      <c r="L270" s="1160"/>
      <c r="M270" s="1160"/>
      <c r="N270" s="1160"/>
      <c r="O270" s="1160"/>
      <c r="P270" s="1160"/>
      <c r="Q270" s="1160"/>
      <c r="R270" s="1160"/>
      <c r="S270" s="1160"/>
      <c r="T270" s="1160"/>
      <c r="U270" s="1160"/>
      <c r="V270" s="1160"/>
      <c r="W270" s="1160"/>
      <c r="X270" s="1160"/>
      <c r="Y270" s="1160"/>
      <c r="Z270" s="1160"/>
      <c r="AA270" s="1160"/>
      <c r="AB270" s="1160"/>
      <c r="AC270" s="1160"/>
      <c r="AD270" s="1160"/>
      <c r="AE270" s="1160"/>
      <c r="AF270" s="1160"/>
      <c r="AG270" s="1160"/>
      <c r="AH270" s="1160"/>
      <c r="AI270" s="1160"/>
      <c r="AJ270" s="1160"/>
      <c r="AK270" s="1160"/>
      <c r="AL270" s="1160"/>
    </row>
    <row r="271" ht="15.0" customHeight="1">
      <c r="A271" s="1209"/>
      <c r="B271" s="1209"/>
      <c r="C271" s="1210"/>
      <c r="D271" s="1160"/>
      <c r="E271" s="1160"/>
      <c r="F271" s="1160"/>
      <c r="G271" s="1160"/>
      <c r="H271" s="1160"/>
      <c r="I271" s="1160"/>
      <c r="J271" s="1160"/>
      <c r="K271" s="1160"/>
      <c r="L271" s="1160"/>
      <c r="M271" s="1160"/>
      <c r="N271" s="1160"/>
      <c r="O271" s="1160"/>
      <c r="P271" s="1160"/>
      <c r="Q271" s="1160"/>
      <c r="R271" s="1160"/>
      <c r="S271" s="1160"/>
      <c r="T271" s="1160"/>
      <c r="U271" s="1160"/>
      <c r="V271" s="1160"/>
      <c r="W271" s="1160"/>
      <c r="X271" s="1160"/>
      <c r="Y271" s="1160"/>
      <c r="Z271" s="1160"/>
      <c r="AA271" s="1160"/>
      <c r="AB271" s="1160"/>
      <c r="AC271" s="1160"/>
      <c r="AD271" s="1160"/>
      <c r="AE271" s="1160"/>
      <c r="AF271" s="1160"/>
      <c r="AG271" s="1160"/>
      <c r="AH271" s="1160"/>
      <c r="AI271" s="1160"/>
      <c r="AJ271" s="1160"/>
      <c r="AK271" s="1160"/>
      <c r="AL271" s="1160"/>
    </row>
    <row r="272" ht="15.0" customHeight="1">
      <c r="A272" s="1209"/>
      <c r="B272" s="1209"/>
      <c r="C272" s="1210"/>
      <c r="D272" s="1160"/>
      <c r="E272" s="1160"/>
      <c r="F272" s="1160"/>
      <c r="G272" s="1160"/>
      <c r="H272" s="1160"/>
      <c r="I272" s="1160"/>
      <c r="J272" s="1160"/>
      <c r="K272" s="1160"/>
      <c r="L272" s="1160"/>
      <c r="M272" s="1160"/>
      <c r="N272" s="1160"/>
      <c r="O272" s="1160"/>
      <c r="P272" s="1160"/>
      <c r="Q272" s="1160"/>
      <c r="R272" s="1160"/>
      <c r="S272" s="1160"/>
      <c r="T272" s="1160"/>
      <c r="U272" s="1160"/>
      <c r="V272" s="1160"/>
      <c r="W272" s="1160"/>
      <c r="X272" s="1160"/>
      <c r="Y272" s="1160"/>
      <c r="Z272" s="1160"/>
      <c r="AA272" s="1160"/>
      <c r="AB272" s="1160"/>
      <c r="AC272" s="1160"/>
      <c r="AD272" s="1160"/>
      <c r="AE272" s="1160"/>
      <c r="AF272" s="1160"/>
      <c r="AG272" s="1160"/>
      <c r="AH272" s="1160"/>
      <c r="AI272" s="1160"/>
      <c r="AJ272" s="1160"/>
      <c r="AK272" s="1160"/>
      <c r="AL272" s="1160"/>
    </row>
    <row r="273" ht="15.0" customHeight="1">
      <c r="A273" s="1209"/>
      <c r="B273" s="1209"/>
      <c r="C273" s="1210"/>
      <c r="D273" s="1160"/>
      <c r="E273" s="1160"/>
      <c r="F273" s="1160"/>
      <c r="G273" s="1160"/>
      <c r="H273" s="1160"/>
      <c r="I273" s="1160"/>
      <c r="J273" s="1160"/>
      <c r="K273" s="1160"/>
      <c r="L273" s="1160"/>
      <c r="M273" s="1160"/>
      <c r="N273" s="1160"/>
      <c r="O273" s="1160"/>
      <c r="P273" s="1160"/>
      <c r="Q273" s="1160"/>
      <c r="R273" s="1160"/>
      <c r="S273" s="1160"/>
      <c r="T273" s="1160"/>
      <c r="U273" s="1160"/>
      <c r="V273" s="1160"/>
      <c r="W273" s="1160"/>
      <c r="X273" s="1160"/>
      <c r="Y273" s="1160"/>
      <c r="Z273" s="1160"/>
      <c r="AA273" s="1160"/>
      <c r="AB273" s="1160"/>
      <c r="AC273" s="1160"/>
      <c r="AD273" s="1160"/>
      <c r="AE273" s="1160"/>
      <c r="AF273" s="1160"/>
      <c r="AG273" s="1160"/>
      <c r="AH273" s="1160"/>
      <c r="AI273" s="1160"/>
      <c r="AJ273" s="1160"/>
      <c r="AK273" s="1160"/>
      <c r="AL273" s="1160"/>
    </row>
    <row r="274" ht="15.0" customHeight="1">
      <c r="A274" s="1209"/>
      <c r="B274" s="1209"/>
      <c r="C274" s="1210"/>
      <c r="D274" s="1160"/>
      <c r="E274" s="1160"/>
      <c r="F274" s="1160"/>
      <c r="G274" s="1160"/>
      <c r="H274" s="1160"/>
      <c r="I274" s="1160"/>
      <c r="J274" s="1160"/>
      <c r="K274" s="1160"/>
      <c r="L274" s="1160"/>
      <c r="M274" s="1160"/>
      <c r="N274" s="1160"/>
      <c r="O274" s="1160"/>
      <c r="P274" s="1160"/>
      <c r="Q274" s="1160"/>
      <c r="R274" s="1160"/>
      <c r="S274" s="1160"/>
      <c r="T274" s="1160"/>
      <c r="U274" s="1160"/>
      <c r="V274" s="1160"/>
      <c r="W274" s="1160"/>
      <c r="X274" s="1160"/>
      <c r="Y274" s="1160"/>
      <c r="Z274" s="1160"/>
      <c r="AA274" s="1160"/>
      <c r="AB274" s="1160"/>
      <c r="AC274" s="1160"/>
      <c r="AD274" s="1160"/>
      <c r="AE274" s="1160"/>
      <c r="AF274" s="1160"/>
      <c r="AG274" s="1160"/>
      <c r="AH274" s="1160"/>
      <c r="AI274" s="1160"/>
      <c r="AJ274" s="1160"/>
      <c r="AK274" s="1160"/>
      <c r="AL274" s="1160"/>
    </row>
    <row r="275" ht="15.0" customHeight="1">
      <c r="A275" s="1209"/>
      <c r="B275" s="1209"/>
      <c r="C275" s="1210"/>
      <c r="D275" s="1160"/>
      <c r="E275" s="1160"/>
      <c r="F275" s="1160"/>
      <c r="G275" s="1160"/>
      <c r="H275" s="1160"/>
      <c r="I275" s="1160"/>
      <c r="J275" s="1160"/>
      <c r="K275" s="1160"/>
      <c r="L275" s="1160"/>
      <c r="M275" s="1160"/>
      <c r="N275" s="1160"/>
      <c r="O275" s="1160"/>
      <c r="P275" s="1160"/>
      <c r="Q275" s="1160"/>
      <c r="R275" s="1160"/>
      <c r="S275" s="1160"/>
      <c r="T275" s="1160"/>
      <c r="U275" s="1160"/>
      <c r="V275" s="1160"/>
      <c r="W275" s="1160"/>
      <c r="X275" s="1160"/>
      <c r="Y275" s="1160"/>
      <c r="Z275" s="1160"/>
      <c r="AA275" s="1160"/>
      <c r="AB275" s="1160"/>
      <c r="AC275" s="1160"/>
      <c r="AD275" s="1160"/>
      <c r="AE275" s="1160"/>
      <c r="AF275" s="1160"/>
      <c r="AG275" s="1160"/>
      <c r="AH275" s="1160"/>
      <c r="AI275" s="1160"/>
      <c r="AJ275" s="1160"/>
      <c r="AK275" s="1160"/>
      <c r="AL275" s="1160"/>
    </row>
    <row r="276" ht="15.0" customHeight="1">
      <c r="A276" s="1209"/>
      <c r="B276" s="1209"/>
      <c r="C276" s="1210"/>
      <c r="D276" s="1160"/>
      <c r="E276" s="1160"/>
      <c r="F276" s="1160"/>
      <c r="G276" s="1160"/>
      <c r="H276" s="1160"/>
      <c r="I276" s="1160"/>
      <c r="J276" s="1160"/>
      <c r="K276" s="1160"/>
      <c r="L276" s="1160"/>
      <c r="M276" s="1160"/>
      <c r="N276" s="1160"/>
      <c r="O276" s="1160"/>
      <c r="P276" s="1160"/>
      <c r="Q276" s="1160"/>
      <c r="R276" s="1160"/>
      <c r="S276" s="1160"/>
      <c r="T276" s="1160"/>
      <c r="U276" s="1160"/>
      <c r="V276" s="1160"/>
      <c r="W276" s="1160"/>
      <c r="X276" s="1160"/>
      <c r="Y276" s="1160"/>
      <c r="Z276" s="1160"/>
      <c r="AA276" s="1160"/>
      <c r="AB276" s="1160"/>
      <c r="AC276" s="1160"/>
      <c r="AD276" s="1160"/>
      <c r="AE276" s="1160"/>
      <c r="AF276" s="1160"/>
      <c r="AG276" s="1160"/>
      <c r="AH276" s="1160"/>
      <c r="AI276" s="1160"/>
      <c r="AJ276" s="1160"/>
      <c r="AK276" s="1160"/>
      <c r="AL276" s="1160"/>
    </row>
    <row r="277" ht="15.0" customHeight="1">
      <c r="A277" s="1209"/>
      <c r="B277" s="1209"/>
      <c r="C277" s="1210"/>
      <c r="D277" s="1160"/>
      <c r="E277" s="1160"/>
      <c r="F277" s="1160"/>
      <c r="G277" s="1160"/>
      <c r="H277" s="1160"/>
      <c r="I277" s="1160"/>
      <c r="J277" s="1160"/>
      <c r="K277" s="1160"/>
      <c r="L277" s="1160"/>
      <c r="M277" s="1160"/>
      <c r="N277" s="1160"/>
      <c r="O277" s="1160"/>
      <c r="P277" s="1160"/>
      <c r="Q277" s="1160"/>
      <c r="R277" s="1160"/>
      <c r="S277" s="1160"/>
      <c r="T277" s="1160"/>
      <c r="U277" s="1160"/>
      <c r="V277" s="1160"/>
      <c r="W277" s="1160"/>
      <c r="X277" s="1160"/>
      <c r="Y277" s="1160"/>
      <c r="Z277" s="1160"/>
      <c r="AA277" s="1160"/>
      <c r="AB277" s="1160"/>
      <c r="AC277" s="1160"/>
      <c r="AD277" s="1160"/>
      <c r="AE277" s="1160"/>
      <c r="AF277" s="1160"/>
      <c r="AG277" s="1160"/>
      <c r="AH277" s="1160"/>
      <c r="AI277" s="1160"/>
      <c r="AJ277" s="1160"/>
      <c r="AK277" s="1160"/>
      <c r="AL277" s="1160"/>
    </row>
    <row r="278" ht="15.0" customHeight="1">
      <c r="A278" s="1209"/>
      <c r="B278" s="1209"/>
      <c r="C278" s="1210"/>
      <c r="D278" s="1160"/>
      <c r="E278" s="1160"/>
      <c r="F278" s="1160"/>
      <c r="G278" s="1160"/>
      <c r="H278" s="1160"/>
      <c r="I278" s="1160"/>
      <c r="J278" s="1160"/>
      <c r="K278" s="1160"/>
      <c r="L278" s="1160"/>
      <c r="M278" s="1160"/>
      <c r="N278" s="1160"/>
      <c r="O278" s="1160"/>
      <c r="P278" s="1160"/>
      <c r="Q278" s="1160"/>
      <c r="R278" s="1160"/>
      <c r="S278" s="1160"/>
      <c r="T278" s="1160"/>
      <c r="U278" s="1160"/>
      <c r="V278" s="1160"/>
      <c r="W278" s="1160"/>
      <c r="X278" s="1160"/>
      <c r="Y278" s="1160"/>
      <c r="Z278" s="1160"/>
      <c r="AA278" s="1160"/>
      <c r="AB278" s="1160"/>
      <c r="AC278" s="1160"/>
      <c r="AD278" s="1160"/>
      <c r="AE278" s="1160"/>
      <c r="AF278" s="1160"/>
      <c r="AG278" s="1160"/>
      <c r="AH278" s="1160"/>
      <c r="AI278" s="1160"/>
      <c r="AJ278" s="1160"/>
      <c r="AK278" s="1160"/>
      <c r="AL278" s="1160"/>
    </row>
    <row r="279" ht="15.0" customHeight="1">
      <c r="A279" s="1209"/>
      <c r="B279" s="1209"/>
      <c r="C279" s="1210"/>
      <c r="D279" s="1160"/>
      <c r="E279" s="1160"/>
      <c r="F279" s="1160"/>
      <c r="G279" s="1160"/>
      <c r="H279" s="1160"/>
      <c r="I279" s="1160"/>
      <c r="J279" s="1160"/>
      <c r="K279" s="1160"/>
      <c r="L279" s="1160"/>
      <c r="M279" s="1160"/>
      <c r="N279" s="1160"/>
      <c r="O279" s="1160"/>
      <c r="P279" s="1160"/>
      <c r="Q279" s="1160"/>
      <c r="R279" s="1160"/>
      <c r="S279" s="1160"/>
      <c r="T279" s="1160"/>
      <c r="U279" s="1160"/>
      <c r="V279" s="1160"/>
      <c r="W279" s="1160"/>
      <c r="X279" s="1160"/>
      <c r="Y279" s="1160"/>
      <c r="Z279" s="1160"/>
      <c r="AA279" s="1160"/>
      <c r="AB279" s="1160"/>
      <c r="AC279" s="1160"/>
      <c r="AD279" s="1160"/>
      <c r="AE279" s="1160"/>
      <c r="AF279" s="1160"/>
      <c r="AG279" s="1160"/>
      <c r="AH279" s="1160"/>
      <c r="AI279" s="1160"/>
      <c r="AJ279" s="1160"/>
      <c r="AK279" s="1160"/>
      <c r="AL279" s="1160"/>
    </row>
    <row r="280" ht="15.0" customHeight="1">
      <c r="A280" s="1209"/>
      <c r="B280" s="1209"/>
      <c r="C280" s="1210"/>
      <c r="D280" s="1160"/>
      <c r="E280" s="1160"/>
      <c r="F280" s="1160"/>
      <c r="G280" s="1160"/>
      <c r="H280" s="1160"/>
      <c r="I280" s="1160"/>
      <c r="J280" s="1160"/>
      <c r="K280" s="1160"/>
      <c r="L280" s="1160"/>
      <c r="M280" s="1160"/>
      <c r="N280" s="1160"/>
      <c r="O280" s="1160"/>
      <c r="P280" s="1160"/>
      <c r="Q280" s="1160"/>
      <c r="R280" s="1160"/>
      <c r="S280" s="1160"/>
      <c r="T280" s="1160"/>
      <c r="U280" s="1160"/>
      <c r="V280" s="1160"/>
      <c r="W280" s="1160"/>
      <c r="X280" s="1160"/>
      <c r="Y280" s="1160"/>
      <c r="Z280" s="1160"/>
      <c r="AA280" s="1160"/>
      <c r="AB280" s="1160"/>
      <c r="AC280" s="1160"/>
      <c r="AD280" s="1160"/>
      <c r="AE280" s="1160"/>
      <c r="AF280" s="1160"/>
      <c r="AG280" s="1160"/>
      <c r="AH280" s="1160"/>
      <c r="AI280" s="1160"/>
      <c r="AJ280" s="1160"/>
      <c r="AK280" s="1160"/>
      <c r="AL280" s="1160"/>
    </row>
    <row r="281" ht="15.0" customHeight="1">
      <c r="A281" s="1209"/>
      <c r="B281" s="1209"/>
      <c r="C281" s="1210"/>
      <c r="D281" s="1160"/>
      <c r="E281" s="1160"/>
      <c r="F281" s="1160"/>
      <c r="G281" s="1160"/>
      <c r="H281" s="1160"/>
      <c r="I281" s="1160"/>
      <c r="J281" s="1160"/>
      <c r="K281" s="1160"/>
      <c r="L281" s="1160"/>
      <c r="M281" s="1160"/>
      <c r="N281" s="1160"/>
      <c r="O281" s="1160"/>
      <c r="P281" s="1160"/>
      <c r="Q281" s="1160"/>
      <c r="R281" s="1160"/>
      <c r="S281" s="1160"/>
      <c r="T281" s="1160"/>
      <c r="U281" s="1160"/>
      <c r="V281" s="1160"/>
      <c r="W281" s="1160"/>
      <c r="X281" s="1160"/>
      <c r="Y281" s="1160"/>
      <c r="Z281" s="1160"/>
      <c r="AA281" s="1160"/>
      <c r="AB281" s="1160"/>
      <c r="AC281" s="1160"/>
      <c r="AD281" s="1160"/>
      <c r="AE281" s="1160"/>
      <c r="AF281" s="1160"/>
      <c r="AG281" s="1160"/>
      <c r="AH281" s="1160"/>
      <c r="AI281" s="1160"/>
      <c r="AJ281" s="1160"/>
      <c r="AK281" s="1160"/>
      <c r="AL281" s="1160"/>
    </row>
    <row r="282" ht="15.0" customHeight="1">
      <c r="A282" s="1209"/>
      <c r="B282" s="1209"/>
      <c r="C282" s="1210"/>
      <c r="D282" s="1160"/>
      <c r="E282" s="1160"/>
      <c r="F282" s="1160"/>
      <c r="G282" s="1160"/>
      <c r="H282" s="1160"/>
      <c r="I282" s="1160"/>
      <c r="J282" s="1160"/>
      <c r="K282" s="1160"/>
      <c r="L282" s="1160"/>
      <c r="M282" s="1160"/>
      <c r="N282" s="1160"/>
      <c r="O282" s="1160"/>
      <c r="P282" s="1160"/>
      <c r="Q282" s="1160"/>
      <c r="R282" s="1160"/>
      <c r="S282" s="1160"/>
      <c r="T282" s="1160"/>
      <c r="U282" s="1160"/>
      <c r="V282" s="1160"/>
      <c r="W282" s="1160"/>
      <c r="X282" s="1160"/>
      <c r="Y282" s="1160"/>
      <c r="Z282" s="1160"/>
      <c r="AA282" s="1160"/>
      <c r="AB282" s="1160"/>
      <c r="AC282" s="1160"/>
      <c r="AD282" s="1160"/>
      <c r="AE282" s="1160"/>
      <c r="AF282" s="1160"/>
      <c r="AG282" s="1160"/>
      <c r="AH282" s="1160"/>
      <c r="AI282" s="1160"/>
      <c r="AJ282" s="1160"/>
      <c r="AK282" s="1160"/>
      <c r="AL282" s="1160"/>
    </row>
    <row r="283" ht="15.0" customHeight="1">
      <c r="A283" s="1209"/>
      <c r="B283" s="1209"/>
      <c r="C283" s="1210"/>
      <c r="D283" s="1160"/>
      <c r="E283" s="1160"/>
      <c r="F283" s="1160"/>
      <c r="G283" s="1160"/>
      <c r="H283" s="1160"/>
      <c r="I283" s="1160"/>
      <c r="J283" s="1160"/>
      <c r="K283" s="1160"/>
      <c r="L283" s="1160"/>
      <c r="M283" s="1160"/>
      <c r="N283" s="1160"/>
      <c r="O283" s="1160"/>
      <c r="P283" s="1160"/>
      <c r="Q283" s="1160"/>
      <c r="R283" s="1160"/>
      <c r="S283" s="1160"/>
      <c r="T283" s="1160"/>
      <c r="U283" s="1160"/>
      <c r="V283" s="1160"/>
      <c r="W283" s="1160"/>
      <c r="X283" s="1160"/>
      <c r="Y283" s="1160"/>
      <c r="Z283" s="1160"/>
      <c r="AA283" s="1160"/>
      <c r="AB283" s="1160"/>
      <c r="AC283" s="1160"/>
      <c r="AD283" s="1160"/>
      <c r="AE283" s="1160"/>
      <c r="AF283" s="1160"/>
      <c r="AG283" s="1160"/>
      <c r="AH283" s="1160"/>
      <c r="AI283" s="1160"/>
      <c r="AJ283" s="1160"/>
      <c r="AK283" s="1160"/>
      <c r="AL283" s="1160"/>
    </row>
    <row r="284" ht="15.0" customHeight="1">
      <c r="A284" s="1209"/>
      <c r="B284" s="1209"/>
      <c r="C284" s="1210"/>
      <c r="D284" s="1160"/>
      <c r="E284" s="1160"/>
      <c r="F284" s="1160"/>
      <c r="G284" s="1160"/>
      <c r="H284" s="1160"/>
      <c r="I284" s="1160"/>
      <c r="J284" s="1160"/>
      <c r="K284" s="1160"/>
      <c r="L284" s="1160"/>
      <c r="M284" s="1160"/>
      <c r="N284" s="1160"/>
      <c r="O284" s="1160"/>
      <c r="P284" s="1160"/>
      <c r="Q284" s="1160"/>
      <c r="R284" s="1160"/>
      <c r="S284" s="1160"/>
      <c r="T284" s="1160"/>
      <c r="U284" s="1160"/>
      <c r="V284" s="1160"/>
      <c r="W284" s="1160"/>
      <c r="X284" s="1160"/>
      <c r="Y284" s="1160"/>
      <c r="Z284" s="1160"/>
      <c r="AA284" s="1160"/>
      <c r="AB284" s="1160"/>
      <c r="AC284" s="1160"/>
      <c r="AD284" s="1160"/>
      <c r="AE284" s="1160"/>
      <c r="AF284" s="1160"/>
      <c r="AG284" s="1160"/>
      <c r="AH284" s="1160"/>
      <c r="AI284" s="1160"/>
      <c r="AJ284" s="1160"/>
      <c r="AK284" s="1160"/>
      <c r="AL284" s="1160"/>
    </row>
    <row r="285" ht="15.0" customHeight="1">
      <c r="A285" s="1209"/>
      <c r="B285" s="1209"/>
      <c r="C285" s="1210"/>
      <c r="D285" s="1160"/>
      <c r="E285" s="1160"/>
      <c r="F285" s="1160"/>
      <c r="G285" s="1160"/>
      <c r="H285" s="1160"/>
      <c r="I285" s="1160"/>
      <c r="J285" s="1160"/>
      <c r="K285" s="1160"/>
      <c r="L285" s="1160"/>
      <c r="M285" s="1160"/>
      <c r="N285" s="1160"/>
      <c r="O285" s="1160"/>
      <c r="P285" s="1160"/>
      <c r="Q285" s="1160"/>
      <c r="R285" s="1160"/>
      <c r="S285" s="1160"/>
      <c r="T285" s="1160"/>
      <c r="U285" s="1160"/>
      <c r="V285" s="1160"/>
      <c r="W285" s="1160"/>
      <c r="X285" s="1160"/>
      <c r="Y285" s="1160"/>
      <c r="Z285" s="1160"/>
      <c r="AA285" s="1160"/>
      <c r="AB285" s="1160"/>
      <c r="AC285" s="1160"/>
      <c r="AD285" s="1160"/>
      <c r="AE285" s="1160"/>
      <c r="AF285" s="1160"/>
      <c r="AG285" s="1160"/>
      <c r="AH285" s="1160"/>
      <c r="AI285" s="1160"/>
      <c r="AJ285" s="1160"/>
      <c r="AK285" s="1160"/>
      <c r="AL285" s="1160"/>
    </row>
    <row r="286" ht="15.0" customHeight="1">
      <c r="A286" s="1209"/>
      <c r="B286" s="1209"/>
      <c r="C286" s="1210"/>
      <c r="D286" s="1160"/>
      <c r="E286" s="1160"/>
      <c r="F286" s="1160"/>
      <c r="G286" s="1160"/>
      <c r="H286" s="1160"/>
      <c r="I286" s="1160"/>
      <c r="J286" s="1160"/>
      <c r="K286" s="1160"/>
      <c r="L286" s="1160"/>
      <c r="M286" s="1160"/>
      <c r="N286" s="1160"/>
      <c r="O286" s="1160"/>
      <c r="P286" s="1160"/>
      <c r="Q286" s="1160"/>
      <c r="R286" s="1160"/>
      <c r="S286" s="1160"/>
      <c r="T286" s="1160"/>
      <c r="U286" s="1160"/>
      <c r="V286" s="1160"/>
      <c r="W286" s="1160"/>
      <c r="X286" s="1160"/>
      <c r="Y286" s="1160"/>
      <c r="Z286" s="1160"/>
      <c r="AA286" s="1160"/>
      <c r="AB286" s="1160"/>
      <c r="AC286" s="1160"/>
      <c r="AD286" s="1160"/>
      <c r="AE286" s="1160"/>
      <c r="AF286" s="1160"/>
      <c r="AG286" s="1160"/>
      <c r="AH286" s="1160"/>
      <c r="AI286" s="1160"/>
      <c r="AJ286" s="1160"/>
      <c r="AK286" s="1160"/>
      <c r="AL286" s="1160"/>
    </row>
    <row r="287" ht="15.0" customHeight="1">
      <c r="A287" s="1209"/>
      <c r="B287" s="1209"/>
      <c r="C287" s="1210"/>
      <c r="D287" s="1160"/>
      <c r="E287" s="1160"/>
      <c r="F287" s="1160"/>
      <c r="G287" s="1160"/>
      <c r="H287" s="1160"/>
      <c r="I287" s="1160"/>
      <c r="J287" s="1160"/>
      <c r="K287" s="1160"/>
      <c r="L287" s="1160"/>
      <c r="M287" s="1160"/>
      <c r="N287" s="1160"/>
      <c r="O287" s="1160"/>
      <c r="P287" s="1160"/>
      <c r="Q287" s="1160"/>
      <c r="R287" s="1160"/>
      <c r="S287" s="1160"/>
      <c r="T287" s="1160"/>
      <c r="U287" s="1160"/>
      <c r="V287" s="1160"/>
      <c r="W287" s="1160"/>
      <c r="X287" s="1160"/>
      <c r="Y287" s="1160"/>
      <c r="Z287" s="1160"/>
      <c r="AA287" s="1160"/>
      <c r="AB287" s="1160"/>
      <c r="AC287" s="1160"/>
      <c r="AD287" s="1160"/>
      <c r="AE287" s="1160"/>
      <c r="AF287" s="1160"/>
      <c r="AG287" s="1160"/>
      <c r="AH287" s="1160"/>
      <c r="AI287" s="1160"/>
      <c r="AJ287" s="1160"/>
      <c r="AK287" s="1160"/>
      <c r="AL287" s="1160"/>
    </row>
    <row r="288" ht="15.0" customHeight="1">
      <c r="A288" s="1209"/>
      <c r="B288" s="1209"/>
      <c r="C288" s="1210"/>
      <c r="D288" s="1160"/>
      <c r="E288" s="1160"/>
      <c r="F288" s="1160"/>
      <c r="G288" s="1160"/>
      <c r="H288" s="1160"/>
      <c r="I288" s="1160"/>
      <c r="J288" s="1160"/>
      <c r="K288" s="1160"/>
      <c r="L288" s="1160"/>
      <c r="M288" s="1160"/>
      <c r="N288" s="1160"/>
      <c r="O288" s="1160"/>
      <c r="P288" s="1160"/>
      <c r="Q288" s="1160"/>
      <c r="R288" s="1160"/>
      <c r="S288" s="1160"/>
      <c r="T288" s="1160"/>
      <c r="U288" s="1160"/>
      <c r="V288" s="1160"/>
      <c r="W288" s="1160"/>
      <c r="X288" s="1160"/>
      <c r="Y288" s="1160"/>
      <c r="Z288" s="1160"/>
      <c r="AA288" s="1160"/>
      <c r="AB288" s="1160"/>
      <c r="AC288" s="1160"/>
      <c r="AD288" s="1160"/>
      <c r="AE288" s="1160"/>
      <c r="AF288" s="1160"/>
      <c r="AG288" s="1160"/>
      <c r="AH288" s="1160"/>
      <c r="AI288" s="1160"/>
      <c r="AJ288" s="1160"/>
      <c r="AK288" s="1160"/>
      <c r="AL288" s="1160"/>
    </row>
    <row r="289" ht="15.0" customHeight="1">
      <c r="A289" s="1209"/>
      <c r="B289" s="1209"/>
      <c r="C289" s="1210"/>
      <c r="D289" s="1160"/>
      <c r="E289" s="1160"/>
      <c r="F289" s="1160"/>
      <c r="G289" s="1160"/>
      <c r="H289" s="1160"/>
      <c r="I289" s="1160"/>
      <c r="J289" s="1160"/>
      <c r="K289" s="1160"/>
      <c r="L289" s="1160"/>
      <c r="M289" s="1160"/>
      <c r="N289" s="1160"/>
      <c r="O289" s="1160"/>
      <c r="P289" s="1160"/>
      <c r="Q289" s="1160"/>
      <c r="R289" s="1160"/>
      <c r="S289" s="1160"/>
      <c r="T289" s="1160"/>
      <c r="U289" s="1160"/>
      <c r="V289" s="1160"/>
      <c r="W289" s="1160"/>
      <c r="X289" s="1160"/>
      <c r="Y289" s="1160"/>
      <c r="Z289" s="1160"/>
      <c r="AA289" s="1160"/>
      <c r="AB289" s="1160"/>
      <c r="AC289" s="1160"/>
      <c r="AD289" s="1160"/>
      <c r="AE289" s="1160"/>
      <c r="AF289" s="1160"/>
      <c r="AG289" s="1160"/>
      <c r="AH289" s="1160"/>
      <c r="AI289" s="1160"/>
      <c r="AJ289" s="1160"/>
      <c r="AK289" s="1160"/>
      <c r="AL289" s="1160"/>
    </row>
    <row r="290" ht="15.0" customHeight="1">
      <c r="A290" s="1209"/>
      <c r="B290" s="1209"/>
      <c r="C290" s="1210"/>
      <c r="D290" s="1160"/>
      <c r="E290" s="1160"/>
      <c r="F290" s="1160"/>
      <c r="G290" s="1160"/>
      <c r="H290" s="1160"/>
      <c r="I290" s="1160"/>
      <c r="J290" s="1160"/>
      <c r="K290" s="1160"/>
      <c r="L290" s="1160"/>
      <c r="M290" s="1160"/>
      <c r="N290" s="1160"/>
      <c r="O290" s="1160"/>
      <c r="P290" s="1160"/>
      <c r="Q290" s="1160"/>
      <c r="R290" s="1160"/>
      <c r="S290" s="1160"/>
      <c r="T290" s="1160"/>
      <c r="U290" s="1160"/>
      <c r="V290" s="1160"/>
      <c r="W290" s="1160"/>
      <c r="X290" s="1160"/>
      <c r="Y290" s="1160"/>
      <c r="Z290" s="1160"/>
      <c r="AA290" s="1160"/>
      <c r="AB290" s="1160"/>
      <c r="AC290" s="1160"/>
      <c r="AD290" s="1160"/>
      <c r="AE290" s="1160"/>
      <c r="AF290" s="1160"/>
      <c r="AG290" s="1160"/>
      <c r="AH290" s="1160"/>
      <c r="AI290" s="1160"/>
      <c r="AJ290" s="1160"/>
      <c r="AK290" s="1160"/>
      <c r="AL290" s="1160"/>
    </row>
    <row r="291" ht="15.0" customHeight="1">
      <c r="A291" s="1209"/>
      <c r="B291" s="1209"/>
      <c r="C291" s="1210"/>
      <c r="D291" s="1160"/>
      <c r="E291" s="1160"/>
      <c r="F291" s="1160"/>
      <c r="G291" s="1160"/>
      <c r="H291" s="1160"/>
      <c r="I291" s="1160"/>
      <c r="J291" s="1160"/>
      <c r="K291" s="1160"/>
      <c r="L291" s="1160"/>
      <c r="M291" s="1160"/>
      <c r="N291" s="1160"/>
      <c r="O291" s="1160"/>
      <c r="P291" s="1160"/>
      <c r="Q291" s="1160"/>
      <c r="R291" s="1160"/>
      <c r="S291" s="1160"/>
      <c r="T291" s="1160"/>
      <c r="U291" s="1160"/>
      <c r="V291" s="1160"/>
      <c r="W291" s="1160"/>
      <c r="X291" s="1160"/>
      <c r="Y291" s="1160"/>
      <c r="Z291" s="1160"/>
      <c r="AA291" s="1160"/>
      <c r="AB291" s="1160"/>
      <c r="AC291" s="1160"/>
      <c r="AD291" s="1160"/>
      <c r="AE291" s="1160"/>
      <c r="AF291" s="1160"/>
      <c r="AG291" s="1160"/>
      <c r="AH291" s="1160"/>
      <c r="AI291" s="1160"/>
      <c r="AJ291" s="1160"/>
      <c r="AK291" s="1160"/>
      <c r="AL291" s="1160"/>
    </row>
    <row r="292" ht="15.0" customHeight="1">
      <c r="A292" s="1209"/>
      <c r="B292" s="1209"/>
      <c r="C292" s="1210"/>
      <c r="D292" s="1160"/>
      <c r="E292" s="1160"/>
      <c r="F292" s="1160"/>
      <c r="G292" s="1160"/>
      <c r="H292" s="1160"/>
      <c r="I292" s="1160"/>
      <c r="J292" s="1160"/>
      <c r="K292" s="1160"/>
      <c r="L292" s="1160"/>
      <c r="M292" s="1160"/>
      <c r="N292" s="1160"/>
      <c r="O292" s="1160"/>
      <c r="P292" s="1160"/>
      <c r="Q292" s="1160"/>
      <c r="R292" s="1160"/>
      <c r="S292" s="1160"/>
      <c r="T292" s="1160"/>
      <c r="U292" s="1160"/>
      <c r="V292" s="1160"/>
      <c r="W292" s="1160"/>
      <c r="X292" s="1160"/>
      <c r="Y292" s="1160"/>
      <c r="Z292" s="1160"/>
      <c r="AA292" s="1160"/>
      <c r="AB292" s="1160"/>
      <c r="AC292" s="1160"/>
      <c r="AD292" s="1160"/>
      <c r="AE292" s="1160"/>
      <c r="AF292" s="1160"/>
      <c r="AG292" s="1160"/>
      <c r="AH292" s="1160"/>
      <c r="AI292" s="1160"/>
      <c r="AJ292" s="1160"/>
      <c r="AK292" s="1160"/>
      <c r="AL292" s="1160"/>
    </row>
    <row r="293" ht="15.0" customHeight="1">
      <c r="A293" s="1209"/>
      <c r="B293" s="1209"/>
      <c r="C293" s="1210"/>
      <c r="D293" s="1160"/>
      <c r="E293" s="1160"/>
      <c r="F293" s="1160"/>
      <c r="G293" s="1160"/>
      <c r="H293" s="1160"/>
      <c r="I293" s="1160"/>
      <c r="J293" s="1160"/>
      <c r="K293" s="1160"/>
      <c r="L293" s="1160"/>
      <c r="M293" s="1160"/>
      <c r="N293" s="1160"/>
      <c r="O293" s="1160"/>
      <c r="P293" s="1160"/>
      <c r="Q293" s="1160"/>
      <c r="R293" s="1160"/>
      <c r="S293" s="1160"/>
      <c r="T293" s="1160"/>
      <c r="U293" s="1160"/>
      <c r="V293" s="1160"/>
      <c r="W293" s="1160"/>
      <c r="X293" s="1160"/>
      <c r="Y293" s="1160"/>
      <c r="Z293" s="1160"/>
      <c r="AA293" s="1160"/>
      <c r="AB293" s="1160"/>
      <c r="AC293" s="1160"/>
      <c r="AD293" s="1160"/>
      <c r="AE293" s="1160"/>
      <c r="AF293" s="1160"/>
      <c r="AG293" s="1160"/>
      <c r="AH293" s="1160"/>
      <c r="AI293" s="1160"/>
      <c r="AJ293" s="1160"/>
      <c r="AK293" s="1160"/>
      <c r="AL293" s="1160"/>
    </row>
    <row r="294" ht="15.0" customHeight="1">
      <c r="A294" s="1209"/>
      <c r="B294" s="1209"/>
      <c r="C294" s="1210"/>
      <c r="D294" s="1160"/>
      <c r="E294" s="1160"/>
      <c r="F294" s="1160"/>
      <c r="G294" s="1160"/>
      <c r="H294" s="1160"/>
      <c r="I294" s="1160"/>
      <c r="J294" s="1160"/>
      <c r="K294" s="1160"/>
      <c r="L294" s="1160"/>
      <c r="M294" s="1160"/>
      <c r="N294" s="1160"/>
      <c r="O294" s="1160"/>
      <c r="P294" s="1160"/>
      <c r="Q294" s="1160"/>
      <c r="R294" s="1160"/>
      <c r="S294" s="1160"/>
      <c r="T294" s="1160"/>
      <c r="U294" s="1160"/>
      <c r="V294" s="1160"/>
      <c r="W294" s="1160"/>
      <c r="X294" s="1160"/>
      <c r="Y294" s="1160"/>
      <c r="Z294" s="1160"/>
      <c r="AA294" s="1160"/>
      <c r="AB294" s="1160"/>
      <c r="AC294" s="1160"/>
      <c r="AD294" s="1160"/>
      <c r="AE294" s="1160"/>
      <c r="AF294" s="1160"/>
      <c r="AG294" s="1160"/>
      <c r="AH294" s="1160"/>
      <c r="AI294" s="1160"/>
      <c r="AJ294" s="1160"/>
      <c r="AK294" s="1160"/>
      <c r="AL294" s="1160"/>
    </row>
    <row r="295" ht="15.0" customHeight="1">
      <c r="A295" s="1209"/>
      <c r="B295" s="1209"/>
      <c r="C295" s="1210"/>
      <c r="D295" s="1160"/>
      <c r="E295" s="1160"/>
      <c r="F295" s="1160"/>
      <c r="G295" s="1160"/>
      <c r="H295" s="1160"/>
      <c r="I295" s="1160"/>
      <c r="J295" s="1160"/>
      <c r="K295" s="1160"/>
      <c r="L295" s="1160"/>
      <c r="M295" s="1160"/>
      <c r="N295" s="1160"/>
      <c r="O295" s="1160"/>
      <c r="P295" s="1160"/>
      <c r="Q295" s="1160"/>
      <c r="R295" s="1160"/>
      <c r="S295" s="1160"/>
      <c r="T295" s="1160"/>
      <c r="U295" s="1160"/>
      <c r="V295" s="1160"/>
      <c r="W295" s="1160"/>
      <c r="X295" s="1160"/>
      <c r="Y295" s="1160"/>
      <c r="Z295" s="1160"/>
      <c r="AA295" s="1160"/>
      <c r="AB295" s="1160"/>
      <c r="AC295" s="1160"/>
      <c r="AD295" s="1160"/>
      <c r="AE295" s="1160"/>
      <c r="AF295" s="1160"/>
      <c r="AG295" s="1160"/>
      <c r="AH295" s="1160"/>
      <c r="AI295" s="1160"/>
      <c r="AJ295" s="1160"/>
      <c r="AK295" s="1160"/>
      <c r="AL295" s="1160"/>
    </row>
    <row r="296" ht="15.0" customHeight="1">
      <c r="A296" s="1209"/>
      <c r="B296" s="1209"/>
      <c r="C296" s="1210"/>
      <c r="D296" s="1160"/>
      <c r="E296" s="1160"/>
      <c r="F296" s="1160"/>
      <c r="G296" s="1160"/>
      <c r="H296" s="1160"/>
      <c r="I296" s="1160"/>
      <c r="J296" s="1160"/>
      <c r="K296" s="1160"/>
      <c r="L296" s="1160"/>
      <c r="M296" s="1160"/>
      <c r="N296" s="1160"/>
      <c r="O296" s="1160"/>
      <c r="P296" s="1160"/>
      <c r="Q296" s="1160"/>
      <c r="R296" s="1160"/>
      <c r="S296" s="1160"/>
      <c r="T296" s="1160"/>
      <c r="U296" s="1160"/>
      <c r="V296" s="1160"/>
      <c r="W296" s="1160"/>
      <c r="X296" s="1160"/>
      <c r="Y296" s="1160"/>
      <c r="Z296" s="1160"/>
      <c r="AA296" s="1160"/>
      <c r="AB296" s="1160"/>
      <c r="AC296" s="1160"/>
      <c r="AD296" s="1160"/>
      <c r="AE296" s="1160"/>
      <c r="AF296" s="1160"/>
      <c r="AG296" s="1160"/>
      <c r="AH296" s="1160"/>
      <c r="AI296" s="1160"/>
      <c r="AJ296" s="1160"/>
      <c r="AK296" s="1160"/>
      <c r="AL296" s="1160"/>
    </row>
    <row r="297" ht="15.0" customHeight="1">
      <c r="A297" s="1209"/>
      <c r="B297" s="1209"/>
      <c r="C297" s="1210"/>
      <c r="D297" s="1160"/>
      <c r="E297" s="1160"/>
      <c r="F297" s="1160"/>
      <c r="G297" s="1160"/>
      <c r="H297" s="1160"/>
      <c r="I297" s="1160"/>
      <c r="J297" s="1160"/>
      <c r="K297" s="1160"/>
      <c r="L297" s="1160"/>
      <c r="M297" s="1160"/>
      <c r="N297" s="1160"/>
      <c r="O297" s="1160"/>
      <c r="P297" s="1160"/>
      <c r="Q297" s="1160"/>
      <c r="R297" s="1160"/>
      <c r="S297" s="1160"/>
      <c r="T297" s="1160"/>
      <c r="U297" s="1160"/>
      <c r="V297" s="1160"/>
      <c r="W297" s="1160"/>
      <c r="X297" s="1160"/>
      <c r="Y297" s="1160"/>
      <c r="Z297" s="1160"/>
      <c r="AA297" s="1160"/>
      <c r="AB297" s="1160"/>
      <c r="AC297" s="1160"/>
      <c r="AD297" s="1160"/>
      <c r="AE297" s="1160"/>
      <c r="AF297" s="1160"/>
      <c r="AG297" s="1160"/>
      <c r="AH297" s="1160"/>
      <c r="AI297" s="1160"/>
      <c r="AJ297" s="1160"/>
      <c r="AK297" s="1160"/>
      <c r="AL297" s="1160"/>
    </row>
    <row r="298" ht="15.0" customHeight="1">
      <c r="A298" s="1209"/>
      <c r="B298" s="1209"/>
      <c r="C298" s="1210"/>
      <c r="D298" s="1160"/>
      <c r="E298" s="1160"/>
      <c r="F298" s="1160"/>
      <c r="G298" s="1160"/>
      <c r="H298" s="1160"/>
      <c r="I298" s="1160"/>
      <c r="J298" s="1160"/>
      <c r="K298" s="1160"/>
      <c r="L298" s="1160"/>
      <c r="M298" s="1160"/>
      <c r="N298" s="1160"/>
      <c r="O298" s="1160"/>
      <c r="P298" s="1160"/>
      <c r="Q298" s="1160"/>
      <c r="R298" s="1160"/>
      <c r="S298" s="1160"/>
      <c r="T298" s="1160"/>
      <c r="U298" s="1160"/>
      <c r="V298" s="1160"/>
      <c r="W298" s="1160"/>
      <c r="X298" s="1160"/>
      <c r="Y298" s="1160"/>
      <c r="Z298" s="1160"/>
      <c r="AA298" s="1160"/>
      <c r="AB298" s="1160"/>
      <c r="AC298" s="1160"/>
      <c r="AD298" s="1160"/>
      <c r="AE298" s="1160"/>
      <c r="AF298" s="1160"/>
      <c r="AG298" s="1160"/>
      <c r="AH298" s="1160"/>
      <c r="AI298" s="1160"/>
      <c r="AJ298" s="1160"/>
      <c r="AK298" s="1160"/>
      <c r="AL298" s="1160"/>
    </row>
    <row r="299" ht="15.0" customHeight="1">
      <c r="A299" s="1209"/>
      <c r="B299" s="1209"/>
      <c r="C299" s="1210"/>
      <c r="D299" s="1160"/>
      <c r="E299" s="1160"/>
      <c r="F299" s="1160"/>
      <c r="G299" s="1160"/>
      <c r="H299" s="1160"/>
      <c r="I299" s="1160"/>
      <c r="J299" s="1160"/>
      <c r="K299" s="1160"/>
      <c r="L299" s="1160"/>
      <c r="M299" s="1160"/>
      <c r="N299" s="1160"/>
      <c r="O299" s="1160"/>
      <c r="P299" s="1160"/>
      <c r="Q299" s="1160"/>
      <c r="R299" s="1160"/>
      <c r="S299" s="1160"/>
      <c r="T299" s="1160"/>
      <c r="U299" s="1160"/>
      <c r="V299" s="1160"/>
      <c r="W299" s="1160"/>
      <c r="X299" s="1160"/>
      <c r="Y299" s="1160"/>
      <c r="Z299" s="1160"/>
      <c r="AA299" s="1160"/>
      <c r="AB299" s="1160"/>
      <c r="AC299" s="1160"/>
      <c r="AD299" s="1160"/>
      <c r="AE299" s="1160"/>
      <c r="AF299" s="1160"/>
      <c r="AG299" s="1160"/>
      <c r="AH299" s="1160"/>
      <c r="AI299" s="1160"/>
      <c r="AJ299" s="1160"/>
      <c r="AK299" s="1160"/>
      <c r="AL299" s="1160"/>
    </row>
    <row r="300" ht="15.0" customHeight="1">
      <c r="A300" s="1209"/>
      <c r="B300" s="1209"/>
      <c r="C300" s="1210"/>
      <c r="D300" s="1160"/>
      <c r="E300" s="1160"/>
      <c r="F300" s="1160"/>
      <c r="G300" s="1160"/>
      <c r="H300" s="1160"/>
      <c r="I300" s="1160"/>
      <c r="J300" s="1160"/>
      <c r="K300" s="1160"/>
      <c r="L300" s="1160"/>
      <c r="M300" s="1160"/>
      <c r="N300" s="1160"/>
      <c r="O300" s="1160"/>
      <c r="P300" s="1160"/>
      <c r="Q300" s="1160"/>
      <c r="R300" s="1160"/>
      <c r="S300" s="1160"/>
      <c r="T300" s="1160"/>
      <c r="U300" s="1160"/>
      <c r="V300" s="1160"/>
      <c r="W300" s="1160"/>
      <c r="X300" s="1160"/>
      <c r="Y300" s="1160"/>
      <c r="Z300" s="1160"/>
      <c r="AA300" s="1160"/>
      <c r="AB300" s="1160"/>
      <c r="AC300" s="1160"/>
      <c r="AD300" s="1160"/>
      <c r="AE300" s="1160"/>
      <c r="AF300" s="1160"/>
      <c r="AG300" s="1160"/>
      <c r="AH300" s="1160"/>
      <c r="AI300" s="1160"/>
      <c r="AJ300" s="1160"/>
      <c r="AK300" s="1160"/>
      <c r="AL300" s="1160"/>
    </row>
    <row r="301" ht="15.0" customHeight="1">
      <c r="A301" s="1209"/>
      <c r="B301" s="1209"/>
      <c r="C301" s="1210"/>
      <c r="D301" s="1160"/>
      <c r="E301" s="1160"/>
      <c r="F301" s="1160"/>
      <c r="G301" s="1160"/>
      <c r="H301" s="1160"/>
      <c r="I301" s="1160"/>
      <c r="J301" s="1160"/>
      <c r="K301" s="1160"/>
      <c r="L301" s="1160"/>
      <c r="M301" s="1160"/>
      <c r="N301" s="1160"/>
      <c r="O301" s="1160"/>
      <c r="P301" s="1160"/>
      <c r="Q301" s="1160"/>
      <c r="R301" s="1160"/>
      <c r="S301" s="1160"/>
      <c r="T301" s="1160"/>
      <c r="U301" s="1160"/>
      <c r="V301" s="1160"/>
      <c r="W301" s="1160"/>
      <c r="X301" s="1160"/>
      <c r="Y301" s="1160"/>
      <c r="Z301" s="1160"/>
      <c r="AA301" s="1160"/>
      <c r="AB301" s="1160"/>
      <c r="AC301" s="1160"/>
      <c r="AD301" s="1160"/>
      <c r="AE301" s="1160"/>
      <c r="AF301" s="1160"/>
      <c r="AG301" s="1160"/>
      <c r="AH301" s="1160"/>
      <c r="AI301" s="1160"/>
      <c r="AJ301" s="1160"/>
      <c r="AK301" s="1160"/>
      <c r="AL301" s="1160"/>
    </row>
    <row r="302" ht="15.0" customHeight="1">
      <c r="A302" s="1209"/>
      <c r="B302" s="1209"/>
      <c r="C302" s="1210"/>
      <c r="D302" s="1160"/>
      <c r="E302" s="1160"/>
      <c r="F302" s="1160"/>
      <c r="G302" s="1160"/>
      <c r="H302" s="1160"/>
      <c r="I302" s="1160"/>
      <c r="J302" s="1160"/>
      <c r="K302" s="1160"/>
      <c r="L302" s="1160"/>
      <c r="M302" s="1160"/>
      <c r="N302" s="1160"/>
      <c r="O302" s="1160"/>
      <c r="P302" s="1160"/>
      <c r="Q302" s="1160"/>
      <c r="R302" s="1160"/>
      <c r="S302" s="1160"/>
      <c r="T302" s="1160"/>
      <c r="U302" s="1160"/>
      <c r="V302" s="1160"/>
      <c r="W302" s="1160"/>
      <c r="X302" s="1160"/>
      <c r="Y302" s="1160"/>
      <c r="Z302" s="1160"/>
      <c r="AA302" s="1160"/>
      <c r="AB302" s="1160"/>
      <c r="AC302" s="1160"/>
      <c r="AD302" s="1160"/>
      <c r="AE302" s="1160"/>
      <c r="AF302" s="1160"/>
      <c r="AG302" s="1160"/>
      <c r="AH302" s="1160"/>
      <c r="AI302" s="1160"/>
      <c r="AJ302" s="1160"/>
      <c r="AK302" s="1160"/>
      <c r="AL302" s="1160"/>
    </row>
    <row r="303" ht="15.0" customHeight="1">
      <c r="A303" s="1209"/>
      <c r="B303" s="1209"/>
      <c r="C303" s="1210"/>
      <c r="D303" s="1160"/>
      <c r="E303" s="1160"/>
      <c r="F303" s="1160"/>
      <c r="G303" s="1160"/>
      <c r="H303" s="1160"/>
      <c r="I303" s="1160"/>
      <c r="J303" s="1160"/>
      <c r="K303" s="1160"/>
      <c r="L303" s="1160"/>
      <c r="M303" s="1160"/>
      <c r="N303" s="1160"/>
      <c r="O303" s="1160"/>
      <c r="P303" s="1160"/>
      <c r="Q303" s="1160"/>
      <c r="R303" s="1160"/>
      <c r="S303" s="1160"/>
      <c r="T303" s="1160"/>
      <c r="U303" s="1160"/>
      <c r="V303" s="1160"/>
      <c r="W303" s="1160"/>
      <c r="X303" s="1160"/>
      <c r="Y303" s="1160"/>
      <c r="Z303" s="1160"/>
      <c r="AA303" s="1160"/>
      <c r="AB303" s="1160"/>
      <c r="AC303" s="1160"/>
      <c r="AD303" s="1160"/>
      <c r="AE303" s="1160"/>
      <c r="AF303" s="1160"/>
      <c r="AG303" s="1160"/>
      <c r="AH303" s="1160"/>
      <c r="AI303" s="1160"/>
      <c r="AJ303" s="1160"/>
      <c r="AK303" s="1160"/>
      <c r="AL303" s="1160"/>
    </row>
    <row r="304" ht="15.0" customHeight="1">
      <c r="A304" s="1209"/>
      <c r="B304" s="1209"/>
      <c r="C304" s="1210"/>
      <c r="D304" s="1160"/>
      <c r="E304" s="1160"/>
      <c r="F304" s="1160"/>
      <c r="G304" s="1160"/>
      <c r="H304" s="1160"/>
      <c r="I304" s="1160"/>
      <c r="J304" s="1160"/>
      <c r="K304" s="1160"/>
      <c r="L304" s="1160"/>
      <c r="M304" s="1160"/>
      <c r="N304" s="1160"/>
      <c r="O304" s="1160"/>
      <c r="P304" s="1160"/>
      <c r="Q304" s="1160"/>
      <c r="R304" s="1160"/>
      <c r="S304" s="1160"/>
      <c r="T304" s="1160"/>
      <c r="U304" s="1160"/>
      <c r="V304" s="1160"/>
      <c r="W304" s="1160"/>
      <c r="X304" s="1160"/>
      <c r="Y304" s="1160"/>
      <c r="Z304" s="1160"/>
      <c r="AA304" s="1160"/>
      <c r="AB304" s="1160"/>
      <c r="AC304" s="1160"/>
      <c r="AD304" s="1160"/>
      <c r="AE304" s="1160"/>
      <c r="AF304" s="1160"/>
      <c r="AG304" s="1160"/>
      <c r="AH304" s="1160"/>
      <c r="AI304" s="1160"/>
      <c r="AJ304" s="1160"/>
      <c r="AK304" s="1160"/>
      <c r="AL304" s="1160"/>
    </row>
    <row r="305" ht="15.0" customHeight="1">
      <c r="A305" s="1209"/>
      <c r="B305" s="1209"/>
      <c r="C305" s="1210"/>
      <c r="D305" s="1160"/>
      <c r="E305" s="1160"/>
      <c r="F305" s="1160"/>
      <c r="G305" s="1160"/>
      <c r="H305" s="1160"/>
      <c r="I305" s="1160"/>
      <c r="J305" s="1160"/>
      <c r="K305" s="1160"/>
      <c r="L305" s="1160"/>
      <c r="M305" s="1160"/>
      <c r="N305" s="1160"/>
      <c r="O305" s="1160"/>
      <c r="P305" s="1160"/>
      <c r="Q305" s="1160"/>
      <c r="R305" s="1160"/>
      <c r="S305" s="1160"/>
      <c r="T305" s="1160"/>
      <c r="U305" s="1160"/>
      <c r="V305" s="1160"/>
      <c r="W305" s="1160"/>
      <c r="X305" s="1160"/>
      <c r="Y305" s="1160"/>
      <c r="Z305" s="1160"/>
      <c r="AA305" s="1160"/>
      <c r="AB305" s="1160"/>
      <c r="AC305" s="1160"/>
      <c r="AD305" s="1160"/>
      <c r="AE305" s="1160"/>
      <c r="AF305" s="1160"/>
      <c r="AG305" s="1160"/>
      <c r="AH305" s="1160"/>
      <c r="AI305" s="1160"/>
      <c r="AJ305" s="1160"/>
      <c r="AK305" s="1160"/>
      <c r="AL305" s="1160"/>
    </row>
    <row r="306" ht="15.0" customHeight="1">
      <c r="A306" s="1209"/>
      <c r="B306" s="1209"/>
      <c r="C306" s="1210"/>
      <c r="D306" s="1160"/>
      <c r="E306" s="1160"/>
      <c r="F306" s="1160"/>
      <c r="G306" s="1160"/>
      <c r="H306" s="1160"/>
      <c r="I306" s="1160"/>
      <c r="J306" s="1160"/>
      <c r="K306" s="1160"/>
      <c r="L306" s="1160"/>
      <c r="M306" s="1160"/>
      <c r="N306" s="1160"/>
      <c r="O306" s="1160"/>
      <c r="P306" s="1160"/>
      <c r="Q306" s="1160"/>
      <c r="R306" s="1160"/>
      <c r="S306" s="1160"/>
      <c r="T306" s="1160"/>
      <c r="U306" s="1160"/>
      <c r="V306" s="1160"/>
      <c r="W306" s="1160"/>
      <c r="X306" s="1160"/>
      <c r="Y306" s="1160"/>
      <c r="Z306" s="1160"/>
      <c r="AA306" s="1160"/>
      <c r="AB306" s="1160"/>
      <c r="AC306" s="1160"/>
      <c r="AD306" s="1160"/>
      <c r="AE306" s="1160"/>
      <c r="AF306" s="1160"/>
      <c r="AG306" s="1160"/>
      <c r="AH306" s="1160"/>
      <c r="AI306" s="1160"/>
      <c r="AJ306" s="1160"/>
      <c r="AK306" s="1160"/>
      <c r="AL306" s="1160"/>
    </row>
    <row r="307" ht="15.0" customHeight="1">
      <c r="A307" s="1209"/>
      <c r="B307" s="1209"/>
      <c r="C307" s="1210"/>
      <c r="D307" s="1160"/>
      <c r="E307" s="1160"/>
      <c r="F307" s="1160"/>
      <c r="G307" s="1160"/>
      <c r="H307" s="1160"/>
      <c r="I307" s="1160"/>
      <c r="J307" s="1160"/>
      <c r="K307" s="1160"/>
      <c r="L307" s="1160"/>
      <c r="M307" s="1160"/>
      <c r="N307" s="1160"/>
      <c r="O307" s="1160"/>
      <c r="P307" s="1160"/>
      <c r="Q307" s="1160"/>
      <c r="R307" s="1160"/>
      <c r="S307" s="1160"/>
      <c r="T307" s="1160"/>
      <c r="U307" s="1160"/>
      <c r="V307" s="1160"/>
      <c r="W307" s="1160"/>
      <c r="X307" s="1160"/>
      <c r="Y307" s="1160"/>
      <c r="Z307" s="1160"/>
      <c r="AA307" s="1160"/>
      <c r="AB307" s="1160"/>
      <c r="AC307" s="1160"/>
      <c r="AD307" s="1160"/>
      <c r="AE307" s="1160"/>
      <c r="AF307" s="1160"/>
      <c r="AG307" s="1160"/>
      <c r="AH307" s="1160"/>
      <c r="AI307" s="1160"/>
      <c r="AJ307" s="1160"/>
      <c r="AK307" s="1160"/>
      <c r="AL307" s="1160"/>
    </row>
    <row r="308" ht="15.0" customHeight="1">
      <c r="A308" s="1209"/>
      <c r="B308" s="1209"/>
      <c r="C308" s="1210"/>
      <c r="D308" s="1160"/>
      <c r="E308" s="1160"/>
      <c r="F308" s="1160"/>
      <c r="G308" s="1160"/>
      <c r="H308" s="1160"/>
      <c r="I308" s="1160"/>
      <c r="J308" s="1160"/>
      <c r="K308" s="1160"/>
      <c r="L308" s="1160"/>
      <c r="M308" s="1160"/>
      <c r="N308" s="1160"/>
      <c r="O308" s="1160"/>
      <c r="P308" s="1160"/>
      <c r="Q308" s="1160"/>
      <c r="R308" s="1160"/>
      <c r="S308" s="1160"/>
      <c r="T308" s="1160"/>
      <c r="U308" s="1160"/>
      <c r="V308" s="1160"/>
      <c r="W308" s="1160"/>
      <c r="X308" s="1160"/>
      <c r="Y308" s="1160"/>
      <c r="Z308" s="1160"/>
      <c r="AA308" s="1160"/>
      <c r="AB308" s="1160"/>
      <c r="AC308" s="1160"/>
      <c r="AD308" s="1160"/>
      <c r="AE308" s="1160"/>
      <c r="AF308" s="1160"/>
      <c r="AG308" s="1160"/>
      <c r="AH308" s="1160"/>
      <c r="AI308" s="1160"/>
      <c r="AJ308" s="1160"/>
      <c r="AK308" s="1160"/>
      <c r="AL308" s="1160"/>
    </row>
    <row r="309" ht="15.0" customHeight="1">
      <c r="A309" s="1209"/>
      <c r="B309" s="1209"/>
      <c r="C309" s="1210"/>
      <c r="D309" s="1160"/>
      <c r="E309" s="1160"/>
      <c r="F309" s="1160"/>
      <c r="G309" s="1160"/>
      <c r="H309" s="1160"/>
      <c r="I309" s="1160"/>
      <c r="J309" s="1160"/>
      <c r="K309" s="1160"/>
      <c r="L309" s="1160"/>
      <c r="M309" s="1160"/>
      <c r="N309" s="1160"/>
      <c r="O309" s="1160"/>
      <c r="P309" s="1160"/>
      <c r="Q309" s="1160"/>
      <c r="R309" s="1160"/>
      <c r="S309" s="1160"/>
      <c r="T309" s="1160"/>
      <c r="U309" s="1160"/>
      <c r="V309" s="1160"/>
      <c r="W309" s="1160"/>
      <c r="X309" s="1160"/>
      <c r="Y309" s="1160"/>
      <c r="Z309" s="1160"/>
      <c r="AA309" s="1160"/>
      <c r="AB309" s="1160"/>
      <c r="AC309" s="1160"/>
      <c r="AD309" s="1160"/>
      <c r="AE309" s="1160"/>
      <c r="AF309" s="1160"/>
      <c r="AG309" s="1160"/>
      <c r="AH309" s="1160"/>
      <c r="AI309" s="1160"/>
      <c r="AJ309" s="1160"/>
      <c r="AK309" s="1160"/>
      <c r="AL309" s="1160"/>
    </row>
    <row r="310" ht="15.0" customHeight="1">
      <c r="A310" s="1209"/>
      <c r="B310" s="1209"/>
      <c r="C310" s="1210"/>
      <c r="D310" s="1160"/>
      <c r="E310" s="1160"/>
      <c r="F310" s="1160"/>
      <c r="G310" s="1160"/>
      <c r="H310" s="1160"/>
      <c r="I310" s="1160"/>
      <c r="J310" s="1160"/>
      <c r="K310" s="1160"/>
      <c r="L310" s="1160"/>
      <c r="M310" s="1160"/>
      <c r="N310" s="1160"/>
      <c r="O310" s="1160"/>
      <c r="P310" s="1160"/>
      <c r="Q310" s="1160"/>
      <c r="R310" s="1160"/>
      <c r="S310" s="1160"/>
      <c r="T310" s="1160"/>
      <c r="U310" s="1160"/>
      <c r="V310" s="1160"/>
      <c r="W310" s="1160"/>
      <c r="X310" s="1160"/>
      <c r="Y310" s="1160"/>
      <c r="Z310" s="1160"/>
      <c r="AA310" s="1160"/>
      <c r="AB310" s="1160"/>
      <c r="AC310" s="1160"/>
      <c r="AD310" s="1160"/>
      <c r="AE310" s="1160"/>
      <c r="AF310" s="1160"/>
      <c r="AG310" s="1160"/>
      <c r="AH310" s="1160"/>
      <c r="AI310" s="1160"/>
      <c r="AJ310" s="1160"/>
      <c r="AK310" s="1160"/>
      <c r="AL310" s="1160"/>
    </row>
    <row r="311" ht="15.0" customHeight="1">
      <c r="A311" s="1209"/>
      <c r="B311" s="1209"/>
      <c r="C311" s="1210"/>
      <c r="D311" s="1160"/>
      <c r="E311" s="1160"/>
      <c r="F311" s="1160"/>
      <c r="G311" s="1160"/>
      <c r="H311" s="1160"/>
      <c r="I311" s="1160"/>
      <c r="J311" s="1160"/>
      <c r="K311" s="1160"/>
      <c r="L311" s="1160"/>
      <c r="M311" s="1160"/>
      <c r="N311" s="1160"/>
      <c r="O311" s="1160"/>
      <c r="P311" s="1160"/>
      <c r="Q311" s="1160"/>
      <c r="R311" s="1160"/>
      <c r="S311" s="1160"/>
      <c r="T311" s="1160"/>
      <c r="U311" s="1160"/>
      <c r="V311" s="1160"/>
      <c r="W311" s="1160"/>
      <c r="X311" s="1160"/>
      <c r="Y311" s="1160"/>
      <c r="Z311" s="1160"/>
      <c r="AA311" s="1160"/>
      <c r="AB311" s="1160"/>
      <c r="AC311" s="1160"/>
      <c r="AD311" s="1160"/>
      <c r="AE311" s="1160"/>
      <c r="AF311" s="1160"/>
      <c r="AG311" s="1160"/>
      <c r="AH311" s="1160"/>
      <c r="AI311" s="1160"/>
      <c r="AJ311" s="1160"/>
      <c r="AK311" s="1160"/>
      <c r="AL311" s="1160"/>
    </row>
    <row r="312" ht="15.0" customHeight="1">
      <c r="A312" s="1209"/>
      <c r="B312" s="1209"/>
      <c r="C312" s="1210"/>
      <c r="D312" s="1160"/>
      <c r="E312" s="1160"/>
      <c r="F312" s="1160"/>
      <c r="G312" s="1160"/>
      <c r="H312" s="1160"/>
      <c r="I312" s="1160"/>
      <c r="J312" s="1160"/>
      <c r="K312" s="1160"/>
      <c r="L312" s="1160"/>
      <c r="M312" s="1160"/>
      <c r="N312" s="1160"/>
      <c r="O312" s="1160"/>
      <c r="P312" s="1160"/>
      <c r="Q312" s="1160"/>
      <c r="R312" s="1160"/>
      <c r="S312" s="1160"/>
      <c r="T312" s="1160"/>
      <c r="U312" s="1160"/>
      <c r="V312" s="1160"/>
      <c r="W312" s="1160"/>
      <c r="X312" s="1160"/>
      <c r="Y312" s="1160"/>
      <c r="Z312" s="1160"/>
      <c r="AA312" s="1160"/>
      <c r="AB312" s="1160"/>
      <c r="AC312" s="1160"/>
      <c r="AD312" s="1160"/>
      <c r="AE312" s="1160"/>
      <c r="AF312" s="1160"/>
      <c r="AG312" s="1160"/>
      <c r="AH312" s="1160"/>
      <c r="AI312" s="1160"/>
      <c r="AJ312" s="1160"/>
      <c r="AK312" s="1160"/>
      <c r="AL312" s="1160"/>
    </row>
    <row r="313" ht="15.0" customHeight="1">
      <c r="A313" s="1209"/>
      <c r="B313" s="1209"/>
      <c r="C313" s="1210"/>
      <c r="D313" s="1160"/>
      <c r="E313" s="1160"/>
      <c r="F313" s="1160"/>
      <c r="G313" s="1160"/>
      <c r="H313" s="1160"/>
      <c r="I313" s="1160"/>
      <c r="J313" s="1160"/>
      <c r="K313" s="1160"/>
      <c r="L313" s="1160"/>
      <c r="M313" s="1160"/>
      <c r="N313" s="1160"/>
      <c r="O313" s="1160"/>
      <c r="P313" s="1160"/>
      <c r="Q313" s="1160"/>
      <c r="R313" s="1160"/>
      <c r="S313" s="1160"/>
      <c r="T313" s="1160"/>
      <c r="U313" s="1160"/>
      <c r="V313" s="1160"/>
      <c r="W313" s="1160"/>
      <c r="X313" s="1160"/>
      <c r="Y313" s="1160"/>
      <c r="Z313" s="1160"/>
      <c r="AA313" s="1160"/>
      <c r="AB313" s="1160"/>
      <c r="AC313" s="1160"/>
      <c r="AD313" s="1160"/>
      <c r="AE313" s="1160"/>
      <c r="AF313" s="1160"/>
      <c r="AG313" s="1160"/>
      <c r="AH313" s="1160"/>
      <c r="AI313" s="1160"/>
      <c r="AJ313" s="1160"/>
      <c r="AK313" s="1160"/>
      <c r="AL313" s="1160"/>
    </row>
    <row r="314" ht="15.0" customHeight="1">
      <c r="A314" s="1209"/>
      <c r="B314" s="1209"/>
      <c r="C314" s="1210"/>
      <c r="D314" s="1160"/>
      <c r="E314" s="1160"/>
      <c r="F314" s="1160"/>
      <c r="G314" s="1160"/>
      <c r="H314" s="1160"/>
      <c r="I314" s="1160"/>
      <c r="J314" s="1160"/>
      <c r="K314" s="1160"/>
      <c r="L314" s="1160"/>
      <c r="M314" s="1160"/>
      <c r="N314" s="1160"/>
      <c r="O314" s="1160"/>
      <c r="P314" s="1160"/>
      <c r="Q314" s="1160"/>
      <c r="R314" s="1160"/>
      <c r="S314" s="1160"/>
      <c r="T314" s="1160"/>
      <c r="U314" s="1160"/>
      <c r="V314" s="1160"/>
      <c r="W314" s="1160"/>
      <c r="X314" s="1160"/>
      <c r="Y314" s="1160"/>
      <c r="Z314" s="1160"/>
      <c r="AA314" s="1160"/>
      <c r="AB314" s="1160"/>
      <c r="AC314" s="1160"/>
      <c r="AD314" s="1160"/>
      <c r="AE314" s="1160"/>
      <c r="AF314" s="1160"/>
      <c r="AG314" s="1160"/>
      <c r="AH314" s="1160"/>
      <c r="AI314" s="1160"/>
      <c r="AJ314" s="1160"/>
      <c r="AK314" s="1160"/>
      <c r="AL314" s="1160"/>
    </row>
    <row r="315" ht="15.0" customHeight="1">
      <c r="A315" s="1209"/>
      <c r="B315" s="1209"/>
      <c r="C315" s="1210"/>
      <c r="D315" s="1160"/>
      <c r="E315" s="1160"/>
      <c r="F315" s="1160"/>
      <c r="G315" s="1160"/>
      <c r="H315" s="1160"/>
      <c r="I315" s="1160"/>
      <c r="J315" s="1160"/>
      <c r="K315" s="1160"/>
      <c r="L315" s="1160"/>
      <c r="M315" s="1160"/>
      <c r="N315" s="1160"/>
      <c r="O315" s="1160"/>
      <c r="P315" s="1160"/>
      <c r="Q315" s="1160"/>
      <c r="R315" s="1160"/>
      <c r="S315" s="1160"/>
      <c r="T315" s="1160"/>
      <c r="U315" s="1160"/>
      <c r="V315" s="1160"/>
      <c r="W315" s="1160"/>
      <c r="X315" s="1160"/>
      <c r="Y315" s="1160"/>
      <c r="Z315" s="1160"/>
      <c r="AA315" s="1160"/>
      <c r="AB315" s="1160"/>
      <c r="AC315" s="1160"/>
      <c r="AD315" s="1160"/>
      <c r="AE315" s="1160"/>
      <c r="AF315" s="1160"/>
      <c r="AG315" s="1160"/>
      <c r="AH315" s="1160"/>
      <c r="AI315" s="1160"/>
      <c r="AJ315" s="1160"/>
      <c r="AK315" s="1160"/>
      <c r="AL315" s="1160"/>
    </row>
    <row r="316" ht="15.0" customHeight="1">
      <c r="A316" s="1209"/>
      <c r="B316" s="1209"/>
      <c r="C316" s="1210"/>
      <c r="D316" s="1160"/>
      <c r="E316" s="1160"/>
      <c r="F316" s="1160"/>
      <c r="G316" s="1160"/>
      <c r="H316" s="1160"/>
      <c r="I316" s="1160"/>
      <c r="J316" s="1160"/>
      <c r="K316" s="1160"/>
      <c r="L316" s="1160"/>
      <c r="M316" s="1160"/>
      <c r="N316" s="1160"/>
      <c r="O316" s="1160"/>
      <c r="P316" s="1160"/>
      <c r="Q316" s="1160"/>
      <c r="R316" s="1160"/>
      <c r="S316" s="1160"/>
      <c r="T316" s="1160"/>
      <c r="U316" s="1160"/>
      <c r="V316" s="1160"/>
      <c r="W316" s="1160"/>
      <c r="X316" s="1160"/>
      <c r="Y316" s="1160"/>
      <c r="Z316" s="1160"/>
      <c r="AA316" s="1160"/>
      <c r="AB316" s="1160"/>
      <c r="AC316" s="1160"/>
      <c r="AD316" s="1160"/>
      <c r="AE316" s="1160"/>
      <c r="AF316" s="1160"/>
      <c r="AG316" s="1160"/>
      <c r="AH316" s="1160"/>
      <c r="AI316" s="1160"/>
      <c r="AJ316" s="1160"/>
      <c r="AK316" s="1160"/>
      <c r="AL316" s="1160"/>
    </row>
    <row r="317" ht="15.0" customHeight="1">
      <c r="A317" s="1209"/>
      <c r="B317" s="1209"/>
      <c r="C317" s="1210"/>
      <c r="D317" s="1160"/>
      <c r="E317" s="1160"/>
      <c r="F317" s="1160"/>
      <c r="G317" s="1160"/>
      <c r="H317" s="1160"/>
      <c r="I317" s="1160"/>
      <c r="J317" s="1160"/>
      <c r="K317" s="1160"/>
      <c r="L317" s="1160"/>
      <c r="M317" s="1160"/>
      <c r="N317" s="1160"/>
      <c r="O317" s="1160"/>
      <c r="P317" s="1160"/>
      <c r="Q317" s="1160"/>
      <c r="R317" s="1160"/>
      <c r="S317" s="1160"/>
      <c r="T317" s="1160"/>
      <c r="U317" s="1160"/>
      <c r="V317" s="1160"/>
      <c r="W317" s="1160"/>
      <c r="X317" s="1160"/>
      <c r="Y317" s="1160"/>
      <c r="Z317" s="1160"/>
      <c r="AA317" s="1160"/>
      <c r="AB317" s="1160"/>
      <c r="AC317" s="1160"/>
      <c r="AD317" s="1160"/>
      <c r="AE317" s="1160"/>
      <c r="AF317" s="1160"/>
      <c r="AG317" s="1160"/>
      <c r="AH317" s="1160"/>
      <c r="AI317" s="1160"/>
      <c r="AJ317" s="1160"/>
      <c r="AK317" s="1160"/>
      <c r="AL317" s="1160"/>
    </row>
    <row r="318" ht="15.0" customHeight="1">
      <c r="A318" s="1209"/>
      <c r="B318" s="1209"/>
      <c r="C318" s="1210"/>
      <c r="D318" s="1160"/>
      <c r="E318" s="1160"/>
      <c r="F318" s="1160"/>
      <c r="G318" s="1160"/>
      <c r="H318" s="1160"/>
      <c r="I318" s="1160"/>
      <c r="J318" s="1160"/>
      <c r="K318" s="1160"/>
      <c r="L318" s="1160"/>
      <c r="M318" s="1160"/>
      <c r="N318" s="1160"/>
      <c r="O318" s="1160"/>
      <c r="P318" s="1160"/>
      <c r="Q318" s="1160"/>
      <c r="R318" s="1160"/>
      <c r="S318" s="1160"/>
      <c r="T318" s="1160"/>
      <c r="U318" s="1160"/>
      <c r="V318" s="1160"/>
      <c r="W318" s="1160"/>
      <c r="X318" s="1160"/>
      <c r="Y318" s="1160"/>
      <c r="Z318" s="1160"/>
      <c r="AA318" s="1160"/>
      <c r="AB318" s="1160"/>
      <c r="AC318" s="1160"/>
      <c r="AD318" s="1160"/>
      <c r="AE318" s="1160"/>
      <c r="AF318" s="1160"/>
      <c r="AG318" s="1160"/>
      <c r="AH318" s="1160"/>
      <c r="AI318" s="1160"/>
      <c r="AJ318" s="1160"/>
      <c r="AK318" s="1160"/>
      <c r="AL318" s="1160"/>
    </row>
    <row r="319" ht="15.0" customHeight="1">
      <c r="A319" s="1209"/>
      <c r="B319" s="1209"/>
      <c r="C319" s="1210"/>
      <c r="D319" s="1160"/>
      <c r="E319" s="1160"/>
      <c r="F319" s="1160"/>
      <c r="G319" s="1160"/>
      <c r="H319" s="1160"/>
      <c r="I319" s="1160"/>
      <c r="J319" s="1160"/>
      <c r="K319" s="1160"/>
      <c r="L319" s="1160"/>
      <c r="M319" s="1160"/>
      <c r="N319" s="1160"/>
      <c r="O319" s="1160"/>
      <c r="P319" s="1160"/>
      <c r="Q319" s="1160"/>
      <c r="R319" s="1160"/>
      <c r="S319" s="1160"/>
      <c r="T319" s="1160"/>
      <c r="U319" s="1160"/>
      <c r="V319" s="1160"/>
      <c r="W319" s="1160"/>
      <c r="X319" s="1160"/>
      <c r="Y319" s="1160"/>
      <c r="Z319" s="1160"/>
      <c r="AA319" s="1160"/>
      <c r="AB319" s="1160"/>
      <c r="AC319" s="1160"/>
      <c r="AD319" s="1160"/>
      <c r="AE319" s="1160"/>
      <c r="AF319" s="1160"/>
      <c r="AG319" s="1160"/>
      <c r="AH319" s="1160"/>
      <c r="AI319" s="1160"/>
      <c r="AJ319" s="1160"/>
      <c r="AK319" s="1160"/>
      <c r="AL319" s="1160"/>
    </row>
    <row r="320" ht="15.0" customHeight="1">
      <c r="A320" s="1209"/>
      <c r="B320" s="1209"/>
      <c r="C320" s="1210"/>
      <c r="D320" s="1160"/>
      <c r="E320" s="1160"/>
      <c r="F320" s="1160"/>
      <c r="G320" s="1160"/>
      <c r="H320" s="1160"/>
      <c r="I320" s="1160"/>
      <c r="J320" s="1160"/>
      <c r="K320" s="1160"/>
      <c r="L320" s="1160"/>
      <c r="M320" s="1160"/>
      <c r="N320" s="1160"/>
      <c r="O320" s="1160"/>
      <c r="P320" s="1160"/>
      <c r="Q320" s="1160"/>
      <c r="R320" s="1160"/>
      <c r="S320" s="1160"/>
      <c r="T320" s="1160"/>
      <c r="U320" s="1160"/>
      <c r="V320" s="1160"/>
      <c r="W320" s="1160"/>
      <c r="X320" s="1160"/>
      <c r="Y320" s="1160"/>
      <c r="Z320" s="1160"/>
      <c r="AA320" s="1160"/>
      <c r="AB320" s="1160"/>
      <c r="AC320" s="1160"/>
      <c r="AD320" s="1160"/>
      <c r="AE320" s="1160"/>
      <c r="AF320" s="1160"/>
      <c r="AG320" s="1160"/>
      <c r="AH320" s="1160"/>
      <c r="AI320" s="1160"/>
      <c r="AJ320" s="1160"/>
      <c r="AK320" s="1160"/>
      <c r="AL320" s="1160"/>
    </row>
    <row r="321" ht="15.0" customHeight="1">
      <c r="A321" s="1209"/>
      <c r="B321" s="1209"/>
      <c r="C321" s="1210"/>
      <c r="D321" s="1160"/>
      <c r="E321" s="1160"/>
      <c r="F321" s="1160"/>
      <c r="G321" s="1160"/>
      <c r="H321" s="1160"/>
      <c r="I321" s="1160"/>
      <c r="J321" s="1160"/>
      <c r="K321" s="1160"/>
      <c r="L321" s="1160"/>
      <c r="M321" s="1160"/>
      <c r="N321" s="1160"/>
      <c r="O321" s="1160"/>
      <c r="P321" s="1160"/>
      <c r="Q321" s="1160"/>
      <c r="R321" s="1160"/>
      <c r="S321" s="1160"/>
      <c r="T321" s="1160"/>
      <c r="U321" s="1160"/>
      <c r="V321" s="1160"/>
      <c r="W321" s="1160"/>
      <c r="X321" s="1160"/>
      <c r="Y321" s="1160"/>
      <c r="Z321" s="1160"/>
      <c r="AA321" s="1160"/>
      <c r="AB321" s="1160"/>
      <c r="AC321" s="1160"/>
      <c r="AD321" s="1160"/>
      <c r="AE321" s="1160"/>
      <c r="AF321" s="1160"/>
      <c r="AG321" s="1160"/>
      <c r="AH321" s="1160"/>
      <c r="AI321" s="1160"/>
      <c r="AJ321" s="1160"/>
      <c r="AK321" s="1160"/>
      <c r="AL321" s="1160"/>
    </row>
    <row r="322" ht="15.0" customHeight="1">
      <c r="A322" s="1209"/>
      <c r="B322" s="1209"/>
      <c r="C322" s="1210"/>
      <c r="D322" s="1160"/>
      <c r="E322" s="1160"/>
      <c r="F322" s="1160"/>
      <c r="G322" s="1160"/>
      <c r="H322" s="1160"/>
      <c r="I322" s="1160"/>
      <c r="J322" s="1160"/>
      <c r="K322" s="1160"/>
      <c r="L322" s="1160"/>
      <c r="M322" s="1160"/>
      <c r="N322" s="1160"/>
      <c r="O322" s="1160"/>
      <c r="P322" s="1160"/>
      <c r="Q322" s="1160"/>
      <c r="R322" s="1160"/>
      <c r="S322" s="1160"/>
      <c r="T322" s="1160"/>
      <c r="U322" s="1160"/>
      <c r="V322" s="1160"/>
      <c r="W322" s="1160"/>
      <c r="X322" s="1160"/>
      <c r="Y322" s="1160"/>
      <c r="Z322" s="1160"/>
      <c r="AA322" s="1160"/>
      <c r="AB322" s="1160"/>
      <c r="AC322" s="1160"/>
      <c r="AD322" s="1160"/>
      <c r="AE322" s="1160"/>
      <c r="AF322" s="1160"/>
      <c r="AG322" s="1160"/>
      <c r="AH322" s="1160"/>
      <c r="AI322" s="1160"/>
      <c r="AJ322" s="1160"/>
      <c r="AK322" s="1160"/>
      <c r="AL322" s="1160"/>
    </row>
    <row r="323" ht="15.0" customHeight="1">
      <c r="A323" s="1209"/>
      <c r="B323" s="1209"/>
      <c r="C323" s="1210"/>
      <c r="D323" s="1160"/>
      <c r="E323" s="1160"/>
      <c r="F323" s="1160"/>
      <c r="G323" s="1160"/>
      <c r="H323" s="1160"/>
      <c r="I323" s="1160"/>
      <c r="J323" s="1160"/>
      <c r="K323" s="1160"/>
      <c r="L323" s="1160"/>
      <c r="M323" s="1160"/>
      <c r="N323" s="1160"/>
      <c r="O323" s="1160"/>
      <c r="P323" s="1160"/>
      <c r="Q323" s="1160"/>
      <c r="R323" s="1160"/>
      <c r="S323" s="1160"/>
      <c r="T323" s="1160"/>
      <c r="U323" s="1160"/>
      <c r="V323" s="1160"/>
      <c r="W323" s="1160"/>
      <c r="X323" s="1160"/>
      <c r="Y323" s="1160"/>
      <c r="Z323" s="1160"/>
      <c r="AA323" s="1160"/>
      <c r="AB323" s="1160"/>
      <c r="AC323" s="1160"/>
      <c r="AD323" s="1160"/>
      <c r="AE323" s="1160"/>
      <c r="AF323" s="1160"/>
      <c r="AG323" s="1160"/>
      <c r="AH323" s="1160"/>
      <c r="AI323" s="1160"/>
      <c r="AJ323" s="1160"/>
      <c r="AK323" s="1160"/>
      <c r="AL323" s="1160"/>
    </row>
    <row r="324" ht="15.0" customHeight="1">
      <c r="A324" s="1209"/>
      <c r="B324" s="1209"/>
      <c r="C324" s="1210"/>
      <c r="D324" s="1160"/>
      <c r="E324" s="1160"/>
      <c r="F324" s="1160"/>
      <c r="G324" s="1160"/>
      <c r="H324" s="1160"/>
      <c r="I324" s="1160"/>
      <c r="J324" s="1160"/>
      <c r="K324" s="1160"/>
      <c r="L324" s="1160"/>
      <c r="M324" s="1160"/>
      <c r="N324" s="1160"/>
      <c r="O324" s="1160"/>
      <c r="P324" s="1160"/>
      <c r="Q324" s="1160"/>
      <c r="R324" s="1160"/>
      <c r="S324" s="1160"/>
      <c r="T324" s="1160"/>
      <c r="U324" s="1160"/>
      <c r="V324" s="1160"/>
      <c r="W324" s="1160"/>
      <c r="X324" s="1160"/>
      <c r="Y324" s="1160"/>
      <c r="Z324" s="1160"/>
      <c r="AA324" s="1160"/>
      <c r="AB324" s="1160"/>
      <c r="AC324" s="1160"/>
      <c r="AD324" s="1160"/>
      <c r="AE324" s="1160"/>
      <c r="AF324" s="1160"/>
      <c r="AG324" s="1160"/>
      <c r="AH324" s="1160"/>
      <c r="AI324" s="1160"/>
      <c r="AJ324" s="1160"/>
      <c r="AK324" s="1160"/>
      <c r="AL324" s="1160"/>
    </row>
    <row r="325" ht="15.0" customHeight="1">
      <c r="A325" s="1209"/>
      <c r="B325" s="1209"/>
      <c r="C325" s="1210"/>
      <c r="D325" s="1160"/>
      <c r="E325" s="1160"/>
      <c r="F325" s="1160"/>
      <c r="G325" s="1160"/>
      <c r="H325" s="1160"/>
      <c r="I325" s="1160"/>
      <c r="J325" s="1160"/>
      <c r="K325" s="1160"/>
      <c r="L325" s="1160"/>
      <c r="M325" s="1160"/>
      <c r="N325" s="1160"/>
      <c r="O325" s="1160"/>
      <c r="P325" s="1160"/>
      <c r="Q325" s="1160"/>
      <c r="R325" s="1160"/>
      <c r="S325" s="1160"/>
      <c r="T325" s="1160"/>
      <c r="U325" s="1160"/>
      <c r="V325" s="1160"/>
      <c r="W325" s="1160"/>
      <c r="X325" s="1160"/>
      <c r="Y325" s="1160"/>
      <c r="Z325" s="1160"/>
      <c r="AA325" s="1160"/>
      <c r="AB325" s="1160"/>
      <c r="AC325" s="1160"/>
      <c r="AD325" s="1160"/>
      <c r="AE325" s="1160"/>
      <c r="AF325" s="1160"/>
      <c r="AG325" s="1160"/>
      <c r="AH325" s="1160"/>
      <c r="AI325" s="1160"/>
      <c r="AJ325" s="1160"/>
      <c r="AK325" s="1160"/>
      <c r="AL325" s="1160"/>
    </row>
    <row r="326" ht="15.0" customHeight="1">
      <c r="A326" s="1209"/>
      <c r="B326" s="1209"/>
      <c r="C326" s="1210"/>
      <c r="D326" s="1160"/>
      <c r="E326" s="1160"/>
      <c r="F326" s="1160"/>
      <c r="G326" s="1160"/>
      <c r="H326" s="1160"/>
      <c r="I326" s="1160"/>
      <c r="J326" s="1160"/>
      <c r="K326" s="1160"/>
      <c r="L326" s="1160"/>
      <c r="M326" s="1160"/>
      <c r="N326" s="1160"/>
      <c r="O326" s="1160"/>
      <c r="P326" s="1160"/>
      <c r="Q326" s="1160"/>
      <c r="R326" s="1160"/>
      <c r="S326" s="1160"/>
      <c r="T326" s="1160"/>
      <c r="U326" s="1160"/>
      <c r="V326" s="1160"/>
      <c r="W326" s="1160"/>
      <c r="X326" s="1160"/>
      <c r="Y326" s="1160"/>
      <c r="Z326" s="1160"/>
      <c r="AA326" s="1160"/>
      <c r="AB326" s="1160"/>
      <c r="AC326" s="1160"/>
      <c r="AD326" s="1160"/>
      <c r="AE326" s="1160"/>
      <c r="AF326" s="1160"/>
      <c r="AG326" s="1160"/>
      <c r="AH326" s="1160"/>
      <c r="AI326" s="1160"/>
      <c r="AJ326" s="1160"/>
      <c r="AK326" s="1160"/>
      <c r="AL326" s="1160"/>
    </row>
    <row r="327" ht="15.0" customHeight="1">
      <c r="A327" s="1209"/>
      <c r="B327" s="1209"/>
      <c r="C327" s="1210"/>
      <c r="D327" s="1160"/>
      <c r="E327" s="1160"/>
      <c r="F327" s="1160"/>
      <c r="G327" s="1160"/>
      <c r="H327" s="1160"/>
      <c r="I327" s="1160"/>
      <c r="J327" s="1160"/>
      <c r="K327" s="1160"/>
      <c r="L327" s="1160"/>
      <c r="M327" s="1160"/>
      <c r="N327" s="1160"/>
      <c r="O327" s="1160"/>
      <c r="P327" s="1160"/>
      <c r="Q327" s="1160"/>
      <c r="R327" s="1160"/>
      <c r="S327" s="1160"/>
      <c r="T327" s="1160"/>
      <c r="U327" s="1160"/>
      <c r="V327" s="1160"/>
      <c r="W327" s="1160"/>
      <c r="X327" s="1160"/>
      <c r="Y327" s="1160"/>
      <c r="Z327" s="1160"/>
      <c r="AA327" s="1160"/>
      <c r="AB327" s="1160"/>
      <c r="AC327" s="1160"/>
      <c r="AD327" s="1160"/>
      <c r="AE327" s="1160"/>
      <c r="AF327" s="1160"/>
      <c r="AG327" s="1160"/>
      <c r="AH327" s="1160"/>
      <c r="AI327" s="1160"/>
      <c r="AJ327" s="1160"/>
      <c r="AK327" s="1160"/>
      <c r="AL327" s="1160"/>
    </row>
    <row r="328" ht="15.0" customHeight="1">
      <c r="A328" s="1209"/>
      <c r="B328" s="1209"/>
      <c r="C328" s="1210"/>
      <c r="D328" s="1160"/>
      <c r="E328" s="1160"/>
      <c r="F328" s="1160"/>
      <c r="G328" s="1160"/>
      <c r="H328" s="1160"/>
      <c r="I328" s="1160"/>
      <c r="J328" s="1160"/>
      <c r="K328" s="1160"/>
      <c r="L328" s="1160"/>
      <c r="M328" s="1160"/>
      <c r="N328" s="1160"/>
      <c r="O328" s="1160"/>
      <c r="P328" s="1160"/>
      <c r="Q328" s="1160"/>
      <c r="R328" s="1160"/>
      <c r="S328" s="1160"/>
      <c r="T328" s="1160"/>
      <c r="U328" s="1160"/>
      <c r="V328" s="1160"/>
      <c r="W328" s="1160"/>
      <c r="X328" s="1160"/>
      <c r="Y328" s="1160"/>
      <c r="Z328" s="1160"/>
      <c r="AA328" s="1160"/>
      <c r="AB328" s="1160"/>
      <c r="AC328" s="1160"/>
      <c r="AD328" s="1160"/>
      <c r="AE328" s="1160"/>
      <c r="AF328" s="1160"/>
      <c r="AG328" s="1160"/>
      <c r="AH328" s="1160"/>
      <c r="AI328" s="1160"/>
      <c r="AJ328" s="1160"/>
      <c r="AK328" s="1160"/>
      <c r="AL328" s="1160"/>
    </row>
    <row r="329" ht="15.0" customHeight="1">
      <c r="A329" s="1209"/>
      <c r="B329" s="1209"/>
      <c r="C329" s="1210"/>
      <c r="D329" s="1160"/>
      <c r="E329" s="1160"/>
      <c r="F329" s="1160"/>
      <c r="G329" s="1160"/>
      <c r="H329" s="1160"/>
      <c r="I329" s="1160"/>
      <c r="J329" s="1160"/>
      <c r="K329" s="1160"/>
      <c r="L329" s="1160"/>
      <c r="M329" s="1160"/>
      <c r="N329" s="1160"/>
      <c r="O329" s="1160"/>
      <c r="P329" s="1160"/>
      <c r="Q329" s="1160"/>
      <c r="R329" s="1160"/>
      <c r="S329" s="1160"/>
      <c r="T329" s="1160"/>
      <c r="U329" s="1160"/>
      <c r="V329" s="1160"/>
      <c r="W329" s="1160"/>
      <c r="X329" s="1160"/>
      <c r="Y329" s="1160"/>
      <c r="Z329" s="1160"/>
      <c r="AA329" s="1160"/>
      <c r="AB329" s="1160"/>
      <c r="AC329" s="1160"/>
      <c r="AD329" s="1160"/>
      <c r="AE329" s="1160"/>
      <c r="AF329" s="1160"/>
      <c r="AG329" s="1160"/>
      <c r="AH329" s="1160"/>
      <c r="AI329" s="1160"/>
      <c r="AJ329" s="1160"/>
      <c r="AK329" s="1160"/>
      <c r="AL329" s="1160"/>
    </row>
    <row r="330" ht="15.0" customHeight="1">
      <c r="A330" s="1209"/>
      <c r="B330" s="1209"/>
      <c r="C330" s="1210"/>
      <c r="D330" s="1160"/>
      <c r="E330" s="1160"/>
      <c r="F330" s="1160"/>
      <c r="G330" s="1160"/>
      <c r="H330" s="1160"/>
      <c r="I330" s="1160"/>
      <c r="J330" s="1160"/>
      <c r="K330" s="1160"/>
      <c r="L330" s="1160"/>
      <c r="M330" s="1160"/>
      <c r="N330" s="1160"/>
      <c r="O330" s="1160"/>
      <c r="P330" s="1160"/>
      <c r="Q330" s="1160"/>
      <c r="R330" s="1160"/>
      <c r="S330" s="1160"/>
      <c r="T330" s="1160"/>
      <c r="U330" s="1160"/>
      <c r="V330" s="1160"/>
      <c r="W330" s="1160"/>
      <c r="X330" s="1160"/>
      <c r="Y330" s="1160"/>
      <c r="Z330" s="1160"/>
      <c r="AA330" s="1160"/>
      <c r="AB330" s="1160"/>
      <c r="AC330" s="1160"/>
      <c r="AD330" s="1160"/>
      <c r="AE330" s="1160"/>
      <c r="AF330" s="1160"/>
      <c r="AG330" s="1160"/>
      <c r="AH330" s="1160"/>
      <c r="AI330" s="1160"/>
      <c r="AJ330" s="1160"/>
      <c r="AK330" s="1160"/>
      <c r="AL330" s="1160"/>
    </row>
    <row r="331" ht="15.0" customHeight="1">
      <c r="A331" s="1209"/>
      <c r="B331" s="1209"/>
      <c r="C331" s="1210"/>
      <c r="D331" s="1160"/>
      <c r="E331" s="1160"/>
      <c r="F331" s="1160"/>
      <c r="G331" s="1160"/>
      <c r="H331" s="1160"/>
      <c r="I331" s="1160"/>
      <c r="J331" s="1160"/>
      <c r="K331" s="1160"/>
      <c r="L331" s="1160"/>
      <c r="M331" s="1160"/>
      <c r="N331" s="1160"/>
      <c r="O331" s="1160"/>
      <c r="P331" s="1160"/>
      <c r="Q331" s="1160"/>
      <c r="R331" s="1160"/>
      <c r="S331" s="1160"/>
      <c r="T331" s="1160"/>
      <c r="U331" s="1160"/>
      <c r="V331" s="1160"/>
      <c r="W331" s="1160"/>
      <c r="X331" s="1160"/>
      <c r="Y331" s="1160"/>
      <c r="Z331" s="1160"/>
      <c r="AA331" s="1160"/>
      <c r="AB331" s="1160"/>
      <c r="AC331" s="1160"/>
      <c r="AD331" s="1160"/>
      <c r="AE331" s="1160"/>
      <c r="AF331" s="1160"/>
      <c r="AG331" s="1160"/>
      <c r="AH331" s="1160"/>
      <c r="AI331" s="1160"/>
      <c r="AJ331" s="1160"/>
      <c r="AK331" s="1160"/>
      <c r="AL331" s="1160"/>
    </row>
    <row r="332" ht="15.0" customHeight="1">
      <c r="A332" s="1209"/>
      <c r="B332" s="1209"/>
      <c r="C332" s="1210"/>
      <c r="D332" s="1160"/>
      <c r="E332" s="1160"/>
      <c r="F332" s="1160"/>
      <c r="G332" s="1160"/>
      <c r="H332" s="1160"/>
      <c r="I332" s="1160"/>
      <c r="J332" s="1160"/>
      <c r="K332" s="1160"/>
      <c r="L332" s="1160"/>
      <c r="M332" s="1160"/>
      <c r="N332" s="1160"/>
      <c r="O332" s="1160"/>
      <c r="P332" s="1160"/>
      <c r="Q332" s="1160"/>
      <c r="R332" s="1160"/>
      <c r="S332" s="1160"/>
      <c r="T332" s="1160"/>
      <c r="U332" s="1160"/>
      <c r="V332" s="1160"/>
      <c r="W332" s="1160"/>
      <c r="X332" s="1160"/>
      <c r="Y332" s="1160"/>
      <c r="Z332" s="1160"/>
      <c r="AA332" s="1160"/>
      <c r="AB332" s="1160"/>
      <c r="AC332" s="1160"/>
      <c r="AD332" s="1160"/>
      <c r="AE332" s="1160"/>
      <c r="AF332" s="1160"/>
      <c r="AG332" s="1160"/>
      <c r="AH332" s="1160"/>
      <c r="AI332" s="1160"/>
      <c r="AJ332" s="1160"/>
      <c r="AK332" s="1160"/>
      <c r="AL332" s="1160"/>
    </row>
    <row r="333" ht="15.0" customHeight="1">
      <c r="A333" s="1209"/>
      <c r="B333" s="1209"/>
      <c r="C333" s="1210"/>
      <c r="D333" s="1160"/>
      <c r="E333" s="1160"/>
      <c r="F333" s="1160"/>
      <c r="G333" s="1160"/>
      <c r="H333" s="1160"/>
      <c r="I333" s="1160"/>
      <c r="J333" s="1160"/>
      <c r="K333" s="1160"/>
      <c r="L333" s="1160"/>
      <c r="M333" s="1160"/>
      <c r="N333" s="1160"/>
      <c r="O333" s="1160"/>
      <c r="P333" s="1160"/>
      <c r="Q333" s="1160"/>
      <c r="R333" s="1160"/>
      <c r="S333" s="1160"/>
      <c r="T333" s="1160"/>
      <c r="U333" s="1160"/>
      <c r="V333" s="1160"/>
      <c r="W333" s="1160"/>
      <c r="X333" s="1160"/>
      <c r="Y333" s="1160"/>
      <c r="Z333" s="1160"/>
      <c r="AA333" s="1160"/>
      <c r="AB333" s="1160"/>
      <c r="AC333" s="1160"/>
      <c r="AD333" s="1160"/>
      <c r="AE333" s="1160"/>
      <c r="AF333" s="1160"/>
      <c r="AG333" s="1160"/>
      <c r="AH333" s="1160"/>
      <c r="AI333" s="1160"/>
      <c r="AJ333" s="1160"/>
      <c r="AK333" s="1160"/>
      <c r="AL333" s="1160"/>
    </row>
    <row r="334" ht="15.0" customHeight="1">
      <c r="A334" s="1209"/>
      <c r="B334" s="1209"/>
      <c r="C334" s="1210"/>
      <c r="D334" s="1160"/>
      <c r="E334" s="1160"/>
      <c r="F334" s="1160"/>
      <c r="G334" s="1160"/>
      <c r="H334" s="1160"/>
      <c r="I334" s="1160"/>
      <c r="J334" s="1160"/>
      <c r="K334" s="1160"/>
      <c r="L334" s="1160"/>
      <c r="M334" s="1160"/>
      <c r="N334" s="1160"/>
      <c r="O334" s="1160"/>
      <c r="P334" s="1160"/>
      <c r="Q334" s="1160"/>
      <c r="R334" s="1160"/>
      <c r="S334" s="1160"/>
      <c r="T334" s="1160"/>
      <c r="U334" s="1160"/>
      <c r="V334" s="1160"/>
      <c r="W334" s="1160"/>
      <c r="X334" s="1160"/>
      <c r="Y334" s="1160"/>
      <c r="Z334" s="1160"/>
      <c r="AA334" s="1160"/>
      <c r="AB334" s="1160"/>
      <c r="AC334" s="1160"/>
      <c r="AD334" s="1160"/>
      <c r="AE334" s="1160"/>
      <c r="AF334" s="1160"/>
      <c r="AG334" s="1160"/>
      <c r="AH334" s="1160"/>
      <c r="AI334" s="1160"/>
      <c r="AJ334" s="1160"/>
      <c r="AK334" s="1160"/>
      <c r="AL334" s="1160"/>
    </row>
    <row r="335" ht="15.0" customHeight="1">
      <c r="A335" s="1209"/>
      <c r="B335" s="1209"/>
      <c r="C335" s="1210"/>
      <c r="D335" s="1160"/>
      <c r="E335" s="1160"/>
      <c r="F335" s="1160"/>
      <c r="G335" s="1160"/>
      <c r="H335" s="1160"/>
      <c r="I335" s="1160"/>
      <c r="J335" s="1160"/>
      <c r="K335" s="1160"/>
      <c r="L335" s="1160"/>
      <c r="M335" s="1160"/>
      <c r="N335" s="1160"/>
      <c r="O335" s="1160"/>
      <c r="P335" s="1160"/>
      <c r="Q335" s="1160"/>
      <c r="R335" s="1160"/>
      <c r="S335" s="1160"/>
      <c r="T335" s="1160"/>
      <c r="U335" s="1160"/>
      <c r="V335" s="1160"/>
      <c r="W335" s="1160"/>
      <c r="X335" s="1160"/>
      <c r="Y335" s="1160"/>
      <c r="Z335" s="1160"/>
      <c r="AA335" s="1160"/>
      <c r="AB335" s="1160"/>
      <c r="AC335" s="1160"/>
      <c r="AD335" s="1160"/>
      <c r="AE335" s="1160"/>
      <c r="AF335" s="1160"/>
      <c r="AG335" s="1160"/>
      <c r="AH335" s="1160"/>
      <c r="AI335" s="1160"/>
      <c r="AJ335" s="1160"/>
      <c r="AK335" s="1160"/>
      <c r="AL335" s="1160"/>
    </row>
    <row r="336" ht="15.0" customHeight="1">
      <c r="A336" s="1209"/>
      <c r="B336" s="1209"/>
      <c r="C336" s="1210"/>
      <c r="D336" s="1160"/>
      <c r="E336" s="1160"/>
      <c r="F336" s="1160"/>
      <c r="G336" s="1160"/>
      <c r="H336" s="1160"/>
      <c r="I336" s="1160"/>
      <c r="J336" s="1160"/>
      <c r="K336" s="1160"/>
      <c r="L336" s="1160"/>
      <c r="M336" s="1160"/>
      <c r="N336" s="1160"/>
      <c r="O336" s="1160"/>
      <c r="P336" s="1160"/>
      <c r="Q336" s="1160"/>
      <c r="R336" s="1160"/>
      <c r="S336" s="1160"/>
      <c r="T336" s="1160"/>
      <c r="U336" s="1160"/>
      <c r="V336" s="1160"/>
      <c r="W336" s="1160"/>
      <c r="X336" s="1160"/>
      <c r="Y336" s="1160"/>
      <c r="Z336" s="1160"/>
      <c r="AA336" s="1160"/>
      <c r="AB336" s="1160"/>
      <c r="AC336" s="1160"/>
      <c r="AD336" s="1160"/>
      <c r="AE336" s="1160"/>
      <c r="AF336" s="1160"/>
      <c r="AG336" s="1160"/>
      <c r="AH336" s="1160"/>
      <c r="AI336" s="1160"/>
      <c r="AJ336" s="1160"/>
      <c r="AK336" s="1160"/>
      <c r="AL336" s="1160"/>
    </row>
    <row r="337" ht="15.0" customHeight="1">
      <c r="A337" s="1209"/>
      <c r="B337" s="1209"/>
      <c r="C337" s="1210"/>
      <c r="D337" s="1160"/>
      <c r="E337" s="1160"/>
      <c r="F337" s="1160"/>
      <c r="G337" s="1160"/>
      <c r="H337" s="1160"/>
      <c r="I337" s="1160"/>
      <c r="J337" s="1160"/>
      <c r="K337" s="1160"/>
      <c r="L337" s="1160"/>
      <c r="M337" s="1160"/>
      <c r="N337" s="1160"/>
      <c r="O337" s="1160"/>
      <c r="P337" s="1160"/>
      <c r="Q337" s="1160"/>
      <c r="R337" s="1160"/>
      <c r="S337" s="1160"/>
      <c r="T337" s="1160"/>
      <c r="U337" s="1160"/>
      <c r="V337" s="1160"/>
      <c r="W337" s="1160"/>
      <c r="X337" s="1160"/>
      <c r="Y337" s="1160"/>
      <c r="Z337" s="1160"/>
      <c r="AA337" s="1160"/>
      <c r="AB337" s="1160"/>
      <c r="AC337" s="1160"/>
      <c r="AD337" s="1160"/>
      <c r="AE337" s="1160"/>
      <c r="AF337" s="1160"/>
      <c r="AG337" s="1160"/>
      <c r="AH337" s="1160"/>
      <c r="AI337" s="1160"/>
      <c r="AJ337" s="1160"/>
      <c r="AK337" s="1160"/>
      <c r="AL337" s="1160"/>
    </row>
    <row r="338" ht="15.0" customHeight="1">
      <c r="A338" s="1209"/>
      <c r="B338" s="1209"/>
      <c r="C338" s="1210"/>
      <c r="D338" s="1160"/>
      <c r="E338" s="1160"/>
      <c r="F338" s="1160"/>
      <c r="G338" s="1160"/>
      <c r="H338" s="1160"/>
      <c r="I338" s="1160"/>
      <c r="J338" s="1160"/>
      <c r="K338" s="1160"/>
      <c r="L338" s="1160"/>
      <c r="M338" s="1160"/>
      <c r="N338" s="1160"/>
      <c r="O338" s="1160"/>
      <c r="P338" s="1160"/>
      <c r="Q338" s="1160"/>
      <c r="R338" s="1160"/>
      <c r="S338" s="1160"/>
      <c r="T338" s="1160"/>
      <c r="U338" s="1160"/>
      <c r="V338" s="1160"/>
      <c r="W338" s="1160"/>
      <c r="X338" s="1160"/>
      <c r="Y338" s="1160"/>
      <c r="Z338" s="1160"/>
      <c r="AA338" s="1160"/>
      <c r="AB338" s="1160"/>
      <c r="AC338" s="1160"/>
      <c r="AD338" s="1160"/>
      <c r="AE338" s="1160"/>
      <c r="AF338" s="1160"/>
      <c r="AG338" s="1160"/>
      <c r="AH338" s="1160"/>
      <c r="AI338" s="1160"/>
      <c r="AJ338" s="1160"/>
      <c r="AK338" s="1160"/>
      <c r="AL338" s="1160"/>
    </row>
    <row r="339" ht="15.0" customHeight="1">
      <c r="A339" s="1209"/>
      <c r="B339" s="1209"/>
      <c r="C339" s="1210"/>
      <c r="D339" s="1160"/>
      <c r="E339" s="1160"/>
      <c r="F339" s="1160"/>
      <c r="G339" s="1160"/>
      <c r="H339" s="1160"/>
      <c r="I339" s="1160"/>
      <c r="J339" s="1160"/>
      <c r="K339" s="1160"/>
      <c r="L339" s="1160"/>
      <c r="M339" s="1160"/>
      <c r="N339" s="1160"/>
      <c r="O339" s="1160"/>
      <c r="P339" s="1160"/>
      <c r="Q339" s="1160"/>
      <c r="R339" s="1160"/>
      <c r="S339" s="1160"/>
      <c r="T339" s="1160"/>
      <c r="U339" s="1160"/>
      <c r="V339" s="1160"/>
      <c r="W339" s="1160"/>
      <c r="X339" s="1160"/>
      <c r="Y339" s="1160"/>
      <c r="Z339" s="1160"/>
      <c r="AA339" s="1160"/>
      <c r="AB339" s="1160"/>
      <c r="AC339" s="1160"/>
      <c r="AD339" s="1160"/>
      <c r="AE339" s="1160"/>
      <c r="AF339" s="1160"/>
      <c r="AG339" s="1160"/>
      <c r="AH339" s="1160"/>
      <c r="AI339" s="1160"/>
      <c r="AJ339" s="1160"/>
      <c r="AK339" s="1160"/>
      <c r="AL339" s="1160"/>
    </row>
    <row r="340" ht="15.0" customHeight="1">
      <c r="A340" s="1209"/>
      <c r="B340" s="1209"/>
      <c r="C340" s="1210"/>
      <c r="D340" s="1160"/>
      <c r="E340" s="1160"/>
      <c r="F340" s="1160"/>
      <c r="G340" s="1160"/>
      <c r="H340" s="1160"/>
      <c r="I340" s="1160"/>
      <c r="J340" s="1160"/>
      <c r="K340" s="1160"/>
      <c r="L340" s="1160"/>
      <c r="M340" s="1160"/>
      <c r="N340" s="1160"/>
      <c r="O340" s="1160"/>
      <c r="P340" s="1160"/>
      <c r="Q340" s="1160"/>
      <c r="R340" s="1160"/>
      <c r="S340" s="1160"/>
      <c r="T340" s="1160"/>
      <c r="U340" s="1160"/>
      <c r="V340" s="1160"/>
      <c r="W340" s="1160"/>
      <c r="X340" s="1160"/>
      <c r="Y340" s="1160"/>
      <c r="Z340" s="1160"/>
      <c r="AA340" s="1160"/>
      <c r="AB340" s="1160"/>
      <c r="AC340" s="1160"/>
      <c r="AD340" s="1160"/>
      <c r="AE340" s="1160"/>
      <c r="AF340" s="1160"/>
      <c r="AG340" s="1160"/>
      <c r="AH340" s="1160"/>
      <c r="AI340" s="1160"/>
      <c r="AJ340" s="1160"/>
      <c r="AK340" s="1160"/>
      <c r="AL340" s="1160"/>
    </row>
    <row r="341" ht="15.0" customHeight="1">
      <c r="A341" s="1209"/>
      <c r="B341" s="1209"/>
      <c r="C341" s="1210"/>
      <c r="D341" s="1160"/>
      <c r="E341" s="1160"/>
      <c r="F341" s="1160"/>
      <c r="G341" s="1160"/>
      <c r="H341" s="1160"/>
      <c r="I341" s="1160"/>
      <c r="J341" s="1160"/>
      <c r="K341" s="1160"/>
      <c r="L341" s="1160"/>
      <c r="M341" s="1160"/>
      <c r="N341" s="1160"/>
      <c r="O341" s="1160"/>
      <c r="P341" s="1160"/>
      <c r="Q341" s="1160"/>
      <c r="R341" s="1160"/>
      <c r="S341" s="1160"/>
      <c r="T341" s="1160"/>
      <c r="U341" s="1160"/>
      <c r="V341" s="1160"/>
      <c r="W341" s="1160"/>
      <c r="X341" s="1160"/>
      <c r="Y341" s="1160"/>
      <c r="Z341" s="1160"/>
      <c r="AA341" s="1160"/>
      <c r="AB341" s="1160"/>
      <c r="AC341" s="1160"/>
      <c r="AD341" s="1160"/>
      <c r="AE341" s="1160"/>
      <c r="AF341" s="1160"/>
      <c r="AG341" s="1160"/>
      <c r="AH341" s="1160"/>
      <c r="AI341" s="1160"/>
      <c r="AJ341" s="1160"/>
      <c r="AK341" s="1160"/>
      <c r="AL341" s="1160"/>
    </row>
    <row r="342" ht="15.0" customHeight="1">
      <c r="A342" s="1209"/>
      <c r="B342" s="1209"/>
      <c r="C342" s="1210"/>
      <c r="D342" s="1160"/>
      <c r="E342" s="1160"/>
      <c r="F342" s="1160"/>
      <c r="G342" s="1160"/>
      <c r="H342" s="1160"/>
      <c r="I342" s="1160"/>
      <c r="J342" s="1160"/>
      <c r="K342" s="1160"/>
      <c r="L342" s="1160"/>
      <c r="M342" s="1160"/>
      <c r="N342" s="1160"/>
      <c r="O342" s="1160"/>
      <c r="P342" s="1160"/>
      <c r="Q342" s="1160"/>
      <c r="R342" s="1160"/>
      <c r="S342" s="1160"/>
      <c r="T342" s="1160"/>
      <c r="U342" s="1160"/>
      <c r="V342" s="1160"/>
      <c r="W342" s="1160"/>
      <c r="X342" s="1160"/>
      <c r="Y342" s="1160"/>
      <c r="Z342" s="1160"/>
      <c r="AA342" s="1160"/>
      <c r="AB342" s="1160"/>
      <c r="AC342" s="1160"/>
      <c r="AD342" s="1160"/>
      <c r="AE342" s="1160"/>
      <c r="AF342" s="1160"/>
      <c r="AG342" s="1160"/>
      <c r="AH342" s="1160"/>
      <c r="AI342" s="1160"/>
      <c r="AJ342" s="1160"/>
      <c r="AK342" s="1160"/>
      <c r="AL342" s="1160"/>
    </row>
    <row r="343" ht="15.0" customHeight="1">
      <c r="A343" s="1209"/>
      <c r="B343" s="1209"/>
      <c r="C343" s="1210"/>
      <c r="D343" s="1160"/>
      <c r="E343" s="1160"/>
      <c r="F343" s="1160"/>
      <c r="G343" s="1160"/>
      <c r="H343" s="1160"/>
      <c r="I343" s="1160"/>
      <c r="J343" s="1160"/>
      <c r="K343" s="1160"/>
      <c r="L343" s="1160"/>
      <c r="M343" s="1160"/>
      <c r="N343" s="1160"/>
      <c r="O343" s="1160"/>
      <c r="P343" s="1160"/>
      <c r="Q343" s="1160"/>
      <c r="R343" s="1160"/>
      <c r="S343" s="1160"/>
      <c r="T343" s="1160"/>
      <c r="U343" s="1160"/>
      <c r="V343" s="1160"/>
      <c r="W343" s="1160"/>
      <c r="X343" s="1160"/>
      <c r="Y343" s="1160"/>
      <c r="Z343" s="1160"/>
      <c r="AA343" s="1160"/>
      <c r="AB343" s="1160"/>
      <c r="AC343" s="1160"/>
      <c r="AD343" s="1160"/>
      <c r="AE343" s="1160"/>
      <c r="AF343" s="1160"/>
      <c r="AG343" s="1160"/>
      <c r="AH343" s="1160"/>
      <c r="AI343" s="1160"/>
      <c r="AJ343" s="1160"/>
      <c r="AK343" s="1160"/>
      <c r="AL343" s="1160"/>
    </row>
    <row r="344" ht="15.0" customHeight="1">
      <c r="A344" s="1209"/>
      <c r="B344" s="1209"/>
      <c r="C344" s="1210"/>
      <c r="D344" s="1160"/>
      <c r="E344" s="1160"/>
      <c r="F344" s="1160"/>
      <c r="G344" s="1160"/>
      <c r="H344" s="1160"/>
      <c r="I344" s="1160"/>
      <c r="J344" s="1160"/>
      <c r="K344" s="1160"/>
      <c r="L344" s="1160"/>
      <c r="M344" s="1160"/>
      <c r="N344" s="1160"/>
      <c r="O344" s="1160"/>
      <c r="P344" s="1160"/>
      <c r="Q344" s="1160"/>
      <c r="R344" s="1160"/>
      <c r="S344" s="1160"/>
      <c r="T344" s="1160"/>
      <c r="U344" s="1160"/>
      <c r="V344" s="1160"/>
      <c r="W344" s="1160"/>
      <c r="X344" s="1160"/>
      <c r="Y344" s="1160"/>
      <c r="Z344" s="1160"/>
      <c r="AA344" s="1160"/>
      <c r="AB344" s="1160"/>
      <c r="AC344" s="1160"/>
      <c r="AD344" s="1160"/>
      <c r="AE344" s="1160"/>
      <c r="AF344" s="1160"/>
      <c r="AG344" s="1160"/>
      <c r="AH344" s="1160"/>
      <c r="AI344" s="1160"/>
      <c r="AJ344" s="1160"/>
      <c r="AK344" s="1160"/>
      <c r="AL344" s="1160"/>
    </row>
    <row r="345" ht="15.0" customHeight="1">
      <c r="A345" s="1209"/>
      <c r="B345" s="1209"/>
      <c r="C345" s="1210"/>
      <c r="D345" s="1160"/>
      <c r="E345" s="1160"/>
      <c r="F345" s="1160"/>
      <c r="G345" s="1160"/>
      <c r="H345" s="1160"/>
      <c r="I345" s="1160"/>
      <c r="J345" s="1160"/>
      <c r="K345" s="1160"/>
      <c r="L345" s="1160"/>
      <c r="M345" s="1160"/>
      <c r="N345" s="1160"/>
      <c r="O345" s="1160"/>
      <c r="P345" s="1160"/>
      <c r="Q345" s="1160"/>
      <c r="R345" s="1160"/>
      <c r="S345" s="1160"/>
      <c r="T345" s="1160"/>
      <c r="U345" s="1160"/>
      <c r="V345" s="1160"/>
      <c r="W345" s="1160"/>
      <c r="X345" s="1160"/>
      <c r="Y345" s="1160"/>
      <c r="Z345" s="1160"/>
      <c r="AA345" s="1160"/>
      <c r="AB345" s="1160"/>
      <c r="AC345" s="1160"/>
      <c r="AD345" s="1160"/>
      <c r="AE345" s="1160"/>
      <c r="AF345" s="1160"/>
      <c r="AG345" s="1160"/>
      <c r="AH345" s="1160"/>
      <c r="AI345" s="1160"/>
      <c r="AJ345" s="1160"/>
      <c r="AK345" s="1160"/>
      <c r="AL345" s="1160"/>
    </row>
    <row r="346" ht="15.0" customHeight="1">
      <c r="A346" s="1209"/>
      <c r="B346" s="1209"/>
      <c r="C346" s="1210"/>
      <c r="D346" s="1160"/>
      <c r="E346" s="1160"/>
      <c r="F346" s="1160"/>
      <c r="G346" s="1160"/>
      <c r="H346" s="1160"/>
      <c r="I346" s="1160"/>
      <c r="J346" s="1160"/>
      <c r="K346" s="1160"/>
      <c r="L346" s="1160"/>
      <c r="M346" s="1160"/>
      <c r="N346" s="1160"/>
      <c r="O346" s="1160"/>
      <c r="P346" s="1160"/>
      <c r="Q346" s="1160"/>
      <c r="R346" s="1160"/>
      <c r="S346" s="1160"/>
      <c r="T346" s="1160"/>
      <c r="U346" s="1160"/>
      <c r="V346" s="1160"/>
      <c r="W346" s="1160"/>
      <c r="X346" s="1160"/>
      <c r="Y346" s="1160"/>
      <c r="Z346" s="1160"/>
      <c r="AA346" s="1160"/>
      <c r="AB346" s="1160"/>
      <c r="AC346" s="1160"/>
      <c r="AD346" s="1160"/>
      <c r="AE346" s="1160"/>
      <c r="AF346" s="1160"/>
      <c r="AG346" s="1160"/>
      <c r="AH346" s="1160"/>
      <c r="AI346" s="1160"/>
      <c r="AJ346" s="1160"/>
      <c r="AK346" s="1160"/>
      <c r="AL346" s="1160"/>
    </row>
    <row r="347" ht="15.0" customHeight="1">
      <c r="A347" s="1209"/>
      <c r="B347" s="1209"/>
      <c r="C347" s="1210"/>
      <c r="D347" s="1160"/>
      <c r="E347" s="1160"/>
      <c r="F347" s="1160"/>
      <c r="G347" s="1160"/>
      <c r="H347" s="1160"/>
      <c r="I347" s="1160"/>
      <c r="J347" s="1160"/>
      <c r="K347" s="1160"/>
      <c r="L347" s="1160"/>
      <c r="M347" s="1160"/>
      <c r="N347" s="1160"/>
      <c r="O347" s="1160"/>
      <c r="P347" s="1160"/>
      <c r="Q347" s="1160"/>
      <c r="R347" s="1160"/>
      <c r="S347" s="1160"/>
      <c r="T347" s="1160"/>
      <c r="U347" s="1160"/>
      <c r="V347" s="1160"/>
      <c r="W347" s="1160"/>
      <c r="X347" s="1160"/>
      <c r="Y347" s="1160"/>
      <c r="Z347" s="1160"/>
      <c r="AA347" s="1160"/>
      <c r="AB347" s="1160"/>
      <c r="AC347" s="1160"/>
      <c r="AD347" s="1160"/>
      <c r="AE347" s="1160"/>
      <c r="AF347" s="1160"/>
      <c r="AG347" s="1160"/>
      <c r="AH347" s="1160"/>
      <c r="AI347" s="1160"/>
      <c r="AJ347" s="1160"/>
      <c r="AK347" s="1160"/>
      <c r="AL347" s="1160"/>
    </row>
    <row r="348" ht="15.0" customHeight="1">
      <c r="A348" s="1209"/>
      <c r="B348" s="1209"/>
      <c r="C348" s="1210"/>
      <c r="D348" s="1160"/>
      <c r="E348" s="1160"/>
      <c r="F348" s="1160"/>
      <c r="G348" s="1160"/>
      <c r="H348" s="1160"/>
      <c r="I348" s="1160"/>
      <c r="J348" s="1160"/>
      <c r="K348" s="1160"/>
      <c r="L348" s="1160"/>
      <c r="M348" s="1160"/>
      <c r="N348" s="1160"/>
      <c r="O348" s="1160"/>
      <c r="P348" s="1160"/>
      <c r="Q348" s="1160"/>
      <c r="R348" s="1160"/>
      <c r="S348" s="1160"/>
      <c r="T348" s="1160"/>
      <c r="U348" s="1160"/>
      <c r="V348" s="1160"/>
      <c r="W348" s="1160"/>
      <c r="X348" s="1160"/>
      <c r="Y348" s="1160"/>
      <c r="Z348" s="1160"/>
      <c r="AA348" s="1160"/>
      <c r="AB348" s="1160"/>
      <c r="AC348" s="1160"/>
      <c r="AD348" s="1160"/>
      <c r="AE348" s="1160"/>
      <c r="AF348" s="1160"/>
      <c r="AG348" s="1160"/>
      <c r="AH348" s="1160"/>
      <c r="AI348" s="1160"/>
      <c r="AJ348" s="1160"/>
      <c r="AK348" s="1160"/>
      <c r="AL348" s="1160"/>
    </row>
    <row r="349" ht="15.0" customHeight="1">
      <c r="A349" s="1209"/>
      <c r="B349" s="1209"/>
      <c r="C349" s="1210"/>
      <c r="D349" s="1160"/>
      <c r="E349" s="1160"/>
      <c r="F349" s="1160"/>
      <c r="G349" s="1160"/>
      <c r="H349" s="1160"/>
      <c r="I349" s="1160"/>
      <c r="J349" s="1160"/>
      <c r="K349" s="1160"/>
      <c r="L349" s="1160"/>
      <c r="M349" s="1160"/>
      <c r="N349" s="1160"/>
      <c r="O349" s="1160"/>
      <c r="P349" s="1160"/>
      <c r="Q349" s="1160"/>
      <c r="R349" s="1160"/>
      <c r="S349" s="1160"/>
      <c r="T349" s="1160"/>
      <c r="U349" s="1160"/>
      <c r="V349" s="1160"/>
      <c r="W349" s="1160"/>
      <c r="X349" s="1160"/>
      <c r="Y349" s="1160"/>
      <c r="Z349" s="1160"/>
      <c r="AA349" s="1160"/>
      <c r="AB349" s="1160"/>
      <c r="AC349" s="1160"/>
      <c r="AD349" s="1160"/>
      <c r="AE349" s="1160"/>
      <c r="AF349" s="1160"/>
      <c r="AG349" s="1160"/>
      <c r="AH349" s="1160"/>
      <c r="AI349" s="1160"/>
      <c r="AJ349" s="1160"/>
      <c r="AK349" s="1160"/>
      <c r="AL349" s="1160"/>
    </row>
    <row r="350" ht="15.0" customHeight="1">
      <c r="A350" s="1209"/>
      <c r="B350" s="1209"/>
      <c r="C350" s="1210"/>
      <c r="D350" s="1160"/>
      <c r="E350" s="1160"/>
      <c r="F350" s="1160"/>
      <c r="G350" s="1160"/>
      <c r="H350" s="1160"/>
      <c r="I350" s="1160"/>
      <c r="J350" s="1160"/>
      <c r="K350" s="1160"/>
      <c r="L350" s="1160"/>
      <c r="M350" s="1160"/>
      <c r="N350" s="1160"/>
      <c r="O350" s="1160"/>
      <c r="P350" s="1160"/>
      <c r="Q350" s="1160"/>
      <c r="R350" s="1160"/>
      <c r="S350" s="1160"/>
      <c r="T350" s="1160"/>
      <c r="U350" s="1160"/>
      <c r="V350" s="1160"/>
      <c r="W350" s="1160"/>
      <c r="X350" s="1160"/>
      <c r="Y350" s="1160"/>
      <c r="Z350" s="1160"/>
      <c r="AA350" s="1160"/>
      <c r="AB350" s="1160"/>
      <c r="AC350" s="1160"/>
      <c r="AD350" s="1160"/>
      <c r="AE350" s="1160"/>
      <c r="AF350" s="1160"/>
      <c r="AG350" s="1160"/>
      <c r="AH350" s="1160"/>
      <c r="AI350" s="1160"/>
      <c r="AJ350" s="1160"/>
      <c r="AK350" s="1160"/>
      <c r="AL350" s="1160"/>
    </row>
    <row r="351" ht="15.0" customHeight="1">
      <c r="A351" s="1209"/>
      <c r="B351" s="1209"/>
      <c r="C351" s="1210"/>
      <c r="D351" s="1160"/>
      <c r="E351" s="1160"/>
      <c r="F351" s="1160"/>
      <c r="G351" s="1160"/>
      <c r="H351" s="1160"/>
      <c r="I351" s="1160"/>
      <c r="J351" s="1160"/>
      <c r="K351" s="1160"/>
      <c r="L351" s="1160"/>
      <c r="M351" s="1160"/>
      <c r="N351" s="1160"/>
      <c r="O351" s="1160"/>
      <c r="P351" s="1160"/>
      <c r="Q351" s="1160"/>
      <c r="R351" s="1160"/>
      <c r="S351" s="1160"/>
      <c r="T351" s="1160"/>
      <c r="U351" s="1160"/>
      <c r="V351" s="1160"/>
      <c r="W351" s="1160"/>
      <c r="X351" s="1160"/>
      <c r="Y351" s="1160"/>
      <c r="Z351" s="1160"/>
      <c r="AA351" s="1160"/>
      <c r="AB351" s="1160"/>
      <c r="AC351" s="1160"/>
      <c r="AD351" s="1160"/>
      <c r="AE351" s="1160"/>
      <c r="AF351" s="1160"/>
      <c r="AG351" s="1160"/>
      <c r="AH351" s="1160"/>
      <c r="AI351" s="1160"/>
      <c r="AJ351" s="1160"/>
      <c r="AK351" s="1160"/>
      <c r="AL351" s="1160"/>
    </row>
    <row r="352" ht="15.0" customHeight="1">
      <c r="A352" s="1209"/>
      <c r="B352" s="1209"/>
      <c r="C352" s="1210"/>
      <c r="D352" s="1160"/>
      <c r="E352" s="1160"/>
      <c r="F352" s="1160"/>
      <c r="G352" s="1160"/>
      <c r="H352" s="1160"/>
      <c r="I352" s="1160"/>
      <c r="J352" s="1160"/>
      <c r="K352" s="1160"/>
      <c r="L352" s="1160"/>
      <c r="M352" s="1160"/>
      <c r="N352" s="1160"/>
      <c r="O352" s="1160"/>
      <c r="P352" s="1160"/>
      <c r="Q352" s="1160"/>
      <c r="R352" s="1160"/>
      <c r="S352" s="1160"/>
      <c r="T352" s="1160"/>
      <c r="U352" s="1160"/>
      <c r="V352" s="1160"/>
      <c r="W352" s="1160"/>
      <c r="X352" s="1160"/>
      <c r="Y352" s="1160"/>
      <c r="Z352" s="1160"/>
      <c r="AA352" s="1160"/>
      <c r="AB352" s="1160"/>
      <c r="AC352" s="1160"/>
      <c r="AD352" s="1160"/>
      <c r="AE352" s="1160"/>
      <c r="AF352" s="1160"/>
      <c r="AG352" s="1160"/>
      <c r="AH352" s="1160"/>
      <c r="AI352" s="1160"/>
      <c r="AJ352" s="1160"/>
      <c r="AK352" s="1160"/>
      <c r="AL352" s="1160"/>
    </row>
    <row r="353" ht="15.0" customHeight="1">
      <c r="A353" s="1209"/>
      <c r="B353" s="1209"/>
      <c r="C353" s="1210"/>
      <c r="D353" s="1160"/>
      <c r="E353" s="1160"/>
      <c r="F353" s="1160"/>
      <c r="G353" s="1160"/>
      <c r="H353" s="1160"/>
      <c r="I353" s="1160"/>
      <c r="J353" s="1160"/>
      <c r="K353" s="1160"/>
      <c r="L353" s="1160"/>
      <c r="M353" s="1160"/>
      <c r="N353" s="1160"/>
      <c r="O353" s="1160"/>
      <c r="P353" s="1160"/>
      <c r="Q353" s="1160"/>
      <c r="R353" s="1160"/>
      <c r="S353" s="1160"/>
      <c r="T353" s="1160"/>
      <c r="U353" s="1160"/>
      <c r="V353" s="1160"/>
      <c r="W353" s="1160"/>
      <c r="X353" s="1160"/>
      <c r="Y353" s="1160"/>
      <c r="Z353" s="1160"/>
      <c r="AA353" s="1160"/>
      <c r="AB353" s="1160"/>
      <c r="AC353" s="1160"/>
      <c r="AD353" s="1160"/>
      <c r="AE353" s="1160"/>
      <c r="AF353" s="1160"/>
      <c r="AG353" s="1160"/>
      <c r="AH353" s="1160"/>
      <c r="AI353" s="1160"/>
      <c r="AJ353" s="1160"/>
      <c r="AK353" s="1160"/>
      <c r="AL353" s="1160"/>
    </row>
    <row r="354" ht="15.0" customHeight="1">
      <c r="A354" s="1209"/>
      <c r="B354" s="1209"/>
      <c r="C354" s="1210"/>
      <c r="D354" s="1160"/>
      <c r="E354" s="1160"/>
      <c r="F354" s="1160"/>
      <c r="G354" s="1160"/>
      <c r="H354" s="1160"/>
      <c r="I354" s="1160"/>
      <c r="J354" s="1160"/>
      <c r="K354" s="1160"/>
      <c r="L354" s="1160"/>
      <c r="M354" s="1160"/>
      <c r="N354" s="1160"/>
      <c r="O354" s="1160"/>
      <c r="P354" s="1160"/>
      <c r="Q354" s="1160"/>
      <c r="R354" s="1160"/>
      <c r="S354" s="1160"/>
      <c r="T354" s="1160"/>
      <c r="U354" s="1160"/>
      <c r="V354" s="1160"/>
      <c r="W354" s="1160"/>
      <c r="X354" s="1160"/>
      <c r="Y354" s="1160"/>
      <c r="Z354" s="1160"/>
      <c r="AA354" s="1160"/>
      <c r="AB354" s="1160"/>
      <c r="AC354" s="1160"/>
      <c r="AD354" s="1160"/>
      <c r="AE354" s="1160"/>
      <c r="AF354" s="1160"/>
      <c r="AG354" s="1160"/>
      <c r="AH354" s="1160"/>
      <c r="AI354" s="1160"/>
      <c r="AJ354" s="1160"/>
      <c r="AK354" s="1160"/>
      <c r="AL354" s="1160"/>
    </row>
    <row r="355" ht="15.0" customHeight="1">
      <c r="A355" s="1209"/>
      <c r="B355" s="1209"/>
      <c r="C355" s="1210"/>
      <c r="D355" s="1160"/>
      <c r="E355" s="1160"/>
      <c r="F355" s="1160"/>
      <c r="G355" s="1160"/>
      <c r="H355" s="1160"/>
      <c r="I355" s="1160"/>
      <c r="J355" s="1160"/>
      <c r="K355" s="1160"/>
      <c r="L355" s="1160"/>
      <c r="M355" s="1160"/>
      <c r="N355" s="1160"/>
      <c r="O355" s="1160"/>
      <c r="P355" s="1160"/>
      <c r="Q355" s="1160"/>
      <c r="R355" s="1160"/>
      <c r="S355" s="1160"/>
      <c r="T355" s="1160"/>
      <c r="U355" s="1160"/>
      <c r="V355" s="1160"/>
      <c r="W355" s="1160"/>
      <c r="X355" s="1160"/>
      <c r="Y355" s="1160"/>
      <c r="Z355" s="1160"/>
      <c r="AA355" s="1160"/>
      <c r="AB355" s="1160"/>
      <c r="AC355" s="1160"/>
      <c r="AD355" s="1160"/>
      <c r="AE355" s="1160"/>
      <c r="AF355" s="1160"/>
      <c r="AG355" s="1160"/>
      <c r="AH355" s="1160"/>
      <c r="AI355" s="1160"/>
      <c r="AJ355" s="1160"/>
      <c r="AK355" s="1160"/>
      <c r="AL355" s="1160"/>
    </row>
    <row r="356" ht="15.0" customHeight="1">
      <c r="A356" s="1209"/>
      <c r="B356" s="1209"/>
      <c r="C356" s="1210"/>
      <c r="D356" s="1160"/>
      <c r="E356" s="1160"/>
      <c r="F356" s="1160"/>
      <c r="G356" s="1160"/>
      <c r="H356" s="1160"/>
      <c r="I356" s="1160"/>
      <c r="J356" s="1160"/>
      <c r="K356" s="1160"/>
      <c r="L356" s="1160"/>
      <c r="M356" s="1160"/>
      <c r="N356" s="1160"/>
      <c r="O356" s="1160"/>
      <c r="P356" s="1160"/>
      <c r="Q356" s="1160"/>
      <c r="R356" s="1160"/>
      <c r="S356" s="1160"/>
      <c r="T356" s="1160"/>
      <c r="U356" s="1160"/>
      <c r="V356" s="1160"/>
      <c r="W356" s="1160"/>
      <c r="X356" s="1160"/>
      <c r="Y356" s="1160"/>
      <c r="Z356" s="1160"/>
      <c r="AA356" s="1160"/>
      <c r="AB356" s="1160"/>
      <c r="AC356" s="1160"/>
      <c r="AD356" s="1160"/>
      <c r="AE356" s="1160"/>
      <c r="AF356" s="1160"/>
      <c r="AG356" s="1160"/>
      <c r="AH356" s="1160"/>
      <c r="AI356" s="1160"/>
      <c r="AJ356" s="1160"/>
      <c r="AK356" s="1160"/>
      <c r="AL356" s="1160"/>
    </row>
    <row r="357" ht="15.0" customHeight="1">
      <c r="A357" s="1209"/>
      <c r="B357" s="1209"/>
      <c r="C357" s="1210"/>
      <c r="D357" s="1160"/>
      <c r="E357" s="1160"/>
      <c r="F357" s="1160"/>
      <c r="G357" s="1160"/>
      <c r="H357" s="1160"/>
      <c r="I357" s="1160"/>
      <c r="J357" s="1160"/>
      <c r="K357" s="1160"/>
      <c r="L357" s="1160"/>
      <c r="M357" s="1160"/>
      <c r="N357" s="1160"/>
      <c r="O357" s="1160"/>
      <c r="P357" s="1160"/>
      <c r="Q357" s="1160"/>
      <c r="R357" s="1160"/>
      <c r="S357" s="1160"/>
      <c r="T357" s="1160"/>
      <c r="U357" s="1160"/>
      <c r="V357" s="1160"/>
      <c r="W357" s="1160"/>
      <c r="X357" s="1160"/>
      <c r="Y357" s="1160"/>
      <c r="Z357" s="1160"/>
      <c r="AA357" s="1160"/>
      <c r="AB357" s="1160"/>
      <c r="AC357" s="1160"/>
      <c r="AD357" s="1160"/>
      <c r="AE357" s="1160"/>
      <c r="AF357" s="1160"/>
      <c r="AG357" s="1160"/>
      <c r="AH357" s="1160"/>
      <c r="AI357" s="1160"/>
      <c r="AJ357" s="1160"/>
      <c r="AK357" s="1160"/>
      <c r="AL357" s="1160"/>
    </row>
    <row r="358" ht="15.0" customHeight="1">
      <c r="A358" s="1209"/>
      <c r="B358" s="1209"/>
      <c r="C358" s="1210"/>
      <c r="D358" s="1160"/>
      <c r="E358" s="1160"/>
      <c r="F358" s="1160"/>
      <c r="G358" s="1160"/>
      <c r="H358" s="1160"/>
      <c r="I358" s="1160"/>
      <c r="J358" s="1160"/>
      <c r="K358" s="1160"/>
      <c r="L358" s="1160"/>
      <c r="M358" s="1160"/>
      <c r="N358" s="1160"/>
      <c r="O358" s="1160"/>
      <c r="P358" s="1160"/>
      <c r="Q358" s="1160"/>
      <c r="R358" s="1160"/>
      <c r="S358" s="1160"/>
      <c r="T358" s="1160"/>
      <c r="U358" s="1160"/>
      <c r="V358" s="1160"/>
      <c r="W358" s="1160"/>
      <c r="X358" s="1160"/>
      <c r="Y358" s="1160"/>
      <c r="Z358" s="1160"/>
      <c r="AA358" s="1160"/>
      <c r="AB358" s="1160"/>
      <c r="AC358" s="1160"/>
      <c r="AD358" s="1160"/>
      <c r="AE358" s="1160"/>
      <c r="AF358" s="1160"/>
      <c r="AG358" s="1160"/>
      <c r="AH358" s="1160"/>
      <c r="AI358" s="1160"/>
      <c r="AJ358" s="1160"/>
      <c r="AK358" s="1160"/>
      <c r="AL358" s="1160"/>
    </row>
    <row r="359" ht="15.0" customHeight="1">
      <c r="A359" s="1209"/>
      <c r="B359" s="1209"/>
      <c r="C359" s="1210"/>
      <c r="D359" s="1160"/>
      <c r="E359" s="1160"/>
      <c r="F359" s="1160"/>
      <c r="G359" s="1160"/>
      <c r="H359" s="1160"/>
      <c r="I359" s="1160"/>
      <c r="J359" s="1160"/>
      <c r="K359" s="1160"/>
      <c r="L359" s="1160"/>
      <c r="M359" s="1160"/>
      <c r="N359" s="1160"/>
      <c r="O359" s="1160"/>
      <c r="P359" s="1160"/>
      <c r="Q359" s="1160"/>
      <c r="R359" s="1160"/>
      <c r="S359" s="1160"/>
      <c r="T359" s="1160"/>
      <c r="U359" s="1160"/>
      <c r="V359" s="1160"/>
      <c r="W359" s="1160"/>
      <c r="X359" s="1160"/>
      <c r="Y359" s="1160"/>
      <c r="Z359" s="1160"/>
      <c r="AA359" s="1160"/>
      <c r="AB359" s="1160"/>
      <c r="AC359" s="1160"/>
      <c r="AD359" s="1160"/>
      <c r="AE359" s="1160"/>
      <c r="AF359" s="1160"/>
      <c r="AG359" s="1160"/>
      <c r="AH359" s="1160"/>
      <c r="AI359" s="1160"/>
      <c r="AJ359" s="1160"/>
      <c r="AK359" s="1160"/>
      <c r="AL359" s="1160"/>
    </row>
    <row r="360" ht="15.0" customHeight="1">
      <c r="A360" s="1209"/>
      <c r="B360" s="1209"/>
      <c r="C360" s="1210"/>
      <c r="D360" s="1160"/>
      <c r="E360" s="1160"/>
      <c r="F360" s="1160"/>
      <c r="G360" s="1160"/>
      <c r="H360" s="1160"/>
      <c r="I360" s="1160"/>
      <c r="J360" s="1160"/>
      <c r="K360" s="1160"/>
      <c r="L360" s="1160"/>
      <c r="M360" s="1160"/>
      <c r="N360" s="1160"/>
      <c r="O360" s="1160"/>
      <c r="P360" s="1160"/>
      <c r="Q360" s="1160"/>
      <c r="R360" s="1160"/>
      <c r="S360" s="1160"/>
      <c r="T360" s="1160"/>
      <c r="U360" s="1160"/>
      <c r="V360" s="1160"/>
      <c r="W360" s="1160"/>
      <c r="X360" s="1160"/>
      <c r="Y360" s="1160"/>
      <c r="Z360" s="1160"/>
      <c r="AA360" s="1160"/>
      <c r="AB360" s="1160"/>
      <c r="AC360" s="1160"/>
      <c r="AD360" s="1160"/>
      <c r="AE360" s="1160"/>
      <c r="AF360" s="1160"/>
      <c r="AG360" s="1160"/>
      <c r="AH360" s="1160"/>
      <c r="AI360" s="1160"/>
      <c r="AJ360" s="1160"/>
      <c r="AK360" s="1160"/>
      <c r="AL360" s="1160"/>
    </row>
    <row r="361" ht="15.0" customHeight="1">
      <c r="A361" s="1209"/>
      <c r="B361" s="1209"/>
      <c r="C361" s="1210"/>
      <c r="D361" s="1160"/>
      <c r="E361" s="1160"/>
      <c r="F361" s="1160"/>
      <c r="G361" s="1160"/>
      <c r="H361" s="1160"/>
      <c r="I361" s="1160"/>
      <c r="J361" s="1160"/>
      <c r="K361" s="1160"/>
      <c r="L361" s="1160"/>
      <c r="M361" s="1160"/>
      <c r="N361" s="1160"/>
      <c r="O361" s="1160"/>
      <c r="P361" s="1160"/>
      <c r="Q361" s="1160"/>
      <c r="R361" s="1160"/>
      <c r="S361" s="1160"/>
      <c r="T361" s="1160"/>
      <c r="U361" s="1160"/>
      <c r="V361" s="1160"/>
      <c r="W361" s="1160"/>
      <c r="X361" s="1160"/>
      <c r="Y361" s="1160"/>
      <c r="Z361" s="1160"/>
      <c r="AA361" s="1160"/>
      <c r="AB361" s="1160"/>
      <c r="AC361" s="1160"/>
      <c r="AD361" s="1160"/>
      <c r="AE361" s="1160"/>
      <c r="AF361" s="1160"/>
      <c r="AG361" s="1160"/>
      <c r="AH361" s="1160"/>
      <c r="AI361" s="1160"/>
      <c r="AJ361" s="1160"/>
      <c r="AK361" s="1160"/>
      <c r="AL361" s="1160"/>
    </row>
    <row r="362" ht="15.0" customHeight="1">
      <c r="A362" s="1209"/>
      <c r="B362" s="1209"/>
      <c r="C362" s="1210"/>
      <c r="D362" s="1160"/>
      <c r="E362" s="1160"/>
      <c r="F362" s="1160"/>
      <c r="G362" s="1160"/>
      <c r="H362" s="1160"/>
      <c r="I362" s="1160"/>
      <c r="J362" s="1160"/>
      <c r="K362" s="1160"/>
      <c r="L362" s="1160"/>
      <c r="M362" s="1160"/>
      <c r="N362" s="1160"/>
      <c r="O362" s="1160"/>
      <c r="P362" s="1160"/>
      <c r="Q362" s="1160"/>
      <c r="R362" s="1160"/>
      <c r="S362" s="1160"/>
      <c r="T362" s="1160"/>
      <c r="U362" s="1160"/>
      <c r="V362" s="1160"/>
      <c r="W362" s="1160"/>
      <c r="X362" s="1160"/>
      <c r="Y362" s="1160"/>
      <c r="Z362" s="1160"/>
      <c r="AA362" s="1160"/>
      <c r="AB362" s="1160"/>
      <c r="AC362" s="1160"/>
      <c r="AD362" s="1160"/>
      <c r="AE362" s="1160"/>
      <c r="AF362" s="1160"/>
      <c r="AG362" s="1160"/>
      <c r="AH362" s="1160"/>
      <c r="AI362" s="1160"/>
      <c r="AJ362" s="1160"/>
      <c r="AK362" s="1160"/>
      <c r="AL362" s="1160"/>
    </row>
    <row r="363" ht="15.0" customHeight="1">
      <c r="A363" s="1209"/>
      <c r="B363" s="1209"/>
      <c r="C363" s="1210"/>
      <c r="D363" s="1160"/>
      <c r="E363" s="1160"/>
      <c r="F363" s="1160"/>
      <c r="G363" s="1160"/>
      <c r="H363" s="1160"/>
      <c r="I363" s="1160"/>
      <c r="J363" s="1160"/>
      <c r="K363" s="1160"/>
      <c r="L363" s="1160"/>
      <c r="M363" s="1160"/>
      <c r="N363" s="1160"/>
      <c r="O363" s="1160"/>
      <c r="P363" s="1160"/>
      <c r="Q363" s="1160"/>
      <c r="R363" s="1160"/>
      <c r="S363" s="1160"/>
      <c r="T363" s="1160"/>
      <c r="U363" s="1160"/>
      <c r="V363" s="1160"/>
      <c r="W363" s="1160"/>
      <c r="X363" s="1160"/>
      <c r="Y363" s="1160"/>
      <c r="Z363" s="1160"/>
      <c r="AA363" s="1160"/>
      <c r="AB363" s="1160"/>
      <c r="AC363" s="1160"/>
      <c r="AD363" s="1160"/>
      <c r="AE363" s="1160"/>
      <c r="AF363" s="1160"/>
      <c r="AG363" s="1160"/>
      <c r="AH363" s="1160"/>
      <c r="AI363" s="1160"/>
      <c r="AJ363" s="1160"/>
      <c r="AK363" s="1160"/>
      <c r="AL363" s="1160"/>
    </row>
    <row r="364" ht="15.0" customHeight="1">
      <c r="A364" s="1209"/>
      <c r="B364" s="1209"/>
      <c r="C364" s="1210"/>
      <c r="D364" s="1160"/>
      <c r="E364" s="1160"/>
      <c r="F364" s="1160"/>
      <c r="G364" s="1160"/>
      <c r="H364" s="1160"/>
      <c r="I364" s="1160"/>
      <c r="J364" s="1160"/>
      <c r="K364" s="1160"/>
      <c r="L364" s="1160"/>
      <c r="M364" s="1160"/>
      <c r="N364" s="1160"/>
      <c r="O364" s="1160"/>
      <c r="P364" s="1160"/>
      <c r="Q364" s="1160"/>
      <c r="R364" s="1160"/>
      <c r="S364" s="1160"/>
      <c r="T364" s="1160"/>
      <c r="U364" s="1160"/>
      <c r="V364" s="1160"/>
      <c r="W364" s="1160"/>
      <c r="X364" s="1160"/>
      <c r="Y364" s="1160"/>
      <c r="Z364" s="1160"/>
      <c r="AA364" s="1160"/>
      <c r="AB364" s="1160"/>
      <c r="AC364" s="1160"/>
      <c r="AD364" s="1160"/>
      <c r="AE364" s="1160"/>
      <c r="AF364" s="1160"/>
      <c r="AG364" s="1160"/>
      <c r="AH364" s="1160"/>
      <c r="AI364" s="1160"/>
      <c r="AJ364" s="1160"/>
      <c r="AK364" s="1160"/>
      <c r="AL364" s="1160"/>
    </row>
    <row r="365" ht="15.0" customHeight="1">
      <c r="A365" s="1209"/>
      <c r="B365" s="1209"/>
      <c r="C365" s="1210"/>
      <c r="D365" s="1160"/>
      <c r="E365" s="1160"/>
      <c r="F365" s="1160"/>
      <c r="G365" s="1160"/>
      <c r="H365" s="1160"/>
      <c r="I365" s="1160"/>
      <c r="J365" s="1160"/>
      <c r="K365" s="1160"/>
      <c r="L365" s="1160"/>
      <c r="M365" s="1160"/>
      <c r="N365" s="1160"/>
      <c r="O365" s="1160"/>
      <c r="P365" s="1160"/>
      <c r="Q365" s="1160"/>
      <c r="R365" s="1160"/>
      <c r="S365" s="1160"/>
      <c r="T365" s="1160"/>
      <c r="U365" s="1160"/>
      <c r="V365" s="1160"/>
      <c r="W365" s="1160"/>
      <c r="X365" s="1160"/>
      <c r="Y365" s="1160"/>
      <c r="Z365" s="1160"/>
      <c r="AA365" s="1160"/>
      <c r="AB365" s="1160"/>
      <c r="AC365" s="1160"/>
      <c r="AD365" s="1160"/>
      <c r="AE365" s="1160"/>
      <c r="AF365" s="1160"/>
      <c r="AG365" s="1160"/>
      <c r="AH365" s="1160"/>
      <c r="AI365" s="1160"/>
      <c r="AJ365" s="1160"/>
      <c r="AK365" s="1160"/>
      <c r="AL365" s="1160"/>
    </row>
    <row r="366" ht="15.0" customHeight="1">
      <c r="A366" s="1209"/>
      <c r="B366" s="1209"/>
      <c r="C366" s="1210"/>
      <c r="D366" s="1160"/>
      <c r="E366" s="1160"/>
      <c r="F366" s="1160"/>
      <c r="G366" s="1160"/>
      <c r="H366" s="1160"/>
      <c r="I366" s="1160"/>
      <c r="J366" s="1160"/>
      <c r="K366" s="1160"/>
      <c r="L366" s="1160"/>
      <c r="M366" s="1160"/>
      <c r="N366" s="1160"/>
      <c r="O366" s="1160"/>
      <c r="P366" s="1160"/>
      <c r="Q366" s="1160"/>
      <c r="R366" s="1160"/>
      <c r="S366" s="1160"/>
      <c r="T366" s="1160"/>
      <c r="U366" s="1160"/>
      <c r="V366" s="1160"/>
      <c r="W366" s="1160"/>
      <c r="X366" s="1160"/>
      <c r="Y366" s="1160"/>
      <c r="Z366" s="1160"/>
      <c r="AA366" s="1160"/>
      <c r="AB366" s="1160"/>
      <c r="AC366" s="1160"/>
      <c r="AD366" s="1160"/>
      <c r="AE366" s="1160"/>
      <c r="AF366" s="1160"/>
      <c r="AG366" s="1160"/>
      <c r="AH366" s="1160"/>
      <c r="AI366" s="1160"/>
      <c r="AJ366" s="1160"/>
      <c r="AK366" s="1160"/>
      <c r="AL366" s="1160"/>
    </row>
    <row r="367" ht="15.0" customHeight="1">
      <c r="A367" s="1209"/>
      <c r="B367" s="1209"/>
      <c r="C367" s="1210"/>
      <c r="D367" s="1160"/>
      <c r="E367" s="1160"/>
      <c r="F367" s="1160"/>
      <c r="G367" s="1160"/>
      <c r="H367" s="1160"/>
      <c r="I367" s="1160"/>
      <c r="J367" s="1160"/>
      <c r="K367" s="1160"/>
      <c r="L367" s="1160"/>
      <c r="M367" s="1160"/>
      <c r="N367" s="1160"/>
      <c r="O367" s="1160"/>
      <c r="P367" s="1160"/>
      <c r="Q367" s="1160"/>
      <c r="R367" s="1160"/>
      <c r="S367" s="1160"/>
      <c r="T367" s="1160"/>
      <c r="U367" s="1160"/>
      <c r="V367" s="1160"/>
      <c r="W367" s="1160"/>
      <c r="X367" s="1160"/>
      <c r="Y367" s="1160"/>
      <c r="Z367" s="1160"/>
      <c r="AA367" s="1160"/>
      <c r="AB367" s="1160"/>
      <c r="AC367" s="1160"/>
      <c r="AD367" s="1160"/>
      <c r="AE367" s="1160"/>
      <c r="AF367" s="1160"/>
      <c r="AG367" s="1160"/>
      <c r="AH367" s="1160"/>
      <c r="AI367" s="1160"/>
      <c r="AJ367" s="1160"/>
      <c r="AK367" s="1160"/>
      <c r="AL367" s="1160"/>
    </row>
    <row r="368" ht="15.0" customHeight="1">
      <c r="A368" s="1209"/>
      <c r="B368" s="1209"/>
      <c r="C368" s="1210"/>
      <c r="D368" s="1160"/>
      <c r="E368" s="1160"/>
      <c r="F368" s="1160"/>
      <c r="G368" s="1160"/>
      <c r="H368" s="1160"/>
      <c r="I368" s="1160"/>
      <c r="J368" s="1160"/>
      <c r="K368" s="1160"/>
      <c r="L368" s="1160"/>
      <c r="M368" s="1160"/>
      <c r="N368" s="1160"/>
      <c r="O368" s="1160"/>
      <c r="P368" s="1160"/>
      <c r="Q368" s="1160"/>
      <c r="R368" s="1160"/>
      <c r="S368" s="1160"/>
      <c r="T368" s="1160"/>
      <c r="U368" s="1160"/>
      <c r="V368" s="1160"/>
      <c r="W368" s="1160"/>
      <c r="X368" s="1160"/>
      <c r="Y368" s="1160"/>
      <c r="Z368" s="1160"/>
      <c r="AA368" s="1160"/>
      <c r="AB368" s="1160"/>
      <c r="AC368" s="1160"/>
      <c r="AD368" s="1160"/>
      <c r="AE368" s="1160"/>
      <c r="AF368" s="1160"/>
      <c r="AG368" s="1160"/>
      <c r="AH368" s="1160"/>
      <c r="AI368" s="1160"/>
      <c r="AJ368" s="1160"/>
      <c r="AK368" s="1160"/>
      <c r="AL368" s="1160"/>
    </row>
    <row r="369" ht="15.0" customHeight="1">
      <c r="A369" s="1209"/>
      <c r="B369" s="1209"/>
      <c r="C369" s="1210"/>
      <c r="D369" s="1160"/>
      <c r="E369" s="1160"/>
      <c r="F369" s="1160"/>
      <c r="G369" s="1160"/>
      <c r="H369" s="1160"/>
      <c r="I369" s="1160"/>
      <c r="J369" s="1160"/>
      <c r="K369" s="1160"/>
      <c r="L369" s="1160"/>
      <c r="M369" s="1160"/>
      <c r="N369" s="1160"/>
      <c r="O369" s="1160"/>
      <c r="P369" s="1160"/>
      <c r="Q369" s="1160"/>
      <c r="R369" s="1160"/>
      <c r="S369" s="1160"/>
      <c r="T369" s="1160"/>
      <c r="U369" s="1160"/>
      <c r="V369" s="1160"/>
      <c r="W369" s="1160"/>
      <c r="X369" s="1160"/>
      <c r="Y369" s="1160"/>
      <c r="Z369" s="1160"/>
      <c r="AA369" s="1160"/>
      <c r="AB369" s="1160"/>
      <c r="AC369" s="1160"/>
      <c r="AD369" s="1160"/>
      <c r="AE369" s="1160"/>
      <c r="AF369" s="1160"/>
      <c r="AG369" s="1160"/>
      <c r="AH369" s="1160"/>
      <c r="AI369" s="1160"/>
      <c r="AJ369" s="1160"/>
      <c r="AK369" s="1160"/>
      <c r="AL369" s="1160"/>
    </row>
    <row r="370" ht="15.0" customHeight="1">
      <c r="A370" s="1209"/>
      <c r="B370" s="1209"/>
      <c r="C370" s="1210"/>
      <c r="D370" s="1160"/>
      <c r="E370" s="1160"/>
      <c r="F370" s="1160"/>
      <c r="G370" s="1160"/>
      <c r="H370" s="1160"/>
      <c r="I370" s="1160"/>
      <c r="J370" s="1160"/>
      <c r="K370" s="1160"/>
      <c r="L370" s="1160"/>
      <c r="M370" s="1160"/>
      <c r="N370" s="1160"/>
      <c r="O370" s="1160"/>
      <c r="P370" s="1160"/>
      <c r="Q370" s="1160"/>
      <c r="R370" s="1160"/>
      <c r="S370" s="1160"/>
      <c r="T370" s="1160"/>
      <c r="U370" s="1160"/>
      <c r="V370" s="1160"/>
      <c r="W370" s="1160"/>
      <c r="X370" s="1160"/>
      <c r="Y370" s="1160"/>
      <c r="Z370" s="1160"/>
      <c r="AA370" s="1160"/>
      <c r="AB370" s="1160"/>
      <c r="AC370" s="1160"/>
      <c r="AD370" s="1160"/>
      <c r="AE370" s="1160"/>
      <c r="AF370" s="1160"/>
      <c r="AG370" s="1160"/>
      <c r="AH370" s="1160"/>
      <c r="AI370" s="1160"/>
      <c r="AJ370" s="1160"/>
      <c r="AK370" s="1160"/>
      <c r="AL370" s="1160"/>
    </row>
    <row r="371" ht="15.0" customHeight="1">
      <c r="A371" s="1209"/>
      <c r="B371" s="1209"/>
      <c r="C371" s="1210"/>
      <c r="D371" s="1160"/>
      <c r="E371" s="1160"/>
      <c r="F371" s="1160"/>
      <c r="G371" s="1160"/>
      <c r="H371" s="1160"/>
      <c r="I371" s="1160"/>
      <c r="J371" s="1160"/>
      <c r="K371" s="1160"/>
      <c r="L371" s="1160"/>
      <c r="M371" s="1160"/>
      <c r="N371" s="1160"/>
      <c r="O371" s="1160"/>
      <c r="P371" s="1160"/>
      <c r="Q371" s="1160"/>
      <c r="R371" s="1160"/>
      <c r="S371" s="1160"/>
      <c r="T371" s="1160"/>
      <c r="U371" s="1160"/>
      <c r="V371" s="1160"/>
      <c r="W371" s="1160"/>
      <c r="X371" s="1160"/>
      <c r="Y371" s="1160"/>
      <c r="Z371" s="1160"/>
      <c r="AA371" s="1160"/>
      <c r="AB371" s="1160"/>
      <c r="AC371" s="1160"/>
      <c r="AD371" s="1160"/>
      <c r="AE371" s="1160"/>
      <c r="AF371" s="1160"/>
      <c r="AG371" s="1160"/>
      <c r="AH371" s="1160"/>
      <c r="AI371" s="1160"/>
      <c r="AJ371" s="1160"/>
      <c r="AK371" s="1160"/>
      <c r="AL371" s="1160"/>
    </row>
    <row r="372" ht="15.0" customHeight="1">
      <c r="A372" s="1209"/>
      <c r="B372" s="1209"/>
      <c r="C372" s="1210"/>
      <c r="D372" s="1160"/>
      <c r="E372" s="1160"/>
      <c r="F372" s="1160"/>
      <c r="G372" s="1160"/>
      <c r="H372" s="1160"/>
      <c r="I372" s="1160"/>
      <c r="J372" s="1160"/>
      <c r="K372" s="1160"/>
      <c r="L372" s="1160"/>
      <c r="M372" s="1160"/>
      <c r="N372" s="1160"/>
      <c r="O372" s="1160"/>
      <c r="P372" s="1160"/>
      <c r="Q372" s="1160"/>
      <c r="R372" s="1160"/>
      <c r="S372" s="1160"/>
      <c r="T372" s="1160"/>
      <c r="U372" s="1160"/>
      <c r="V372" s="1160"/>
      <c r="W372" s="1160"/>
      <c r="X372" s="1160"/>
      <c r="Y372" s="1160"/>
      <c r="Z372" s="1160"/>
      <c r="AA372" s="1160"/>
      <c r="AB372" s="1160"/>
      <c r="AC372" s="1160"/>
      <c r="AD372" s="1160"/>
      <c r="AE372" s="1160"/>
      <c r="AF372" s="1160"/>
      <c r="AG372" s="1160"/>
      <c r="AH372" s="1160"/>
      <c r="AI372" s="1160"/>
      <c r="AJ372" s="1160"/>
      <c r="AK372" s="1160"/>
      <c r="AL372" s="1160"/>
    </row>
    <row r="373" ht="15.0" customHeight="1">
      <c r="A373" s="1209"/>
      <c r="B373" s="1209"/>
      <c r="C373" s="1210"/>
      <c r="D373" s="1160"/>
      <c r="E373" s="1160"/>
      <c r="F373" s="1160"/>
      <c r="G373" s="1160"/>
      <c r="H373" s="1160"/>
      <c r="I373" s="1160"/>
      <c r="J373" s="1160"/>
      <c r="K373" s="1160"/>
      <c r="L373" s="1160"/>
      <c r="M373" s="1160"/>
      <c r="N373" s="1160"/>
      <c r="O373" s="1160"/>
      <c r="P373" s="1160"/>
      <c r="Q373" s="1160"/>
      <c r="R373" s="1160"/>
      <c r="S373" s="1160"/>
      <c r="T373" s="1160"/>
      <c r="U373" s="1160"/>
      <c r="V373" s="1160"/>
      <c r="W373" s="1160"/>
      <c r="X373" s="1160"/>
      <c r="Y373" s="1160"/>
      <c r="Z373" s="1160"/>
      <c r="AA373" s="1160"/>
      <c r="AB373" s="1160"/>
      <c r="AC373" s="1160"/>
      <c r="AD373" s="1160"/>
      <c r="AE373" s="1160"/>
      <c r="AF373" s="1160"/>
      <c r="AG373" s="1160"/>
      <c r="AH373" s="1160"/>
      <c r="AI373" s="1160"/>
      <c r="AJ373" s="1160"/>
      <c r="AK373" s="1160"/>
      <c r="AL373" s="1160"/>
    </row>
    <row r="374" ht="15.0" customHeight="1">
      <c r="A374" s="1209"/>
      <c r="B374" s="1209"/>
      <c r="C374" s="1210"/>
      <c r="D374" s="1160"/>
      <c r="E374" s="1160"/>
      <c r="F374" s="1160"/>
      <c r="G374" s="1160"/>
      <c r="H374" s="1160"/>
      <c r="I374" s="1160"/>
      <c r="J374" s="1160"/>
      <c r="K374" s="1160"/>
      <c r="L374" s="1160"/>
      <c r="M374" s="1160"/>
      <c r="N374" s="1160"/>
      <c r="O374" s="1160"/>
      <c r="P374" s="1160"/>
      <c r="Q374" s="1160"/>
      <c r="R374" s="1160"/>
      <c r="S374" s="1160"/>
      <c r="T374" s="1160"/>
      <c r="U374" s="1160"/>
      <c r="V374" s="1160"/>
      <c r="W374" s="1160"/>
      <c r="X374" s="1160"/>
      <c r="Y374" s="1160"/>
      <c r="Z374" s="1160"/>
      <c r="AA374" s="1160"/>
      <c r="AB374" s="1160"/>
      <c r="AC374" s="1160"/>
      <c r="AD374" s="1160"/>
      <c r="AE374" s="1160"/>
      <c r="AF374" s="1160"/>
      <c r="AG374" s="1160"/>
      <c r="AH374" s="1160"/>
      <c r="AI374" s="1160"/>
      <c r="AJ374" s="1160"/>
      <c r="AK374" s="1160"/>
      <c r="AL374" s="1160"/>
    </row>
    <row r="375" ht="15.0" customHeight="1">
      <c r="A375" s="1209"/>
      <c r="B375" s="1209"/>
      <c r="C375" s="1210"/>
      <c r="D375" s="1160"/>
      <c r="E375" s="1160"/>
      <c r="F375" s="1160"/>
      <c r="G375" s="1160"/>
      <c r="H375" s="1160"/>
      <c r="I375" s="1160"/>
      <c r="J375" s="1160"/>
      <c r="K375" s="1160"/>
      <c r="L375" s="1160"/>
      <c r="M375" s="1160"/>
      <c r="N375" s="1160"/>
      <c r="O375" s="1160"/>
      <c r="P375" s="1160"/>
      <c r="Q375" s="1160"/>
      <c r="R375" s="1160"/>
      <c r="S375" s="1160"/>
      <c r="T375" s="1160"/>
      <c r="U375" s="1160"/>
      <c r="V375" s="1160"/>
      <c r="W375" s="1160"/>
      <c r="X375" s="1160"/>
      <c r="Y375" s="1160"/>
      <c r="Z375" s="1160"/>
      <c r="AA375" s="1160"/>
      <c r="AB375" s="1160"/>
      <c r="AC375" s="1160"/>
      <c r="AD375" s="1160"/>
      <c r="AE375" s="1160"/>
      <c r="AF375" s="1160"/>
      <c r="AG375" s="1160"/>
      <c r="AH375" s="1160"/>
      <c r="AI375" s="1160"/>
      <c r="AJ375" s="1160"/>
      <c r="AK375" s="1160"/>
      <c r="AL375" s="1160"/>
    </row>
    <row r="376" ht="15.0" customHeight="1">
      <c r="A376" s="1209"/>
      <c r="B376" s="1209"/>
      <c r="C376" s="1210"/>
      <c r="D376" s="1160"/>
      <c r="E376" s="1160"/>
      <c r="F376" s="1160"/>
      <c r="G376" s="1160"/>
      <c r="H376" s="1160"/>
      <c r="I376" s="1160"/>
      <c r="J376" s="1160"/>
      <c r="K376" s="1160"/>
      <c r="L376" s="1160"/>
      <c r="M376" s="1160"/>
      <c r="N376" s="1160"/>
      <c r="O376" s="1160"/>
      <c r="P376" s="1160"/>
      <c r="Q376" s="1160"/>
      <c r="R376" s="1160"/>
      <c r="S376" s="1160"/>
      <c r="T376" s="1160"/>
      <c r="U376" s="1160"/>
      <c r="V376" s="1160"/>
      <c r="W376" s="1160"/>
      <c r="X376" s="1160"/>
      <c r="Y376" s="1160"/>
      <c r="Z376" s="1160"/>
      <c r="AA376" s="1160"/>
      <c r="AB376" s="1160"/>
      <c r="AC376" s="1160"/>
      <c r="AD376" s="1160"/>
      <c r="AE376" s="1160"/>
      <c r="AF376" s="1160"/>
      <c r="AG376" s="1160"/>
      <c r="AH376" s="1160"/>
      <c r="AI376" s="1160"/>
      <c r="AJ376" s="1160"/>
      <c r="AK376" s="1160"/>
      <c r="AL376" s="1160"/>
    </row>
    <row r="377" ht="15.0" customHeight="1">
      <c r="A377" s="1209"/>
      <c r="B377" s="1209"/>
      <c r="C377" s="1210"/>
      <c r="D377" s="1160"/>
      <c r="E377" s="1160"/>
      <c r="F377" s="1160"/>
      <c r="G377" s="1160"/>
      <c r="H377" s="1160"/>
      <c r="I377" s="1160"/>
      <c r="J377" s="1160"/>
      <c r="K377" s="1160"/>
      <c r="L377" s="1160"/>
      <c r="M377" s="1160"/>
      <c r="N377" s="1160"/>
      <c r="O377" s="1160"/>
      <c r="P377" s="1160"/>
      <c r="Q377" s="1160"/>
      <c r="R377" s="1160"/>
      <c r="S377" s="1160"/>
      <c r="T377" s="1160"/>
      <c r="U377" s="1160"/>
      <c r="V377" s="1160"/>
      <c r="W377" s="1160"/>
      <c r="X377" s="1160"/>
      <c r="Y377" s="1160"/>
      <c r="Z377" s="1160"/>
      <c r="AA377" s="1160"/>
      <c r="AB377" s="1160"/>
      <c r="AC377" s="1160"/>
      <c r="AD377" s="1160"/>
      <c r="AE377" s="1160"/>
      <c r="AF377" s="1160"/>
      <c r="AG377" s="1160"/>
      <c r="AH377" s="1160"/>
      <c r="AI377" s="1160"/>
      <c r="AJ377" s="1160"/>
      <c r="AK377" s="1160"/>
      <c r="AL377" s="1160"/>
    </row>
    <row r="378" ht="15.0" customHeight="1">
      <c r="A378" s="1209"/>
      <c r="B378" s="1209"/>
      <c r="C378" s="1210"/>
      <c r="D378" s="1160"/>
      <c r="E378" s="1160"/>
      <c r="F378" s="1160"/>
      <c r="G378" s="1160"/>
      <c r="H378" s="1160"/>
      <c r="I378" s="1160"/>
      <c r="J378" s="1160"/>
      <c r="K378" s="1160"/>
      <c r="L378" s="1160"/>
      <c r="M378" s="1160"/>
      <c r="N378" s="1160"/>
      <c r="O378" s="1160"/>
      <c r="P378" s="1160"/>
      <c r="Q378" s="1160"/>
      <c r="R378" s="1160"/>
      <c r="S378" s="1160"/>
      <c r="T378" s="1160"/>
      <c r="U378" s="1160"/>
      <c r="V378" s="1160"/>
      <c r="W378" s="1160"/>
      <c r="X378" s="1160"/>
      <c r="Y378" s="1160"/>
      <c r="Z378" s="1160"/>
      <c r="AA378" s="1160"/>
      <c r="AB378" s="1160"/>
      <c r="AC378" s="1160"/>
      <c r="AD378" s="1160"/>
      <c r="AE378" s="1160"/>
      <c r="AF378" s="1160"/>
      <c r="AG378" s="1160"/>
      <c r="AH378" s="1160"/>
      <c r="AI378" s="1160"/>
      <c r="AJ378" s="1160"/>
      <c r="AK378" s="1160"/>
      <c r="AL378" s="1160"/>
    </row>
    <row r="379" ht="15.0" customHeight="1">
      <c r="A379" s="1209"/>
      <c r="B379" s="1209"/>
      <c r="C379" s="1210"/>
      <c r="D379" s="1160"/>
      <c r="E379" s="1160"/>
      <c r="F379" s="1160"/>
      <c r="G379" s="1160"/>
      <c r="H379" s="1160"/>
      <c r="I379" s="1160"/>
      <c r="J379" s="1160"/>
      <c r="K379" s="1160"/>
      <c r="L379" s="1160"/>
      <c r="M379" s="1160"/>
      <c r="N379" s="1160"/>
      <c r="O379" s="1160"/>
      <c r="P379" s="1160"/>
      <c r="Q379" s="1160"/>
      <c r="R379" s="1160"/>
      <c r="S379" s="1160"/>
      <c r="T379" s="1160"/>
      <c r="U379" s="1160"/>
      <c r="V379" s="1160"/>
      <c r="W379" s="1160"/>
      <c r="X379" s="1160"/>
      <c r="Y379" s="1160"/>
      <c r="Z379" s="1160"/>
      <c r="AA379" s="1160"/>
      <c r="AB379" s="1160"/>
      <c r="AC379" s="1160"/>
      <c r="AD379" s="1160"/>
      <c r="AE379" s="1160"/>
      <c r="AF379" s="1160"/>
      <c r="AG379" s="1160"/>
      <c r="AH379" s="1160"/>
      <c r="AI379" s="1160"/>
      <c r="AJ379" s="1160"/>
      <c r="AK379" s="1160"/>
      <c r="AL379" s="1160"/>
    </row>
    <row r="380" ht="15.0" customHeight="1">
      <c r="A380" s="1209"/>
      <c r="B380" s="1209"/>
      <c r="C380" s="1210"/>
      <c r="D380" s="1160"/>
      <c r="E380" s="1160"/>
      <c r="F380" s="1160"/>
      <c r="G380" s="1160"/>
      <c r="H380" s="1160"/>
      <c r="I380" s="1160"/>
      <c r="J380" s="1160"/>
      <c r="K380" s="1160"/>
      <c r="L380" s="1160"/>
      <c r="M380" s="1160"/>
      <c r="N380" s="1160"/>
      <c r="O380" s="1160"/>
      <c r="P380" s="1160"/>
      <c r="Q380" s="1160"/>
      <c r="R380" s="1160"/>
      <c r="S380" s="1160"/>
      <c r="T380" s="1160"/>
      <c r="U380" s="1160"/>
      <c r="V380" s="1160"/>
      <c r="W380" s="1160"/>
      <c r="X380" s="1160"/>
      <c r="Y380" s="1160"/>
      <c r="Z380" s="1160"/>
      <c r="AA380" s="1160"/>
      <c r="AB380" s="1160"/>
      <c r="AC380" s="1160"/>
      <c r="AD380" s="1160"/>
      <c r="AE380" s="1160"/>
      <c r="AF380" s="1160"/>
      <c r="AG380" s="1160"/>
      <c r="AH380" s="1160"/>
      <c r="AI380" s="1160"/>
      <c r="AJ380" s="1160"/>
      <c r="AK380" s="1160"/>
      <c r="AL380" s="1160"/>
    </row>
    <row r="381" ht="15.0" customHeight="1">
      <c r="A381" s="1209"/>
      <c r="B381" s="1209"/>
      <c r="C381" s="1210"/>
      <c r="D381" s="1160"/>
      <c r="E381" s="1160"/>
      <c r="F381" s="1160"/>
      <c r="G381" s="1160"/>
      <c r="H381" s="1160"/>
      <c r="I381" s="1160"/>
      <c r="J381" s="1160"/>
      <c r="K381" s="1160"/>
      <c r="L381" s="1160"/>
      <c r="M381" s="1160"/>
      <c r="N381" s="1160"/>
      <c r="O381" s="1160"/>
      <c r="P381" s="1160"/>
      <c r="Q381" s="1160"/>
      <c r="R381" s="1160"/>
      <c r="S381" s="1160"/>
      <c r="T381" s="1160"/>
      <c r="U381" s="1160"/>
      <c r="V381" s="1160"/>
      <c r="W381" s="1160"/>
      <c r="X381" s="1160"/>
      <c r="Y381" s="1160"/>
      <c r="Z381" s="1160"/>
      <c r="AA381" s="1160"/>
      <c r="AB381" s="1160"/>
      <c r="AC381" s="1160"/>
      <c r="AD381" s="1160"/>
      <c r="AE381" s="1160"/>
      <c r="AF381" s="1160"/>
      <c r="AG381" s="1160"/>
      <c r="AH381" s="1160"/>
      <c r="AI381" s="1160"/>
      <c r="AJ381" s="1160"/>
      <c r="AK381" s="1160"/>
      <c r="AL381" s="1160"/>
    </row>
    <row r="382" ht="15.0" customHeight="1">
      <c r="A382" s="1209"/>
      <c r="B382" s="1209"/>
      <c r="C382" s="1210"/>
      <c r="D382" s="1160"/>
      <c r="E382" s="1160"/>
      <c r="F382" s="1160"/>
      <c r="G382" s="1160"/>
      <c r="H382" s="1160"/>
      <c r="I382" s="1160"/>
      <c r="J382" s="1160"/>
      <c r="K382" s="1160"/>
      <c r="L382" s="1160"/>
      <c r="M382" s="1160"/>
      <c r="N382" s="1160"/>
      <c r="O382" s="1160"/>
      <c r="P382" s="1160"/>
      <c r="Q382" s="1160"/>
      <c r="R382" s="1160"/>
      <c r="S382" s="1160"/>
      <c r="T382" s="1160"/>
      <c r="U382" s="1160"/>
      <c r="V382" s="1160"/>
      <c r="W382" s="1160"/>
      <c r="X382" s="1160"/>
      <c r="Y382" s="1160"/>
      <c r="Z382" s="1160"/>
      <c r="AA382" s="1160"/>
      <c r="AB382" s="1160"/>
      <c r="AC382" s="1160"/>
      <c r="AD382" s="1160"/>
      <c r="AE382" s="1160"/>
      <c r="AF382" s="1160"/>
      <c r="AG382" s="1160"/>
      <c r="AH382" s="1160"/>
      <c r="AI382" s="1160"/>
      <c r="AJ382" s="1160"/>
      <c r="AK382" s="1160"/>
      <c r="AL382" s="1160"/>
    </row>
    <row r="383" ht="15.0" customHeight="1">
      <c r="A383" s="1209"/>
      <c r="B383" s="1209"/>
      <c r="C383" s="1210"/>
      <c r="D383" s="1160"/>
      <c r="E383" s="1160"/>
      <c r="F383" s="1160"/>
      <c r="G383" s="1160"/>
      <c r="H383" s="1160"/>
      <c r="I383" s="1160"/>
      <c r="J383" s="1160"/>
      <c r="K383" s="1160"/>
      <c r="L383" s="1160"/>
      <c r="M383" s="1160"/>
      <c r="N383" s="1160"/>
      <c r="O383" s="1160"/>
      <c r="P383" s="1160"/>
      <c r="Q383" s="1160"/>
      <c r="R383" s="1160"/>
      <c r="S383" s="1160"/>
      <c r="T383" s="1160"/>
      <c r="U383" s="1160"/>
      <c r="V383" s="1160"/>
      <c r="W383" s="1160"/>
      <c r="X383" s="1160"/>
      <c r="Y383" s="1160"/>
      <c r="Z383" s="1160"/>
      <c r="AA383" s="1160"/>
      <c r="AB383" s="1160"/>
      <c r="AC383" s="1160"/>
      <c r="AD383" s="1160"/>
      <c r="AE383" s="1160"/>
      <c r="AF383" s="1160"/>
      <c r="AG383" s="1160"/>
      <c r="AH383" s="1160"/>
      <c r="AI383" s="1160"/>
      <c r="AJ383" s="1160"/>
      <c r="AK383" s="1160"/>
      <c r="AL383" s="1160"/>
    </row>
    <row r="384" ht="15.0" customHeight="1">
      <c r="A384" s="1209"/>
      <c r="B384" s="1209"/>
      <c r="C384" s="1210"/>
      <c r="D384" s="1160"/>
      <c r="E384" s="1160"/>
      <c r="F384" s="1160"/>
      <c r="G384" s="1160"/>
      <c r="H384" s="1160"/>
      <c r="I384" s="1160"/>
      <c r="J384" s="1160"/>
      <c r="K384" s="1160"/>
      <c r="L384" s="1160"/>
      <c r="M384" s="1160"/>
      <c r="N384" s="1160"/>
      <c r="O384" s="1160"/>
      <c r="P384" s="1160"/>
      <c r="Q384" s="1160"/>
      <c r="R384" s="1160"/>
      <c r="S384" s="1160"/>
      <c r="T384" s="1160"/>
      <c r="U384" s="1160"/>
      <c r="V384" s="1160"/>
      <c r="W384" s="1160"/>
      <c r="X384" s="1160"/>
      <c r="Y384" s="1160"/>
      <c r="Z384" s="1160"/>
      <c r="AA384" s="1160"/>
      <c r="AB384" s="1160"/>
      <c r="AC384" s="1160"/>
      <c r="AD384" s="1160"/>
      <c r="AE384" s="1160"/>
      <c r="AF384" s="1160"/>
      <c r="AG384" s="1160"/>
      <c r="AH384" s="1160"/>
      <c r="AI384" s="1160"/>
      <c r="AJ384" s="1160"/>
      <c r="AK384" s="1160"/>
      <c r="AL384" s="1160"/>
    </row>
    <row r="385" ht="15.0" customHeight="1">
      <c r="A385" s="1209"/>
      <c r="B385" s="1209"/>
      <c r="C385" s="1210"/>
      <c r="D385" s="1160"/>
      <c r="E385" s="1160"/>
      <c r="F385" s="1160"/>
      <c r="G385" s="1160"/>
      <c r="H385" s="1160"/>
      <c r="I385" s="1160"/>
      <c r="J385" s="1160"/>
      <c r="K385" s="1160"/>
      <c r="L385" s="1160"/>
      <c r="M385" s="1160"/>
      <c r="N385" s="1160"/>
      <c r="O385" s="1160"/>
      <c r="P385" s="1160"/>
      <c r="Q385" s="1160"/>
      <c r="R385" s="1160"/>
      <c r="S385" s="1160"/>
      <c r="T385" s="1160"/>
      <c r="U385" s="1160"/>
      <c r="V385" s="1160"/>
      <c r="W385" s="1160"/>
      <c r="X385" s="1160"/>
      <c r="Y385" s="1160"/>
      <c r="Z385" s="1160"/>
      <c r="AA385" s="1160"/>
      <c r="AB385" s="1160"/>
      <c r="AC385" s="1160"/>
      <c r="AD385" s="1160"/>
      <c r="AE385" s="1160"/>
      <c r="AF385" s="1160"/>
      <c r="AG385" s="1160"/>
      <c r="AH385" s="1160"/>
      <c r="AI385" s="1160"/>
      <c r="AJ385" s="1160"/>
      <c r="AK385" s="1160"/>
      <c r="AL385" s="1160"/>
    </row>
    <row r="386" ht="15.0" customHeight="1">
      <c r="A386" s="1209"/>
      <c r="B386" s="1209"/>
      <c r="C386" s="1210"/>
      <c r="D386" s="1160"/>
      <c r="E386" s="1160"/>
      <c r="F386" s="1160"/>
      <c r="G386" s="1160"/>
      <c r="H386" s="1160"/>
      <c r="I386" s="1160"/>
      <c r="J386" s="1160"/>
      <c r="K386" s="1160"/>
      <c r="L386" s="1160"/>
      <c r="M386" s="1160"/>
      <c r="N386" s="1160"/>
      <c r="O386" s="1160"/>
      <c r="P386" s="1160"/>
      <c r="Q386" s="1160"/>
      <c r="R386" s="1160"/>
      <c r="S386" s="1160"/>
      <c r="T386" s="1160"/>
      <c r="U386" s="1160"/>
      <c r="V386" s="1160"/>
      <c r="W386" s="1160"/>
      <c r="X386" s="1160"/>
      <c r="Y386" s="1160"/>
      <c r="Z386" s="1160"/>
      <c r="AA386" s="1160"/>
      <c r="AB386" s="1160"/>
      <c r="AC386" s="1160"/>
      <c r="AD386" s="1160"/>
      <c r="AE386" s="1160"/>
      <c r="AF386" s="1160"/>
      <c r="AG386" s="1160"/>
      <c r="AH386" s="1160"/>
      <c r="AI386" s="1160"/>
      <c r="AJ386" s="1160"/>
      <c r="AK386" s="1160"/>
      <c r="AL386" s="1160"/>
    </row>
    <row r="387" ht="15.0" customHeight="1">
      <c r="A387" s="1209"/>
      <c r="B387" s="1209"/>
      <c r="C387" s="1210"/>
      <c r="D387" s="1160"/>
      <c r="E387" s="1160"/>
      <c r="F387" s="1160"/>
      <c r="G387" s="1160"/>
      <c r="H387" s="1160"/>
      <c r="I387" s="1160"/>
      <c r="J387" s="1160"/>
      <c r="K387" s="1160"/>
      <c r="L387" s="1160"/>
      <c r="M387" s="1160"/>
      <c r="N387" s="1160"/>
      <c r="O387" s="1160"/>
      <c r="P387" s="1160"/>
      <c r="Q387" s="1160"/>
      <c r="R387" s="1160"/>
      <c r="S387" s="1160"/>
      <c r="T387" s="1160"/>
      <c r="U387" s="1160"/>
      <c r="V387" s="1160"/>
      <c r="W387" s="1160"/>
      <c r="X387" s="1160"/>
      <c r="Y387" s="1160"/>
      <c r="Z387" s="1160"/>
      <c r="AA387" s="1160"/>
      <c r="AB387" s="1160"/>
      <c r="AC387" s="1160"/>
      <c r="AD387" s="1160"/>
      <c r="AE387" s="1160"/>
      <c r="AF387" s="1160"/>
      <c r="AG387" s="1160"/>
      <c r="AH387" s="1160"/>
      <c r="AI387" s="1160"/>
      <c r="AJ387" s="1160"/>
      <c r="AK387" s="1160"/>
      <c r="AL387" s="1160"/>
    </row>
    <row r="388" ht="15.0" customHeight="1">
      <c r="A388" s="1209"/>
      <c r="B388" s="1209"/>
      <c r="C388" s="1210"/>
      <c r="D388" s="1160"/>
      <c r="E388" s="1160"/>
      <c r="F388" s="1160"/>
      <c r="G388" s="1160"/>
      <c r="H388" s="1160"/>
      <c r="I388" s="1160"/>
      <c r="J388" s="1160"/>
      <c r="K388" s="1160"/>
      <c r="L388" s="1160"/>
      <c r="M388" s="1160"/>
      <c r="N388" s="1160"/>
      <c r="O388" s="1160"/>
      <c r="P388" s="1160"/>
      <c r="Q388" s="1160"/>
      <c r="R388" s="1160"/>
      <c r="S388" s="1160"/>
      <c r="T388" s="1160"/>
      <c r="U388" s="1160"/>
      <c r="V388" s="1160"/>
      <c r="W388" s="1160"/>
      <c r="X388" s="1160"/>
      <c r="Y388" s="1160"/>
      <c r="Z388" s="1160"/>
      <c r="AA388" s="1160"/>
      <c r="AB388" s="1160"/>
      <c r="AC388" s="1160"/>
      <c r="AD388" s="1160"/>
      <c r="AE388" s="1160"/>
      <c r="AF388" s="1160"/>
      <c r="AG388" s="1160"/>
      <c r="AH388" s="1160"/>
      <c r="AI388" s="1160"/>
      <c r="AJ388" s="1160"/>
      <c r="AK388" s="1160"/>
      <c r="AL388" s="1160"/>
    </row>
    <row r="389" ht="15.0" customHeight="1">
      <c r="A389" s="1209"/>
      <c r="B389" s="1209"/>
      <c r="C389" s="1210"/>
      <c r="D389" s="1160"/>
      <c r="E389" s="1160"/>
      <c r="F389" s="1160"/>
      <c r="G389" s="1160"/>
      <c r="H389" s="1160"/>
      <c r="I389" s="1160"/>
      <c r="J389" s="1160"/>
      <c r="K389" s="1160"/>
      <c r="L389" s="1160"/>
      <c r="M389" s="1160"/>
      <c r="N389" s="1160"/>
      <c r="O389" s="1160"/>
      <c r="P389" s="1160"/>
      <c r="Q389" s="1160"/>
      <c r="R389" s="1160"/>
      <c r="S389" s="1160"/>
      <c r="T389" s="1160"/>
      <c r="U389" s="1160"/>
      <c r="V389" s="1160"/>
      <c r="W389" s="1160"/>
      <c r="X389" s="1160"/>
      <c r="Y389" s="1160"/>
      <c r="Z389" s="1160"/>
      <c r="AA389" s="1160"/>
      <c r="AB389" s="1160"/>
      <c r="AC389" s="1160"/>
      <c r="AD389" s="1160"/>
      <c r="AE389" s="1160"/>
      <c r="AF389" s="1160"/>
      <c r="AG389" s="1160"/>
      <c r="AH389" s="1160"/>
      <c r="AI389" s="1160"/>
      <c r="AJ389" s="1160"/>
      <c r="AK389" s="1160"/>
      <c r="AL389" s="1160"/>
    </row>
    <row r="390" ht="15.0" customHeight="1">
      <c r="A390" s="1209"/>
      <c r="B390" s="1209"/>
      <c r="C390" s="1210"/>
      <c r="D390" s="1160"/>
      <c r="E390" s="1160"/>
      <c r="F390" s="1160"/>
      <c r="G390" s="1160"/>
      <c r="H390" s="1160"/>
      <c r="I390" s="1160"/>
      <c r="J390" s="1160"/>
      <c r="K390" s="1160"/>
      <c r="L390" s="1160"/>
      <c r="M390" s="1160"/>
      <c r="N390" s="1160"/>
      <c r="O390" s="1160"/>
      <c r="P390" s="1160"/>
      <c r="Q390" s="1160"/>
      <c r="R390" s="1160"/>
      <c r="S390" s="1160"/>
      <c r="T390" s="1160"/>
      <c r="U390" s="1160"/>
      <c r="V390" s="1160"/>
      <c r="W390" s="1160"/>
      <c r="X390" s="1160"/>
      <c r="Y390" s="1160"/>
      <c r="Z390" s="1160"/>
      <c r="AA390" s="1160"/>
      <c r="AB390" s="1160"/>
      <c r="AC390" s="1160"/>
      <c r="AD390" s="1160"/>
      <c r="AE390" s="1160"/>
      <c r="AF390" s="1160"/>
      <c r="AG390" s="1160"/>
      <c r="AH390" s="1160"/>
      <c r="AI390" s="1160"/>
      <c r="AJ390" s="1160"/>
      <c r="AK390" s="1160"/>
      <c r="AL390" s="1160"/>
    </row>
    <row r="391" ht="15.0" customHeight="1">
      <c r="A391" s="1209"/>
      <c r="B391" s="1209"/>
      <c r="C391" s="1210"/>
      <c r="D391" s="1160"/>
      <c r="E391" s="1160"/>
      <c r="F391" s="1160"/>
      <c r="G391" s="1160"/>
      <c r="H391" s="1160"/>
      <c r="I391" s="1160"/>
      <c r="J391" s="1160"/>
      <c r="K391" s="1160"/>
      <c r="L391" s="1160"/>
      <c r="M391" s="1160"/>
      <c r="N391" s="1160"/>
      <c r="O391" s="1160"/>
      <c r="P391" s="1160"/>
      <c r="Q391" s="1160"/>
      <c r="R391" s="1160"/>
      <c r="S391" s="1160"/>
      <c r="T391" s="1160"/>
      <c r="U391" s="1160"/>
      <c r="V391" s="1160"/>
      <c r="W391" s="1160"/>
      <c r="X391" s="1160"/>
      <c r="Y391" s="1160"/>
      <c r="Z391" s="1160"/>
      <c r="AA391" s="1160"/>
      <c r="AB391" s="1160"/>
      <c r="AC391" s="1160"/>
      <c r="AD391" s="1160"/>
      <c r="AE391" s="1160"/>
      <c r="AF391" s="1160"/>
      <c r="AG391" s="1160"/>
      <c r="AH391" s="1160"/>
      <c r="AI391" s="1160"/>
      <c r="AJ391" s="1160"/>
      <c r="AK391" s="1160"/>
      <c r="AL391" s="1160"/>
    </row>
    <row r="392" ht="15.0" customHeight="1">
      <c r="A392" s="1209"/>
      <c r="B392" s="1209"/>
      <c r="C392" s="1210"/>
      <c r="D392" s="1160"/>
      <c r="E392" s="1160"/>
      <c r="F392" s="1160"/>
      <c r="G392" s="1160"/>
      <c r="H392" s="1160"/>
      <c r="I392" s="1160"/>
      <c r="J392" s="1160"/>
      <c r="K392" s="1160"/>
      <c r="L392" s="1160"/>
      <c r="M392" s="1160"/>
      <c r="N392" s="1160"/>
      <c r="O392" s="1160"/>
      <c r="P392" s="1160"/>
      <c r="Q392" s="1160"/>
      <c r="R392" s="1160"/>
      <c r="S392" s="1160"/>
      <c r="T392" s="1160"/>
      <c r="U392" s="1160"/>
      <c r="V392" s="1160"/>
      <c r="W392" s="1160"/>
      <c r="X392" s="1160"/>
      <c r="Y392" s="1160"/>
      <c r="Z392" s="1160"/>
      <c r="AA392" s="1160"/>
      <c r="AB392" s="1160"/>
      <c r="AC392" s="1160"/>
      <c r="AD392" s="1160"/>
      <c r="AE392" s="1160"/>
      <c r="AF392" s="1160"/>
      <c r="AG392" s="1160"/>
      <c r="AH392" s="1160"/>
      <c r="AI392" s="1160"/>
      <c r="AJ392" s="1160"/>
      <c r="AK392" s="1160"/>
      <c r="AL392" s="1160"/>
    </row>
    <row r="393" ht="15.0" customHeight="1">
      <c r="A393" s="1209"/>
      <c r="B393" s="1209"/>
      <c r="C393" s="1210"/>
      <c r="D393" s="1160"/>
      <c r="E393" s="1160"/>
      <c r="F393" s="1160"/>
      <c r="G393" s="1160"/>
      <c r="H393" s="1160"/>
      <c r="I393" s="1160"/>
      <c r="J393" s="1160"/>
      <c r="K393" s="1160"/>
      <c r="L393" s="1160"/>
      <c r="M393" s="1160"/>
      <c r="N393" s="1160"/>
      <c r="O393" s="1160"/>
      <c r="P393" s="1160"/>
      <c r="Q393" s="1160"/>
      <c r="R393" s="1160"/>
      <c r="S393" s="1160"/>
      <c r="T393" s="1160"/>
      <c r="U393" s="1160"/>
      <c r="V393" s="1160"/>
      <c r="W393" s="1160"/>
      <c r="X393" s="1160"/>
      <c r="Y393" s="1160"/>
      <c r="Z393" s="1160"/>
      <c r="AA393" s="1160"/>
      <c r="AB393" s="1160"/>
      <c r="AC393" s="1160"/>
      <c r="AD393" s="1160"/>
      <c r="AE393" s="1160"/>
      <c r="AF393" s="1160"/>
      <c r="AG393" s="1160"/>
      <c r="AH393" s="1160"/>
      <c r="AI393" s="1160"/>
      <c r="AJ393" s="1160"/>
      <c r="AK393" s="1160"/>
      <c r="AL393" s="1160"/>
    </row>
    <row r="394" ht="15.0" customHeight="1">
      <c r="A394" s="1209"/>
      <c r="B394" s="1209"/>
      <c r="C394" s="1210"/>
      <c r="D394" s="1160"/>
      <c r="E394" s="1160"/>
      <c r="F394" s="1160"/>
      <c r="G394" s="1160"/>
      <c r="H394" s="1160"/>
      <c r="I394" s="1160"/>
      <c r="J394" s="1160"/>
      <c r="K394" s="1160"/>
      <c r="L394" s="1160"/>
      <c r="M394" s="1160"/>
      <c r="N394" s="1160"/>
      <c r="O394" s="1160"/>
      <c r="P394" s="1160"/>
      <c r="Q394" s="1160"/>
      <c r="R394" s="1160"/>
      <c r="S394" s="1160"/>
      <c r="T394" s="1160"/>
      <c r="U394" s="1160"/>
      <c r="V394" s="1160"/>
      <c r="W394" s="1160"/>
      <c r="X394" s="1160"/>
      <c r="Y394" s="1160"/>
      <c r="Z394" s="1160"/>
      <c r="AA394" s="1160"/>
      <c r="AB394" s="1160"/>
      <c r="AC394" s="1160"/>
      <c r="AD394" s="1160"/>
      <c r="AE394" s="1160"/>
      <c r="AF394" s="1160"/>
      <c r="AG394" s="1160"/>
      <c r="AH394" s="1160"/>
      <c r="AI394" s="1160"/>
      <c r="AJ394" s="1160"/>
      <c r="AK394" s="1160"/>
      <c r="AL394" s="1160"/>
    </row>
    <row r="395" ht="15.0" customHeight="1">
      <c r="A395" s="1209"/>
      <c r="B395" s="1209"/>
      <c r="C395" s="1210"/>
      <c r="D395" s="1160"/>
      <c r="E395" s="1160"/>
      <c r="F395" s="1160"/>
      <c r="G395" s="1160"/>
      <c r="H395" s="1160"/>
      <c r="I395" s="1160"/>
      <c r="J395" s="1160"/>
      <c r="K395" s="1160"/>
      <c r="L395" s="1160"/>
      <c r="M395" s="1160"/>
      <c r="N395" s="1160"/>
      <c r="O395" s="1160"/>
      <c r="P395" s="1160"/>
      <c r="Q395" s="1160"/>
      <c r="R395" s="1160"/>
      <c r="S395" s="1160"/>
      <c r="T395" s="1160"/>
      <c r="U395" s="1160"/>
      <c r="V395" s="1160"/>
      <c r="W395" s="1160"/>
      <c r="X395" s="1160"/>
      <c r="Y395" s="1160"/>
      <c r="Z395" s="1160"/>
      <c r="AA395" s="1160"/>
      <c r="AB395" s="1160"/>
      <c r="AC395" s="1160"/>
      <c r="AD395" s="1160"/>
      <c r="AE395" s="1160"/>
      <c r="AF395" s="1160"/>
      <c r="AG395" s="1160"/>
      <c r="AH395" s="1160"/>
      <c r="AI395" s="1160"/>
      <c r="AJ395" s="1160"/>
      <c r="AK395" s="1160"/>
      <c r="AL395" s="1160"/>
    </row>
    <row r="396" ht="15.0" customHeight="1">
      <c r="A396" s="1209"/>
      <c r="B396" s="1209"/>
      <c r="C396" s="1210"/>
      <c r="D396" s="1160"/>
      <c r="E396" s="1160"/>
      <c r="F396" s="1160"/>
      <c r="G396" s="1160"/>
      <c r="H396" s="1160"/>
      <c r="I396" s="1160"/>
      <c r="J396" s="1160"/>
      <c r="K396" s="1160"/>
      <c r="L396" s="1160"/>
      <c r="M396" s="1160"/>
      <c r="N396" s="1160"/>
      <c r="O396" s="1160"/>
      <c r="P396" s="1160"/>
      <c r="Q396" s="1160"/>
      <c r="R396" s="1160"/>
      <c r="S396" s="1160"/>
      <c r="T396" s="1160"/>
      <c r="U396" s="1160"/>
      <c r="V396" s="1160"/>
      <c r="W396" s="1160"/>
      <c r="X396" s="1160"/>
      <c r="Y396" s="1160"/>
      <c r="Z396" s="1160"/>
      <c r="AA396" s="1160"/>
      <c r="AB396" s="1160"/>
      <c r="AC396" s="1160"/>
      <c r="AD396" s="1160"/>
      <c r="AE396" s="1160"/>
      <c r="AF396" s="1160"/>
      <c r="AG396" s="1160"/>
      <c r="AH396" s="1160"/>
      <c r="AI396" s="1160"/>
      <c r="AJ396" s="1160"/>
      <c r="AK396" s="1160"/>
      <c r="AL396" s="1160"/>
    </row>
    <row r="397" ht="15.0" customHeight="1">
      <c r="A397" s="1209"/>
      <c r="B397" s="1209"/>
      <c r="C397" s="1210"/>
      <c r="D397" s="1160"/>
      <c r="E397" s="1160"/>
      <c r="F397" s="1160"/>
      <c r="G397" s="1160"/>
      <c r="H397" s="1160"/>
      <c r="I397" s="1160"/>
      <c r="J397" s="1160"/>
      <c r="K397" s="1160"/>
      <c r="L397" s="1160"/>
      <c r="M397" s="1160"/>
      <c r="N397" s="1160"/>
      <c r="O397" s="1160"/>
      <c r="P397" s="1160"/>
      <c r="Q397" s="1160"/>
      <c r="R397" s="1160"/>
      <c r="S397" s="1160"/>
      <c r="T397" s="1160"/>
      <c r="U397" s="1160"/>
      <c r="V397" s="1160"/>
      <c r="W397" s="1160"/>
      <c r="X397" s="1160"/>
      <c r="Y397" s="1160"/>
      <c r="Z397" s="1160"/>
      <c r="AA397" s="1160"/>
      <c r="AB397" s="1160"/>
      <c r="AC397" s="1160"/>
      <c r="AD397" s="1160"/>
      <c r="AE397" s="1160"/>
      <c r="AF397" s="1160"/>
      <c r="AG397" s="1160"/>
      <c r="AH397" s="1160"/>
      <c r="AI397" s="1160"/>
      <c r="AJ397" s="1160"/>
      <c r="AK397" s="1160"/>
      <c r="AL397" s="1160"/>
    </row>
    <row r="398" ht="15.0" customHeight="1">
      <c r="A398" s="1209"/>
      <c r="B398" s="1209"/>
      <c r="C398" s="1210"/>
      <c r="D398" s="1160"/>
      <c r="E398" s="1160"/>
      <c r="F398" s="1160"/>
      <c r="G398" s="1160"/>
      <c r="H398" s="1160"/>
      <c r="I398" s="1160"/>
      <c r="J398" s="1160"/>
      <c r="K398" s="1160"/>
      <c r="L398" s="1160"/>
      <c r="M398" s="1160"/>
      <c r="N398" s="1160"/>
      <c r="O398" s="1160"/>
      <c r="P398" s="1160"/>
      <c r="Q398" s="1160"/>
      <c r="R398" s="1160"/>
      <c r="S398" s="1160"/>
      <c r="T398" s="1160"/>
      <c r="U398" s="1160"/>
      <c r="V398" s="1160"/>
      <c r="W398" s="1160"/>
      <c r="X398" s="1160"/>
      <c r="Y398" s="1160"/>
      <c r="Z398" s="1160"/>
      <c r="AA398" s="1160"/>
      <c r="AB398" s="1160"/>
      <c r="AC398" s="1160"/>
      <c r="AD398" s="1160"/>
      <c r="AE398" s="1160"/>
      <c r="AF398" s="1160"/>
      <c r="AG398" s="1160"/>
      <c r="AH398" s="1160"/>
      <c r="AI398" s="1160"/>
      <c r="AJ398" s="1160"/>
      <c r="AK398" s="1160"/>
      <c r="AL398" s="1160"/>
    </row>
    <row r="399" ht="15.0" customHeight="1">
      <c r="A399" s="1209"/>
      <c r="B399" s="1209"/>
      <c r="C399" s="1210"/>
      <c r="D399" s="1160"/>
      <c r="E399" s="1160"/>
      <c r="F399" s="1160"/>
      <c r="G399" s="1160"/>
      <c r="H399" s="1160"/>
      <c r="I399" s="1160"/>
      <c r="J399" s="1160"/>
      <c r="K399" s="1160"/>
      <c r="L399" s="1160"/>
      <c r="M399" s="1160"/>
      <c r="N399" s="1160"/>
      <c r="O399" s="1160"/>
      <c r="P399" s="1160"/>
      <c r="Q399" s="1160"/>
      <c r="R399" s="1160"/>
      <c r="S399" s="1160"/>
      <c r="T399" s="1160"/>
      <c r="U399" s="1160"/>
      <c r="V399" s="1160"/>
      <c r="W399" s="1160"/>
      <c r="X399" s="1160"/>
      <c r="Y399" s="1160"/>
      <c r="Z399" s="1160"/>
      <c r="AA399" s="1160"/>
      <c r="AB399" s="1160"/>
      <c r="AC399" s="1160"/>
      <c r="AD399" s="1160"/>
      <c r="AE399" s="1160"/>
      <c r="AF399" s="1160"/>
      <c r="AG399" s="1160"/>
      <c r="AH399" s="1160"/>
      <c r="AI399" s="1160"/>
      <c r="AJ399" s="1160"/>
      <c r="AK399" s="1160"/>
      <c r="AL399" s="1160"/>
    </row>
    <row r="400" ht="15.0" customHeight="1">
      <c r="A400" s="1209"/>
      <c r="B400" s="1209"/>
      <c r="C400" s="1210"/>
      <c r="D400" s="1160"/>
      <c r="E400" s="1160"/>
      <c r="F400" s="1160"/>
      <c r="G400" s="1160"/>
      <c r="H400" s="1160"/>
      <c r="I400" s="1160"/>
      <c r="J400" s="1160"/>
      <c r="K400" s="1160"/>
      <c r="L400" s="1160"/>
      <c r="M400" s="1160"/>
      <c r="N400" s="1160"/>
      <c r="O400" s="1160"/>
      <c r="P400" s="1160"/>
      <c r="Q400" s="1160"/>
      <c r="R400" s="1160"/>
      <c r="S400" s="1160"/>
      <c r="T400" s="1160"/>
      <c r="U400" s="1160"/>
      <c r="V400" s="1160"/>
      <c r="W400" s="1160"/>
      <c r="X400" s="1160"/>
      <c r="Y400" s="1160"/>
      <c r="Z400" s="1160"/>
      <c r="AA400" s="1160"/>
      <c r="AB400" s="1160"/>
      <c r="AC400" s="1160"/>
      <c r="AD400" s="1160"/>
      <c r="AE400" s="1160"/>
      <c r="AF400" s="1160"/>
      <c r="AG400" s="1160"/>
      <c r="AH400" s="1160"/>
      <c r="AI400" s="1160"/>
      <c r="AJ400" s="1160"/>
      <c r="AK400" s="1160"/>
      <c r="AL400" s="1160"/>
    </row>
    <row r="401" ht="15.0" customHeight="1">
      <c r="A401" s="1209"/>
      <c r="B401" s="1209"/>
      <c r="C401" s="1210"/>
      <c r="D401" s="1160"/>
      <c r="E401" s="1160"/>
      <c r="F401" s="1160"/>
      <c r="G401" s="1160"/>
      <c r="H401" s="1160"/>
      <c r="I401" s="1160"/>
      <c r="J401" s="1160"/>
      <c r="K401" s="1160"/>
      <c r="L401" s="1160"/>
      <c r="M401" s="1160"/>
      <c r="N401" s="1160"/>
      <c r="O401" s="1160"/>
      <c r="P401" s="1160"/>
      <c r="Q401" s="1160"/>
      <c r="R401" s="1160"/>
      <c r="S401" s="1160"/>
      <c r="T401" s="1160"/>
      <c r="U401" s="1160"/>
      <c r="V401" s="1160"/>
      <c r="W401" s="1160"/>
      <c r="X401" s="1160"/>
      <c r="Y401" s="1160"/>
      <c r="Z401" s="1160"/>
      <c r="AA401" s="1160"/>
      <c r="AB401" s="1160"/>
      <c r="AC401" s="1160"/>
      <c r="AD401" s="1160"/>
      <c r="AE401" s="1160"/>
      <c r="AF401" s="1160"/>
      <c r="AG401" s="1160"/>
      <c r="AH401" s="1160"/>
      <c r="AI401" s="1160"/>
      <c r="AJ401" s="1160"/>
      <c r="AK401" s="1160"/>
      <c r="AL401" s="1160"/>
    </row>
    <row r="402" ht="15.0" customHeight="1">
      <c r="A402" s="1209"/>
      <c r="B402" s="1209"/>
      <c r="C402" s="1210"/>
      <c r="D402" s="1160"/>
      <c r="E402" s="1160"/>
      <c r="F402" s="1160"/>
      <c r="G402" s="1160"/>
      <c r="H402" s="1160"/>
      <c r="I402" s="1160"/>
      <c r="J402" s="1160"/>
      <c r="K402" s="1160"/>
      <c r="L402" s="1160"/>
      <c r="M402" s="1160"/>
      <c r="N402" s="1160"/>
      <c r="O402" s="1160"/>
      <c r="P402" s="1160"/>
      <c r="Q402" s="1160"/>
      <c r="R402" s="1160"/>
      <c r="S402" s="1160"/>
      <c r="T402" s="1160"/>
      <c r="U402" s="1160"/>
      <c r="V402" s="1160"/>
      <c r="W402" s="1160"/>
      <c r="X402" s="1160"/>
      <c r="Y402" s="1160"/>
      <c r="Z402" s="1160"/>
      <c r="AA402" s="1160"/>
      <c r="AB402" s="1160"/>
      <c r="AC402" s="1160"/>
      <c r="AD402" s="1160"/>
      <c r="AE402" s="1160"/>
      <c r="AF402" s="1160"/>
      <c r="AG402" s="1160"/>
      <c r="AH402" s="1160"/>
      <c r="AI402" s="1160"/>
      <c r="AJ402" s="1160"/>
      <c r="AK402" s="1160"/>
      <c r="AL402" s="1160"/>
    </row>
    <row r="403" ht="15.0" customHeight="1">
      <c r="A403" s="1209"/>
      <c r="B403" s="1209"/>
      <c r="C403" s="1210"/>
      <c r="D403" s="1160"/>
      <c r="E403" s="1160"/>
      <c r="F403" s="1160"/>
      <c r="G403" s="1160"/>
      <c r="H403" s="1160"/>
      <c r="I403" s="1160"/>
      <c r="J403" s="1160"/>
      <c r="K403" s="1160"/>
      <c r="L403" s="1160"/>
      <c r="M403" s="1160"/>
      <c r="N403" s="1160"/>
      <c r="O403" s="1160"/>
      <c r="P403" s="1160"/>
      <c r="Q403" s="1160"/>
      <c r="R403" s="1160"/>
      <c r="S403" s="1160"/>
      <c r="T403" s="1160"/>
      <c r="U403" s="1160"/>
      <c r="V403" s="1160"/>
      <c r="W403" s="1160"/>
      <c r="X403" s="1160"/>
      <c r="Y403" s="1160"/>
      <c r="Z403" s="1160"/>
      <c r="AA403" s="1160"/>
      <c r="AB403" s="1160"/>
      <c r="AC403" s="1160"/>
      <c r="AD403" s="1160"/>
      <c r="AE403" s="1160"/>
      <c r="AF403" s="1160"/>
      <c r="AG403" s="1160"/>
      <c r="AH403" s="1160"/>
      <c r="AI403" s="1160"/>
      <c r="AJ403" s="1160"/>
      <c r="AK403" s="1160"/>
      <c r="AL403" s="1160"/>
    </row>
    <row r="404" ht="15.0" customHeight="1">
      <c r="A404" s="1209"/>
      <c r="B404" s="1209"/>
      <c r="C404" s="1210"/>
      <c r="D404" s="1160"/>
      <c r="E404" s="1160"/>
      <c r="F404" s="1160"/>
      <c r="G404" s="1160"/>
      <c r="H404" s="1160"/>
      <c r="I404" s="1160"/>
      <c r="J404" s="1160"/>
      <c r="K404" s="1160"/>
      <c r="L404" s="1160"/>
      <c r="M404" s="1160"/>
      <c r="N404" s="1160"/>
      <c r="O404" s="1160"/>
      <c r="P404" s="1160"/>
      <c r="Q404" s="1160"/>
      <c r="R404" s="1160"/>
      <c r="S404" s="1160"/>
      <c r="T404" s="1160"/>
      <c r="U404" s="1160"/>
      <c r="V404" s="1160"/>
      <c r="W404" s="1160"/>
      <c r="X404" s="1160"/>
      <c r="Y404" s="1160"/>
      <c r="Z404" s="1160"/>
      <c r="AA404" s="1160"/>
      <c r="AB404" s="1160"/>
      <c r="AC404" s="1160"/>
      <c r="AD404" s="1160"/>
      <c r="AE404" s="1160"/>
      <c r="AF404" s="1160"/>
      <c r="AG404" s="1160"/>
      <c r="AH404" s="1160"/>
      <c r="AI404" s="1160"/>
      <c r="AJ404" s="1160"/>
      <c r="AK404" s="1160"/>
      <c r="AL404" s="1160"/>
    </row>
    <row r="405" ht="15.0" customHeight="1">
      <c r="A405" s="1209"/>
      <c r="B405" s="1209"/>
      <c r="C405" s="1210"/>
      <c r="D405" s="1160"/>
      <c r="E405" s="1160"/>
      <c r="F405" s="1160"/>
      <c r="G405" s="1160"/>
      <c r="H405" s="1160"/>
      <c r="I405" s="1160"/>
      <c r="J405" s="1160"/>
      <c r="K405" s="1160"/>
      <c r="L405" s="1160"/>
      <c r="M405" s="1160"/>
      <c r="N405" s="1160"/>
      <c r="O405" s="1160"/>
      <c r="P405" s="1160"/>
      <c r="Q405" s="1160"/>
      <c r="R405" s="1160"/>
      <c r="S405" s="1160"/>
      <c r="T405" s="1160"/>
      <c r="U405" s="1160"/>
      <c r="V405" s="1160"/>
      <c r="W405" s="1160"/>
      <c r="X405" s="1160"/>
      <c r="Y405" s="1160"/>
      <c r="Z405" s="1160"/>
      <c r="AA405" s="1160"/>
      <c r="AB405" s="1160"/>
      <c r="AC405" s="1160"/>
      <c r="AD405" s="1160"/>
      <c r="AE405" s="1160"/>
      <c r="AF405" s="1160"/>
      <c r="AG405" s="1160"/>
      <c r="AH405" s="1160"/>
      <c r="AI405" s="1160"/>
      <c r="AJ405" s="1160"/>
      <c r="AK405" s="1160"/>
      <c r="AL405" s="1160"/>
    </row>
    <row r="406" ht="15.0" customHeight="1">
      <c r="A406" s="1209"/>
      <c r="B406" s="1209"/>
      <c r="C406" s="1210"/>
      <c r="D406" s="1160"/>
      <c r="E406" s="1160"/>
      <c r="F406" s="1160"/>
      <c r="G406" s="1160"/>
      <c r="H406" s="1160"/>
      <c r="I406" s="1160"/>
      <c r="J406" s="1160"/>
      <c r="K406" s="1160"/>
      <c r="L406" s="1160"/>
      <c r="M406" s="1160"/>
      <c r="N406" s="1160"/>
      <c r="O406" s="1160"/>
      <c r="P406" s="1160"/>
      <c r="Q406" s="1160"/>
      <c r="R406" s="1160"/>
      <c r="S406" s="1160"/>
      <c r="T406" s="1160"/>
      <c r="U406" s="1160"/>
      <c r="V406" s="1160"/>
      <c r="W406" s="1160"/>
      <c r="X406" s="1160"/>
      <c r="Y406" s="1160"/>
      <c r="Z406" s="1160"/>
      <c r="AA406" s="1160"/>
      <c r="AB406" s="1160"/>
      <c r="AC406" s="1160"/>
      <c r="AD406" s="1160"/>
      <c r="AE406" s="1160"/>
      <c r="AF406" s="1160"/>
      <c r="AG406" s="1160"/>
      <c r="AH406" s="1160"/>
      <c r="AI406" s="1160"/>
      <c r="AJ406" s="1160"/>
      <c r="AK406" s="1160"/>
      <c r="AL406" s="1160"/>
    </row>
    <row r="407" ht="15.0" customHeight="1">
      <c r="A407" s="1209"/>
      <c r="B407" s="1209"/>
      <c r="C407" s="1210"/>
      <c r="D407" s="1160"/>
      <c r="E407" s="1160"/>
      <c r="F407" s="1160"/>
      <c r="G407" s="1160"/>
      <c r="H407" s="1160"/>
      <c r="I407" s="1160"/>
      <c r="J407" s="1160"/>
      <c r="K407" s="1160"/>
      <c r="L407" s="1160"/>
      <c r="M407" s="1160"/>
      <c r="N407" s="1160"/>
      <c r="O407" s="1160"/>
      <c r="P407" s="1160"/>
      <c r="Q407" s="1160"/>
      <c r="R407" s="1160"/>
      <c r="S407" s="1160"/>
      <c r="T407" s="1160"/>
      <c r="U407" s="1160"/>
      <c r="V407" s="1160"/>
      <c r="W407" s="1160"/>
      <c r="X407" s="1160"/>
      <c r="Y407" s="1160"/>
      <c r="Z407" s="1160"/>
      <c r="AA407" s="1160"/>
      <c r="AB407" s="1160"/>
      <c r="AC407" s="1160"/>
      <c r="AD407" s="1160"/>
      <c r="AE407" s="1160"/>
      <c r="AF407" s="1160"/>
      <c r="AG407" s="1160"/>
      <c r="AH407" s="1160"/>
      <c r="AI407" s="1160"/>
      <c r="AJ407" s="1160"/>
      <c r="AK407" s="1160"/>
      <c r="AL407" s="1160"/>
    </row>
    <row r="408" ht="15.0" customHeight="1">
      <c r="A408" s="1209"/>
      <c r="B408" s="1209"/>
      <c r="C408" s="1210"/>
      <c r="D408" s="1160"/>
      <c r="E408" s="1160"/>
      <c r="F408" s="1160"/>
      <c r="G408" s="1160"/>
      <c r="H408" s="1160"/>
      <c r="I408" s="1160"/>
      <c r="J408" s="1160"/>
      <c r="K408" s="1160"/>
      <c r="L408" s="1160"/>
      <c r="M408" s="1160"/>
      <c r="N408" s="1160"/>
      <c r="O408" s="1160"/>
      <c r="P408" s="1160"/>
      <c r="Q408" s="1160"/>
      <c r="R408" s="1160"/>
      <c r="S408" s="1160"/>
      <c r="T408" s="1160"/>
      <c r="U408" s="1160"/>
      <c r="V408" s="1160"/>
      <c r="W408" s="1160"/>
      <c r="X408" s="1160"/>
      <c r="Y408" s="1160"/>
      <c r="Z408" s="1160"/>
      <c r="AA408" s="1160"/>
      <c r="AB408" s="1160"/>
      <c r="AC408" s="1160"/>
      <c r="AD408" s="1160"/>
      <c r="AE408" s="1160"/>
      <c r="AF408" s="1160"/>
      <c r="AG408" s="1160"/>
      <c r="AH408" s="1160"/>
      <c r="AI408" s="1160"/>
      <c r="AJ408" s="1160"/>
      <c r="AK408" s="1160"/>
      <c r="AL408" s="1160"/>
    </row>
    <row r="409" ht="15.0" customHeight="1">
      <c r="A409" s="1209"/>
      <c r="B409" s="1209"/>
      <c r="C409" s="1210"/>
      <c r="D409" s="1160"/>
      <c r="E409" s="1160"/>
      <c r="F409" s="1160"/>
      <c r="G409" s="1160"/>
      <c r="H409" s="1160"/>
      <c r="I409" s="1160"/>
      <c r="J409" s="1160"/>
      <c r="K409" s="1160"/>
      <c r="L409" s="1160"/>
      <c r="M409" s="1160"/>
      <c r="N409" s="1160"/>
      <c r="O409" s="1160"/>
      <c r="P409" s="1160"/>
      <c r="Q409" s="1160"/>
      <c r="R409" s="1160"/>
      <c r="S409" s="1160"/>
      <c r="T409" s="1160"/>
      <c r="U409" s="1160"/>
      <c r="V409" s="1160"/>
      <c r="W409" s="1160"/>
      <c r="X409" s="1160"/>
      <c r="Y409" s="1160"/>
      <c r="Z409" s="1160"/>
      <c r="AA409" s="1160"/>
      <c r="AB409" s="1160"/>
      <c r="AC409" s="1160"/>
      <c r="AD409" s="1160"/>
      <c r="AE409" s="1160"/>
      <c r="AF409" s="1160"/>
      <c r="AG409" s="1160"/>
      <c r="AH409" s="1160"/>
      <c r="AI409" s="1160"/>
      <c r="AJ409" s="1160"/>
      <c r="AK409" s="1160"/>
      <c r="AL409" s="1160"/>
    </row>
    <row r="410" ht="15.0" customHeight="1">
      <c r="A410" s="1209"/>
      <c r="B410" s="1209"/>
      <c r="C410" s="1210"/>
      <c r="D410" s="1160"/>
      <c r="E410" s="1160"/>
      <c r="F410" s="1160"/>
      <c r="G410" s="1160"/>
      <c r="H410" s="1160"/>
      <c r="I410" s="1160"/>
      <c r="J410" s="1160"/>
      <c r="K410" s="1160"/>
      <c r="L410" s="1160"/>
      <c r="M410" s="1160"/>
      <c r="N410" s="1160"/>
      <c r="O410" s="1160"/>
      <c r="P410" s="1160"/>
      <c r="Q410" s="1160"/>
      <c r="R410" s="1160"/>
      <c r="S410" s="1160"/>
      <c r="T410" s="1160"/>
      <c r="U410" s="1160"/>
      <c r="V410" s="1160"/>
      <c r="W410" s="1160"/>
      <c r="X410" s="1160"/>
      <c r="Y410" s="1160"/>
      <c r="Z410" s="1160"/>
      <c r="AA410" s="1160"/>
      <c r="AB410" s="1160"/>
      <c r="AC410" s="1160"/>
      <c r="AD410" s="1160"/>
      <c r="AE410" s="1160"/>
      <c r="AF410" s="1160"/>
      <c r="AG410" s="1160"/>
      <c r="AH410" s="1160"/>
      <c r="AI410" s="1160"/>
      <c r="AJ410" s="1160"/>
      <c r="AK410" s="1160"/>
      <c r="AL410" s="1160"/>
    </row>
    <row r="411" ht="15.0" customHeight="1">
      <c r="A411" s="1209"/>
      <c r="B411" s="1209"/>
      <c r="C411" s="1210"/>
      <c r="D411" s="1160"/>
      <c r="E411" s="1160"/>
      <c r="F411" s="1160"/>
      <c r="G411" s="1160"/>
      <c r="H411" s="1160"/>
      <c r="I411" s="1160"/>
      <c r="J411" s="1160"/>
      <c r="K411" s="1160"/>
      <c r="L411" s="1160"/>
      <c r="M411" s="1160"/>
      <c r="N411" s="1160"/>
      <c r="O411" s="1160"/>
      <c r="P411" s="1160"/>
      <c r="Q411" s="1160"/>
      <c r="R411" s="1160"/>
      <c r="S411" s="1160"/>
      <c r="T411" s="1160"/>
      <c r="U411" s="1160"/>
      <c r="V411" s="1160"/>
      <c r="W411" s="1160"/>
      <c r="X411" s="1160"/>
      <c r="Y411" s="1160"/>
      <c r="Z411" s="1160"/>
      <c r="AA411" s="1160"/>
      <c r="AB411" s="1160"/>
      <c r="AC411" s="1160"/>
      <c r="AD411" s="1160"/>
      <c r="AE411" s="1160"/>
      <c r="AF411" s="1160"/>
      <c r="AG411" s="1160"/>
      <c r="AH411" s="1160"/>
      <c r="AI411" s="1160"/>
      <c r="AJ411" s="1160"/>
      <c r="AK411" s="1160"/>
      <c r="AL411" s="1160"/>
    </row>
    <row r="412" ht="15.0" customHeight="1">
      <c r="A412" s="1209"/>
      <c r="B412" s="1209"/>
      <c r="C412" s="1210"/>
      <c r="D412" s="1160"/>
      <c r="E412" s="1160"/>
      <c r="F412" s="1160"/>
      <c r="G412" s="1160"/>
      <c r="H412" s="1160"/>
      <c r="I412" s="1160"/>
      <c r="J412" s="1160"/>
      <c r="K412" s="1160"/>
      <c r="L412" s="1160"/>
      <c r="M412" s="1160"/>
      <c r="N412" s="1160"/>
      <c r="O412" s="1160"/>
      <c r="P412" s="1160"/>
      <c r="Q412" s="1160"/>
      <c r="R412" s="1160"/>
      <c r="S412" s="1160"/>
      <c r="T412" s="1160"/>
      <c r="U412" s="1160"/>
      <c r="V412" s="1160"/>
      <c r="W412" s="1160"/>
      <c r="X412" s="1160"/>
      <c r="Y412" s="1160"/>
      <c r="Z412" s="1160"/>
      <c r="AA412" s="1160"/>
      <c r="AB412" s="1160"/>
      <c r="AC412" s="1160"/>
      <c r="AD412" s="1160"/>
      <c r="AE412" s="1160"/>
      <c r="AF412" s="1160"/>
      <c r="AG412" s="1160"/>
      <c r="AH412" s="1160"/>
      <c r="AI412" s="1160"/>
      <c r="AJ412" s="1160"/>
      <c r="AK412" s="1160"/>
      <c r="AL412" s="1160"/>
    </row>
    <row r="413" ht="15.0" customHeight="1">
      <c r="A413" s="1209"/>
      <c r="B413" s="1209"/>
      <c r="C413" s="1210"/>
      <c r="D413" s="1160"/>
      <c r="E413" s="1160"/>
      <c r="F413" s="1160"/>
      <c r="G413" s="1160"/>
      <c r="H413" s="1160"/>
      <c r="I413" s="1160"/>
      <c r="J413" s="1160"/>
      <c r="K413" s="1160"/>
      <c r="L413" s="1160"/>
      <c r="M413" s="1160"/>
      <c r="N413" s="1160"/>
      <c r="O413" s="1160"/>
      <c r="P413" s="1160"/>
      <c r="Q413" s="1160"/>
      <c r="R413" s="1160"/>
      <c r="S413" s="1160"/>
      <c r="T413" s="1160"/>
      <c r="U413" s="1160"/>
      <c r="V413" s="1160"/>
      <c r="W413" s="1160"/>
      <c r="X413" s="1160"/>
      <c r="Y413" s="1160"/>
      <c r="Z413" s="1160"/>
      <c r="AA413" s="1160"/>
      <c r="AB413" s="1160"/>
      <c r="AC413" s="1160"/>
      <c r="AD413" s="1160"/>
      <c r="AE413" s="1160"/>
      <c r="AF413" s="1160"/>
      <c r="AG413" s="1160"/>
      <c r="AH413" s="1160"/>
      <c r="AI413" s="1160"/>
      <c r="AJ413" s="1160"/>
      <c r="AK413" s="1160"/>
      <c r="AL413" s="1160"/>
    </row>
    <row r="414" ht="15.0" customHeight="1">
      <c r="A414" s="1209"/>
      <c r="B414" s="1209"/>
      <c r="C414" s="1210"/>
      <c r="D414" s="1160"/>
      <c r="E414" s="1160"/>
      <c r="F414" s="1160"/>
      <c r="G414" s="1160"/>
      <c r="H414" s="1160"/>
      <c r="I414" s="1160"/>
      <c r="J414" s="1160"/>
      <c r="K414" s="1160"/>
      <c r="L414" s="1160"/>
      <c r="M414" s="1160"/>
      <c r="N414" s="1160"/>
      <c r="O414" s="1160"/>
      <c r="P414" s="1160"/>
      <c r="Q414" s="1160"/>
      <c r="R414" s="1160"/>
      <c r="S414" s="1160"/>
      <c r="T414" s="1160"/>
      <c r="U414" s="1160"/>
      <c r="V414" s="1160"/>
      <c r="W414" s="1160"/>
      <c r="X414" s="1160"/>
      <c r="Y414" s="1160"/>
      <c r="Z414" s="1160"/>
      <c r="AA414" s="1160"/>
      <c r="AB414" s="1160"/>
      <c r="AC414" s="1160"/>
      <c r="AD414" s="1160"/>
      <c r="AE414" s="1160"/>
      <c r="AF414" s="1160"/>
      <c r="AG414" s="1160"/>
      <c r="AH414" s="1160"/>
      <c r="AI414" s="1160"/>
      <c r="AJ414" s="1160"/>
      <c r="AK414" s="1160"/>
      <c r="AL414" s="1160"/>
    </row>
    <row r="415" ht="15.0" customHeight="1">
      <c r="A415" s="1209"/>
      <c r="B415" s="1209"/>
      <c r="C415" s="1210"/>
      <c r="D415" s="1160"/>
      <c r="E415" s="1160"/>
      <c r="F415" s="1160"/>
      <c r="G415" s="1160"/>
      <c r="H415" s="1160"/>
      <c r="I415" s="1160"/>
      <c r="J415" s="1160"/>
      <c r="K415" s="1160"/>
      <c r="L415" s="1160"/>
      <c r="M415" s="1160"/>
      <c r="N415" s="1160"/>
      <c r="O415" s="1160"/>
      <c r="P415" s="1160"/>
      <c r="Q415" s="1160"/>
      <c r="R415" s="1160"/>
      <c r="S415" s="1160"/>
      <c r="T415" s="1160"/>
      <c r="U415" s="1160"/>
      <c r="V415" s="1160"/>
      <c r="W415" s="1160"/>
      <c r="X415" s="1160"/>
      <c r="Y415" s="1160"/>
      <c r="Z415" s="1160"/>
      <c r="AA415" s="1160"/>
      <c r="AB415" s="1160"/>
      <c r="AC415" s="1160"/>
      <c r="AD415" s="1160"/>
      <c r="AE415" s="1160"/>
      <c r="AF415" s="1160"/>
      <c r="AG415" s="1160"/>
      <c r="AH415" s="1160"/>
      <c r="AI415" s="1160"/>
      <c r="AJ415" s="1160"/>
      <c r="AK415" s="1160"/>
      <c r="AL415" s="1160"/>
    </row>
    <row r="416" ht="15.0" customHeight="1">
      <c r="A416" s="1209"/>
      <c r="B416" s="1209"/>
      <c r="C416" s="1210"/>
      <c r="D416" s="1160"/>
      <c r="E416" s="1160"/>
      <c r="F416" s="1160"/>
      <c r="G416" s="1160"/>
      <c r="H416" s="1160"/>
      <c r="I416" s="1160"/>
      <c r="J416" s="1160"/>
      <c r="K416" s="1160"/>
      <c r="L416" s="1160"/>
      <c r="M416" s="1160"/>
      <c r="N416" s="1160"/>
      <c r="O416" s="1160"/>
      <c r="P416" s="1160"/>
      <c r="Q416" s="1160"/>
      <c r="R416" s="1160"/>
      <c r="S416" s="1160"/>
      <c r="T416" s="1160"/>
      <c r="U416" s="1160"/>
      <c r="V416" s="1160"/>
      <c r="W416" s="1160"/>
      <c r="X416" s="1160"/>
      <c r="Y416" s="1160"/>
      <c r="Z416" s="1160"/>
      <c r="AA416" s="1160"/>
      <c r="AB416" s="1160"/>
      <c r="AC416" s="1160"/>
      <c r="AD416" s="1160"/>
      <c r="AE416" s="1160"/>
      <c r="AF416" s="1160"/>
      <c r="AG416" s="1160"/>
      <c r="AH416" s="1160"/>
      <c r="AI416" s="1160"/>
      <c r="AJ416" s="1160"/>
      <c r="AK416" s="1160"/>
      <c r="AL416" s="1160"/>
    </row>
    <row r="417" ht="15.0" customHeight="1">
      <c r="A417" s="1209"/>
      <c r="B417" s="1209"/>
      <c r="C417" s="1210"/>
      <c r="D417" s="1160"/>
      <c r="E417" s="1160"/>
      <c r="F417" s="1160"/>
      <c r="G417" s="1160"/>
      <c r="H417" s="1160"/>
      <c r="I417" s="1160"/>
      <c r="J417" s="1160"/>
      <c r="K417" s="1160"/>
      <c r="L417" s="1160"/>
      <c r="M417" s="1160"/>
      <c r="N417" s="1160"/>
      <c r="O417" s="1160"/>
      <c r="P417" s="1160"/>
      <c r="Q417" s="1160"/>
      <c r="R417" s="1160"/>
      <c r="S417" s="1160"/>
      <c r="T417" s="1160"/>
      <c r="U417" s="1160"/>
      <c r="V417" s="1160"/>
      <c r="W417" s="1160"/>
      <c r="X417" s="1160"/>
      <c r="Y417" s="1160"/>
      <c r="Z417" s="1160"/>
      <c r="AA417" s="1160"/>
      <c r="AB417" s="1160"/>
      <c r="AC417" s="1160"/>
      <c r="AD417" s="1160"/>
      <c r="AE417" s="1160"/>
      <c r="AF417" s="1160"/>
      <c r="AG417" s="1160"/>
      <c r="AH417" s="1160"/>
      <c r="AI417" s="1160"/>
      <c r="AJ417" s="1160"/>
      <c r="AK417" s="1160"/>
      <c r="AL417" s="1160"/>
    </row>
    <row r="418" ht="15.0" customHeight="1">
      <c r="A418" s="1209"/>
      <c r="B418" s="1209"/>
      <c r="C418" s="1210"/>
      <c r="D418" s="1160"/>
      <c r="E418" s="1160"/>
      <c r="F418" s="1160"/>
      <c r="G418" s="1160"/>
      <c r="H418" s="1160"/>
      <c r="I418" s="1160"/>
      <c r="J418" s="1160"/>
      <c r="K418" s="1160"/>
      <c r="L418" s="1160"/>
      <c r="M418" s="1160"/>
      <c r="N418" s="1160"/>
      <c r="O418" s="1160"/>
      <c r="P418" s="1160"/>
      <c r="Q418" s="1160"/>
      <c r="R418" s="1160"/>
      <c r="S418" s="1160"/>
      <c r="T418" s="1160"/>
      <c r="U418" s="1160"/>
      <c r="V418" s="1160"/>
      <c r="W418" s="1160"/>
      <c r="X418" s="1160"/>
      <c r="Y418" s="1160"/>
      <c r="Z418" s="1160"/>
      <c r="AA418" s="1160"/>
      <c r="AB418" s="1160"/>
      <c r="AC418" s="1160"/>
      <c r="AD418" s="1160"/>
      <c r="AE418" s="1160"/>
      <c r="AF418" s="1160"/>
      <c r="AG418" s="1160"/>
      <c r="AH418" s="1160"/>
      <c r="AI418" s="1160"/>
      <c r="AJ418" s="1160"/>
      <c r="AK418" s="1160"/>
      <c r="AL418" s="1160"/>
    </row>
    <row r="419" ht="15.0" customHeight="1">
      <c r="A419" s="1209"/>
      <c r="B419" s="1209"/>
      <c r="C419" s="1210"/>
      <c r="D419" s="1160"/>
      <c r="E419" s="1160"/>
      <c r="F419" s="1160"/>
      <c r="G419" s="1160"/>
      <c r="H419" s="1160"/>
      <c r="I419" s="1160"/>
      <c r="J419" s="1160"/>
      <c r="K419" s="1160"/>
      <c r="L419" s="1160"/>
      <c r="M419" s="1160"/>
      <c r="N419" s="1160"/>
      <c r="O419" s="1160"/>
      <c r="P419" s="1160"/>
      <c r="Q419" s="1160"/>
      <c r="R419" s="1160"/>
      <c r="S419" s="1160"/>
      <c r="T419" s="1160"/>
      <c r="U419" s="1160"/>
      <c r="V419" s="1160"/>
      <c r="W419" s="1160"/>
      <c r="X419" s="1160"/>
      <c r="Y419" s="1160"/>
      <c r="Z419" s="1160"/>
      <c r="AA419" s="1160"/>
      <c r="AB419" s="1160"/>
      <c r="AC419" s="1160"/>
      <c r="AD419" s="1160"/>
      <c r="AE419" s="1160"/>
      <c r="AF419" s="1160"/>
      <c r="AG419" s="1160"/>
      <c r="AH419" s="1160"/>
      <c r="AI419" s="1160"/>
      <c r="AJ419" s="1160"/>
      <c r="AK419" s="1160"/>
      <c r="AL419" s="1160"/>
    </row>
    <row r="420" ht="15.0" customHeight="1">
      <c r="A420" s="1209"/>
      <c r="B420" s="1209"/>
      <c r="C420" s="1210"/>
      <c r="D420" s="1160"/>
      <c r="E420" s="1160"/>
      <c r="F420" s="1160"/>
      <c r="G420" s="1160"/>
      <c r="H420" s="1160"/>
      <c r="I420" s="1160"/>
      <c r="J420" s="1160"/>
      <c r="K420" s="1160"/>
      <c r="L420" s="1160"/>
      <c r="M420" s="1160"/>
      <c r="N420" s="1160"/>
      <c r="O420" s="1160"/>
      <c r="P420" s="1160"/>
      <c r="Q420" s="1160"/>
      <c r="R420" s="1160"/>
      <c r="S420" s="1160"/>
      <c r="T420" s="1160"/>
      <c r="U420" s="1160"/>
      <c r="V420" s="1160"/>
      <c r="W420" s="1160"/>
      <c r="X420" s="1160"/>
      <c r="Y420" s="1160"/>
      <c r="Z420" s="1160"/>
      <c r="AA420" s="1160"/>
      <c r="AB420" s="1160"/>
      <c r="AC420" s="1160"/>
      <c r="AD420" s="1160"/>
      <c r="AE420" s="1160"/>
      <c r="AF420" s="1160"/>
      <c r="AG420" s="1160"/>
      <c r="AH420" s="1160"/>
      <c r="AI420" s="1160"/>
      <c r="AJ420" s="1160"/>
      <c r="AK420" s="1160"/>
      <c r="AL420" s="1160"/>
    </row>
    <row r="421" ht="15.0" customHeight="1">
      <c r="A421" s="1209"/>
      <c r="B421" s="1209"/>
      <c r="C421" s="1210"/>
      <c r="D421" s="1160"/>
      <c r="E421" s="1160"/>
      <c r="F421" s="1160"/>
      <c r="G421" s="1160"/>
      <c r="H421" s="1160"/>
      <c r="I421" s="1160"/>
      <c r="J421" s="1160"/>
      <c r="K421" s="1160"/>
      <c r="L421" s="1160"/>
      <c r="M421" s="1160"/>
      <c r="N421" s="1160"/>
      <c r="O421" s="1160"/>
      <c r="P421" s="1160"/>
      <c r="Q421" s="1160"/>
      <c r="R421" s="1160"/>
      <c r="S421" s="1160"/>
      <c r="T421" s="1160"/>
      <c r="U421" s="1160"/>
      <c r="V421" s="1160"/>
      <c r="W421" s="1160"/>
      <c r="X421" s="1160"/>
      <c r="Y421" s="1160"/>
      <c r="Z421" s="1160"/>
      <c r="AA421" s="1160"/>
      <c r="AB421" s="1160"/>
      <c r="AC421" s="1160"/>
      <c r="AD421" s="1160"/>
      <c r="AE421" s="1160"/>
      <c r="AF421" s="1160"/>
      <c r="AG421" s="1160"/>
      <c r="AH421" s="1160"/>
      <c r="AI421" s="1160"/>
      <c r="AJ421" s="1160"/>
      <c r="AK421" s="1160"/>
      <c r="AL421" s="1160"/>
    </row>
    <row r="422" ht="15.0" customHeight="1">
      <c r="A422" s="1209"/>
      <c r="B422" s="1209"/>
      <c r="C422" s="1210"/>
      <c r="D422" s="1160"/>
      <c r="E422" s="1160"/>
      <c r="F422" s="1160"/>
      <c r="G422" s="1160"/>
      <c r="H422" s="1160"/>
      <c r="I422" s="1160"/>
      <c r="J422" s="1160"/>
      <c r="K422" s="1160"/>
      <c r="L422" s="1160"/>
      <c r="M422" s="1160"/>
      <c r="N422" s="1160"/>
      <c r="O422" s="1160"/>
      <c r="P422" s="1160"/>
      <c r="Q422" s="1160"/>
      <c r="R422" s="1160"/>
      <c r="S422" s="1160"/>
      <c r="T422" s="1160"/>
      <c r="U422" s="1160"/>
      <c r="V422" s="1160"/>
      <c r="W422" s="1160"/>
      <c r="X422" s="1160"/>
      <c r="Y422" s="1160"/>
      <c r="Z422" s="1160"/>
      <c r="AA422" s="1160"/>
      <c r="AB422" s="1160"/>
      <c r="AC422" s="1160"/>
      <c r="AD422" s="1160"/>
      <c r="AE422" s="1160"/>
      <c r="AF422" s="1160"/>
      <c r="AG422" s="1160"/>
      <c r="AH422" s="1160"/>
      <c r="AI422" s="1160"/>
      <c r="AJ422" s="1160"/>
      <c r="AK422" s="1160"/>
      <c r="AL422" s="1160"/>
    </row>
    <row r="423" ht="15.0" customHeight="1">
      <c r="A423" s="1209"/>
      <c r="B423" s="1209"/>
      <c r="C423" s="1210"/>
      <c r="D423" s="1160"/>
      <c r="E423" s="1160"/>
      <c r="F423" s="1160"/>
      <c r="G423" s="1160"/>
      <c r="H423" s="1160"/>
      <c r="I423" s="1160"/>
      <c r="J423" s="1160"/>
      <c r="K423" s="1160"/>
      <c r="L423" s="1160"/>
      <c r="M423" s="1160"/>
      <c r="N423" s="1160"/>
      <c r="O423" s="1160"/>
      <c r="P423" s="1160"/>
      <c r="Q423" s="1160"/>
      <c r="R423" s="1160"/>
      <c r="S423" s="1160"/>
      <c r="T423" s="1160"/>
      <c r="U423" s="1160"/>
      <c r="V423" s="1160"/>
      <c r="W423" s="1160"/>
      <c r="X423" s="1160"/>
      <c r="Y423" s="1160"/>
      <c r="Z423" s="1160"/>
      <c r="AA423" s="1160"/>
      <c r="AB423" s="1160"/>
      <c r="AC423" s="1160"/>
      <c r="AD423" s="1160"/>
      <c r="AE423" s="1160"/>
      <c r="AF423" s="1160"/>
      <c r="AG423" s="1160"/>
      <c r="AH423" s="1160"/>
      <c r="AI423" s="1160"/>
      <c r="AJ423" s="1160"/>
      <c r="AK423" s="1160"/>
      <c r="AL423" s="1160"/>
    </row>
    <row r="424" ht="15.0" customHeight="1">
      <c r="A424" s="1209"/>
      <c r="B424" s="1209"/>
      <c r="C424" s="1210"/>
      <c r="D424" s="1160"/>
      <c r="E424" s="1160"/>
      <c r="F424" s="1160"/>
      <c r="G424" s="1160"/>
      <c r="H424" s="1160"/>
      <c r="I424" s="1160"/>
      <c r="J424" s="1160"/>
      <c r="K424" s="1160"/>
      <c r="L424" s="1160"/>
      <c r="M424" s="1160"/>
      <c r="N424" s="1160"/>
      <c r="O424" s="1160"/>
      <c r="P424" s="1160"/>
      <c r="Q424" s="1160"/>
      <c r="R424" s="1160"/>
      <c r="S424" s="1160"/>
      <c r="T424" s="1160"/>
      <c r="U424" s="1160"/>
      <c r="V424" s="1160"/>
      <c r="W424" s="1160"/>
      <c r="X424" s="1160"/>
      <c r="Y424" s="1160"/>
      <c r="Z424" s="1160"/>
      <c r="AA424" s="1160"/>
      <c r="AB424" s="1160"/>
      <c r="AC424" s="1160"/>
      <c r="AD424" s="1160"/>
      <c r="AE424" s="1160"/>
      <c r="AF424" s="1160"/>
      <c r="AG424" s="1160"/>
      <c r="AH424" s="1160"/>
      <c r="AI424" s="1160"/>
      <c r="AJ424" s="1160"/>
      <c r="AK424" s="1160"/>
      <c r="AL424" s="1160"/>
    </row>
    <row r="425" ht="15.0" customHeight="1">
      <c r="A425" s="1209"/>
      <c r="B425" s="1209"/>
      <c r="C425" s="1210"/>
      <c r="D425" s="1160"/>
      <c r="E425" s="1160"/>
      <c r="F425" s="1160"/>
      <c r="G425" s="1160"/>
      <c r="H425" s="1160"/>
      <c r="I425" s="1160"/>
      <c r="J425" s="1160"/>
      <c r="K425" s="1160"/>
      <c r="L425" s="1160"/>
      <c r="M425" s="1160"/>
      <c r="N425" s="1160"/>
      <c r="O425" s="1160"/>
      <c r="P425" s="1160"/>
      <c r="Q425" s="1160"/>
      <c r="R425" s="1160"/>
      <c r="S425" s="1160"/>
      <c r="T425" s="1160"/>
      <c r="U425" s="1160"/>
      <c r="V425" s="1160"/>
      <c r="W425" s="1160"/>
      <c r="X425" s="1160"/>
      <c r="Y425" s="1160"/>
      <c r="Z425" s="1160"/>
      <c r="AA425" s="1160"/>
      <c r="AB425" s="1160"/>
      <c r="AC425" s="1160"/>
      <c r="AD425" s="1160"/>
      <c r="AE425" s="1160"/>
      <c r="AF425" s="1160"/>
      <c r="AG425" s="1160"/>
      <c r="AH425" s="1160"/>
      <c r="AI425" s="1160"/>
      <c r="AJ425" s="1160"/>
      <c r="AK425" s="1160"/>
      <c r="AL425" s="1160"/>
    </row>
    <row r="426" ht="15.0" customHeight="1">
      <c r="A426" s="1209"/>
      <c r="B426" s="1209"/>
      <c r="C426" s="1210"/>
      <c r="D426" s="1160"/>
      <c r="E426" s="1160"/>
      <c r="F426" s="1160"/>
      <c r="G426" s="1160"/>
      <c r="H426" s="1160"/>
      <c r="I426" s="1160"/>
      <c r="J426" s="1160"/>
      <c r="K426" s="1160"/>
      <c r="L426" s="1160"/>
      <c r="M426" s="1160"/>
      <c r="N426" s="1160"/>
      <c r="O426" s="1160"/>
      <c r="P426" s="1160"/>
      <c r="Q426" s="1160"/>
      <c r="R426" s="1160"/>
      <c r="S426" s="1160"/>
      <c r="T426" s="1160"/>
      <c r="U426" s="1160"/>
      <c r="V426" s="1160"/>
      <c r="W426" s="1160"/>
      <c r="X426" s="1160"/>
      <c r="Y426" s="1160"/>
      <c r="Z426" s="1160"/>
      <c r="AA426" s="1160"/>
      <c r="AB426" s="1160"/>
      <c r="AC426" s="1160"/>
      <c r="AD426" s="1160"/>
      <c r="AE426" s="1160"/>
      <c r="AF426" s="1160"/>
      <c r="AG426" s="1160"/>
      <c r="AH426" s="1160"/>
      <c r="AI426" s="1160"/>
      <c r="AJ426" s="1160"/>
      <c r="AK426" s="1160"/>
      <c r="AL426" s="1160"/>
    </row>
    <row r="427" ht="15.0" customHeight="1">
      <c r="A427" s="1209"/>
      <c r="B427" s="1209"/>
      <c r="C427" s="1210"/>
      <c r="D427" s="1160"/>
      <c r="E427" s="1160"/>
      <c r="F427" s="1160"/>
      <c r="G427" s="1160"/>
      <c r="H427" s="1160"/>
      <c r="I427" s="1160"/>
      <c r="J427" s="1160"/>
      <c r="K427" s="1160"/>
      <c r="L427" s="1160"/>
      <c r="M427" s="1160"/>
      <c r="N427" s="1160"/>
      <c r="O427" s="1160"/>
      <c r="P427" s="1160"/>
      <c r="Q427" s="1160"/>
      <c r="R427" s="1160"/>
      <c r="S427" s="1160"/>
      <c r="T427" s="1160"/>
      <c r="U427" s="1160"/>
      <c r="V427" s="1160"/>
      <c r="W427" s="1160"/>
      <c r="X427" s="1160"/>
      <c r="Y427" s="1160"/>
      <c r="Z427" s="1160"/>
      <c r="AA427" s="1160"/>
      <c r="AB427" s="1160"/>
      <c r="AC427" s="1160"/>
      <c r="AD427" s="1160"/>
      <c r="AE427" s="1160"/>
      <c r="AF427" s="1160"/>
      <c r="AG427" s="1160"/>
      <c r="AH427" s="1160"/>
      <c r="AI427" s="1160"/>
      <c r="AJ427" s="1160"/>
      <c r="AK427" s="1160"/>
      <c r="AL427" s="1160"/>
    </row>
    <row r="428" ht="15.0" customHeight="1">
      <c r="A428" s="1209"/>
      <c r="B428" s="1209"/>
      <c r="C428" s="1210"/>
      <c r="D428" s="1160"/>
      <c r="E428" s="1160"/>
      <c r="F428" s="1160"/>
      <c r="G428" s="1160"/>
      <c r="H428" s="1160"/>
      <c r="I428" s="1160"/>
      <c r="J428" s="1160"/>
      <c r="K428" s="1160"/>
      <c r="L428" s="1160"/>
      <c r="M428" s="1160"/>
      <c r="N428" s="1160"/>
      <c r="O428" s="1160"/>
      <c r="P428" s="1160"/>
      <c r="Q428" s="1160"/>
      <c r="R428" s="1160"/>
      <c r="S428" s="1160"/>
      <c r="T428" s="1160"/>
      <c r="U428" s="1160"/>
      <c r="V428" s="1160"/>
      <c r="W428" s="1160"/>
      <c r="X428" s="1160"/>
      <c r="Y428" s="1160"/>
      <c r="Z428" s="1160"/>
      <c r="AA428" s="1160"/>
      <c r="AB428" s="1160"/>
      <c r="AC428" s="1160"/>
      <c r="AD428" s="1160"/>
      <c r="AE428" s="1160"/>
      <c r="AF428" s="1160"/>
      <c r="AG428" s="1160"/>
      <c r="AH428" s="1160"/>
      <c r="AI428" s="1160"/>
      <c r="AJ428" s="1160"/>
      <c r="AK428" s="1160"/>
      <c r="AL428" s="1160"/>
    </row>
    <row r="429" ht="15.0" customHeight="1">
      <c r="A429" s="1209"/>
      <c r="B429" s="1209"/>
      <c r="C429" s="1210"/>
      <c r="D429" s="1160"/>
      <c r="E429" s="1160"/>
      <c r="F429" s="1160"/>
      <c r="G429" s="1160"/>
      <c r="H429" s="1160"/>
      <c r="I429" s="1160"/>
      <c r="J429" s="1160"/>
      <c r="K429" s="1160"/>
      <c r="L429" s="1160"/>
      <c r="M429" s="1160"/>
      <c r="N429" s="1160"/>
      <c r="O429" s="1160"/>
      <c r="P429" s="1160"/>
      <c r="Q429" s="1160"/>
      <c r="R429" s="1160"/>
      <c r="S429" s="1160"/>
      <c r="T429" s="1160"/>
      <c r="U429" s="1160"/>
      <c r="V429" s="1160"/>
      <c r="W429" s="1160"/>
      <c r="X429" s="1160"/>
      <c r="Y429" s="1160"/>
      <c r="Z429" s="1160"/>
      <c r="AA429" s="1160"/>
      <c r="AB429" s="1160"/>
      <c r="AC429" s="1160"/>
      <c r="AD429" s="1160"/>
      <c r="AE429" s="1160"/>
      <c r="AF429" s="1160"/>
      <c r="AG429" s="1160"/>
      <c r="AH429" s="1160"/>
      <c r="AI429" s="1160"/>
      <c r="AJ429" s="1160"/>
      <c r="AK429" s="1160"/>
      <c r="AL429" s="1160"/>
    </row>
    <row r="430" ht="15.0" customHeight="1">
      <c r="A430" s="1209"/>
      <c r="B430" s="1209"/>
      <c r="C430" s="1210"/>
      <c r="D430" s="1160"/>
      <c r="E430" s="1160"/>
      <c r="F430" s="1160"/>
      <c r="G430" s="1160"/>
      <c r="H430" s="1160"/>
      <c r="I430" s="1160"/>
      <c r="J430" s="1160"/>
      <c r="K430" s="1160"/>
      <c r="L430" s="1160"/>
      <c r="M430" s="1160"/>
      <c r="N430" s="1160"/>
      <c r="O430" s="1160"/>
      <c r="P430" s="1160"/>
      <c r="Q430" s="1160"/>
      <c r="R430" s="1160"/>
      <c r="S430" s="1160"/>
      <c r="T430" s="1160"/>
      <c r="U430" s="1160"/>
      <c r="V430" s="1160"/>
      <c r="W430" s="1160"/>
      <c r="X430" s="1160"/>
      <c r="Y430" s="1160"/>
      <c r="Z430" s="1160"/>
      <c r="AA430" s="1160"/>
      <c r="AB430" s="1160"/>
      <c r="AC430" s="1160"/>
      <c r="AD430" s="1160"/>
      <c r="AE430" s="1160"/>
      <c r="AF430" s="1160"/>
      <c r="AG430" s="1160"/>
      <c r="AH430" s="1160"/>
      <c r="AI430" s="1160"/>
      <c r="AJ430" s="1160"/>
      <c r="AK430" s="1160"/>
      <c r="AL430" s="1160"/>
    </row>
    <row r="431" ht="15.0" customHeight="1">
      <c r="A431" s="1209"/>
      <c r="B431" s="1209"/>
      <c r="C431" s="1210"/>
      <c r="D431" s="1160"/>
      <c r="E431" s="1160"/>
      <c r="F431" s="1160"/>
      <c r="G431" s="1160"/>
      <c r="H431" s="1160"/>
      <c r="I431" s="1160"/>
      <c r="J431" s="1160"/>
      <c r="K431" s="1160"/>
      <c r="L431" s="1160"/>
      <c r="M431" s="1160"/>
      <c r="N431" s="1160"/>
      <c r="O431" s="1160"/>
      <c r="P431" s="1160"/>
      <c r="Q431" s="1160"/>
      <c r="R431" s="1160"/>
      <c r="S431" s="1160"/>
      <c r="T431" s="1160"/>
      <c r="U431" s="1160"/>
      <c r="V431" s="1160"/>
      <c r="W431" s="1160"/>
      <c r="X431" s="1160"/>
      <c r="Y431" s="1160"/>
      <c r="Z431" s="1160"/>
      <c r="AA431" s="1160"/>
      <c r="AB431" s="1160"/>
      <c r="AC431" s="1160"/>
      <c r="AD431" s="1160"/>
      <c r="AE431" s="1160"/>
      <c r="AF431" s="1160"/>
      <c r="AG431" s="1160"/>
      <c r="AH431" s="1160"/>
      <c r="AI431" s="1160"/>
      <c r="AJ431" s="1160"/>
      <c r="AK431" s="1160"/>
      <c r="AL431" s="1160"/>
    </row>
    <row r="432" ht="15.0" customHeight="1">
      <c r="A432" s="1209"/>
      <c r="B432" s="1209"/>
      <c r="C432" s="1210"/>
      <c r="D432" s="1160"/>
      <c r="E432" s="1160"/>
      <c r="F432" s="1160"/>
      <c r="G432" s="1160"/>
      <c r="H432" s="1160"/>
      <c r="I432" s="1160"/>
      <c r="J432" s="1160"/>
      <c r="K432" s="1160"/>
      <c r="L432" s="1160"/>
      <c r="M432" s="1160"/>
      <c r="N432" s="1160"/>
      <c r="O432" s="1160"/>
      <c r="P432" s="1160"/>
      <c r="Q432" s="1160"/>
      <c r="R432" s="1160"/>
      <c r="S432" s="1160"/>
      <c r="T432" s="1160"/>
      <c r="U432" s="1160"/>
      <c r="V432" s="1160"/>
      <c r="W432" s="1160"/>
      <c r="X432" s="1160"/>
      <c r="Y432" s="1160"/>
      <c r="Z432" s="1160"/>
      <c r="AA432" s="1160"/>
      <c r="AB432" s="1160"/>
      <c r="AC432" s="1160"/>
      <c r="AD432" s="1160"/>
      <c r="AE432" s="1160"/>
      <c r="AF432" s="1160"/>
      <c r="AG432" s="1160"/>
      <c r="AH432" s="1160"/>
      <c r="AI432" s="1160"/>
      <c r="AJ432" s="1160"/>
      <c r="AK432" s="1160"/>
      <c r="AL432" s="1160"/>
    </row>
    <row r="433" ht="15.0" customHeight="1">
      <c r="A433" s="1209"/>
      <c r="B433" s="1209"/>
      <c r="C433" s="1210"/>
      <c r="D433" s="1160"/>
      <c r="E433" s="1160"/>
      <c r="F433" s="1160"/>
      <c r="G433" s="1160"/>
      <c r="H433" s="1160"/>
      <c r="I433" s="1160"/>
      <c r="J433" s="1160"/>
      <c r="K433" s="1160"/>
      <c r="L433" s="1160"/>
      <c r="M433" s="1160"/>
      <c r="N433" s="1160"/>
      <c r="O433" s="1160"/>
      <c r="P433" s="1160"/>
      <c r="Q433" s="1160"/>
      <c r="R433" s="1160"/>
      <c r="S433" s="1160"/>
      <c r="T433" s="1160"/>
      <c r="U433" s="1160"/>
      <c r="V433" s="1160"/>
      <c r="W433" s="1160"/>
      <c r="X433" s="1160"/>
      <c r="Y433" s="1160"/>
      <c r="Z433" s="1160"/>
      <c r="AA433" s="1160"/>
      <c r="AB433" s="1160"/>
      <c r="AC433" s="1160"/>
      <c r="AD433" s="1160"/>
      <c r="AE433" s="1160"/>
      <c r="AF433" s="1160"/>
      <c r="AG433" s="1160"/>
      <c r="AH433" s="1160"/>
      <c r="AI433" s="1160"/>
      <c r="AJ433" s="1160"/>
      <c r="AK433" s="1160"/>
      <c r="AL433" s="1160"/>
    </row>
    <row r="434" ht="15.0" customHeight="1">
      <c r="A434" s="1209"/>
      <c r="B434" s="1209"/>
      <c r="C434" s="1210"/>
      <c r="D434" s="1160"/>
      <c r="E434" s="1160"/>
      <c r="F434" s="1160"/>
      <c r="G434" s="1160"/>
      <c r="H434" s="1160"/>
      <c r="I434" s="1160"/>
      <c r="J434" s="1160"/>
      <c r="K434" s="1160"/>
      <c r="L434" s="1160"/>
      <c r="M434" s="1160"/>
      <c r="N434" s="1160"/>
      <c r="O434" s="1160"/>
      <c r="P434" s="1160"/>
      <c r="Q434" s="1160"/>
      <c r="R434" s="1160"/>
      <c r="S434" s="1160"/>
      <c r="T434" s="1160"/>
      <c r="U434" s="1160"/>
      <c r="V434" s="1160"/>
      <c r="W434" s="1160"/>
      <c r="X434" s="1160"/>
      <c r="Y434" s="1160"/>
      <c r="Z434" s="1160"/>
      <c r="AA434" s="1160"/>
      <c r="AB434" s="1160"/>
      <c r="AC434" s="1160"/>
      <c r="AD434" s="1160"/>
      <c r="AE434" s="1160"/>
      <c r="AF434" s="1160"/>
      <c r="AG434" s="1160"/>
      <c r="AH434" s="1160"/>
      <c r="AI434" s="1160"/>
      <c r="AJ434" s="1160"/>
      <c r="AK434" s="1160"/>
      <c r="AL434" s="1160"/>
    </row>
    <row r="435" ht="15.0" customHeight="1">
      <c r="A435" s="1209"/>
      <c r="B435" s="1209"/>
      <c r="C435" s="1210"/>
      <c r="D435" s="1160"/>
      <c r="E435" s="1160"/>
      <c r="F435" s="1160"/>
      <c r="G435" s="1160"/>
      <c r="H435" s="1160"/>
      <c r="I435" s="1160"/>
      <c r="J435" s="1160"/>
      <c r="K435" s="1160"/>
      <c r="L435" s="1160"/>
      <c r="M435" s="1160"/>
      <c r="N435" s="1160"/>
      <c r="O435" s="1160"/>
      <c r="P435" s="1160"/>
      <c r="Q435" s="1160"/>
      <c r="R435" s="1160"/>
      <c r="S435" s="1160"/>
      <c r="T435" s="1160"/>
      <c r="U435" s="1160"/>
      <c r="V435" s="1160"/>
      <c r="W435" s="1160"/>
      <c r="X435" s="1160"/>
      <c r="Y435" s="1160"/>
      <c r="Z435" s="1160"/>
      <c r="AA435" s="1160"/>
      <c r="AB435" s="1160"/>
      <c r="AC435" s="1160"/>
      <c r="AD435" s="1160"/>
      <c r="AE435" s="1160"/>
      <c r="AF435" s="1160"/>
      <c r="AG435" s="1160"/>
      <c r="AH435" s="1160"/>
      <c r="AI435" s="1160"/>
      <c r="AJ435" s="1160"/>
      <c r="AK435" s="1160"/>
      <c r="AL435" s="1160"/>
    </row>
    <row r="436" ht="15.0" customHeight="1">
      <c r="A436" s="1209"/>
      <c r="B436" s="1209"/>
      <c r="C436" s="1210"/>
      <c r="D436" s="1160"/>
      <c r="E436" s="1160"/>
      <c r="F436" s="1160"/>
      <c r="G436" s="1160"/>
      <c r="H436" s="1160"/>
      <c r="I436" s="1160"/>
      <c r="J436" s="1160"/>
      <c r="K436" s="1160"/>
      <c r="L436" s="1160"/>
      <c r="M436" s="1160"/>
      <c r="N436" s="1160"/>
      <c r="O436" s="1160"/>
      <c r="P436" s="1160"/>
      <c r="Q436" s="1160"/>
      <c r="R436" s="1160"/>
      <c r="S436" s="1160"/>
      <c r="T436" s="1160"/>
      <c r="U436" s="1160"/>
      <c r="V436" s="1160"/>
      <c r="W436" s="1160"/>
      <c r="X436" s="1160"/>
      <c r="Y436" s="1160"/>
      <c r="Z436" s="1160"/>
      <c r="AA436" s="1160"/>
      <c r="AB436" s="1160"/>
      <c r="AC436" s="1160"/>
      <c r="AD436" s="1160"/>
      <c r="AE436" s="1160"/>
      <c r="AF436" s="1160"/>
      <c r="AG436" s="1160"/>
      <c r="AH436" s="1160"/>
      <c r="AI436" s="1160"/>
      <c r="AJ436" s="1160"/>
      <c r="AK436" s="1160"/>
      <c r="AL436" s="1160"/>
    </row>
    <row r="437" ht="15.0" customHeight="1">
      <c r="A437" s="1209"/>
      <c r="B437" s="1209"/>
      <c r="C437" s="1210"/>
      <c r="D437" s="1160"/>
      <c r="E437" s="1160"/>
      <c r="F437" s="1160"/>
      <c r="G437" s="1160"/>
      <c r="H437" s="1160"/>
      <c r="I437" s="1160"/>
      <c r="J437" s="1160"/>
      <c r="K437" s="1160"/>
      <c r="L437" s="1160"/>
      <c r="M437" s="1160"/>
      <c r="N437" s="1160"/>
      <c r="O437" s="1160"/>
      <c r="P437" s="1160"/>
      <c r="Q437" s="1160"/>
      <c r="R437" s="1160"/>
      <c r="S437" s="1160"/>
      <c r="T437" s="1160"/>
      <c r="U437" s="1160"/>
      <c r="V437" s="1160"/>
      <c r="W437" s="1160"/>
      <c r="X437" s="1160"/>
      <c r="Y437" s="1160"/>
      <c r="Z437" s="1160"/>
      <c r="AA437" s="1160"/>
      <c r="AB437" s="1160"/>
      <c r="AC437" s="1160"/>
      <c r="AD437" s="1160"/>
      <c r="AE437" s="1160"/>
      <c r="AF437" s="1160"/>
      <c r="AG437" s="1160"/>
      <c r="AH437" s="1160"/>
      <c r="AI437" s="1160"/>
      <c r="AJ437" s="1160"/>
      <c r="AK437" s="1160"/>
      <c r="AL437" s="1160"/>
    </row>
    <row r="438" ht="15.0" customHeight="1">
      <c r="A438" s="1209"/>
      <c r="B438" s="1209"/>
      <c r="C438" s="1210"/>
      <c r="D438" s="1160"/>
      <c r="E438" s="1160"/>
      <c r="F438" s="1160"/>
      <c r="G438" s="1160"/>
      <c r="H438" s="1160"/>
      <c r="I438" s="1160"/>
      <c r="J438" s="1160"/>
      <c r="K438" s="1160"/>
      <c r="L438" s="1160"/>
      <c r="M438" s="1160"/>
      <c r="N438" s="1160"/>
      <c r="O438" s="1160"/>
      <c r="P438" s="1160"/>
      <c r="Q438" s="1160"/>
      <c r="R438" s="1160"/>
      <c r="S438" s="1160"/>
      <c r="T438" s="1160"/>
      <c r="U438" s="1160"/>
      <c r="V438" s="1160"/>
      <c r="W438" s="1160"/>
      <c r="X438" s="1160"/>
      <c r="Y438" s="1160"/>
      <c r="Z438" s="1160"/>
      <c r="AA438" s="1160"/>
      <c r="AB438" s="1160"/>
      <c r="AC438" s="1160"/>
      <c r="AD438" s="1160"/>
      <c r="AE438" s="1160"/>
      <c r="AF438" s="1160"/>
      <c r="AG438" s="1160"/>
      <c r="AH438" s="1160"/>
      <c r="AI438" s="1160"/>
      <c r="AJ438" s="1160"/>
      <c r="AK438" s="1160"/>
      <c r="AL438" s="1160"/>
    </row>
    <row r="439" ht="15.0" customHeight="1">
      <c r="A439" s="1209"/>
      <c r="B439" s="1209"/>
      <c r="C439" s="1210"/>
      <c r="D439" s="1160"/>
      <c r="E439" s="1160"/>
      <c r="F439" s="1160"/>
      <c r="G439" s="1160"/>
      <c r="H439" s="1160"/>
      <c r="I439" s="1160"/>
      <c r="J439" s="1160"/>
      <c r="K439" s="1160"/>
      <c r="L439" s="1160"/>
      <c r="M439" s="1160"/>
      <c r="N439" s="1160"/>
      <c r="O439" s="1160"/>
      <c r="P439" s="1160"/>
      <c r="Q439" s="1160"/>
      <c r="R439" s="1160"/>
      <c r="S439" s="1160"/>
      <c r="T439" s="1160"/>
      <c r="U439" s="1160"/>
      <c r="V439" s="1160"/>
      <c r="W439" s="1160"/>
      <c r="X439" s="1160"/>
      <c r="Y439" s="1160"/>
      <c r="Z439" s="1160"/>
      <c r="AA439" s="1160"/>
      <c r="AB439" s="1160"/>
      <c r="AC439" s="1160"/>
      <c r="AD439" s="1160"/>
      <c r="AE439" s="1160"/>
      <c r="AF439" s="1160"/>
      <c r="AG439" s="1160"/>
      <c r="AH439" s="1160"/>
      <c r="AI439" s="1160"/>
      <c r="AJ439" s="1160"/>
      <c r="AK439" s="1160"/>
      <c r="AL439" s="1160"/>
    </row>
    <row r="440" ht="15.0" customHeight="1">
      <c r="A440" s="1209"/>
      <c r="B440" s="1209"/>
      <c r="C440" s="1210"/>
      <c r="D440" s="1160"/>
      <c r="E440" s="1160"/>
      <c r="F440" s="1160"/>
      <c r="G440" s="1160"/>
      <c r="H440" s="1160"/>
      <c r="I440" s="1160"/>
      <c r="J440" s="1160"/>
      <c r="K440" s="1160"/>
      <c r="L440" s="1160"/>
      <c r="M440" s="1160"/>
      <c r="N440" s="1160"/>
      <c r="O440" s="1160"/>
      <c r="P440" s="1160"/>
      <c r="Q440" s="1160"/>
      <c r="R440" s="1160"/>
      <c r="S440" s="1160"/>
      <c r="T440" s="1160"/>
      <c r="U440" s="1160"/>
      <c r="V440" s="1160"/>
      <c r="W440" s="1160"/>
      <c r="X440" s="1160"/>
      <c r="Y440" s="1160"/>
      <c r="Z440" s="1160"/>
      <c r="AA440" s="1160"/>
      <c r="AB440" s="1160"/>
      <c r="AC440" s="1160"/>
      <c r="AD440" s="1160"/>
      <c r="AE440" s="1160"/>
      <c r="AF440" s="1160"/>
      <c r="AG440" s="1160"/>
      <c r="AH440" s="1160"/>
      <c r="AI440" s="1160"/>
      <c r="AJ440" s="1160"/>
      <c r="AK440" s="1160"/>
      <c r="AL440" s="1160"/>
    </row>
    <row r="441" ht="15.0" customHeight="1">
      <c r="A441" s="1209"/>
      <c r="B441" s="1209"/>
      <c r="C441" s="1210"/>
      <c r="D441" s="1160"/>
      <c r="E441" s="1160"/>
      <c r="F441" s="1160"/>
      <c r="G441" s="1160"/>
      <c r="H441" s="1160"/>
      <c r="I441" s="1160"/>
      <c r="J441" s="1160"/>
      <c r="K441" s="1160"/>
      <c r="L441" s="1160"/>
      <c r="M441" s="1160"/>
      <c r="N441" s="1160"/>
      <c r="O441" s="1160"/>
      <c r="P441" s="1160"/>
      <c r="Q441" s="1160"/>
      <c r="R441" s="1160"/>
      <c r="S441" s="1160"/>
      <c r="T441" s="1160"/>
      <c r="U441" s="1160"/>
      <c r="V441" s="1160"/>
      <c r="W441" s="1160"/>
      <c r="X441" s="1160"/>
      <c r="Y441" s="1160"/>
      <c r="Z441" s="1160"/>
      <c r="AA441" s="1160"/>
      <c r="AB441" s="1160"/>
      <c r="AC441" s="1160"/>
      <c r="AD441" s="1160"/>
      <c r="AE441" s="1160"/>
      <c r="AF441" s="1160"/>
      <c r="AG441" s="1160"/>
      <c r="AH441" s="1160"/>
      <c r="AI441" s="1160"/>
      <c r="AJ441" s="1160"/>
      <c r="AK441" s="1160"/>
      <c r="AL441" s="1160"/>
    </row>
    <row r="442" ht="15.0" customHeight="1">
      <c r="A442" s="1209"/>
      <c r="B442" s="1209"/>
      <c r="C442" s="1210"/>
      <c r="D442" s="1160"/>
      <c r="E442" s="1160"/>
      <c r="F442" s="1160"/>
      <c r="G442" s="1160"/>
      <c r="H442" s="1160"/>
      <c r="I442" s="1160"/>
      <c r="J442" s="1160"/>
      <c r="K442" s="1160"/>
      <c r="L442" s="1160"/>
      <c r="M442" s="1160"/>
      <c r="N442" s="1160"/>
      <c r="O442" s="1160"/>
      <c r="P442" s="1160"/>
      <c r="Q442" s="1160"/>
      <c r="R442" s="1160"/>
      <c r="S442" s="1160"/>
      <c r="T442" s="1160"/>
      <c r="U442" s="1160"/>
      <c r="V442" s="1160"/>
      <c r="W442" s="1160"/>
      <c r="X442" s="1160"/>
      <c r="Y442" s="1160"/>
      <c r="Z442" s="1160"/>
      <c r="AA442" s="1160"/>
      <c r="AB442" s="1160"/>
      <c r="AC442" s="1160"/>
      <c r="AD442" s="1160"/>
      <c r="AE442" s="1160"/>
      <c r="AF442" s="1160"/>
      <c r="AG442" s="1160"/>
      <c r="AH442" s="1160"/>
      <c r="AI442" s="1160"/>
      <c r="AJ442" s="1160"/>
      <c r="AK442" s="1160"/>
      <c r="AL442" s="1160"/>
    </row>
    <row r="443" ht="15.0" customHeight="1">
      <c r="A443" s="1209"/>
      <c r="B443" s="1209"/>
      <c r="C443" s="1210"/>
      <c r="D443" s="1160"/>
      <c r="E443" s="1160"/>
      <c r="F443" s="1160"/>
      <c r="G443" s="1160"/>
      <c r="H443" s="1160"/>
      <c r="I443" s="1160"/>
      <c r="J443" s="1160"/>
      <c r="K443" s="1160"/>
      <c r="L443" s="1160"/>
      <c r="M443" s="1160"/>
      <c r="N443" s="1160"/>
      <c r="O443" s="1160"/>
      <c r="P443" s="1160"/>
      <c r="Q443" s="1160"/>
      <c r="R443" s="1160"/>
      <c r="S443" s="1160"/>
      <c r="T443" s="1160"/>
      <c r="U443" s="1160"/>
      <c r="V443" s="1160"/>
      <c r="W443" s="1160"/>
      <c r="X443" s="1160"/>
      <c r="Y443" s="1160"/>
      <c r="Z443" s="1160"/>
      <c r="AA443" s="1160"/>
      <c r="AB443" s="1160"/>
      <c r="AC443" s="1160"/>
      <c r="AD443" s="1160"/>
      <c r="AE443" s="1160"/>
      <c r="AF443" s="1160"/>
      <c r="AG443" s="1160"/>
      <c r="AH443" s="1160"/>
      <c r="AI443" s="1160"/>
      <c r="AJ443" s="1160"/>
      <c r="AK443" s="1160"/>
      <c r="AL443" s="1160"/>
    </row>
    <row r="444" ht="15.0" customHeight="1">
      <c r="A444" s="1209"/>
      <c r="B444" s="1209"/>
      <c r="C444" s="1210"/>
      <c r="D444" s="1160"/>
      <c r="E444" s="1160"/>
      <c r="F444" s="1160"/>
      <c r="G444" s="1160"/>
      <c r="H444" s="1160"/>
      <c r="I444" s="1160"/>
      <c r="J444" s="1160"/>
      <c r="K444" s="1160"/>
      <c r="L444" s="1160"/>
      <c r="M444" s="1160"/>
      <c r="N444" s="1160"/>
      <c r="O444" s="1160"/>
      <c r="P444" s="1160"/>
      <c r="Q444" s="1160"/>
      <c r="R444" s="1160"/>
      <c r="S444" s="1160"/>
      <c r="T444" s="1160"/>
      <c r="U444" s="1160"/>
      <c r="V444" s="1160"/>
      <c r="W444" s="1160"/>
      <c r="X444" s="1160"/>
      <c r="Y444" s="1160"/>
      <c r="Z444" s="1160"/>
      <c r="AA444" s="1160"/>
      <c r="AB444" s="1160"/>
      <c r="AC444" s="1160"/>
      <c r="AD444" s="1160"/>
      <c r="AE444" s="1160"/>
      <c r="AF444" s="1160"/>
      <c r="AG444" s="1160"/>
      <c r="AH444" s="1160"/>
      <c r="AI444" s="1160"/>
      <c r="AJ444" s="1160"/>
      <c r="AK444" s="1160"/>
      <c r="AL444" s="1160"/>
    </row>
    <row r="445" ht="15.0" customHeight="1">
      <c r="A445" s="1209"/>
      <c r="B445" s="1209"/>
      <c r="C445" s="1210"/>
      <c r="D445" s="1160"/>
      <c r="E445" s="1160"/>
      <c r="F445" s="1160"/>
      <c r="G445" s="1160"/>
      <c r="H445" s="1160"/>
      <c r="I445" s="1160"/>
      <c r="J445" s="1160"/>
      <c r="K445" s="1160"/>
      <c r="L445" s="1160"/>
      <c r="M445" s="1160"/>
      <c r="N445" s="1160"/>
      <c r="O445" s="1160"/>
      <c r="P445" s="1160"/>
      <c r="Q445" s="1160"/>
      <c r="R445" s="1160"/>
      <c r="S445" s="1160"/>
      <c r="T445" s="1160"/>
      <c r="U445" s="1160"/>
      <c r="V445" s="1160"/>
      <c r="W445" s="1160"/>
      <c r="X445" s="1160"/>
      <c r="Y445" s="1160"/>
      <c r="Z445" s="1160"/>
      <c r="AA445" s="1160"/>
      <c r="AB445" s="1160"/>
      <c r="AC445" s="1160"/>
      <c r="AD445" s="1160"/>
      <c r="AE445" s="1160"/>
      <c r="AF445" s="1160"/>
      <c r="AG445" s="1160"/>
      <c r="AH445" s="1160"/>
      <c r="AI445" s="1160"/>
      <c r="AJ445" s="1160"/>
      <c r="AK445" s="1160"/>
      <c r="AL445" s="1160"/>
    </row>
    <row r="446" ht="15.0" customHeight="1">
      <c r="A446" s="1209"/>
      <c r="B446" s="1209"/>
      <c r="C446" s="1210"/>
      <c r="D446" s="1160"/>
      <c r="E446" s="1160"/>
      <c r="F446" s="1160"/>
      <c r="G446" s="1160"/>
      <c r="H446" s="1160"/>
      <c r="I446" s="1160"/>
      <c r="J446" s="1160"/>
      <c r="K446" s="1160"/>
      <c r="L446" s="1160"/>
      <c r="M446" s="1160"/>
      <c r="N446" s="1160"/>
      <c r="O446" s="1160"/>
      <c r="P446" s="1160"/>
      <c r="Q446" s="1160"/>
      <c r="R446" s="1160"/>
      <c r="S446" s="1160"/>
      <c r="T446" s="1160"/>
      <c r="U446" s="1160"/>
      <c r="V446" s="1160"/>
      <c r="W446" s="1160"/>
      <c r="X446" s="1160"/>
      <c r="Y446" s="1160"/>
      <c r="Z446" s="1160"/>
      <c r="AA446" s="1160"/>
      <c r="AB446" s="1160"/>
      <c r="AC446" s="1160"/>
      <c r="AD446" s="1160"/>
      <c r="AE446" s="1160"/>
      <c r="AF446" s="1160"/>
      <c r="AG446" s="1160"/>
      <c r="AH446" s="1160"/>
      <c r="AI446" s="1160"/>
      <c r="AJ446" s="1160"/>
      <c r="AK446" s="1160"/>
      <c r="AL446" s="1160"/>
    </row>
    <row r="447" ht="15.0" customHeight="1">
      <c r="A447" s="1209"/>
      <c r="B447" s="1209"/>
      <c r="C447" s="1210"/>
      <c r="D447" s="1160"/>
      <c r="E447" s="1160"/>
      <c r="F447" s="1160"/>
      <c r="G447" s="1160"/>
      <c r="H447" s="1160"/>
      <c r="I447" s="1160"/>
      <c r="J447" s="1160"/>
      <c r="K447" s="1160"/>
      <c r="L447" s="1160"/>
      <c r="M447" s="1160"/>
      <c r="N447" s="1160"/>
      <c r="O447" s="1160"/>
      <c r="P447" s="1160"/>
      <c r="Q447" s="1160"/>
      <c r="R447" s="1160"/>
      <c r="S447" s="1160"/>
      <c r="T447" s="1160"/>
      <c r="U447" s="1160"/>
      <c r="V447" s="1160"/>
      <c r="W447" s="1160"/>
      <c r="X447" s="1160"/>
      <c r="Y447" s="1160"/>
      <c r="Z447" s="1160"/>
      <c r="AA447" s="1160"/>
      <c r="AB447" s="1160"/>
      <c r="AC447" s="1160"/>
      <c r="AD447" s="1160"/>
      <c r="AE447" s="1160"/>
      <c r="AF447" s="1160"/>
      <c r="AG447" s="1160"/>
      <c r="AH447" s="1160"/>
      <c r="AI447" s="1160"/>
      <c r="AJ447" s="1160"/>
      <c r="AK447" s="1160"/>
      <c r="AL447" s="1160"/>
    </row>
    <row r="448" ht="15.0" customHeight="1">
      <c r="A448" s="1209"/>
      <c r="B448" s="1209"/>
      <c r="C448" s="1210"/>
      <c r="D448" s="1160"/>
      <c r="E448" s="1160"/>
      <c r="F448" s="1160"/>
      <c r="G448" s="1160"/>
      <c r="H448" s="1160"/>
      <c r="I448" s="1160"/>
      <c r="J448" s="1160"/>
      <c r="K448" s="1160"/>
      <c r="L448" s="1160"/>
      <c r="M448" s="1160"/>
      <c r="N448" s="1160"/>
      <c r="O448" s="1160"/>
      <c r="P448" s="1160"/>
      <c r="Q448" s="1160"/>
      <c r="R448" s="1160"/>
      <c r="S448" s="1160"/>
      <c r="T448" s="1160"/>
      <c r="U448" s="1160"/>
      <c r="V448" s="1160"/>
      <c r="W448" s="1160"/>
      <c r="X448" s="1160"/>
      <c r="Y448" s="1160"/>
      <c r="Z448" s="1160"/>
      <c r="AA448" s="1160"/>
      <c r="AB448" s="1160"/>
      <c r="AC448" s="1160"/>
      <c r="AD448" s="1160"/>
      <c r="AE448" s="1160"/>
      <c r="AF448" s="1160"/>
      <c r="AG448" s="1160"/>
      <c r="AH448" s="1160"/>
      <c r="AI448" s="1160"/>
      <c r="AJ448" s="1160"/>
      <c r="AK448" s="1160"/>
      <c r="AL448" s="1160"/>
    </row>
    <row r="449" ht="15.0" customHeight="1">
      <c r="A449" s="1209"/>
      <c r="B449" s="1209"/>
      <c r="C449" s="1210"/>
      <c r="D449" s="1160"/>
      <c r="E449" s="1160"/>
      <c r="F449" s="1160"/>
      <c r="G449" s="1160"/>
      <c r="H449" s="1160"/>
      <c r="I449" s="1160"/>
      <c r="J449" s="1160"/>
      <c r="K449" s="1160"/>
      <c r="L449" s="1160"/>
      <c r="M449" s="1160"/>
      <c r="N449" s="1160"/>
      <c r="O449" s="1160"/>
      <c r="P449" s="1160"/>
      <c r="Q449" s="1160"/>
      <c r="R449" s="1160"/>
      <c r="S449" s="1160"/>
      <c r="T449" s="1160"/>
      <c r="U449" s="1160"/>
      <c r="V449" s="1160"/>
      <c r="W449" s="1160"/>
      <c r="X449" s="1160"/>
      <c r="Y449" s="1160"/>
      <c r="Z449" s="1160"/>
      <c r="AA449" s="1160"/>
      <c r="AB449" s="1160"/>
      <c r="AC449" s="1160"/>
      <c r="AD449" s="1160"/>
      <c r="AE449" s="1160"/>
      <c r="AF449" s="1160"/>
      <c r="AG449" s="1160"/>
      <c r="AH449" s="1160"/>
      <c r="AI449" s="1160"/>
      <c r="AJ449" s="1160"/>
      <c r="AK449" s="1160"/>
      <c r="AL449" s="1160"/>
    </row>
    <row r="450" ht="15.0" customHeight="1">
      <c r="A450" s="1209"/>
      <c r="B450" s="1209"/>
      <c r="C450" s="1210"/>
      <c r="D450" s="1160"/>
      <c r="E450" s="1160"/>
      <c r="F450" s="1160"/>
      <c r="G450" s="1160"/>
      <c r="H450" s="1160"/>
      <c r="I450" s="1160"/>
      <c r="J450" s="1160"/>
      <c r="K450" s="1160"/>
      <c r="L450" s="1160"/>
      <c r="M450" s="1160"/>
      <c r="N450" s="1160"/>
      <c r="O450" s="1160"/>
      <c r="P450" s="1160"/>
      <c r="Q450" s="1160"/>
      <c r="R450" s="1160"/>
      <c r="S450" s="1160"/>
      <c r="T450" s="1160"/>
      <c r="U450" s="1160"/>
      <c r="V450" s="1160"/>
      <c r="W450" s="1160"/>
      <c r="X450" s="1160"/>
      <c r="Y450" s="1160"/>
      <c r="Z450" s="1160"/>
      <c r="AA450" s="1160"/>
      <c r="AB450" s="1160"/>
      <c r="AC450" s="1160"/>
      <c r="AD450" s="1160"/>
      <c r="AE450" s="1160"/>
      <c r="AF450" s="1160"/>
      <c r="AG450" s="1160"/>
      <c r="AH450" s="1160"/>
      <c r="AI450" s="1160"/>
      <c r="AJ450" s="1160"/>
      <c r="AK450" s="1160"/>
      <c r="AL450" s="1160"/>
    </row>
    <row r="451" ht="15.0" customHeight="1">
      <c r="A451" s="1209"/>
      <c r="B451" s="1209"/>
      <c r="C451" s="1210"/>
      <c r="D451" s="1160"/>
      <c r="E451" s="1160"/>
      <c r="F451" s="1160"/>
      <c r="G451" s="1160"/>
      <c r="H451" s="1160"/>
      <c r="I451" s="1160"/>
      <c r="J451" s="1160"/>
      <c r="K451" s="1160"/>
      <c r="L451" s="1160"/>
      <c r="M451" s="1160"/>
      <c r="N451" s="1160"/>
      <c r="O451" s="1160"/>
      <c r="P451" s="1160"/>
      <c r="Q451" s="1160"/>
      <c r="R451" s="1160"/>
      <c r="S451" s="1160"/>
      <c r="T451" s="1160"/>
      <c r="U451" s="1160"/>
      <c r="V451" s="1160"/>
      <c r="W451" s="1160"/>
      <c r="X451" s="1160"/>
      <c r="Y451" s="1160"/>
      <c r="Z451" s="1160"/>
      <c r="AA451" s="1160"/>
      <c r="AB451" s="1160"/>
      <c r="AC451" s="1160"/>
      <c r="AD451" s="1160"/>
      <c r="AE451" s="1160"/>
      <c r="AF451" s="1160"/>
      <c r="AG451" s="1160"/>
      <c r="AH451" s="1160"/>
      <c r="AI451" s="1160"/>
      <c r="AJ451" s="1160"/>
      <c r="AK451" s="1160"/>
      <c r="AL451" s="1160"/>
    </row>
    <row r="452" ht="15.0" customHeight="1">
      <c r="A452" s="1209"/>
      <c r="B452" s="1209"/>
      <c r="C452" s="1210"/>
      <c r="D452" s="1160"/>
      <c r="E452" s="1160"/>
      <c r="F452" s="1160"/>
      <c r="G452" s="1160"/>
      <c r="H452" s="1160"/>
      <c r="I452" s="1160"/>
      <c r="J452" s="1160"/>
      <c r="K452" s="1160"/>
      <c r="L452" s="1160"/>
      <c r="M452" s="1160"/>
      <c r="N452" s="1160"/>
      <c r="O452" s="1160"/>
      <c r="P452" s="1160"/>
      <c r="Q452" s="1160"/>
      <c r="R452" s="1160"/>
      <c r="S452" s="1160"/>
      <c r="T452" s="1160"/>
      <c r="U452" s="1160"/>
      <c r="V452" s="1160"/>
      <c r="W452" s="1160"/>
      <c r="X452" s="1160"/>
      <c r="Y452" s="1160"/>
      <c r="Z452" s="1160"/>
      <c r="AA452" s="1160"/>
      <c r="AB452" s="1160"/>
      <c r="AC452" s="1160"/>
      <c r="AD452" s="1160"/>
      <c r="AE452" s="1160"/>
      <c r="AF452" s="1160"/>
      <c r="AG452" s="1160"/>
      <c r="AH452" s="1160"/>
      <c r="AI452" s="1160"/>
      <c r="AJ452" s="1160"/>
      <c r="AK452" s="1160"/>
      <c r="AL452" s="1160"/>
    </row>
    <row r="453" ht="15.0" customHeight="1">
      <c r="A453" s="1209"/>
      <c r="B453" s="1209"/>
      <c r="C453" s="1210"/>
      <c r="D453" s="1160"/>
      <c r="E453" s="1160"/>
      <c r="F453" s="1160"/>
      <c r="G453" s="1160"/>
      <c r="H453" s="1160"/>
      <c r="I453" s="1160"/>
      <c r="J453" s="1160"/>
      <c r="K453" s="1160"/>
      <c r="L453" s="1160"/>
      <c r="M453" s="1160"/>
      <c r="N453" s="1160"/>
      <c r="O453" s="1160"/>
      <c r="P453" s="1160"/>
      <c r="Q453" s="1160"/>
      <c r="R453" s="1160"/>
      <c r="S453" s="1160"/>
      <c r="T453" s="1160"/>
      <c r="U453" s="1160"/>
      <c r="V453" s="1160"/>
      <c r="W453" s="1160"/>
      <c r="X453" s="1160"/>
      <c r="Y453" s="1160"/>
      <c r="Z453" s="1160"/>
      <c r="AA453" s="1160"/>
      <c r="AB453" s="1160"/>
      <c r="AC453" s="1160"/>
      <c r="AD453" s="1160"/>
      <c r="AE453" s="1160"/>
      <c r="AF453" s="1160"/>
      <c r="AG453" s="1160"/>
      <c r="AH453" s="1160"/>
      <c r="AI453" s="1160"/>
      <c r="AJ453" s="1160"/>
      <c r="AK453" s="1160"/>
      <c r="AL453" s="1160"/>
    </row>
    <row r="454" ht="15.0" customHeight="1">
      <c r="A454" s="1209"/>
      <c r="B454" s="1209"/>
      <c r="C454" s="1210"/>
      <c r="D454" s="1160"/>
      <c r="E454" s="1160"/>
      <c r="F454" s="1160"/>
      <c r="G454" s="1160"/>
      <c r="H454" s="1160"/>
      <c r="I454" s="1160"/>
      <c r="J454" s="1160"/>
      <c r="K454" s="1160"/>
      <c r="L454" s="1160"/>
      <c r="M454" s="1160"/>
      <c r="N454" s="1160"/>
      <c r="O454" s="1160"/>
      <c r="P454" s="1160"/>
      <c r="Q454" s="1160"/>
      <c r="R454" s="1160"/>
      <c r="S454" s="1160"/>
      <c r="T454" s="1160"/>
      <c r="U454" s="1160"/>
      <c r="V454" s="1160"/>
      <c r="W454" s="1160"/>
      <c r="X454" s="1160"/>
      <c r="Y454" s="1160"/>
      <c r="Z454" s="1160"/>
      <c r="AA454" s="1160"/>
      <c r="AB454" s="1160"/>
      <c r="AC454" s="1160"/>
      <c r="AD454" s="1160"/>
      <c r="AE454" s="1160"/>
      <c r="AF454" s="1160"/>
      <c r="AG454" s="1160"/>
      <c r="AH454" s="1160"/>
      <c r="AI454" s="1160"/>
      <c r="AJ454" s="1160"/>
      <c r="AK454" s="1160"/>
      <c r="AL454" s="1160"/>
    </row>
    <row r="455" ht="15.0" customHeight="1">
      <c r="A455" s="1209"/>
      <c r="B455" s="1209"/>
      <c r="C455" s="1210"/>
      <c r="D455" s="1160"/>
      <c r="E455" s="1160"/>
      <c r="F455" s="1160"/>
      <c r="G455" s="1160"/>
      <c r="H455" s="1160"/>
      <c r="I455" s="1160"/>
      <c r="J455" s="1160"/>
      <c r="K455" s="1160"/>
      <c r="L455" s="1160"/>
      <c r="M455" s="1160"/>
      <c r="N455" s="1160"/>
      <c r="O455" s="1160"/>
      <c r="P455" s="1160"/>
      <c r="Q455" s="1160"/>
      <c r="R455" s="1160"/>
      <c r="S455" s="1160"/>
      <c r="T455" s="1160"/>
      <c r="U455" s="1160"/>
      <c r="V455" s="1160"/>
      <c r="W455" s="1160"/>
      <c r="X455" s="1160"/>
      <c r="Y455" s="1160"/>
      <c r="Z455" s="1160"/>
      <c r="AA455" s="1160"/>
      <c r="AB455" s="1160"/>
      <c r="AC455" s="1160"/>
      <c r="AD455" s="1160"/>
      <c r="AE455" s="1160"/>
      <c r="AF455" s="1160"/>
      <c r="AG455" s="1160"/>
      <c r="AH455" s="1160"/>
      <c r="AI455" s="1160"/>
      <c r="AJ455" s="1160"/>
      <c r="AK455" s="1160"/>
      <c r="AL455" s="1160"/>
    </row>
    <row r="456" ht="15.0" customHeight="1">
      <c r="A456" s="1209"/>
      <c r="B456" s="1209"/>
      <c r="C456" s="1210"/>
      <c r="D456" s="1160"/>
      <c r="E456" s="1160"/>
      <c r="F456" s="1160"/>
      <c r="G456" s="1160"/>
      <c r="H456" s="1160"/>
      <c r="I456" s="1160"/>
      <c r="J456" s="1160"/>
      <c r="K456" s="1160"/>
      <c r="L456" s="1160"/>
      <c r="M456" s="1160"/>
      <c r="N456" s="1160"/>
      <c r="O456" s="1160"/>
      <c r="P456" s="1160"/>
      <c r="Q456" s="1160"/>
      <c r="R456" s="1160"/>
      <c r="S456" s="1160"/>
      <c r="T456" s="1160"/>
      <c r="U456" s="1160"/>
      <c r="V456" s="1160"/>
      <c r="W456" s="1160"/>
      <c r="X456" s="1160"/>
      <c r="Y456" s="1160"/>
      <c r="Z456" s="1160"/>
      <c r="AA456" s="1160"/>
      <c r="AB456" s="1160"/>
      <c r="AC456" s="1160"/>
      <c r="AD456" s="1160"/>
      <c r="AE456" s="1160"/>
      <c r="AF456" s="1160"/>
      <c r="AG456" s="1160"/>
      <c r="AH456" s="1160"/>
      <c r="AI456" s="1160"/>
      <c r="AJ456" s="1160"/>
      <c r="AK456" s="1160"/>
      <c r="AL456" s="1160"/>
    </row>
    <row r="457" ht="15.0" customHeight="1">
      <c r="A457" s="1209"/>
      <c r="B457" s="1209"/>
      <c r="C457" s="1210"/>
      <c r="D457" s="1160"/>
      <c r="E457" s="1160"/>
      <c r="F457" s="1160"/>
      <c r="G457" s="1160"/>
      <c r="H457" s="1160"/>
      <c r="I457" s="1160"/>
      <c r="J457" s="1160"/>
      <c r="K457" s="1160"/>
      <c r="L457" s="1160"/>
      <c r="M457" s="1160"/>
      <c r="N457" s="1160"/>
      <c r="O457" s="1160"/>
      <c r="P457" s="1160"/>
      <c r="Q457" s="1160"/>
      <c r="R457" s="1160"/>
      <c r="S457" s="1160"/>
      <c r="T457" s="1160"/>
      <c r="U457" s="1160"/>
      <c r="V457" s="1160"/>
      <c r="W457" s="1160"/>
      <c r="X457" s="1160"/>
      <c r="Y457" s="1160"/>
      <c r="Z457" s="1160"/>
      <c r="AA457" s="1160"/>
      <c r="AB457" s="1160"/>
      <c r="AC457" s="1160"/>
      <c r="AD457" s="1160"/>
      <c r="AE457" s="1160"/>
      <c r="AF457" s="1160"/>
      <c r="AG457" s="1160"/>
      <c r="AH457" s="1160"/>
      <c r="AI457" s="1160"/>
      <c r="AJ457" s="1160"/>
      <c r="AK457" s="1160"/>
      <c r="AL457" s="1160"/>
    </row>
    <row r="458" ht="15.0" customHeight="1">
      <c r="A458" s="1209"/>
      <c r="B458" s="1209"/>
      <c r="C458" s="1210"/>
      <c r="D458" s="1160"/>
      <c r="E458" s="1160"/>
      <c r="F458" s="1160"/>
      <c r="G458" s="1160"/>
      <c r="H458" s="1160"/>
      <c r="I458" s="1160"/>
      <c r="J458" s="1160"/>
      <c r="K458" s="1160"/>
      <c r="L458" s="1160"/>
      <c r="M458" s="1160"/>
      <c r="N458" s="1160"/>
      <c r="O458" s="1160"/>
      <c r="P458" s="1160"/>
      <c r="Q458" s="1160"/>
      <c r="R458" s="1160"/>
      <c r="S458" s="1160"/>
      <c r="T458" s="1160"/>
      <c r="U458" s="1160"/>
      <c r="V458" s="1160"/>
      <c r="W458" s="1160"/>
      <c r="X458" s="1160"/>
      <c r="Y458" s="1160"/>
      <c r="Z458" s="1160"/>
      <c r="AA458" s="1160"/>
      <c r="AB458" s="1160"/>
      <c r="AC458" s="1160"/>
      <c r="AD458" s="1160"/>
      <c r="AE458" s="1160"/>
      <c r="AF458" s="1160"/>
      <c r="AG458" s="1160"/>
      <c r="AH458" s="1160"/>
      <c r="AI458" s="1160"/>
      <c r="AJ458" s="1160"/>
      <c r="AK458" s="1160"/>
      <c r="AL458" s="1160"/>
    </row>
    <row r="459" ht="15.0" customHeight="1">
      <c r="A459" s="1209"/>
      <c r="B459" s="1209"/>
      <c r="C459" s="1210"/>
      <c r="D459" s="1160"/>
      <c r="E459" s="1160"/>
      <c r="F459" s="1160"/>
      <c r="G459" s="1160"/>
      <c r="H459" s="1160"/>
      <c r="I459" s="1160"/>
      <c r="J459" s="1160"/>
      <c r="K459" s="1160"/>
      <c r="L459" s="1160"/>
      <c r="M459" s="1160"/>
      <c r="N459" s="1160"/>
      <c r="O459" s="1160"/>
      <c r="P459" s="1160"/>
      <c r="Q459" s="1160"/>
      <c r="R459" s="1160"/>
      <c r="S459" s="1160"/>
      <c r="T459" s="1160"/>
      <c r="U459" s="1160"/>
      <c r="V459" s="1160"/>
      <c r="W459" s="1160"/>
      <c r="X459" s="1160"/>
      <c r="Y459" s="1160"/>
      <c r="Z459" s="1160"/>
      <c r="AA459" s="1160"/>
      <c r="AB459" s="1160"/>
      <c r="AC459" s="1160"/>
      <c r="AD459" s="1160"/>
      <c r="AE459" s="1160"/>
      <c r="AF459" s="1160"/>
      <c r="AG459" s="1160"/>
      <c r="AH459" s="1160"/>
      <c r="AI459" s="1160"/>
      <c r="AJ459" s="1160"/>
      <c r="AK459" s="1160"/>
      <c r="AL459" s="1160"/>
    </row>
    <row r="460" ht="15.0" customHeight="1">
      <c r="A460" s="1209"/>
      <c r="B460" s="1209"/>
      <c r="C460" s="1210"/>
      <c r="D460" s="1160"/>
      <c r="E460" s="1160"/>
      <c r="F460" s="1160"/>
      <c r="G460" s="1160"/>
      <c r="H460" s="1160"/>
      <c r="I460" s="1160"/>
      <c r="J460" s="1160"/>
      <c r="K460" s="1160"/>
      <c r="L460" s="1160"/>
      <c r="M460" s="1160"/>
      <c r="N460" s="1160"/>
      <c r="O460" s="1160"/>
      <c r="P460" s="1160"/>
      <c r="Q460" s="1160"/>
      <c r="R460" s="1160"/>
      <c r="S460" s="1160"/>
      <c r="T460" s="1160"/>
      <c r="U460" s="1160"/>
      <c r="V460" s="1160"/>
      <c r="W460" s="1160"/>
      <c r="X460" s="1160"/>
      <c r="Y460" s="1160"/>
      <c r="Z460" s="1160"/>
      <c r="AA460" s="1160"/>
      <c r="AB460" s="1160"/>
      <c r="AC460" s="1160"/>
      <c r="AD460" s="1160"/>
      <c r="AE460" s="1160"/>
      <c r="AF460" s="1160"/>
      <c r="AG460" s="1160"/>
      <c r="AH460" s="1160"/>
      <c r="AI460" s="1160"/>
      <c r="AJ460" s="1160"/>
      <c r="AK460" s="1160"/>
      <c r="AL460" s="1160"/>
    </row>
    <row r="461" ht="15.0" customHeight="1">
      <c r="A461" s="1209"/>
      <c r="B461" s="1209"/>
      <c r="C461" s="1210"/>
      <c r="D461" s="1160"/>
      <c r="E461" s="1160"/>
      <c r="F461" s="1160"/>
      <c r="G461" s="1160"/>
      <c r="H461" s="1160"/>
      <c r="I461" s="1160"/>
      <c r="J461" s="1160"/>
      <c r="K461" s="1160"/>
      <c r="L461" s="1160"/>
      <c r="M461" s="1160"/>
      <c r="N461" s="1160"/>
      <c r="O461" s="1160"/>
      <c r="P461" s="1160"/>
      <c r="Q461" s="1160"/>
      <c r="R461" s="1160"/>
      <c r="S461" s="1160"/>
      <c r="T461" s="1160"/>
      <c r="U461" s="1160"/>
      <c r="V461" s="1160"/>
      <c r="W461" s="1160"/>
      <c r="X461" s="1160"/>
      <c r="Y461" s="1160"/>
      <c r="Z461" s="1160"/>
      <c r="AA461" s="1160"/>
      <c r="AB461" s="1160"/>
      <c r="AC461" s="1160"/>
      <c r="AD461" s="1160"/>
      <c r="AE461" s="1160"/>
      <c r="AF461" s="1160"/>
      <c r="AG461" s="1160"/>
      <c r="AH461" s="1160"/>
      <c r="AI461" s="1160"/>
      <c r="AJ461" s="1160"/>
      <c r="AK461" s="1160"/>
      <c r="AL461" s="1160"/>
    </row>
    <row r="462" ht="15.0" customHeight="1">
      <c r="A462" s="1209"/>
      <c r="B462" s="1209"/>
      <c r="C462" s="1210"/>
      <c r="D462" s="1160"/>
      <c r="E462" s="1160"/>
      <c r="F462" s="1160"/>
      <c r="G462" s="1160"/>
      <c r="H462" s="1160"/>
      <c r="I462" s="1160"/>
      <c r="J462" s="1160"/>
      <c r="K462" s="1160"/>
      <c r="L462" s="1160"/>
      <c r="M462" s="1160"/>
      <c r="N462" s="1160"/>
      <c r="O462" s="1160"/>
      <c r="P462" s="1160"/>
      <c r="Q462" s="1160"/>
      <c r="R462" s="1160"/>
      <c r="S462" s="1160"/>
      <c r="T462" s="1160"/>
      <c r="U462" s="1160"/>
      <c r="V462" s="1160"/>
      <c r="W462" s="1160"/>
      <c r="X462" s="1160"/>
      <c r="Y462" s="1160"/>
      <c r="Z462" s="1160"/>
      <c r="AA462" s="1160"/>
      <c r="AB462" s="1160"/>
      <c r="AC462" s="1160"/>
      <c r="AD462" s="1160"/>
      <c r="AE462" s="1160"/>
      <c r="AF462" s="1160"/>
      <c r="AG462" s="1160"/>
      <c r="AH462" s="1160"/>
      <c r="AI462" s="1160"/>
      <c r="AJ462" s="1160"/>
      <c r="AK462" s="1160"/>
      <c r="AL462" s="1160"/>
    </row>
    <row r="463" ht="15.0" customHeight="1">
      <c r="A463" s="1209"/>
      <c r="B463" s="1209"/>
      <c r="C463" s="1210"/>
      <c r="D463" s="1160"/>
      <c r="E463" s="1160"/>
      <c r="F463" s="1160"/>
      <c r="G463" s="1160"/>
      <c r="H463" s="1160"/>
      <c r="I463" s="1160"/>
      <c r="J463" s="1160"/>
      <c r="K463" s="1160"/>
      <c r="L463" s="1160"/>
      <c r="M463" s="1160"/>
      <c r="N463" s="1160"/>
      <c r="O463" s="1160"/>
      <c r="P463" s="1160"/>
      <c r="Q463" s="1160"/>
      <c r="R463" s="1160"/>
      <c r="S463" s="1160"/>
      <c r="T463" s="1160"/>
      <c r="U463" s="1160"/>
      <c r="V463" s="1160"/>
      <c r="W463" s="1160"/>
      <c r="X463" s="1160"/>
      <c r="Y463" s="1160"/>
      <c r="Z463" s="1160"/>
      <c r="AA463" s="1160"/>
      <c r="AB463" s="1160"/>
      <c r="AC463" s="1160"/>
      <c r="AD463" s="1160"/>
      <c r="AE463" s="1160"/>
      <c r="AF463" s="1160"/>
      <c r="AG463" s="1160"/>
      <c r="AH463" s="1160"/>
      <c r="AI463" s="1160"/>
      <c r="AJ463" s="1160"/>
      <c r="AK463" s="1160"/>
      <c r="AL463" s="1160"/>
    </row>
    <row r="464" ht="15.0" customHeight="1">
      <c r="A464" s="1209"/>
      <c r="B464" s="1209"/>
      <c r="C464" s="1210"/>
      <c r="D464" s="1160"/>
      <c r="E464" s="1160"/>
      <c r="F464" s="1160"/>
      <c r="G464" s="1160"/>
      <c r="H464" s="1160"/>
      <c r="I464" s="1160"/>
      <c r="J464" s="1160"/>
      <c r="K464" s="1160"/>
      <c r="L464" s="1160"/>
      <c r="M464" s="1160"/>
      <c r="N464" s="1160"/>
      <c r="O464" s="1160"/>
      <c r="P464" s="1160"/>
      <c r="Q464" s="1160"/>
      <c r="R464" s="1160"/>
      <c r="S464" s="1160"/>
      <c r="T464" s="1160"/>
      <c r="U464" s="1160"/>
      <c r="V464" s="1160"/>
      <c r="W464" s="1160"/>
      <c r="X464" s="1160"/>
      <c r="Y464" s="1160"/>
      <c r="Z464" s="1160"/>
      <c r="AA464" s="1160"/>
      <c r="AB464" s="1160"/>
      <c r="AC464" s="1160"/>
      <c r="AD464" s="1160"/>
      <c r="AE464" s="1160"/>
      <c r="AF464" s="1160"/>
      <c r="AG464" s="1160"/>
      <c r="AH464" s="1160"/>
      <c r="AI464" s="1160"/>
      <c r="AJ464" s="1160"/>
      <c r="AK464" s="1160"/>
      <c r="AL464" s="1160"/>
    </row>
    <row r="465" ht="15.0" customHeight="1">
      <c r="A465" s="1209"/>
      <c r="B465" s="1209"/>
      <c r="C465" s="1210"/>
      <c r="D465" s="1160"/>
      <c r="E465" s="1160"/>
      <c r="F465" s="1160"/>
      <c r="G465" s="1160"/>
      <c r="H465" s="1160"/>
      <c r="I465" s="1160"/>
      <c r="J465" s="1160"/>
      <c r="K465" s="1160"/>
      <c r="L465" s="1160"/>
      <c r="M465" s="1160"/>
      <c r="N465" s="1160"/>
      <c r="O465" s="1160"/>
      <c r="P465" s="1160"/>
      <c r="Q465" s="1160"/>
      <c r="R465" s="1160"/>
      <c r="S465" s="1160"/>
      <c r="T465" s="1160"/>
      <c r="U465" s="1160"/>
      <c r="V465" s="1160"/>
      <c r="W465" s="1160"/>
      <c r="X465" s="1160"/>
      <c r="Y465" s="1160"/>
      <c r="Z465" s="1160"/>
      <c r="AA465" s="1160"/>
      <c r="AB465" s="1160"/>
      <c r="AC465" s="1160"/>
      <c r="AD465" s="1160"/>
      <c r="AE465" s="1160"/>
      <c r="AF465" s="1160"/>
      <c r="AG465" s="1160"/>
      <c r="AH465" s="1160"/>
      <c r="AI465" s="1160"/>
      <c r="AJ465" s="1160"/>
      <c r="AK465" s="1160"/>
      <c r="AL465" s="1160"/>
    </row>
    <row r="466" ht="15.0" customHeight="1">
      <c r="A466" s="1209"/>
      <c r="B466" s="1209"/>
      <c r="C466" s="1210"/>
      <c r="D466" s="1160"/>
      <c r="E466" s="1160"/>
      <c r="F466" s="1160"/>
      <c r="G466" s="1160"/>
      <c r="H466" s="1160"/>
      <c r="I466" s="1160"/>
      <c r="J466" s="1160"/>
      <c r="K466" s="1160"/>
      <c r="L466" s="1160"/>
      <c r="M466" s="1160"/>
      <c r="N466" s="1160"/>
      <c r="O466" s="1160"/>
      <c r="P466" s="1160"/>
      <c r="Q466" s="1160"/>
      <c r="R466" s="1160"/>
      <c r="S466" s="1160"/>
      <c r="T466" s="1160"/>
      <c r="U466" s="1160"/>
      <c r="V466" s="1160"/>
      <c r="W466" s="1160"/>
      <c r="X466" s="1160"/>
      <c r="Y466" s="1160"/>
      <c r="Z466" s="1160"/>
      <c r="AA466" s="1160"/>
      <c r="AB466" s="1160"/>
      <c r="AC466" s="1160"/>
      <c r="AD466" s="1160"/>
      <c r="AE466" s="1160"/>
      <c r="AF466" s="1160"/>
      <c r="AG466" s="1160"/>
      <c r="AH466" s="1160"/>
      <c r="AI466" s="1160"/>
      <c r="AJ466" s="1160"/>
      <c r="AK466" s="1160"/>
      <c r="AL466" s="1160"/>
    </row>
    <row r="467" ht="15.0" customHeight="1">
      <c r="A467" s="1209"/>
      <c r="B467" s="1209"/>
      <c r="C467" s="1210"/>
      <c r="D467" s="1160"/>
      <c r="E467" s="1160"/>
      <c r="F467" s="1160"/>
      <c r="G467" s="1160"/>
      <c r="H467" s="1160"/>
      <c r="I467" s="1160"/>
      <c r="J467" s="1160"/>
      <c r="K467" s="1160"/>
      <c r="L467" s="1160"/>
      <c r="M467" s="1160"/>
      <c r="N467" s="1160"/>
      <c r="O467" s="1160"/>
      <c r="P467" s="1160"/>
      <c r="Q467" s="1160"/>
      <c r="R467" s="1160"/>
      <c r="S467" s="1160"/>
      <c r="T467" s="1160"/>
      <c r="U467" s="1160"/>
      <c r="V467" s="1160"/>
      <c r="W467" s="1160"/>
      <c r="X467" s="1160"/>
      <c r="Y467" s="1160"/>
      <c r="Z467" s="1160"/>
      <c r="AA467" s="1160"/>
      <c r="AB467" s="1160"/>
      <c r="AC467" s="1160"/>
      <c r="AD467" s="1160"/>
      <c r="AE467" s="1160"/>
      <c r="AF467" s="1160"/>
      <c r="AG467" s="1160"/>
      <c r="AH467" s="1160"/>
      <c r="AI467" s="1160"/>
      <c r="AJ467" s="1160"/>
      <c r="AK467" s="1160"/>
      <c r="AL467" s="1160"/>
    </row>
    <row r="468" ht="15.0" customHeight="1">
      <c r="A468" s="1209"/>
      <c r="B468" s="1209"/>
      <c r="C468" s="1210"/>
      <c r="D468" s="1160"/>
      <c r="E468" s="1160"/>
      <c r="F468" s="1160"/>
      <c r="G468" s="1160"/>
      <c r="H468" s="1160"/>
      <c r="I468" s="1160"/>
      <c r="J468" s="1160"/>
      <c r="K468" s="1160"/>
      <c r="L468" s="1160"/>
      <c r="M468" s="1160"/>
      <c r="N468" s="1160"/>
      <c r="O468" s="1160"/>
      <c r="P468" s="1160"/>
      <c r="Q468" s="1160"/>
      <c r="R468" s="1160"/>
      <c r="S468" s="1160"/>
      <c r="T468" s="1160"/>
      <c r="U468" s="1160"/>
      <c r="V468" s="1160"/>
      <c r="W468" s="1160"/>
      <c r="X468" s="1160"/>
      <c r="Y468" s="1160"/>
      <c r="Z468" s="1160"/>
      <c r="AA468" s="1160"/>
      <c r="AB468" s="1160"/>
      <c r="AC468" s="1160"/>
      <c r="AD468" s="1160"/>
      <c r="AE468" s="1160"/>
      <c r="AF468" s="1160"/>
      <c r="AG468" s="1160"/>
      <c r="AH468" s="1160"/>
      <c r="AI468" s="1160"/>
      <c r="AJ468" s="1160"/>
      <c r="AK468" s="1160"/>
      <c r="AL468" s="1160"/>
    </row>
    <row r="469" ht="15.0" customHeight="1">
      <c r="A469" s="1209"/>
      <c r="B469" s="1209"/>
      <c r="C469" s="1210"/>
      <c r="D469" s="1160"/>
      <c r="E469" s="1160"/>
      <c r="F469" s="1160"/>
      <c r="G469" s="1160"/>
      <c r="H469" s="1160"/>
      <c r="I469" s="1160"/>
      <c r="J469" s="1160"/>
      <c r="K469" s="1160"/>
      <c r="L469" s="1160"/>
      <c r="M469" s="1160"/>
      <c r="N469" s="1160"/>
      <c r="O469" s="1160"/>
      <c r="P469" s="1160"/>
      <c r="Q469" s="1160"/>
      <c r="R469" s="1160"/>
      <c r="S469" s="1160"/>
      <c r="T469" s="1160"/>
      <c r="U469" s="1160"/>
      <c r="V469" s="1160"/>
      <c r="W469" s="1160"/>
      <c r="X469" s="1160"/>
      <c r="Y469" s="1160"/>
      <c r="Z469" s="1160"/>
      <c r="AA469" s="1160"/>
      <c r="AB469" s="1160"/>
      <c r="AC469" s="1160"/>
      <c r="AD469" s="1160"/>
      <c r="AE469" s="1160"/>
      <c r="AF469" s="1160"/>
      <c r="AG469" s="1160"/>
      <c r="AH469" s="1160"/>
      <c r="AI469" s="1160"/>
      <c r="AJ469" s="1160"/>
      <c r="AK469" s="1160"/>
      <c r="AL469" s="1160"/>
    </row>
    <row r="470" ht="15.0" customHeight="1">
      <c r="A470" s="1209"/>
      <c r="B470" s="1209"/>
      <c r="C470" s="1210"/>
      <c r="D470" s="1160"/>
      <c r="E470" s="1160"/>
      <c r="F470" s="1160"/>
      <c r="G470" s="1160"/>
      <c r="H470" s="1160"/>
      <c r="I470" s="1160"/>
      <c r="J470" s="1160"/>
      <c r="K470" s="1160"/>
      <c r="L470" s="1160"/>
      <c r="M470" s="1160"/>
      <c r="N470" s="1160"/>
      <c r="O470" s="1160"/>
      <c r="P470" s="1160"/>
      <c r="Q470" s="1160"/>
      <c r="R470" s="1160"/>
      <c r="S470" s="1160"/>
      <c r="T470" s="1160"/>
      <c r="U470" s="1160"/>
      <c r="V470" s="1160"/>
      <c r="W470" s="1160"/>
      <c r="X470" s="1160"/>
      <c r="Y470" s="1160"/>
      <c r="Z470" s="1160"/>
      <c r="AA470" s="1160"/>
      <c r="AB470" s="1160"/>
      <c r="AC470" s="1160"/>
      <c r="AD470" s="1160"/>
      <c r="AE470" s="1160"/>
      <c r="AF470" s="1160"/>
      <c r="AG470" s="1160"/>
      <c r="AH470" s="1160"/>
      <c r="AI470" s="1160"/>
      <c r="AJ470" s="1160"/>
      <c r="AK470" s="1160"/>
      <c r="AL470" s="1160"/>
    </row>
    <row r="471" ht="15.0" customHeight="1">
      <c r="A471" s="1209"/>
      <c r="B471" s="1209"/>
      <c r="C471" s="1210"/>
      <c r="D471" s="1160"/>
      <c r="E471" s="1160"/>
      <c r="F471" s="1160"/>
      <c r="G471" s="1160"/>
      <c r="H471" s="1160"/>
      <c r="I471" s="1160"/>
      <c r="J471" s="1160"/>
      <c r="K471" s="1160"/>
      <c r="L471" s="1160"/>
      <c r="M471" s="1160"/>
      <c r="N471" s="1160"/>
      <c r="O471" s="1160"/>
      <c r="P471" s="1160"/>
      <c r="Q471" s="1160"/>
      <c r="R471" s="1160"/>
      <c r="S471" s="1160"/>
      <c r="T471" s="1160"/>
      <c r="U471" s="1160"/>
      <c r="V471" s="1160"/>
      <c r="W471" s="1160"/>
      <c r="X471" s="1160"/>
      <c r="Y471" s="1160"/>
      <c r="Z471" s="1160"/>
      <c r="AA471" s="1160"/>
      <c r="AB471" s="1160"/>
      <c r="AC471" s="1160"/>
      <c r="AD471" s="1160"/>
      <c r="AE471" s="1160"/>
      <c r="AF471" s="1160"/>
      <c r="AG471" s="1160"/>
      <c r="AH471" s="1160"/>
      <c r="AI471" s="1160"/>
      <c r="AJ471" s="1160"/>
      <c r="AK471" s="1160"/>
      <c r="AL471" s="1160"/>
    </row>
    <row r="472" ht="15.0" customHeight="1">
      <c r="A472" s="1209"/>
      <c r="B472" s="1209"/>
      <c r="C472" s="1210"/>
      <c r="D472" s="1160"/>
      <c r="E472" s="1160"/>
      <c r="F472" s="1160"/>
      <c r="G472" s="1160"/>
      <c r="H472" s="1160"/>
      <c r="I472" s="1160"/>
      <c r="J472" s="1160"/>
      <c r="K472" s="1160"/>
      <c r="L472" s="1160"/>
      <c r="M472" s="1160"/>
      <c r="N472" s="1160"/>
      <c r="O472" s="1160"/>
      <c r="P472" s="1160"/>
      <c r="Q472" s="1160"/>
      <c r="R472" s="1160"/>
      <c r="S472" s="1160"/>
      <c r="T472" s="1160"/>
      <c r="U472" s="1160"/>
      <c r="V472" s="1160"/>
      <c r="W472" s="1160"/>
      <c r="X472" s="1160"/>
      <c r="Y472" s="1160"/>
      <c r="Z472" s="1160"/>
      <c r="AA472" s="1160"/>
      <c r="AB472" s="1160"/>
      <c r="AC472" s="1160"/>
      <c r="AD472" s="1160"/>
      <c r="AE472" s="1160"/>
      <c r="AF472" s="1160"/>
      <c r="AG472" s="1160"/>
      <c r="AH472" s="1160"/>
      <c r="AI472" s="1160"/>
      <c r="AJ472" s="1160"/>
      <c r="AK472" s="1160"/>
      <c r="AL472" s="1160"/>
    </row>
    <row r="473" ht="15.0" customHeight="1">
      <c r="A473" s="1209"/>
      <c r="B473" s="1209"/>
      <c r="C473" s="1210"/>
      <c r="D473" s="1160"/>
      <c r="E473" s="1160"/>
      <c r="F473" s="1160"/>
      <c r="G473" s="1160"/>
      <c r="H473" s="1160"/>
      <c r="I473" s="1160"/>
      <c r="J473" s="1160"/>
      <c r="K473" s="1160"/>
      <c r="L473" s="1160"/>
      <c r="M473" s="1160"/>
      <c r="N473" s="1160"/>
      <c r="O473" s="1160"/>
      <c r="P473" s="1160"/>
      <c r="Q473" s="1160"/>
      <c r="R473" s="1160"/>
      <c r="S473" s="1160"/>
      <c r="T473" s="1160"/>
      <c r="U473" s="1160"/>
      <c r="V473" s="1160"/>
      <c r="W473" s="1160"/>
      <c r="X473" s="1160"/>
      <c r="Y473" s="1160"/>
      <c r="Z473" s="1160"/>
      <c r="AA473" s="1160"/>
      <c r="AB473" s="1160"/>
      <c r="AC473" s="1160"/>
      <c r="AD473" s="1160"/>
      <c r="AE473" s="1160"/>
      <c r="AF473" s="1160"/>
      <c r="AG473" s="1160"/>
      <c r="AH473" s="1160"/>
      <c r="AI473" s="1160"/>
      <c r="AJ473" s="1160"/>
      <c r="AK473" s="1160"/>
      <c r="AL473" s="1160"/>
    </row>
    <row r="474" ht="15.0" customHeight="1">
      <c r="A474" s="1209"/>
      <c r="B474" s="1209"/>
      <c r="C474" s="1210"/>
      <c r="D474" s="1160"/>
      <c r="E474" s="1160"/>
      <c r="F474" s="1160"/>
      <c r="G474" s="1160"/>
      <c r="H474" s="1160"/>
      <c r="I474" s="1160"/>
      <c r="J474" s="1160"/>
      <c r="K474" s="1160"/>
      <c r="L474" s="1160"/>
      <c r="M474" s="1160"/>
      <c r="N474" s="1160"/>
      <c r="O474" s="1160"/>
      <c r="P474" s="1160"/>
      <c r="Q474" s="1160"/>
      <c r="R474" s="1160"/>
      <c r="S474" s="1160"/>
      <c r="T474" s="1160"/>
      <c r="U474" s="1160"/>
      <c r="V474" s="1160"/>
      <c r="W474" s="1160"/>
      <c r="X474" s="1160"/>
      <c r="Y474" s="1160"/>
      <c r="Z474" s="1160"/>
      <c r="AA474" s="1160"/>
      <c r="AB474" s="1160"/>
      <c r="AC474" s="1160"/>
      <c r="AD474" s="1160"/>
      <c r="AE474" s="1160"/>
      <c r="AF474" s="1160"/>
      <c r="AG474" s="1160"/>
      <c r="AH474" s="1160"/>
      <c r="AI474" s="1160"/>
      <c r="AJ474" s="1160"/>
      <c r="AK474" s="1160"/>
      <c r="AL474" s="1160"/>
    </row>
    <row r="475" ht="15.0" customHeight="1">
      <c r="A475" s="1209"/>
      <c r="B475" s="1209"/>
      <c r="C475" s="1210"/>
      <c r="D475" s="1160"/>
      <c r="E475" s="1160"/>
      <c r="F475" s="1160"/>
      <c r="G475" s="1160"/>
      <c r="H475" s="1160"/>
      <c r="I475" s="1160"/>
      <c r="J475" s="1160"/>
      <c r="K475" s="1160"/>
      <c r="L475" s="1160"/>
      <c r="M475" s="1160"/>
      <c r="N475" s="1160"/>
      <c r="O475" s="1160"/>
      <c r="P475" s="1160"/>
      <c r="Q475" s="1160"/>
      <c r="R475" s="1160"/>
      <c r="S475" s="1160"/>
      <c r="T475" s="1160"/>
      <c r="U475" s="1160"/>
      <c r="V475" s="1160"/>
      <c r="W475" s="1160"/>
      <c r="X475" s="1160"/>
      <c r="Y475" s="1160"/>
      <c r="Z475" s="1160"/>
      <c r="AA475" s="1160"/>
      <c r="AB475" s="1160"/>
      <c r="AC475" s="1160"/>
      <c r="AD475" s="1160"/>
      <c r="AE475" s="1160"/>
      <c r="AF475" s="1160"/>
      <c r="AG475" s="1160"/>
      <c r="AH475" s="1160"/>
      <c r="AI475" s="1160"/>
      <c r="AJ475" s="1160"/>
      <c r="AK475" s="1160"/>
      <c r="AL475" s="1160"/>
    </row>
    <row r="476" ht="15.0" customHeight="1">
      <c r="A476" s="1209"/>
      <c r="B476" s="1209"/>
      <c r="C476" s="1210"/>
      <c r="D476" s="1160"/>
      <c r="E476" s="1160"/>
      <c r="F476" s="1160"/>
      <c r="G476" s="1160"/>
      <c r="H476" s="1160"/>
      <c r="I476" s="1160"/>
      <c r="J476" s="1160"/>
      <c r="K476" s="1160"/>
      <c r="L476" s="1160"/>
      <c r="M476" s="1160"/>
      <c r="N476" s="1160"/>
      <c r="O476" s="1160"/>
      <c r="P476" s="1160"/>
      <c r="Q476" s="1160"/>
      <c r="R476" s="1160"/>
      <c r="S476" s="1160"/>
      <c r="T476" s="1160"/>
      <c r="U476" s="1160"/>
      <c r="V476" s="1160"/>
      <c r="W476" s="1160"/>
      <c r="X476" s="1160"/>
      <c r="Y476" s="1160"/>
      <c r="Z476" s="1160"/>
      <c r="AA476" s="1160"/>
      <c r="AB476" s="1160"/>
      <c r="AC476" s="1160"/>
      <c r="AD476" s="1160"/>
      <c r="AE476" s="1160"/>
      <c r="AF476" s="1160"/>
      <c r="AG476" s="1160"/>
      <c r="AH476" s="1160"/>
      <c r="AI476" s="1160"/>
      <c r="AJ476" s="1160"/>
      <c r="AK476" s="1160"/>
      <c r="AL476" s="1160"/>
    </row>
    <row r="477" ht="15.0" customHeight="1">
      <c r="A477" s="1209"/>
      <c r="B477" s="1209"/>
      <c r="C477" s="1210"/>
      <c r="D477" s="1160"/>
      <c r="E477" s="1160"/>
      <c r="F477" s="1160"/>
      <c r="G477" s="1160"/>
      <c r="H477" s="1160"/>
      <c r="I477" s="1160"/>
      <c r="J477" s="1160"/>
      <c r="K477" s="1160"/>
      <c r="L477" s="1160"/>
      <c r="M477" s="1160"/>
      <c r="N477" s="1160"/>
      <c r="O477" s="1160"/>
      <c r="P477" s="1160"/>
      <c r="Q477" s="1160"/>
      <c r="R477" s="1160"/>
      <c r="S477" s="1160"/>
      <c r="T477" s="1160"/>
      <c r="U477" s="1160"/>
      <c r="V477" s="1160"/>
      <c r="W477" s="1160"/>
      <c r="X477" s="1160"/>
      <c r="Y477" s="1160"/>
      <c r="Z477" s="1160"/>
      <c r="AA477" s="1160"/>
      <c r="AB477" s="1160"/>
      <c r="AC477" s="1160"/>
      <c r="AD477" s="1160"/>
      <c r="AE477" s="1160"/>
      <c r="AF477" s="1160"/>
      <c r="AG477" s="1160"/>
      <c r="AH477" s="1160"/>
      <c r="AI477" s="1160"/>
      <c r="AJ477" s="1160"/>
      <c r="AK477" s="1160"/>
      <c r="AL477" s="1160"/>
    </row>
    <row r="478" ht="15.0" customHeight="1">
      <c r="A478" s="1209"/>
      <c r="B478" s="1209"/>
      <c r="C478" s="1210"/>
      <c r="D478" s="1160"/>
      <c r="E478" s="1160"/>
      <c r="F478" s="1160"/>
      <c r="G478" s="1160"/>
      <c r="H478" s="1160"/>
      <c r="I478" s="1160"/>
      <c r="J478" s="1160"/>
      <c r="K478" s="1160"/>
      <c r="L478" s="1160"/>
      <c r="M478" s="1160"/>
      <c r="N478" s="1160"/>
      <c r="O478" s="1160"/>
      <c r="P478" s="1160"/>
      <c r="Q478" s="1160"/>
      <c r="R478" s="1160"/>
      <c r="S478" s="1160"/>
      <c r="T478" s="1160"/>
      <c r="U478" s="1160"/>
      <c r="V478" s="1160"/>
      <c r="W478" s="1160"/>
      <c r="X478" s="1160"/>
      <c r="Y478" s="1160"/>
      <c r="Z478" s="1160"/>
      <c r="AA478" s="1160"/>
      <c r="AB478" s="1160"/>
      <c r="AC478" s="1160"/>
      <c r="AD478" s="1160"/>
      <c r="AE478" s="1160"/>
      <c r="AF478" s="1160"/>
      <c r="AG478" s="1160"/>
      <c r="AH478" s="1160"/>
      <c r="AI478" s="1160"/>
      <c r="AJ478" s="1160"/>
      <c r="AK478" s="1160"/>
      <c r="AL478" s="1160"/>
    </row>
    <row r="479" ht="15.0" customHeight="1">
      <c r="A479" s="1209"/>
      <c r="B479" s="1209"/>
      <c r="C479" s="1210"/>
      <c r="D479" s="1160"/>
      <c r="E479" s="1160"/>
      <c r="F479" s="1160"/>
      <c r="G479" s="1160"/>
      <c r="H479" s="1160"/>
      <c r="I479" s="1160"/>
      <c r="J479" s="1160"/>
      <c r="K479" s="1160"/>
      <c r="L479" s="1160"/>
      <c r="M479" s="1160"/>
      <c r="N479" s="1160"/>
      <c r="O479" s="1160"/>
      <c r="P479" s="1160"/>
      <c r="Q479" s="1160"/>
      <c r="R479" s="1160"/>
      <c r="S479" s="1160"/>
      <c r="T479" s="1160"/>
      <c r="U479" s="1160"/>
      <c r="V479" s="1160"/>
      <c r="W479" s="1160"/>
      <c r="X479" s="1160"/>
      <c r="Y479" s="1160"/>
      <c r="Z479" s="1160"/>
      <c r="AA479" s="1160"/>
      <c r="AB479" s="1160"/>
      <c r="AC479" s="1160"/>
      <c r="AD479" s="1160"/>
      <c r="AE479" s="1160"/>
      <c r="AF479" s="1160"/>
      <c r="AG479" s="1160"/>
      <c r="AH479" s="1160"/>
      <c r="AI479" s="1160"/>
      <c r="AJ479" s="1160"/>
      <c r="AK479" s="1160"/>
      <c r="AL479" s="1160"/>
    </row>
    <row r="480" ht="15.0" customHeight="1">
      <c r="A480" s="1209"/>
      <c r="B480" s="1209"/>
      <c r="C480" s="1210"/>
      <c r="D480" s="1160"/>
      <c r="E480" s="1160"/>
      <c r="F480" s="1160"/>
      <c r="G480" s="1160"/>
      <c r="H480" s="1160"/>
      <c r="I480" s="1160"/>
      <c r="J480" s="1160"/>
      <c r="K480" s="1160"/>
      <c r="L480" s="1160"/>
      <c r="M480" s="1160"/>
      <c r="N480" s="1160"/>
      <c r="O480" s="1160"/>
      <c r="P480" s="1160"/>
      <c r="Q480" s="1160"/>
      <c r="R480" s="1160"/>
      <c r="S480" s="1160"/>
      <c r="T480" s="1160"/>
      <c r="U480" s="1160"/>
      <c r="V480" s="1160"/>
      <c r="W480" s="1160"/>
      <c r="X480" s="1160"/>
      <c r="Y480" s="1160"/>
      <c r="Z480" s="1160"/>
      <c r="AA480" s="1160"/>
      <c r="AB480" s="1160"/>
      <c r="AC480" s="1160"/>
      <c r="AD480" s="1160"/>
      <c r="AE480" s="1160"/>
      <c r="AF480" s="1160"/>
      <c r="AG480" s="1160"/>
      <c r="AH480" s="1160"/>
      <c r="AI480" s="1160"/>
      <c r="AJ480" s="1160"/>
      <c r="AK480" s="1160"/>
      <c r="AL480" s="1160"/>
    </row>
    <row r="481" ht="15.0" customHeight="1">
      <c r="A481" s="1209"/>
      <c r="B481" s="1209"/>
      <c r="C481" s="1210"/>
      <c r="D481" s="1160"/>
      <c r="E481" s="1160"/>
      <c r="F481" s="1160"/>
      <c r="G481" s="1160"/>
      <c r="H481" s="1160"/>
      <c r="I481" s="1160"/>
      <c r="J481" s="1160"/>
      <c r="K481" s="1160"/>
      <c r="L481" s="1160"/>
      <c r="M481" s="1160"/>
      <c r="N481" s="1160"/>
      <c r="O481" s="1160"/>
      <c r="P481" s="1160"/>
      <c r="Q481" s="1160"/>
      <c r="R481" s="1160"/>
      <c r="S481" s="1160"/>
      <c r="T481" s="1160"/>
      <c r="U481" s="1160"/>
      <c r="V481" s="1160"/>
      <c r="W481" s="1160"/>
      <c r="X481" s="1160"/>
      <c r="Y481" s="1160"/>
      <c r="Z481" s="1160"/>
      <c r="AA481" s="1160"/>
      <c r="AB481" s="1160"/>
      <c r="AC481" s="1160"/>
      <c r="AD481" s="1160"/>
      <c r="AE481" s="1160"/>
      <c r="AF481" s="1160"/>
      <c r="AG481" s="1160"/>
      <c r="AH481" s="1160"/>
      <c r="AI481" s="1160"/>
      <c r="AJ481" s="1160"/>
      <c r="AK481" s="1160"/>
      <c r="AL481" s="1160"/>
    </row>
    <row r="482" ht="15.0" customHeight="1">
      <c r="A482" s="1209"/>
      <c r="B482" s="1209"/>
      <c r="C482" s="1210"/>
      <c r="D482" s="1160"/>
      <c r="E482" s="1160"/>
      <c r="F482" s="1160"/>
      <c r="G482" s="1160"/>
      <c r="H482" s="1160"/>
      <c r="I482" s="1160"/>
      <c r="J482" s="1160"/>
      <c r="K482" s="1160"/>
      <c r="L482" s="1160"/>
      <c r="M482" s="1160"/>
      <c r="N482" s="1160"/>
      <c r="O482" s="1160"/>
      <c r="P482" s="1160"/>
      <c r="Q482" s="1160"/>
      <c r="R482" s="1160"/>
      <c r="S482" s="1160"/>
      <c r="T482" s="1160"/>
      <c r="U482" s="1160"/>
      <c r="V482" s="1160"/>
      <c r="W482" s="1160"/>
      <c r="X482" s="1160"/>
      <c r="Y482" s="1160"/>
      <c r="Z482" s="1160"/>
      <c r="AA482" s="1160"/>
      <c r="AB482" s="1160"/>
      <c r="AC482" s="1160"/>
      <c r="AD482" s="1160"/>
      <c r="AE482" s="1160"/>
      <c r="AF482" s="1160"/>
      <c r="AG482" s="1160"/>
      <c r="AH482" s="1160"/>
      <c r="AI482" s="1160"/>
      <c r="AJ482" s="1160"/>
      <c r="AK482" s="1160"/>
      <c r="AL482" s="1160"/>
    </row>
    <row r="483" ht="15.0" customHeight="1">
      <c r="A483" s="1209"/>
      <c r="B483" s="1209"/>
      <c r="C483" s="1210"/>
      <c r="D483" s="1160"/>
      <c r="E483" s="1160"/>
      <c r="F483" s="1160"/>
      <c r="G483" s="1160"/>
      <c r="H483" s="1160"/>
      <c r="I483" s="1160"/>
      <c r="J483" s="1160"/>
      <c r="K483" s="1160"/>
      <c r="L483" s="1160"/>
      <c r="M483" s="1160"/>
      <c r="N483" s="1160"/>
      <c r="O483" s="1160"/>
      <c r="P483" s="1160"/>
      <c r="Q483" s="1160"/>
      <c r="R483" s="1160"/>
      <c r="S483" s="1160"/>
      <c r="T483" s="1160"/>
      <c r="U483" s="1160"/>
      <c r="V483" s="1160"/>
      <c r="W483" s="1160"/>
      <c r="X483" s="1160"/>
      <c r="Y483" s="1160"/>
      <c r="Z483" s="1160"/>
      <c r="AA483" s="1160"/>
      <c r="AB483" s="1160"/>
      <c r="AC483" s="1160"/>
      <c r="AD483" s="1160"/>
      <c r="AE483" s="1160"/>
      <c r="AF483" s="1160"/>
      <c r="AG483" s="1160"/>
      <c r="AH483" s="1160"/>
      <c r="AI483" s="1160"/>
      <c r="AJ483" s="1160"/>
      <c r="AK483" s="1160"/>
      <c r="AL483" s="1160"/>
    </row>
    <row r="484" ht="15.0" customHeight="1">
      <c r="A484" s="1209"/>
      <c r="B484" s="1209"/>
      <c r="C484" s="1210"/>
      <c r="D484" s="1160"/>
      <c r="E484" s="1160"/>
      <c r="F484" s="1160"/>
      <c r="G484" s="1160"/>
      <c r="H484" s="1160"/>
      <c r="I484" s="1160"/>
      <c r="J484" s="1160"/>
      <c r="K484" s="1160"/>
      <c r="L484" s="1160"/>
      <c r="M484" s="1160"/>
      <c r="N484" s="1160"/>
      <c r="O484" s="1160"/>
      <c r="P484" s="1160"/>
      <c r="Q484" s="1160"/>
      <c r="R484" s="1160"/>
      <c r="S484" s="1160"/>
      <c r="T484" s="1160"/>
      <c r="U484" s="1160"/>
      <c r="V484" s="1160"/>
      <c r="W484" s="1160"/>
      <c r="X484" s="1160"/>
      <c r="Y484" s="1160"/>
      <c r="Z484" s="1160"/>
      <c r="AA484" s="1160"/>
      <c r="AB484" s="1160"/>
      <c r="AC484" s="1160"/>
      <c r="AD484" s="1160"/>
      <c r="AE484" s="1160"/>
      <c r="AF484" s="1160"/>
      <c r="AG484" s="1160"/>
      <c r="AH484" s="1160"/>
      <c r="AI484" s="1160"/>
      <c r="AJ484" s="1160"/>
      <c r="AK484" s="1160"/>
      <c r="AL484" s="1160"/>
    </row>
    <row r="485" ht="15.0" customHeight="1">
      <c r="A485" s="1209"/>
      <c r="B485" s="1209"/>
      <c r="C485" s="1210"/>
      <c r="D485" s="1160"/>
      <c r="E485" s="1160"/>
      <c r="F485" s="1160"/>
      <c r="G485" s="1160"/>
      <c r="H485" s="1160"/>
      <c r="I485" s="1160"/>
      <c r="J485" s="1160"/>
      <c r="K485" s="1160"/>
      <c r="L485" s="1160"/>
      <c r="M485" s="1160"/>
      <c r="N485" s="1160"/>
      <c r="O485" s="1160"/>
      <c r="P485" s="1160"/>
      <c r="Q485" s="1160"/>
      <c r="R485" s="1160"/>
      <c r="S485" s="1160"/>
      <c r="T485" s="1160"/>
      <c r="U485" s="1160"/>
      <c r="V485" s="1160"/>
      <c r="W485" s="1160"/>
      <c r="X485" s="1160"/>
      <c r="Y485" s="1160"/>
      <c r="Z485" s="1160"/>
      <c r="AA485" s="1160"/>
      <c r="AB485" s="1160"/>
      <c r="AC485" s="1160"/>
      <c r="AD485" s="1160"/>
      <c r="AE485" s="1160"/>
      <c r="AF485" s="1160"/>
      <c r="AG485" s="1160"/>
      <c r="AH485" s="1160"/>
      <c r="AI485" s="1160"/>
      <c r="AJ485" s="1160"/>
      <c r="AK485" s="1160"/>
      <c r="AL485" s="1160"/>
    </row>
    <row r="486" ht="15.0" customHeight="1">
      <c r="A486" s="1209"/>
      <c r="B486" s="1209"/>
      <c r="C486" s="1210"/>
      <c r="D486" s="1160"/>
      <c r="E486" s="1160"/>
      <c r="F486" s="1160"/>
      <c r="G486" s="1160"/>
      <c r="H486" s="1160"/>
      <c r="I486" s="1160"/>
      <c r="J486" s="1160"/>
      <c r="K486" s="1160"/>
      <c r="L486" s="1160"/>
      <c r="M486" s="1160"/>
      <c r="N486" s="1160"/>
      <c r="O486" s="1160"/>
      <c r="P486" s="1160"/>
      <c r="Q486" s="1160"/>
      <c r="R486" s="1160"/>
      <c r="S486" s="1160"/>
      <c r="T486" s="1160"/>
      <c r="U486" s="1160"/>
      <c r="V486" s="1160"/>
      <c r="W486" s="1160"/>
      <c r="X486" s="1160"/>
      <c r="Y486" s="1160"/>
      <c r="Z486" s="1160"/>
      <c r="AA486" s="1160"/>
      <c r="AB486" s="1160"/>
      <c r="AC486" s="1160"/>
      <c r="AD486" s="1160"/>
      <c r="AE486" s="1160"/>
      <c r="AF486" s="1160"/>
      <c r="AG486" s="1160"/>
      <c r="AH486" s="1160"/>
      <c r="AI486" s="1160"/>
      <c r="AJ486" s="1160"/>
      <c r="AK486" s="1160"/>
      <c r="AL486" s="1160"/>
    </row>
    <row r="487" ht="15.0" customHeight="1">
      <c r="A487" s="1209"/>
      <c r="B487" s="1209"/>
      <c r="C487" s="1210"/>
      <c r="D487" s="1160"/>
      <c r="E487" s="1160"/>
      <c r="F487" s="1160"/>
      <c r="G487" s="1160"/>
      <c r="H487" s="1160"/>
      <c r="I487" s="1160"/>
      <c r="J487" s="1160"/>
      <c r="K487" s="1160"/>
      <c r="L487" s="1160"/>
      <c r="M487" s="1160"/>
      <c r="N487" s="1160"/>
      <c r="O487" s="1160"/>
      <c r="P487" s="1160"/>
      <c r="Q487" s="1160"/>
      <c r="R487" s="1160"/>
      <c r="S487" s="1160"/>
      <c r="T487" s="1160"/>
      <c r="U487" s="1160"/>
      <c r="V487" s="1160"/>
      <c r="W487" s="1160"/>
      <c r="X487" s="1160"/>
      <c r="Y487" s="1160"/>
      <c r="Z487" s="1160"/>
      <c r="AA487" s="1160"/>
      <c r="AB487" s="1160"/>
      <c r="AC487" s="1160"/>
      <c r="AD487" s="1160"/>
      <c r="AE487" s="1160"/>
      <c r="AF487" s="1160"/>
      <c r="AG487" s="1160"/>
      <c r="AH487" s="1160"/>
      <c r="AI487" s="1160"/>
      <c r="AJ487" s="1160"/>
      <c r="AK487" s="1160"/>
      <c r="AL487" s="1160"/>
    </row>
    <row r="488" ht="15.0" customHeight="1">
      <c r="A488" s="1209"/>
      <c r="B488" s="1209"/>
      <c r="C488" s="1210"/>
      <c r="D488" s="1160"/>
      <c r="E488" s="1160"/>
      <c r="F488" s="1160"/>
      <c r="G488" s="1160"/>
      <c r="H488" s="1160"/>
      <c r="I488" s="1160"/>
      <c r="J488" s="1160"/>
      <c r="K488" s="1160"/>
      <c r="L488" s="1160"/>
      <c r="M488" s="1160"/>
      <c r="N488" s="1160"/>
      <c r="O488" s="1160"/>
      <c r="P488" s="1160"/>
      <c r="Q488" s="1160"/>
      <c r="R488" s="1160"/>
      <c r="S488" s="1160"/>
      <c r="T488" s="1160"/>
      <c r="U488" s="1160"/>
      <c r="V488" s="1160"/>
      <c r="W488" s="1160"/>
      <c r="X488" s="1160"/>
      <c r="Y488" s="1160"/>
      <c r="Z488" s="1160"/>
      <c r="AA488" s="1160"/>
      <c r="AB488" s="1160"/>
      <c r="AC488" s="1160"/>
      <c r="AD488" s="1160"/>
      <c r="AE488" s="1160"/>
      <c r="AF488" s="1160"/>
      <c r="AG488" s="1160"/>
      <c r="AH488" s="1160"/>
      <c r="AI488" s="1160"/>
      <c r="AJ488" s="1160"/>
      <c r="AK488" s="1160"/>
      <c r="AL488" s="1160"/>
    </row>
    <row r="489" ht="15.0" customHeight="1">
      <c r="A489" s="1209"/>
      <c r="B489" s="1209"/>
      <c r="C489" s="1210"/>
      <c r="D489" s="1160"/>
      <c r="E489" s="1160"/>
      <c r="F489" s="1160"/>
      <c r="G489" s="1160"/>
      <c r="H489" s="1160"/>
      <c r="I489" s="1160"/>
      <c r="J489" s="1160"/>
      <c r="K489" s="1160"/>
      <c r="L489" s="1160"/>
      <c r="M489" s="1160"/>
      <c r="N489" s="1160"/>
      <c r="O489" s="1160"/>
      <c r="P489" s="1160"/>
      <c r="Q489" s="1160"/>
      <c r="R489" s="1160"/>
      <c r="S489" s="1160"/>
      <c r="T489" s="1160"/>
      <c r="U489" s="1160"/>
      <c r="V489" s="1160"/>
      <c r="W489" s="1160"/>
      <c r="X489" s="1160"/>
      <c r="Y489" s="1160"/>
      <c r="Z489" s="1160"/>
      <c r="AA489" s="1160"/>
      <c r="AB489" s="1160"/>
      <c r="AC489" s="1160"/>
      <c r="AD489" s="1160"/>
      <c r="AE489" s="1160"/>
      <c r="AF489" s="1160"/>
      <c r="AG489" s="1160"/>
      <c r="AH489" s="1160"/>
      <c r="AI489" s="1160"/>
      <c r="AJ489" s="1160"/>
      <c r="AK489" s="1160"/>
      <c r="AL489" s="1160"/>
    </row>
    <row r="490" ht="15.0" customHeight="1">
      <c r="A490" s="1209"/>
      <c r="B490" s="1209"/>
      <c r="C490" s="1210"/>
      <c r="D490" s="1160"/>
      <c r="E490" s="1160"/>
      <c r="F490" s="1160"/>
      <c r="G490" s="1160"/>
      <c r="H490" s="1160"/>
      <c r="I490" s="1160"/>
      <c r="J490" s="1160"/>
      <c r="K490" s="1160"/>
      <c r="L490" s="1160"/>
      <c r="M490" s="1160"/>
      <c r="N490" s="1160"/>
      <c r="O490" s="1160"/>
      <c r="P490" s="1160"/>
      <c r="Q490" s="1160"/>
      <c r="R490" s="1160"/>
      <c r="S490" s="1160"/>
      <c r="T490" s="1160"/>
      <c r="U490" s="1160"/>
      <c r="V490" s="1160"/>
      <c r="W490" s="1160"/>
      <c r="X490" s="1160"/>
      <c r="Y490" s="1160"/>
      <c r="Z490" s="1160"/>
      <c r="AA490" s="1160"/>
      <c r="AB490" s="1160"/>
      <c r="AC490" s="1160"/>
      <c r="AD490" s="1160"/>
      <c r="AE490" s="1160"/>
      <c r="AF490" s="1160"/>
      <c r="AG490" s="1160"/>
      <c r="AH490" s="1160"/>
      <c r="AI490" s="1160"/>
      <c r="AJ490" s="1160"/>
      <c r="AK490" s="1160"/>
      <c r="AL490" s="1160"/>
    </row>
    <row r="491" ht="15.0" customHeight="1">
      <c r="A491" s="1209"/>
      <c r="B491" s="1209"/>
      <c r="C491" s="1210"/>
      <c r="D491" s="1160"/>
      <c r="E491" s="1160"/>
      <c r="F491" s="1160"/>
      <c r="G491" s="1160"/>
      <c r="H491" s="1160"/>
      <c r="I491" s="1160"/>
      <c r="J491" s="1160"/>
      <c r="K491" s="1160"/>
      <c r="L491" s="1160"/>
      <c r="M491" s="1160"/>
      <c r="N491" s="1160"/>
      <c r="O491" s="1160"/>
      <c r="P491" s="1160"/>
      <c r="Q491" s="1160"/>
      <c r="R491" s="1160"/>
      <c r="S491" s="1160"/>
      <c r="T491" s="1160"/>
      <c r="U491" s="1160"/>
      <c r="V491" s="1160"/>
      <c r="W491" s="1160"/>
      <c r="X491" s="1160"/>
      <c r="Y491" s="1160"/>
      <c r="Z491" s="1160"/>
      <c r="AA491" s="1160"/>
      <c r="AB491" s="1160"/>
      <c r="AC491" s="1160"/>
      <c r="AD491" s="1160"/>
      <c r="AE491" s="1160"/>
      <c r="AF491" s="1160"/>
      <c r="AG491" s="1160"/>
      <c r="AH491" s="1160"/>
      <c r="AI491" s="1160"/>
      <c r="AJ491" s="1160"/>
      <c r="AK491" s="1160"/>
      <c r="AL491" s="1160"/>
    </row>
    <row r="492" ht="15.0" customHeight="1">
      <c r="A492" s="1209"/>
      <c r="B492" s="1209"/>
      <c r="C492" s="1210"/>
      <c r="D492" s="1160"/>
      <c r="E492" s="1160"/>
      <c r="F492" s="1160"/>
      <c r="G492" s="1160"/>
      <c r="H492" s="1160"/>
      <c r="I492" s="1160"/>
      <c r="J492" s="1160"/>
      <c r="K492" s="1160"/>
      <c r="L492" s="1160"/>
      <c r="M492" s="1160"/>
      <c r="N492" s="1160"/>
      <c r="O492" s="1160"/>
      <c r="P492" s="1160"/>
      <c r="Q492" s="1160"/>
      <c r="R492" s="1160"/>
      <c r="S492" s="1160"/>
      <c r="T492" s="1160"/>
      <c r="U492" s="1160"/>
      <c r="V492" s="1160"/>
      <c r="W492" s="1160"/>
      <c r="X492" s="1160"/>
      <c r="Y492" s="1160"/>
      <c r="Z492" s="1160"/>
      <c r="AA492" s="1160"/>
      <c r="AB492" s="1160"/>
      <c r="AC492" s="1160"/>
      <c r="AD492" s="1160"/>
      <c r="AE492" s="1160"/>
      <c r="AF492" s="1160"/>
      <c r="AG492" s="1160"/>
      <c r="AH492" s="1160"/>
      <c r="AI492" s="1160"/>
      <c r="AJ492" s="1160"/>
      <c r="AK492" s="1160"/>
      <c r="AL492" s="1160"/>
    </row>
    <row r="493" ht="15.0" customHeight="1">
      <c r="A493" s="1209"/>
      <c r="B493" s="1209"/>
      <c r="C493" s="1210"/>
      <c r="D493" s="1160"/>
      <c r="E493" s="1160"/>
      <c r="F493" s="1160"/>
      <c r="G493" s="1160"/>
      <c r="H493" s="1160"/>
      <c r="I493" s="1160"/>
      <c r="J493" s="1160"/>
      <c r="K493" s="1160"/>
      <c r="L493" s="1160"/>
      <c r="M493" s="1160"/>
      <c r="N493" s="1160"/>
      <c r="O493" s="1160"/>
      <c r="P493" s="1160"/>
      <c r="Q493" s="1160"/>
      <c r="R493" s="1160"/>
      <c r="S493" s="1160"/>
      <c r="T493" s="1160"/>
      <c r="U493" s="1160"/>
      <c r="V493" s="1160"/>
      <c r="W493" s="1160"/>
      <c r="X493" s="1160"/>
      <c r="Y493" s="1160"/>
      <c r="Z493" s="1160"/>
      <c r="AA493" s="1160"/>
      <c r="AB493" s="1160"/>
      <c r="AC493" s="1160"/>
      <c r="AD493" s="1160"/>
      <c r="AE493" s="1160"/>
      <c r="AF493" s="1160"/>
      <c r="AG493" s="1160"/>
      <c r="AH493" s="1160"/>
      <c r="AI493" s="1160"/>
      <c r="AJ493" s="1160"/>
      <c r="AK493" s="1160"/>
      <c r="AL493" s="1160"/>
    </row>
    <row r="494" ht="15.0" customHeight="1">
      <c r="A494" s="1209"/>
      <c r="B494" s="1209"/>
      <c r="C494" s="1210"/>
      <c r="D494" s="1160"/>
      <c r="E494" s="1160"/>
      <c r="F494" s="1160"/>
      <c r="G494" s="1160"/>
      <c r="H494" s="1160"/>
      <c r="I494" s="1160"/>
      <c r="J494" s="1160"/>
      <c r="K494" s="1160"/>
      <c r="L494" s="1160"/>
      <c r="M494" s="1160"/>
      <c r="N494" s="1160"/>
      <c r="O494" s="1160"/>
      <c r="P494" s="1160"/>
      <c r="Q494" s="1160"/>
      <c r="R494" s="1160"/>
      <c r="S494" s="1160"/>
      <c r="T494" s="1160"/>
      <c r="U494" s="1160"/>
      <c r="V494" s="1160"/>
      <c r="W494" s="1160"/>
      <c r="X494" s="1160"/>
      <c r="Y494" s="1160"/>
      <c r="Z494" s="1160"/>
      <c r="AA494" s="1160"/>
      <c r="AB494" s="1160"/>
      <c r="AC494" s="1160"/>
      <c r="AD494" s="1160"/>
      <c r="AE494" s="1160"/>
      <c r="AF494" s="1160"/>
      <c r="AG494" s="1160"/>
      <c r="AH494" s="1160"/>
      <c r="AI494" s="1160"/>
      <c r="AJ494" s="1160"/>
      <c r="AK494" s="1160"/>
      <c r="AL494" s="1160"/>
    </row>
    <row r="495" ht="15.0" customHeight="1">
      <c r="A495" s="1209"/>
      <c r="B495" s="1209"/>
      <c r="C495" s="1210"/>
      <c r="D495" s="1160"/>
      <c r="E495" s="1160"/>
      <c r="F495" s="1160"/>
      <c r="G495" s="1160"/>
      <c r="H495" s="1160"/>
      <c r="I495" s="1160"/>
      <c r="J495" s="1160"/>
      <c r="K495" s="1160"/>
      <c r="L495" s="1160"/>
      <c r="M495" s="1160"/>
      <c r="N495" s="1160"/>
      <c r="O495" s="1160"/>
      <c r="P495" s="1160"/>
      <c r="Q495" s="1160"/>
      <c r="R495" s="1160"/>
      <c r="S495" s="1160"/>
      <c r="T495" s="1160"/>
      <c r="U495" s="1160"/>
      <c r="V495" s="1160"/>
      <c r="W495" s="1160"/>
      <c r="X495" s="1160"/>
      <c r="Y495" s="1160"/>
      <c r="Z495" s="1160"/>
      <c r="AA495" s="1160"/>
      <c r="AB495" s="1160"/>
      <c r="AC495" s="1160"/>
      <c r="AD495" s="1160"/>
      <c r="AE495" s="1160"/>
      <c r="AF495" s="1160"/>
      <c r="AG495" s="1160"/>
      <c r="AH495" s="1160"/>
      <c r="AI495" s="1160"/>
      <c r="AJ495" s="1160"/>
      <c r="AK495" s="1160"/>
      <c r="AL495" s="1160"/>
    </row>
    <row r="496" ht="15.0" customHeight="1">
      <c r="A496" s="1209"/>
      <c r="B496" s="1209"/>
      <c r="C496" s="1210"/>
      <c r="D496" s="1160"/>
      <c r="E496" s="1160"/>
      <c r="F496" s="1160"/>
      <c r="G496" s="1160"/>
      <c r="H496" s="1160"/>
      <c r="I496" s="1160"/>
      <c r="J496" s="1160"/>
      <c r="K496" s="1160"/>
      <c r="L496" s="1160"/>
      <c r="M496" s="1160"/>
      <c r="N496" s="1160"/>
      <c r="O496" s="1160"/>
      <c r="P496" s="1160"/>
      <c r="Q496" s="1160"/>
      <c r="R496" s="1160"/>
      <c r="S496" s="1160"/>
      <c r="T496" s="1160"/>
      <c r="U496" s="1160"/>
      <c r="V496" s="1160"/>
      <c r="W496" s="1160"/>
      <c r="X496" s="1160"/>
      <c r="Y496" s="1160"/>
      <c r="Z496" s="1160"/>
      <c r="AA496" s="1160"/>
      <c r="AB496" s="1160"/>
      <c r="AC496" s="1160"/>
      <c r="AD496" s="1160"/>
      <c r="AE496" s="1160"/>
      <c r="AF496" s="1160"/>
      <c r="AG496" s="1160"/>
      <c r="AH496" s="1160"/>
      <c r="AI496" s="1160"/>
      <c r="AJ496" s="1160"/>
      <c r="AK496" s="1160"/>
      <c r="AL496" s="1160"/>
    </row>
    <row r="497" ht="15.0" customHeight="1">
      <c r="A497" s="1209"/>
      <c r="B497" s="1209"/>
      <c r="C497" s="1210"/>
      <c r="D497" s="1160"/>
      <c r="E497" s="1160"/>
      <c r="F497" s="1160"/>
      <c r="G497" s="1160"/>
      <c r="H497" s="1160"/>
      <c r="I497" s="1160"/>
      <c r="J497" s="1160"/>
      <c r="K497" s="1160"/>
      <c r="L497" s="1160"/>
      <c r="M497" s="1160"/>
      <c r="N497" s="1160"/>
      <c r="O497" s="1160"/>
      <c r="P497" s="1160"/>
      <c r="Q497" s="1160"/>
      <c r="R497" s="1160"/>
      <c r="S497" s="1160"/>
      <c r="T497" s="1160"/>
      <c r="U497" s="1160"/>
      <c r="V497" s="1160"/>
      <c r="W497" s="1160"/>
      <c r="X497" s="1160"/>
      <c r="Y497" s="1160"/>
      <c r="Z497" s="1160"/>
      <c r="AA497" s="1160"/>
      <c r="AB497" s="1160"/>
      <c r="AC497" s="1160"/>
      <c r="AD497" s="1160"/>
      <c r="AE497" s="1160"/>
      <c r="AF497" s="1160"/>
      <c r="AG497" s="1160"/>
      <c r="AH497" s="1160"/>
      <c r="AI497" s="1160"/>
      <c r="AJ497" s="1160"/>
      <c r="AK497" s="1160"/>
      <c r="AL497" s="1160"/>
    </row>
    <row r="498" ht="15.0" customHeight="1">
      <c r="A498" s="1209"/>
      <c r="B498" s="1209"/>
      <c r="C498" s="1210"/>
      <c r="D498" s="1160"/>
      <c r="E498" s="1160"/>
      <c r="F498" s="1160"/>
      <c r="G498" s="1160"/>
      <c r="H498" s="1160"/>
      <c r="I498" s="1160"/>
      <c r="J498" s="1160"/>
      <c r="K498" s="1160"/>
      <c r="L498" s="1160"/>
      <c r="M498" s="1160"/>
      <c r="N498" s="1160"/>
      <c r="O498" s="1160"/>
      <c r="P498" s="1160"/>
      <c r="Q498" s="1160"/>
      <c r="R498" s="1160"/>
      <c r="S498" s="1160"/>
      <c r="T498" s="1160"/>
      <c r="U498" s="1160"/>
      <c r="V498" s="1160"/>
      <c r="W498" s="1160"/>
      <c r="X498" s="1160"/>
      <c r="Y498" s="1160"/>
      <c r="Z498" s="1160"/>
      <c r="AA498" s="1160"/>
      <c r="AB498" s="1160"/>
      <c r="AC498" s="1160"/>
      <c r="AD498" s="1160"/>
      <c r="AE498" s="1160"/>
      <c r="AF498" s="1160"/>
      <c r="AG498" s="1160"/>
      <c r="AH498" s="1160"/>
      <c r="AI498" s="1160"/>
      <c r="AJ498" s="1160"/>
      <c r="AK498" s="1160"/>
      <c r="AL498" s="1160"/>
    </row>
    <row r="499" ht="15.0" customHeight="1">
      <c r="A499" s="1209"/>
      <c r="B499" s="1209"/>
      <c r="C499" s="1210"/>
      <c r="D499" s="1160"/>
      <c r="E499" s="1160"/>
      <c r="F499" s="1160"/>
      <c r="G499" s="1160"/>
      <c r="H499" s="1160"/>
      <c r="I499" s="1160"/>
      <c r="J499" s="1160"/>
      <c r="K499" s="1160"/>
      <c r="L499" s="1160"/>
      <c r="M499" s="1160"/>
      <c r="N499" s="1160"/>
      <c r="O499" s="1160"/>
      <c r="P499" s="1160"/>
      <c r="Q499" s="1160"/>
      <c r="R499" s="1160"/>
      <c r="S499" s="1160"/>
      <c r="T499" s="1160"/>
      <c r="U499" s="1160"/>
      <c r="V499" s="1160"/>
      <c r="W499" s="1160"/>
      <c r="X499" s="1160"/>
      <c r="Y499" s="1160"/>
      <c r="Z499" s="1160"/>
      <c r="AA499" s="1160"/>
      <c r="AB499" s="1160"/>
      <c r="AC499" s="1160"/>
      <c r="AD499" s="1160"/>
      <c r="AE499" s="1160"/>
      <c r="AF499" s="1160"/>
      <c r="AG499" s="1160"/>
      <c r="AH499" s="1160"/>
      <c r="AI499" s="1160"/>
      <c r="AJ499" s="1160"/>
      <c r="AK499" s="1160"/>
      <c r="AL499" s="1160"/>
    </row>
    <row r="500" ht="15.0" customHeight="1">
      <c r="A500" s="1209"/>
      <c r="B500" s="1209"/>
      <c r="C500" s="1210"/>
      <c r="D500" s="1160"/>
      <c r="E500" s="1160"/>
      <c r="F500" s="1160"/>
      <c r="G500" s="1160"/>
      <c r="H500" s="1160"/>
      <c r="I500" s="1160"/>
      <c r="J500" s="1160"/>
      <c r="K500" s="1160"/>
      <c r="L500" s="1160"/>
      <c r="M500" s="1160"/>
      <c r="N500" s="1160"/>
      <c r="O500" s="1160"/>
      <c r="P500" s="1160"/>
      <c r="Q500" s="1160"/>
      <c r="R500" s="1160"/>
      <c r="S500" s="1160"/>
      <c r="T500" s="1160"/>
      <c r="U500" s="1160"/>
      <c r="V500" s="1160"/>
      <c r="W500" s="1160"/>
      <c r="X500" s="1160"/>
      <c r="Y500" s="1160"/>
      <c r="Z500" s="1160"/>
      <c r="AA500" s="1160"/>
      <c r="AB500" s="1160"/>
      <c r="AC500" s="1160"/>
      <c r="AD500" s="1160"/>
      <c r="AE500" s="1160"/>
      <c r="AF500" s="1160"/>
      <c r="AG500" s="1160"/>
      <c r="AH500" s="1160"/>
      <c r="AI500" s="1160"/>
      <c r="AJ500" s="1160"/>
      <c r="AK500" s="1160"/>
      <c r="AL500" s="1160"/>
    </row>
    <row r="501" ht="15.0" customHeight="1">
      <c r="A501" s="1209"/>
      <c r="B501" s="1209"/>
      <c r="C501" s="1210"/>
      <c r="D501" s="1160"/>
      <c r="E501" s="1160"/>
      <c r="F501" s="1160"/>
      <c r="G501" s="1160"/>
      <c r="H501" s="1160"/>
      <c r="I501" s="1160"/>
      <c r="J501" s="1160"/>
      <c r="K501" s="1160"/>
      <c r="L501" s="1160"/>
      <c r="M501" s="1160"/>
      <c r="N501" s="1160"/>
      <c r="O501" s="1160"/>
      <c r="P501" s="1160"/>
      <c r="Q501" s="1160"/>
      <c r="R501" s="1160"/>
      <c r="S501" s="1160"/>
      <c r="T501" s="1160"/>
      <c r="U501" s="1160"/>
      <c r="V501" s="1160"/>
      <c r="W501" s="1160"/>
      <c r="X501" s="1160"/>
      <c r="Y501" s="1160"/>
      <c r="Z501" s="1160"/>
      <c r="AA501" s="1160"/>
      <c r="AB501" s="1160"/>
      <c r="AC501" s="1160"/>
      <c r="AD501" s="1160"/>
      <c r="AE501" s="1160"/>
      <c r="AF501" s="1160"/>
      <c r="AG501" s="1160"/>
      <c r="AH501" s="1160"/>
      <c r="AI501" s="1160"/>
      <c r="AJ501" s="1160"/>
      <c r="AK501" s="1160"/>
      <c r="AL501" s="1160"/>
    </row>
    <row r="502" ht="15.0" customHeight="1">
      <c r="A502" s="1209"/>
      <c r="B502" s="1209"/>
      <c r="C502" s="1210"/>
      <c r="D502" s="1160"/>
      <c r="E502" s="1160"/>
      <c r="F502" s="1160"/>
      <c r="G502" s="1160"/>
      <c r="H502" s="1160"/>
      <c r="I502" s="1160"/>
      <c r="J502" s="1160"/>
      <c r="K502" s="1160"/>
      <c r="L502" s="1160"/>
      <c r="M502" s="1160"/>
      <c r="N502" s="1160"/>
      <c r="O502" s="1160"/>
      <c r="P502" s="1160"/>
      <c r="Q502" s="1160"/>
      <c r="R502" s="1160"/>
      <c r="S502" s="1160"/>
      <c r="T502" s="1160"/>
      <c r="U502" s="1160"/>
      <c r="V502" s="1160"/>
      <c r="W502" s="1160"/>
      <c r="X502" s="1160"/>
      <c r="Y502" s="1160"/>
      <c r="Z502" s="1160"/>
      <c r="AA502" s="1160"/>
      <c r="AB502" s="1160"/>
      <c r="AC502" s="1160"/>
      <c r="AD502" s="1160"/>
      <c r="AE502" s="1160"/>
      <c r="AF502" s="1160"/>
      <c r="AG502" s="1160"/>
      <c r="AH502" s="1160"/>
      <c r="AI502" s="1160"/>
      <c r="AJ502" s="1160"/>
      <c r="AK502" s="1160"/>
      <c r="AL502" s="1160"/>
    </row>
    <row r="503" ht="15.0" customHeight="1">
      <c r="A503" s="1209"/>
      <c r="B503" s="1209"/>
      <c r="C503" s="1210"/>
      <c r="D503" s="1160"/>
      <c r="E503" s="1160"/>
      <c r="F503" s="1160"/>
      <c r="G503" s="1160"/>
      <c r="H503" s="1160"/>
      <c r="I503" s="1160"/>
      <c r="J503" s="1160"/>
      <c r="K503" s="1160"/>
      <c r="L503" s="1160"/>
      <c r="M503" s="1160"/>
      <c r="N503" s="1160"/>
      <c r="O503" s="1160"/>
      <c r="P503" s="1160"/>
      <c r="Q503" s="1160"/>
      <c r="R503" s="1160"/>
      <c r="S503" s="1160"/>
      <c r="T503" s="1160"/>
      <c r="U503" s="1160"/>
      <c r="V503" s="1160"/>
      <c r="W503" s="1160"/>
      <c r="X503" s="1160"/>
      <c r="Y503" s="1160"/>
      <c r="Z503" s="1160"/>
      <c r="AA503" s="1160"/>
      <c r="AB503" s="1160"/>
      <c r="AC503" s="1160"/>
      <c r="AD503" s="1160"/>
      <c r="AE503" s="1160"/>
      <c r="AF503" s="1160"/>
      <c r="AG503" s="1160"/>
      <c r="AH503" s="1160"/>
      <c r="AI503" s="1160"/>
      <c r="AJ503" s="1160"/>
      <c r="AK503" s="1160"/>
      <c r="AL503" s="1160"/>
    </row>
    <row r="504" ht="15.0" customHeight="1">
      <c r="A504" s="1209"/>
      <c r="B504" s="1209"/>
      <c r="C504" s="1210"/>
      <c r="D504" s="1160"/>
      <c r="E504" s="1160"/>
      <c r="F504" s="1160"/>
      <c r="G504" s="1160"/>
      <c r="H504" s="1160"/>
      <c r="I504" s="1160"/>
      <c r="J504" s="1160"/>
      <c r="K504" s="1160"/>
      <c r="L504" s="1160"/>
      <c r="M504" s="1160"/>
      <c r="N504" s="1160"/>
      <c r="O504" s="1160"/>
      <c r="P504" s="1160"/>
      <c r="Q504" s="1160"/>
      <c r="R504" s="1160"/>
      <c r="S504" s="1160"/>
      <c r="T504" s="1160"/>
      <c r="U504" s="1160"/>
      <c r="V504" s="1160"/>
      <c r="W504" s="1160"/>
      <c r="X504" s="1160"/>
      <c r="Y504" s="1160"/>
      <c r="Z504" s="1160"/>
      <c r="AA504" s="1160"/>
      <c r="AB504" s="1160"/>
      <c r="AC504" s="1160"/>
      <c r="AD504" s="1160"/>
      <c r="AE504" s="1160"/>
      <c r="AF504" s="1160"/>
      <c r="AG504" s="1160"/>
      <c r="AH504" s="1160"/>
      <c r="AI504" s="1160"/>
      <c r="AJ504" s="1160"/>
      <c r="AK504" s="1160"/>
      <c r="AL504" s="1160"/>
    </row>
    <row r="505" ht="15.0" customHeight="1">
      <c r="A505" s="1209"/>
      <c r="B505" s="1209"/>
      <c r="C505" s="1210"/>
      <c r="D505" s="1160"/>
      <c r="E505" s="1160"/>
      <c r="F505" s="1160"/>
      <c r="G505" s="1160"/>
      <c r="H505" s="1160"/>
      <c r="I505" s="1160"/>
      <c r="J505" s="1160"/>
      <c r="K505" s="1160"/>
      <c r="L505" s="1160"/>
      <c r="M505" s="1160"/>
      <c r="N505" s="1160"/>
      <c r="O505" s="1160"/>
      <c r="P505" s="1160"/>
      <c r="Q505" s="1160"/>
      <c r="R505" s="1160"/>
      <c r="S505" s="1160"/>
      <c r="T505" s="1160"/>
      <c r="U505" s="1160"/>
      <c r="V505" s="1160"/>
      <c r="W505" s="1160"/>
      <c r="X505" s="1160"/>
      <c r="Y505" s="1160"/>
      <c r="Z505" s="1160"/>
      <c r="AA505" s="1160"/>
      <c r="AB505" s="1160"/>
      <c r="AC505" s="1160"/>
      <c r="AD505" s="1160"/>
      <c r="AE505" s="1160"/>
      <c r="AF505" s="1160"/>
      <c r="AG505" s="1160"/>
      <c r="AH505" s="1160"/>
      <c r="AI505" s="1160"/>
      <c r="AJ505" s="1160"/>
      <c r="AK505" s="1160"/>
      <c r="AL505" s="1160"/>
    </row>
    <row r="506" ht="15.0" customHeight="1">
      <c r="A506" s="1209"/>
      <c r="B506" s="1209"/>
      <c r="C506" s="1210"/>
      <c r="D506" s="1160"/>
      <c r="E506" s="1160"/>
      <c r="F506" s="1160"/>
      <c r="G506" s="1160"/>
      <c r="H506" s="1160"/>
      <c r="I506" s="1160"/>
      <c r="J506" s="1160"/>
      <c r="K506" s="1160"/>
      <c r="L506" s="1160"/>
      <c r="M506" s="1160"/>
      <c r="N506" s="1160"/>
      <c r="O506" s="1160"/>
      <c r="P506" s="1160"/>
      <c r="Q506" s="1160"/>
      <c r="R506" s="1160"/>
      <c r="S506" s="1160"/>
      <c r="T506" s="1160"/>
      <c r="U506" s="1160"/>
      <c r="V506" s="1160"/>
      <c r="W506" s="1160"/>
      <c r="X506" s="1160"/>
      <c r="Y506" s="1160"/>
      <c r="Z506" s="1160"/>
      <c r="AA506" s="1160"/>
      <c r="AB506" s="1160"/>
      <c r="AC506" s="1160"/>
      <c r="AD506" s="1160"/>
      <c r="AE506" s="1160"/>
      <c r="AF506" s="1160"/>
      <c r="AG506" s="1160"/>
      <c r="AH506" s="1160"/>
      <c r="AI506" s="1160"/>
      <c r="AJ506" s="1160"/>
      <c r="AK506" s="1160"/>
      <c r="AL506" s="1160"/>
    </row>
    <row r="507" ht="15.0" customHeight="1">
      <c r="A507" s="1209"/>
      <c r="B507" s="1209"/>
      <c r="C507" s="1210"/>
      <c r="D507" s="1160"/>
      <c r="E507" s="1160"/>
      <c r="F507" s="1160"/>
      <c r="G507" s="1160"/>
      <c r="H507" s="1160"/>
      <c r="I507" s="1160"/>
      <c r="J507" s="1160"/>
      <c r="K507" s="1160"/>
      <c r="L507" s="1160"/>
      <c r="M507" s="1160"/>
      <c r="N507" s="1160"/>
      <c r="O507" s="1160"/>
      <c r="P507" s="1160"/>
      <c r="Q507" s="1160"/>
      <c r="R507" s="1160"/>
      <c r="S507" s="1160"/>
      <c r="T507" s="1160"/>
      <c r="U507" s="1160"/>
      <c r="V507" s="1160"/>
      <c r="W507" s="1160"/>
      <c r="X507" s="1160"/>
      <c r="Y507" s="1160"/>
      <c r="Z507" s="1160"/>
      <c r="AA507" s="1160"/>
      <c r="AB507" s="1160"/>
      <c r="AC507" s="1160"/>
      <c r="AD507" s="1160"/>
      <c r="AE507" s="1160"/>
      <c r="AF507" s="1160"/>
      <c r="AG507" s="1160"/>
      <c r="AH507" s="1160"/>
      <c r="AI507" s="1160"/>
      <c r="AJ507" s="1160"/>
      <c r="AK507" s="1160"/>
      <c r="AL507" s="1160"/>
    </row>
    <row r="508" ht="15.0" customHeight="1">
      <c r="A508" s="1209"/>
      <c r="B508" s="1209"/>
      <c r="C508" s="1210"/>
      <c r="D508" s="1160"/>
      <c r="E508" s="1160"/>
      <c r="F508" s="1160"/>
      <c r="G508" s="1160"/>
      <c r="H508" s="1160"/>
      <c r="I508" s="1160"/>
      <c r="J508" s="1160"/>
      <c r="K508" s="1160"/>
      <c r="L508" s="1160"/>
      <c r="M508" s="1160"/>
      <c r="N508" s="1160"/>
      <c r="O508" s="1160"/>
      <c r="P508" s="1160"/>
      <c r="Q508" s="1160"/>
      <c r="R508" s="1160"/>
      <c r="S508" s="1160"/>
      <c r="T508" s="1160"/>
      <c r="U508" s="1160"/>
      <c r="V508" s="1160"/>
      <c r="W508" s="1160"/>
      <c r="X508" s="1160"/>
      <c r="Y508" s="1160"/>
      <c r="Z508" s="1160"/>
      <c r="AA508" s="1160"/>
      <c r="AB508" s="1160"/>
      <c r="AC508" s="1160"/>
      <c r="AD508" s="1160"/>
      <c r="AE508" s="1160"/>
      <c r="AF508" s="1160"/>
      <c r="AG508" s="1160"/>
      <c r="AH508" s="1160"/>
      <c r="AI508" s="1160"/>
      <c r="AJ508" s="1160"/>
      <c r="AK508" s="1160"/>
      <c r="AL508" s="1160"/>
    </row>
    <row r="509" ht="15.0" customHeight="1">
      <c r="A509" s="1209"/>
      <c r="B509" s="1209"/>
      <c r="C509" s="1210"/>
      <c r="D509" s="1160"/>
      <c r="E509" s="1160"/>
      <c r="F509" s="1160"/>
      <c r="G509" s="1160"/>
      <c r="H509" s="1160"/>
      <c r="I509" s="1160"/>
      <c r="J509" s="1160"/>
      <c r="K509" s="1160"/>
      <c r="L509" s="1160"/>
      <c r="M509" s="1160"/>
      <c r="N509" s="1160"/>
      <c r="O509" s="1160"/>
      <c r="P509" s="1160"/>
      <c r="Q509" s="1160"/>
      <c r="R509" s="1160"/>
      <c r="S509" s="1160"/>
      <c r="T509" s="1160"/>
      <c r="U509" s="1160"/>
      <c r="V509" s="1160"/>
      <c r="W509" s="1160"/>
      <c r="X509" s="1160"/>
      <c r="Y509" s="1160"/>
      <c r="Z509" s="1160"/>
      <c r="AA509" s="1160"/>
      <c r="AB509" s="1160"/>
      <c r="AC509" s="1160"/>
      <c r="AD509" s="1160"/>
      <c r="AE509" s="1160"/>
      <c r="AF509" s="1160"/>
      <c r="AG509" s="1160"/>
      <c r="AH509" s="1160"/>
      <c r="AI509" s="1160"/>
      <c r="AJ509" s="1160"/>
      <c r="AK509" s="1160"/>
      <c r="AL509" s="1160"/>
    </row>
    <row r="510" ht="15.0" customHeight="1">
      <c r="A510" s="1209"/>
      <c r="B510" s="1209"/>
      <c r="C510" s="1210"/>
      <c r="D510" s="1160"/>
      <c r="E510" s="1160"/>
      <c r="F510" s="1160"/>
      <c r="G510" s="1160"/>
      <c r="H510" s="1160"/>
      <c r="I510" s="1160"/>
      <c r="J510" s="1160"/>
      <c r="K510" s="1160"/>
      <c r="L510" s="1160"/>
      <c r="M510" s="1160"/>
      <c r="N510" s="1160"/>
      <c r="O510" s="1160"/>
      <c r="P510" s="1160"/>
      <c r="Q510" s="1160"/>
      <c r="R510" s="1160"/>
      <c r="S510" s="1160"/>
      <c r="T510" s="1160"/>
      <c r="U510" s="1160"/>
      <c r="V510" s="1160"/>
      <c r="W510" s="1160"/>
      <c r="X510" s="1160"/>
      <c r="Y510" s="1160"/>
      <c r="Z510" s="1160"/>
      <c r="AA510" s="1160"/>
      <c r="AB510" s="1160"/>
      <c r="AC510" s="1160"/>
      <c r="AD510" s="1160"/>
      <c r="AE510" s="1160"/>
      <c r="AF510" s="1160"/>
      <c r="AG510" s="1160"/>
      <c r="AH510" s="1160"/>
      <c r="AI510" s="1160"/>
      <c r="AJ510" s="1160"/>
      <c r="AK510" s="1160"/>
      <c r="AL510" s="1160"/>
    </row>
    <row r="511" ht="15.0" customHeight="1">
      <c r="A511" s="1209"/>
      <c r="B511" s="1209"/>
      <c r="C511" s="1210"/>
      <c r="D511" s="1160"/>
      <c r="E511" s="1160"/>
      <c r="F511" s="1160"/>
      <c r="G511" s="1160"/>
      <c r="H511" s="1160"/>
      <c r="I511" s="1160"/>
      <c r="J511" s="1160"/>
      <c r="K511" s="1160"/>
      <c r="L511" s="1160"/>
      <c r="M511" s="1160"/>
      <c r="N511" s="1160"/>
      <c r="O511" s="1160"/>
      <c r="P511" s="1160"/>
      <c r="Q511" s="1160"/>
      <c r="R511" s="1160"/>
      <c r="S511" s="1160"/>
      <c r="T511" s="1160"/>
      <c r="U511" s="1160"/>
      <c r="V511" s="1160"/>
      <c r="W511" s="1160"/>
      <c r="X511" s="1160"/>
      <c r="Y511" s="1160"/>
      <c r="Z511" s="1160"/>
      <c r="AA511" s="1160"/>
      <c r="AB511" s="1160"/>
      <c r="AC511" s="1160"/>
      <c r="AD511" s="1160"/>
      <c r="AE511" s="1160"/>
      <c r="AF511" s="1160"/>
      <c r="AG511" s="1160"/>
      <c r="AH511" s="1160"/>
      <c r="AI511" s="1160"/>
      <c r="AJ511" s="1160"/>
      <c r="AK511" s="1160"/>
      <c r="AL511" s="1160"/>
    </row>
    <row r="512" ht="15.0" customHeight="1">
      <c r="A512" s="1209"/>
      <c r="B512" s="1209"/>
      <c r="C512" s="1210"/>
      <c r="D512" s="1160"/>
      <c r="E512" s="1160"/>
      <c r="F512" s="1160"/>
      <c r="G512" s="1160"/>
      <c r="H512" s="1160"/>
      <c r="I512" s="1160"/>
      <c r="J512" s="1160"/>
      <c r="K512" s="1160"/>
      <c r="L512" s="1160"/>
      <c r="M512" s="1160"/>
      <c r="N512" s="1160"/>
      <c r="O512" s="1160"/>
      <c r="P512" s="1160"/>
      <c r="Q512" s="1160"/>
      <c r="R512" s="1160"/>
      <c r="S512" s="1160"/>
      <c r="T512" s="1160"/>
      <c r="U512" s="1160"/>
      <c r="V512" s="1160"/>
      <c r="W512" s="1160"/>
      <c r="X512" s="1160"/>
      <c r="Y512" s="1160"/>
      <c r="Z512" s="1160"/>
      <c r="AA512" s="1160"/>
      <c r="AB512" s="1160"/>
      <c r="AC512" s="1160"/>
      <c r="AD512" s="1160"/>
      <c r="AE512" s="1160"/>
      <c r="AF512" s="1160"/>
      <c r="AG512" s="1160"/>
      <c r="AH512" s="1160"/>
      <c r="AI512" s="1160"/>
      <c r="AJ512" s="1160"/>
      <c r="AK512" s="1160"/>
      <c r="AL512" s="1160"/>
    </row>
    <row r="513" ht="15.0" customHeight="1">
      <c r="A513" s="1209"/>
      <c r="B513" s="1209"/>
      <c r="C513" s="1210"/>
      <c r="D513" s="1160"/>
      <c r="E513" s="1160"/>
      <c r="F513" s="1160"/>
      <c r="G513" s="1160"/>
      <c r="H513" s="1160"/>
      <c r="I513" s="1160"/>
      <c r="J513" s="1160"/>
      <c r="K513" s="1160"/>
      <c r="L513" s="1160"/>
      <c r="M513" s="1160"/>
      <c r="N513" s="1160"/>
      <c r="O513" s="1160"/>
      <c r="P513" s="1160"/>
      <c r="Q513" s="1160"/>
      <c r="R513" s="1160"/>
      <c r="S513" s="1160"/>
      <c r="T513" s="1160"/>
      <c r="U513" s="1160"/>
      <c r="V513" s="1160"/>
      <c r="W513" s="1160"/>
      <c r="X513" s="1160"/>
      <c r="Y513" s="1160"/>
      <c r="Z513" s="1160"/>
      <c r="AA513" s="1160"/>
      <c r="AB513" s="1160"/>
      <c r="AC513" s="1160"/>
      <c r="AD513" s="1160"/>
      <c r="AE513" s="1160"/>
      <c r="AF513" s="1160"/>
      <c r="AG513" s="1160"/>
      <c r="AH513" s="1160"/>
      <c r="AI513" s="1160"/>
      <c r="AJ513" s="1160"/>
      <c r="AK513" s="1160"/>
      <c r="AL513" s="1160"/>
    </row>
    <row r="514" ht="15.0" customHeight="1">
      <c r="A514" s="1209"/>
      <c r="B514" s="1209"/>
      <c r="C514" s="1210"/>
      <c r="D514" s="1160"/>
      <c r="E514" s="1160"/>
      <c r="F514" s="1160"/>
      <c r="G514" s="1160"/>
      <c r="H514" s="1160"/>
      <c r="I514" s="1160"/>
      <c r="J514" s="1160"/>
      <c r="K514" s="1160"/>
      <c r="L514" s="1160"/>
      <c r="M514" s="1160"/>
      <c r="N514" s="1160"/>
      <c r="O514" s="1160"/>
      <c r="P514" s="1160"/>
      <c r="Q514" s="1160"/>
      <c r="R514" s="1160"/>
      <c r="S514" s="1160"/>
      <c r="T514" s="1160"/>
      <c r="U514" s="1160"/>
      <c r="V514" s="1160"/>
      <c r="W514" s="1160"/>
      <c r="X514" s="1160"/>
      <c r="Y514" s="1160"/>
      <c r="Z514" s="1160"/>
      <c r="AA514" s="1160"/>
      <c r="AB514" s="1160"/>
      <c r="AC514" s="1160"/>
      <c r="AD514" s="1160"/>
      <c r="AE514" s="1160"/>
      <c r="AF514" s="1160"/>
      <c r="AG514" s="1160"/>
      <c r="AH514" s="1160"/>
      <c r="AI514" s="1160"/>
      <c r="AJ514" s="1160"/>
      <c r="AK514" s="1160"/>
      <c r="AL514" s="1160"/>
    </row>
    <row r="515" ht="15.0" customHeight="1">
      <c r="A515" s="1209"/>
      <c r="B515" s="1209"/>
      <c r="C515" s="1210"/>
      <c r="D515" s="1160"/>
      <c r="E515" s="1160"/>
      <c r="F515" s="1160"/>
      <c r="G515" s="1160"/>
      <c r="H515" s="1160"/>
      <c r="I515" s="1160"/>
      <c r="J515" s="1160"/>
      <c r="K515" s="1160"/>
      <c r="L515" s="1160"/>
      <c r="M515" s="1160"/>
      <c r="N515" s="1160"/>
      <c r="O515" s="1160"/>
      <c r="P515" s="1160"/>
      <c r="Q515" s="1160"/>
      <c r="R515" s="1160"/>
      <c r="S515" s="1160"/>
      <c r="T515" s="1160"/>
      <c r="U515" s="1160"/>
      <c r="V515" s="1160"/>
      <c r="W515" s="1160"/>
      <c r="X515" s="1160"/>
      <c r="Y515" s="1160"/>
      <c r="Z515" s="1160"/>
      <c r="AA515" s="1160"/>
      <c r="AB515" s="1160"/>
      <c r="AC515" s="1160"/>
      <c r="AD515" s="1160"/>
      <c r="AE515" s="1160"/>
      <c r="AF515" s="1160"/>
      <c r="AG515" s="1160"/>
      <c r="AH515" s="1160"/>
      <c r="AI515" s="1160"/>
      <c r="AJ515" s="1160"/>
      <c r="AK515" s="1160"/>
      <c r="AL515" s="1160"/>
    </row>
    <row r="516" ht="15.0" customHeight="1">
      <c r="A516" s="1209"/>
      <c r="B516" s="1209"/>
      <c r="C516" s="1210"/>
      <c r="D516" s="1160"/>
      <c r="E516" s="1160"/>
      <c r="F516" s="1160"/>
      <c r="G516" s="1160"/>
      <c r="H516" s="1160"/>
      <c r="I516" s="1160"/>
      <c r="J516" s="1160"/>
      <c r="K516" s="1160"/>
      <c r="L516" s="1160"/>
      <c r="M516" s="1160"/>
      <c r="N516" s="1160"/>
      <c r="O516" s="1160"/>
      <c r="P516" s="1160"/>
      <c r="Q516" s="1160"/>
      <c r="R516" s="1160"/>
      <c r="S516" s="1160"/>
      <c r="T516" s="1160"/>
      <c r="U516" s="1160"/>
      <c r="V516" s="1160"/>
      <c r="W516" s="1160"/>
      <c r="X516" s="1160"/>
      <c r="Y516" s="1160"/>
      <c r="Z516" s="1160"/>
      <c r="AA516" s="1160"/>
      <c r="AB516" s="1160"/>
      <c r="AC516" s="1160"/>
      <c r="AD516" s="1160"/>
      <c r="AE516" s="1160"/>
      <c r="AF516" s="1160"/>
      <c r="AG516" s="1160"/>
      <c r="AH516" s="1160"/>
      <c r="AI516" s="1160"/>
      <c r="AJ516" s="1160"/>
      <c r="AK516" s="1160"/>
      <c r="AL516" s="1160"/>
    </row>
    <row r="517" ht="15.0" customHeight="1">
      <c r="A517" s="1209"/>
      <c r="B517" s="1209"/>
      <c r="C517" s="1210"/>
      <c r="D517" s="1160"/>
      <c r="E517" s="1160"/>
      <c r="F517" s="1160"/>
      <c r="G517" s="1160"/>
      <c r="H517" s="1160"/>
      <c r="I517" s="1160"/>
      <c r="J517" s="1160"/>
      <c r="K517" s="1160"/>
      <c r="L517" s="1160"/>
      <c r="M517" s="1160"/>
      <c r="N517" s="1160"/>
      <c r="O517" s="1160"/>
      <c r="P517" s="1160"/>
      <c r="Q517" s="1160"/>
      <c r="R517" s="1160"/>
      <c r="S517" s="1160"/>
      <c r="T517" s="1160"/>
      <c r="U517" s="1160"/>
      <c r="V517" s="1160"/>
      <c r="W517" s="1160"/>
      <c r="X517" s="1160"/>
      <c r="Y517" s="1160"/>
      <c r="Z517" s="1160"/>
      <c r="AA517" s="1160"/>
      <c r="AB517" s="1160"/>
      <c r="AC517" s="1160"/>
      <c r="AD517" s="1160"/>
      <c r="AE517" s="1160"/>
      <c r="AF517" s="1160"/>
      <c r="AG517" s="1160"/>
      <c r="AH517" s="1160"/>
      <c r="AI517" s="1160"/>
      <c r="AJ517" s="1160"/>
      <c r="AK517" s="1160"/>
      <c r="AL517" s="1160"/>
    </row>
    <row r="518" ht="15.0" customHeight="1">
      <c r="A518" s="1209"/>
      <c r="B518" s="1209"/>
      <c r="C518" s="1210"/>
      <c r="D518" s="1160"/>
      <c r="E518" s="1160"/>
      <c r="F518" s="1160"/>
      <c r="G518" s="1160"/>
      <c r="H518" s="1160"/>
      <c r="I518" s="1160"/>
      <c r="J518" s="1160"/>
      <c r="K518" s="1160"/>
      <c r="L518" s="1160"/>
      <c r="M518" s="1160"/>
      <c r="N518" s="1160"/>
      <c r="O518" s="1160"/>
      <c r="P518" s="1160"/>
      <c r="Q518" s="1160"/>
      <c r="R518" s="1160"/>
      <c r="S518" s="1160"/>
      <c r="T518" s="1160"/>
      <c r="U518" s="1160"/>
      <c r="V518" s="1160"/>
      <c r="W518" s="1160"/>
      <c r="X518" s="1160"/>
      <c r="Y518" s="1160"/>
      <c r="Z518" s="1160"/>
      <c r="AA518" s="1160"/>
      <c r="AB518" s="1160"/>
      <c r="AC518" s="1160"/>
      <c r="AD518" s="1160"/>
      <c r="AE518" s="1160"/>
      <c r="AF518" s="1160"/>
      <c r="AG518" s="1160"/>
      <c r="AH518" s="1160"/>
      <c r="AI518" s="1160"/>
      <c r="AJ518" s="1160"/>
      <c r="AK518" s="1160"/>
      <c r="AL518" s="1160"/>
    </row>
    <row r="519" ht="15.0" customHeight="1">
      <c r="A519" s="1209"/>
      <c r="B519" s="1209"/>
      <c r="C519" s="1210"/>
      <c r="D519" s="1160"/>
      <c r="E519" s="1160"/>
      <c r="F519" s="1160"/>
      <c r="G519" s="1160"/>
      <c r="H519" s="1160"/>
      <c r="I519" s="1160"/>
      <c r="J519" s="1160"/>
      <c r="K519" s="1160"/>
      <c r="L519" s="1160"/>
      <c r="M519" s="1160"/>
      <c r="N519" s="1160"/>
      <c r="O519" s="1160"/>
      <c r="P519" s="1160"/>
      <c r="Q519" s="1160"/>
      <c r="R519" s="1160"/>
      <c r="S519" s="1160"/>
      <c r="T519" s="1160"/>
      <c r="U519" s="1160"/>
      <c r="V519" s="1160"/>
      <c r="W519" s="1160"/>
      <c r="X519" s="1160"/>
      <c r="Y519" s="1160"/>
      <c r="Z519" s="1160"/>
      <c r="AA519" s="1160"/>
      <c r="AB519" s="1160"/>
      <c r="AC519" s="1160"/>
      <c r="AD519" s="1160"/>
      <c r="AE519" s="1160"/>
      <c r="AF519" s="1160"/>
      <c r="AG519" s="1160"/>
      <c r="AH519" s="1160"/>
      <c r="AI519" s="1160"/>
      <c r="AJ519" s="1160"/>
      <c r="AK519" s="1160"/>
      <c r="AL519" s="1160"/>
    </row>
    <row r="520" ht="15.0" customHeight="1">
      <c r="A520" s="1209"/>
      <c r="B520" s="1209"/>
      <c r="C520" s="1210"/>
      <c r="D520" s="1160"/>
      <c r="E520" s="1160"/>
      <c r="F520" s="1160"/>
      <c r="G520" s="1160"/>
      <c r="H520" s="1160"/>
      <c r="I520" s="1160"/>
      <c r="J520" s="1160"/>
      <c r="K520" s="1160"/>
      <c r="L520" s="1160"/>
      <c r="M520" s="1160"/>
      <c r="N520" s="1160"/>
      <c r="O520" s="1160"/>
      <c r="P520" s="1160"/>
      <c r="Q520" s="1160"/>
      <c r="R520" s="1160"/>
      <c r="S520" s="1160"/>
      <c r="T520" s="1160"/>
      <c r="U520" s="1160"/>
      <c r="V520" s="1160"/>
      <c r="W520" s="1160"/>
      <c r="X520" s="1160"/>
      <c r="Y520" s="1160"/>
      <c r="Z520" s="1160"/>
      <c r="AA520" s="1160"/>
      <c r="AB520" s="1160"/>
      <c r="AC520" s="1160"/>
      <c r="AD520" s="1160"/>
      <c r="AE520" s="1160"/>
      <c r="AF520" s="1160"/>
      <c r="AG520" s="1160"/>
      <c r="AH520" s="1160"/>
      <c r="AI520" s="1160"/>
      <c r="AJ520" s="1160"/>
      <c r="AK520" s="1160"/>
      <c r="AL520" s="1160"/>
    </row>
    <row r="521" ht="15.0" customHeight="1">
      <c r="A521" s="1209"/>
      <c r="B521" s="1209"/>
      <c r="C521" s="1210"/>
      <c r="D521" s="1160"/>
      <c r="E521" s="1160"/>
      <c r="F521" s="1160"/>
      <c r="G521" s="1160"/>
      <c r="H521" s="1160"/>
      <c r="I521" s="1160"/>
      <c r="J521" s="1160"/>
      <c r="K521" s="1160"/>
      <c r="L521" s="1160"/>
      <c r="M521" s="1160"/>
      <c r="N521" s="1160"/>
      <c r="O521" s="1160"/>
      <c r="P521" s="1160"/>
      <c r="Q521" s="1160"/>
      <c r="R521" s="1160"/>
      <c r="S521" s="1160"/>
      <c r="T521" s="1160"/>
      <c r="U521" s="1160"/>
      <c r="V521" s="1160"/>
      <c r="W521" s="1160"/>
      <c r="X521" s="1160"/>
      <c r="Y521" s="1160"/>
      <c r="Z521" s="1160"/>
      <c r="AA521" s="1160"/>
      <c r="AB521" s="1160"/>
      <c r="AC521" s="1160"/>
      <c r="AD521" s="1160"/>
      <c r="AE521" s="1160"/>
      <c r="AF521" s="1160"/>
      <c r="AG521" s="1160"/>
      <c r="AH521" s="1160"/>
      <c r="AI521" s="1160"/>
      <c r="AJ521" s="1160"/>
      <c r="AK521" s="1160"/>
      <c r="AL521" s="1160"/>
    </row>
    <row r="522" ht="15.0" customHeight="1">
      <c r="A522" s="1209"/>
      <c r="B522" s="1209"/>
      <c r="C522" s="1210"/>
      <c r="D522" s="1160"/>
      <c r="E522" s="1160"/>
      <c r="F522" s="1160"/>
      <c r="G522" s="1160"/>
      <c r="H522" s="1160"/>
      <c r="I522" s="1160"/>
      <c r="J522" s="1160"/>
      <c r="K522" s="1160"/>
      <c r="L522" s="1160"/>
      <c r="M522" s="1160"/>
      <c r="N522" s="1160"/>
      <c r="O522" s="1160"/>
      <c r="P522" s="1160"/>
      <c r="Q522" s="1160"/>
      <c r="R522" s="1160"/>
      <c r="S522" s="1160"/>
      <c r="T522" s="1160"/>
      <c r="U522" s="1160"/>
      <c r="V522" s="1160"/>
      <c r="W522" s="1160"/>
      <c r="X522" s="1160"/>
      <c r="Y522" s="1160"/>
      <c r="Z522" s="1160"/>
      <c r="AA522" s="1160"/>
      <c r="AB522" s="1160"/>
      <c r="AC522" s="1160"/>
      <c r="AD522" s="1160"/>
      <c r="AE522" s="1160"/>
      <c r="AF522" s="1160"/>
      <c r="AG522" s="1160"/>
      <c r="AH522" s="1160"/>
      <c r="AI522" s="1160"/>
      <c r="AJ522" s="1160"/>
      <c r="AK522" s="1160"/>
      <c r="AL522" s="1160"/>
    </row>
    <row r="523" ht="15.0" customHeight="1">
      <c r="A523" s="1209"/>
      <c r="B523" s="1209"/>
      <c r="C523" s="1210"/>
      <c r="D523" s="1160"/>
      <c r="E523" s="1160"/>
      <c r="F523" s="1160"/>
      <c r="G523" s="1160"/>
      <c r="H523" s="1160"/>
      <c r="I523" s="1160"/>
      <c r="J523" s="1160"/>
      <c r="K523" s="1160"/>
      <c r="L523" s="1160"/>
      <c r="M523" s="1160"/>
      <c r="N523" s="1160"/>
      <c r="O523" s="1160"/>
      <c r="P523" s="1160"/>
      <c r="Q523" s="1160"/>
      <c r="R523" s="1160"/>
      <c r="S523" s="1160"/>
      <c r="T523" s="1160"/>
      <c r="U523" s="1160"/>
      <c r="V523" s="1160"/>
      <c r="W523" s="1160"/>
      <c r="X523" s="1160"/>
      <c r="Y523" s="1160"/>
      <c r="Z523" s="1160"/>
      <c r="AA523" s="1160"/>
      <c r="AB523" s="1160"/>
      <c r="AC523" s="1160"/>
      <c r="AD523" s="1160"/>
      <c r="AE523" s="1160"/>
      <c r="AF523" s="1160"/>
      <c r="AG523" s="1160"/>
      <c r="AH523" s="1160"/>
      <c r="AI523" s="1160"/>
      <c r="AJ523" s="1160"/>
      <c r="AK523" s="1160"/>
      <c r="AL523" s="1160"/>
    </row>
    <row r="524" ht="15.0" customHeight="1">
      <c r="A524" s="1209"/>
      <c r="B524" s="1209"/>
      <c r="C524" s="1210"/>
      <c r="D524" s="1160"/>
      <c r="E524" s="1160"/>
      <c r="F524" s="1160"/>
      <c r="G524" s="1160"/>
      <c r="H524" s="1160"/>
      <c r="I524" s="1160"/>
      <c r="J524" s="1160"/>
      <c r="K524" s="1160"/>
      <c r="L524" s="1160"/>
      <c r="M524" s="1160"/>
      <c r="N524" s="1160"/>
      <c r="O524" s="1160"/>
      <c r="P524" s="1160"/>
      <c r="Q524" s="1160"/>
      <c r="R524" s="1160"/>
      <c r="S524" s="1160"/>
      <c r="T524" s="1160"/>
      <c r="U524" s="1160"/>
      <c r="V524" s="1160"/>
      <c r="W524" s="1160"/>
      <c r="X524" s="1160"/>
      <c r="Y524" s="1160"/>
      <c r="Z524" s="1160"/>
      <c r="AA524" s="1160"/>
      <c r="AB524" s="1160"/>
      <c r="AC524" s="1160"/>
      <c r="AD524" s="1160"/>
      <c r="AE524" s="1160"/>
      <c r="AF524" s="1160"/>
      <c r="AG524" s="1160"/>
      <c r="AH524" s="1160"/>
      <c r="AI524" s="1160"/>
      <c r="AJ524" s="1160"/>
      <c r="AK524" s="1160"/>
      <c r="AL524" s="1160"/>
    </row>
    <row r="525" ht="15.0" customHeight="1">
      <c r="A525" s="1209"/>
      <c r="B525" s="1209"/>
      <c r="C525" s="1210"/>
      <c r="D525" s="1160"/>
      <c r="E525" s="1160"/>
      <c r="F525" s="1160"/>
      <c r="G525" s="1160"/>
      <c r="H525" s="1160"/>
      <c r="I525" s="1160"/>
      <c r="J525" s="1160"/>
      <c r="K525" s="1160"/>
      <c r="L525" s="1160"/>
      <c r="M525" s="1160"/>
      <c r="N525" s="1160"/>
      <c r="O525" s="1160"/>
      <c r="P525" s="1160"/>
      <c r="Q525" s="1160"/>
      <c r="R525" s="1160"/>
      <c r="S525" s="1160"/>
      <c r="T525" s="1160"/>
      <c r="U525" s="1160"/>
      <c r="V525" s="1160"/>
      <c r="W525" s="1160"/>
      <c r="X525" s="1160"/>
      <c r="Y525" s="1160"/>
      <c r="Z525" s="1160"/>
      <c r="AA525" s="1160"/>
      <c r="AB525" s="1160"/>
      <c r="AC525" s="1160"/>
      <c r="AD525" s="1160"/>
      <c r="AE525" s="1160"/>
      <c r="AF525" s="1160"/>
      <c r="AG525" s="1160"/>
      <c r="AH525" s="1160"/>
      <c r="AI525" s="1160"/>
      <c r="AJ525" s="1160"/>
      <c r="AK525" s="1160"/>
      <c r="AL525" s="1160"/>
    </row>
    <row r="526" ht="15.0" customHeight="1">
      <c r="A526" s="1209"/>
      <c r="B526" s="1209"/>
      <c r="C526" s="1210"/>
      <c r="D526" s="1160"/>
      <c r="E526" s="1160"/>
      <c r="F526" s="1160"/>
      <c r="G526" s="1160"/>
      <c r="H526" s="1160"/>
      <c r="I526" s="1160"/>
      <c r="J526" s="1160"/>
      <c r="K526" s="1160"/>
      <c r="L526" s="1160"/>
      <c r="M526" s="1160"/>
      <c r="N526" s="1160"/>
      <c r="O526" s="1160"/>
      <c r="P526" s="1160"/>
      <c r="Q526" s="1160"/>
      <c r="R526" s="1160"/>
      <c r="S526" s="1160"/>
      <c r="T526" s="1160"/>
      <c r="U526" s="1160"/>
      <c r="V526" s="1160"/>
      <c r="W526" s="1160"/>
      <c r="X526" s="1160"/>
      <c r="Y526" s="1160"/>
      <c r="Z526" s="1160"/>
      <c r="AA526" s="1160"/>
      <c r="AB526" s="1160"/>
      <c r="AC526" s="1160"/>
      <c r="AD526" s="1160"/>
      <c r="AE526" s="1160"/>
      <c r="AF526" s="1160"/>
      <c r="AG526" s="1160"/>
      <c r="AH526" s="1160"/>
      <c r="AI526" s="1160"/>
      <c r="AJ526" s="1160"/>
      <c r="AK526" s="1160"/>
      <c r="AL526" s="1160"/>
    </row>
    <row r="527" ht="15.0" customHeight="1">
      <c r="A527" s="1209"/>
      <c r="B527" s="1209"/>
      <c r="C527" s="1210"/>
      <c r="D527" s="1160"/>
      <c r="E527" s="1160"/>
      <c r="F527" s="1160"/>
      <c r="G527" s="1160"/>
      <c r="H527" s="1160"/>
      <c r="I527" s="1160"/>
      <c r="J527" s="1160"/>
      <c r="K527" s="1160"/>
      <c r="L527" s="1160"/>
      <c r="M527" s="1160"/>
      <c r="N527" s="1160"/>
      <c r="O527" s="1160"/>
      <c r="P527" s="1160"/>
      <c r="Q527" s="1160"/>
      <c r="R527" s="1160"/>
      <c r="S527" s="1160"/>
      <c r="T527" s="1160"/>
      <c r="U527" s="1160"/>
      <c r="V527" s="1160"/>
      <c r="W527" s="1160"/>
      <c r="X527" s="1160"/>
      <c r="Y527" s="1160"/>
      <c r="Z527" s="1160"/>
      <c r="AA527" s="1160"/>
      <c r="AB527" s="1160"/>
      <c r="AC527" s="1160"/>
      <c r="AD527" s="1160"/>
      <c r="AE527" s="1160"/>
      <c r="AF527" s="1160"/>
      <c r="AG527" s="1160"/>
      <c r="AH527" s="1160"/>
      <c r="AI527" s="1160"/>
      <c r="AJ527" s="1160"/>
      <c r="AK527" s="1160"/>
      <c r="AL527" s="1160"/>
    </row>
    <row r="528" ht="15.0" customHeight="1">
      <c r="A528" s="1209"/>
      <c r="B528" s="1209"/>
      <c r="C528" s="1210"/>
      <c r="D528" s="1160"/>
      <c r="E528" s="1160"/>
      <c r="F528" s="1160"/>
      <c r="G528" s="1160"/>
      <c r="H528" s="1160"/>
      <c r="I528" s="1160"/>
      <c r="J528" s="1160"/>
      <c r="K528" s="1160"/>
      <c r="L528" s="1160"/>
      <c r="M528" s="1160"/>
      <c r="N528" s="1160"/>
      <c r="O528" s="1160"/>
      <c r="P528" s="1160"/>
      <c r="Q528" s="1160"/>
      <c r="R528" s="1160"/>
      <c r="S528" s="1160"/>
      <c r="T528" s="1160"/>
      <c r="U528" s="1160"/>
      <c r="V528" s="1160"/>
      <c r="W528" s="1160"/>
      <c r="X528" s="1160"/>
      <c r="Y528" s="1160"/>
      <c r="Z528" s="1160"/>
      <c r="AA528" s="1160"/>
      <c r="AB528" s="1160"/>
      <c r="AC528" s="1160"/>
      <c r="AD528" s="1160"/>
      <c r="AE528" s="1160"/>
      <c r="AF528" s="1160"/>
      <c r="AG528" s="1160"/>
      <c r="AH528" s="1160"/>
      <c r="AI528" s="1160"/>
      <c r="AJ528" s="1160"/>
      <c r="AK528" s="1160"/>
      <c r="AL528" s="1160"/>
    </row>
    <row r="529" ht="15.0" customHeight="1">
      <c r="A529" s="1209"/>
      <c r="B529" s="1209"/>
      <c r="C529" s="1210"/>
      <c r="D529" s="1160"/>
      <c r="E529" s="1160"/>
      <c r="F529" s="1160"/>
      <c r="G529" s="1160"/>
      <c r="H529" s="1160"/>
      <c r="I529" s="1160"/>
      <c r="J529" s="1160"/>
      <c r="K529" s="1160"/>
      <c r="L529" s="1160"/>
      <c r="M529" s="1160"/>
      <c r="N529" s="1160"/>
      <c r="O529" s="1160"/>
      <c r="P529" s="1160"/>
      <c r="Q529" s="1160"/>
      <c r="R529" s="1160"/>
      <c r="S529" s="1160"/>
      <c r="T529" s="1160"/>
      <c r="U529" s="1160"/>
      <c r="V529" s="1160"/>
      <c r="W529" s="1160"/>
      <c r="X529" s="1160"/>
      <c r="Y529" s="1160"/>
      <c r="Z529" s="1160"/>
      <c r="AA529" s="1160"/>
      <c r="AB529" s="1160"/>
      <c r="AC529" s="1160"/>
      <c r="AD529" s="1160"/>
      <c r="AE529" s="1160"/>
      <c r="AF529" s="1160"/>
      <c r="AG529" s="1160"/>
      <c r="AH529" s="1160"/>
      <c r="AI529" s="1160"/>
      <c r="AJ529" s="1160"/>
      <c r="AK529" s="1160"/>
      <c r="AL529" s="1160"/>
    </row>
    <row r="530" ht="15.0" customHeight="1">
      <c r="A530" s="1209"/>
      <c r="B530" s="1209"/>
      <c r="C530" s="1210"/>
      <c r="D530" s="1160"/>
      <c r="E530" s="1160"/>
      <c r="F530" s="1160"/>
      <c r="G530" s="1160"/>
      <c r="H530" s="1160"/>
      <c r="I530" s="1160"/>
      <c r="J530" s="1160"/>
      <c r="K530" s="1160"/>
      <c r="L530" s="1160"/>
      <c r="M530" s="1160"/>
      <c r="N530" s="1160"/>
      <c r="O530" s="1160"/>
      <c r="P530" s="1160"/>
      <c r="Q530" s="1160"/>
      <c r="R530" s="1160"/>
      <c r="S530" s="1160"/>
      <c r="T530" s="1160"/>
      <c r="U530" s="1160"/>
      <c r="V530" s="1160"/>
      <c r="W530" s="1160"/>
      <c r="X530" s="1160"/>
      <c r="Y530" s="1160"/>
      <c r="Z530" s="1160"/>
      <c r="AA530" s="1160"/>
      <c r="AB530" s="1160"/>
      <c r="AC530" s="1160"/>
      <c r="AD530" s="1160"/>
      <c r="AE530" s="1160"/>
      <c r="AF530" s="1160"/>
      <c r="AG530" s="1160"/>
      <c r="AH530" s="1160"/>
      <c r="AI530" s="1160"/>
      <c r="AJ530" s="1160"/>
      <c r="AK530" s="1160"/>
      <c r="AL530" s="1160"/>
    </row>
    <row r="531" ht="15.0" customHeight="1">
      <c r="A531" s="1209"/>
      <c r="B531" s="1209"/>
      <c r="C531" s="1210"/>
      <c r="D531" s="1160"/>
      <c r="E531" s="1160"/>
      <c r="F531" s="1160"/>
      <c r="G531" s="1160"/>
      <c r="H531" s="1160"/>
      <c r="I531" s="1160"/>
      <c r="J531" s="1160"/>
      <c r="K531" s="1160"/>
      <c r="L531" s="1160"/>
      <c r="M531" s="1160"/>
      <c r="N531" s="1160"/>
      <c r="O531" s="1160"/>
      <c r="P531" s="1160"/>
      <c r="Q531" s="1160"/>
      <c r="R531" s="1160"/>
      <c r="S531" s="1160"/>
      <c r="T531" s="1160"/>
      <c r="U531" s="1160"/>
      <c r="V531" s="1160"/>
      <c r="W531" s="1160"/>
      <c r="X531" s="1160"/>
      <c r="Y531" s="1160"/>
      <c r="Z531" s="1160"/>
      <c r="AA531" s="1160"/>
      <c r="AB531" s="1160"/>
      <c r="AC531" s="1160"/>
      <c r="AD531" s="1160"/>
      <c r="AE531" s="1160"/>
      <c r="AF531" s="1160"/>
      <c r="AG531" s="1160"/>
      <c r="AH531" s="1160"/>
      <c r="AI531" s="1160"/>
      <c r="AJ531" s="1160"/>
      <c r="AK531" s="1160"/>
      <c r="AL531" s="1160"/>
    </row>
    <row r="532" ht="15.0" customHeight="1">
      <c r="A532" s="1209"/>
      <c r="B532" s="1209"/>
      <c r="C532" s="1210"/>
      <c r="D532" s="1160"/>
      <c r="E532" s="1160"/>
      <c r="F532" s="1160"/>
      <c r="G532" s="1160"/>
      <c r="H532" s="1160"/>
      <c r="I532" s="1160"/>
      <c r="J532" s="1160"/>
      <c r="K532" s="1160"/>
      <c r="L532" s="1160"/>
      <c r="M532" s="1160"/>
      <c r="N532" s="1160"/>
      <c r="O532" s="1160"/>
      <c r="P532" s="1160"/>
      <c r="Q532" s="1160"/>
      <c r="R532" s="1160"/>
      <c r="S532" s="1160"/>
      <c r="T532" s="1160"/>
      <c r="U532" s="1160"/>
      <c r="V532" s="1160"/>
      <c r="W532" s="1160"/>
      <c r="X532" s="1160"/>
      <c r="Y532" s="1160"/>
      <c r="Z532" s="1160"/>
      <c r="AA532" s="1160"/>
      <c r="AB532" s="1160"/>
      <c r="AC532" s="1160"/>
      <c r="AD532" s="1160"/>
      <c r="AE532" s="1160"/>
      <c r="AF532" s="1160"/>
      <c r="AG532" s="1160"/>
      <c r="AH532" s="1160"/>
      <c r="AI532" s="1160"/>
      <c r="AJ532" s="1160"/>
      <c r="AK532" s="1160"/>
      <c r="AL532" s="1160"/>
    </row>
    <row r="533" ht="15.0" customHeight="1">
      <c r="A533" s="1209"/>
      <c r="B533" s="1209"/>
      <c r="C533" s="1210"/>
      <c r="D533" s="1160"/>
      <c r="E533" s="1160"/>
      <c r="F533" s="1160"/>
      <c r="G533" s="1160"/>
      <c r="H533" s="1160"/>
      <c r="I533" s="1160"/>
      <c r="J533" s="1160"/>
      <c r="K533" s="1160"/>
      <c r="L533" s="1160"/>
      <c r="M533" s="1160"/>
      <c r="N533" s="1160"/>
      <c r="O533" s="1160"/>
      <c r="P533" s="1160"/>
      <c r="Q533" s="1160"/>
      <c r="R533" s="1160"/>
      <c r="S533" s="1160"/>
      <c r="T533" s="1160"/>
      <c r="U533" s="1160"/>
      <c r="V533" s="1160"/>
      <c r="W533" s="1160"/>
      <c r="X533" s="1160"/>
      <c r="Y533" s="1160"/>
      <c r="Z533" s="1160"/>
      <c r="AA533" s="1160"/>
      <c r="AB533" s="1160"/>
      <c r="AC533" s="1160"/>
      <c r="AD533" s="1160"/>
      <c r="AE533" s="1160"/>
      <c r="AF533" s="1160"/>
      <c r="AG533" s="1160"/>
      <c r="AH533" s="1160"/>
      <c r="AI533" s="1160"/>
      <c r="AJ533" s="1160"/>
      <c r="AK533" s="1160"/>
      <c r="AL533" s="1160"/>
    </row>
    <row r="534" ht="15.0" customHeight="1">
      <c r="A534" s="1209"/>
      <c r="B534" s="1209"/>
      <c r="C534" s="1210"/>
      <c r="D534" s="1160"/>
      <c r="E534" s="1160"/>
      <c r="F534" s="1160"/>
      <c r="G534" s="1160"/>
      <c r="H534" s="1160"/>
      <c r="I534" s="1160"/>
      <c r="J534" s="1160"/>
      <c r="K534" s="1160"/>
      <c r="L534" s="1160"/>
      <c r="M534" s="1160"/>
      <c r="N534" s="1160"/>
      <c r="O534" s="1160"/>
      <c r="P534" s="1160"/>
      <c r="Q534" s="1160"/>
      <c r="R534" s="1160"/>
      <c r="S534" s="1160"/>
      <c r="T534" s="1160"/>
      <c r="U534" s="1160"/>
      <c r="V534" s="1160"/>
      <c r="W534" s="1160"/>
      <c r="X534" s="1160"/>
      <c r="Y534" s="1160"/>
      <c r="Z534" s="1160"/>
      <c r="AA534" s="1160"/>
      <c r="AB534" s="1160"/>
      <c r="AC534" s="1160"/>
      <c r="AD534" s="1160"/>
      <c r="AE534" s="1160"/>
      <c r="AF534" s="1160"/>
      <c r="AG534" s="1160"/>
      <c r="AH534" s="1160"/>
      <c r="AI534" s="1160"/>
      <c r="AJ534" s="1160"/>
      <c r="AK534" s="1160"/>
      <c r="AL534" s="1160"/>
    </row>
    <row r="535" ht="15.0" customHeight="1">
      <c r="A535" s="1209"/>
      <c r="B535" s="1209"/>
      <c r="C535" s="1210"/>
      <c r="D535" s="1160"/>
      <c r="E535" s="1160"/>
      <c r="F535" s="1160"/>
      <c r="G535" s="1160"/>
      <c r="H535" s="1160"/>
      <c r="I535" s="1160"/>
      <c r="J535" s="1160"/>
      <c r="K535" s="1160"/>
      <c r="L535" s="1160"/>
      <c r="M535" s="1160"/>
      <c r="N535" s="1160"/>
      <c r="O535" s="1160"/>
      <c r="P535" s="1160"/>
      <c r="Q535" s="1160"/>
      <c r="R535" s="1160"/>
      <c r="S535" s="1160"/>
      <c r="T535" s="1160"/>
      <c r="U535" s="1160"/>
      <c r="V535" s="1160"/>
      <c r="W535" s="1160"/>
      <c r="X535" s="1160"/>
      <c r="Y535" s="1160"/>
      <c r="Z535" s="1160"/>
      <c r="AA535" s="1160"/>
      <c r="AB535" s="1160"/>
      <c r="AC535" s="1160"/>
      <c r="AD535" s="1160"/>
      <c r="AE535" s="1160"/>
      <c r="AF535" s="1160"/>
      <c r="AG535" s="1160"/>
      <c r="AH535" s="1160"/>
      <c r="AI535" s="1160"/>
      <c r="AJ535" s="1160"/>
      <c r="AK535" s="1160"/>
      <c r="AL535" s="1160"/>
    </row>
    <row r="536" ht="15.0" customHeight="1">
      <c r="A536" s="1209"/>
      <c r="B536" s="1209"/>
      <c r="C536" s="1210"/>
      <c r="D536" s="1160"/>
      <c r="E536" s="1160"/>
      <c r="F536" s="1160"/>
      <c r="G536" s="1160"/>
      <c r="H536" s="1160"/>
      <c r="I536" s="1160"/>
      <c r="J536" s="1160"/>
      <c r="K536" s="1160"/>
      <c r="L536" s="1160"/>
      <c r="M536" s="1160"/>
      <c r="N536" s="1160"/>
      <c r="O536" s="1160"/>
      <c r="P536" s="1160"/>
      <c r="Q536" s="1160"/>
      <c r="R536" s="1160"/>
      <c r="S536" s="1160"/>
      <c r="T536" s="1160"/>
      <c r="U536" s="1160"/>
      <c r="V536" s="1160"/>
      <c r="W536" s="1160"/>
      <c r="X536" s="1160"/>
      <c r="Y536" s="1160"/>
      <c r="Z536" s="1160"/>
      <c r="AA536" s="1160"/>
      <c r="AB536" s="1160"/>
      <c r="AC536" s="1160"/>
      <c r="AD536" s="1160"/>
      <c r="AE536" s="1160"/>
      <c r="AF536" s="1160"/>
      <c r="AG536" s="1160"/>
      <c r="AH536" s="1160"/>
      <c r="AI536" s="1160"/>
      <c r="AJ536" s="1160"/>
      <c r="AK536" s="1160"/>
      <c r="AL536" s="1160"/>
    </row>
    <row r="537" ht="15.0" customHeight="1">
      <c r="A537" s="1209"/>
      <c r="B537" s="1209"/>
      <c r="C537" s="1210"/>
      <c r="D537" s="1160"/>
      <c r="E537" s="1160"/>
      <c r="F537" s="1160"/>
      <c r="G537" s="1160"/>
      <c r="H537" s="1160"/>
      <c r="I537" s="1160"/>
      <c r="J537" s="1160"/>
      <c r="K537" s="1160"/>
      <c r="L537" s="1160"/>
      <c r="M537" s="1160"/>
      <c r="N537" s="1160"/>
      <c r="O537" s="1160"/>
      <c r="P537" s="1160"/>
      <c r="Q537" s="1160"/>
      <c r="R537" s="1160"/>
      <c r="S537" s="1160"/>
      <c r="T537" s="1160"/>
      <c r="U537" s="1160"/>
      <c r="V537" s="1160"/>
      <c r="W537" s="1160"/>
      <c r="X537" s="1160"/>
      <c r="Y537" s="1160"/>
      <c r="Z537" s="1160"/>
      <c r="AA537" s="1160"/>
      <c r="AB537" s="1160"/>
      <c r="AC537" s="1160"/>
      <c r="AD537" s="1160"/>
      <c r="AE537" s="1160"/>
      <c r="AF537" s="1160"/>
      <c r="AG537" s="1160"/>
      <c r="AH537" s="1160"/>
      <c r="AI537" s="1160"/>
      <c r="AJ537" s="1160"/>
      <c r="AK537" s="1160"/>
      <c r="AL537" s="1160"/>
    </row>
    <row r="538" ht="15.0" customHeight="1">
      <c r="A538" s="1209"/>
      <c r="B538" s="1209"/>
      <c r="C538" s="1210"/>
      <c r="D538" s="1160"/>
      <c r="E538" s="1160"/>
      <c r="F538" s="1160"/>
      <c r="G538" s="1160"/>
      <c r="H538" s="1160"/>
      <c r="I538" s="1160"/>
      <c r="J538" s="1160"/>
      <c r="K538" s="1160"/>
      <c r="L538" s="1160"/>
      <c r="M538" s="1160"/>
      <c r="N538" s="1160"/>
      <c r="O538" s="1160"/>
      <c r="P538" s="1160"/>
      <c r="Q538" s="1160"/>
      <c r="R538" s="1160"/>
      <c r="S538" s="1160"/>
      <c r="T538" s="1160"/>
      <c r="U538" s="1160"/>
      <c r="V538" s="1160"/>
      <c r="W538" s="1160"/>
      <c r="X538" s="1160"/>
      <c r="Y538" s="1160"/>
      <c r="Z538" s="1160"/>
      <c r="AA538" s="1160"/>
      <c r="AB538" s="1160"/>
      <c r="AC538" s="1160"/>
      <c r="AD538" s="1160"/>
      <c r="AE538" s="1160"/>
      <c r="AF538" s="1160"/>
      <c r="AG538" s="1160"/>
      <c r="AH538" s="1160"/>
      <c r="AI538" s="1160"/>
      <c r="AJ538" s="1160"/>
      <c r="AK538" s="1160"/>
      <c r="AL538" s="1160"/>
    </row>
    <row r="539" ht="15.0" customHeight="1">
      <c r="A539" s="1209"/>
      <c r="B539" s="1209"/>
      <c r="C539" s="1210"/>
      <c r="D539" s="1160"/>
      <c r="E539" s="1160"/>
      <c r="F539" s="1160"/>
      <c r="G539" s="1160"/>
      <c r="H539" s="1160"/>
      <c r="I539" s="1160"/>
      <c r="J539" s="1160"/>
      <c r="K539" s="1160"/>
      <c r="L539" s="1160"/>
      <c r="M539" s="1160"/>
      <c r="N539" s="1160"/>
      <c r="O539" s="1160"/>
      <c r="P539" s="1160"/>
      <c r="Q539" s="1160"/>
      <c r="R539" s="1160"/>
      <c r="S539" s="1160"/>
      <c r="T539" s="1160"/>
      <c r="U539" s="1160"/>
      <c r="V539" s="1160"/>
      <c r="W539" s="1160"/>
      <c r="X539" s="1160"/>
      <c r="Y539" s="1160"/>
      <c r="Z539" s="1160"/>
      <c r="AA539" s="1160"/>
      <c r="AB539" s="1160"/>
      <c r="AC539" s="1160"/>
      <c r="AD539" s="1160"/>
      <c r="AE539" s="1160"/>
      <c r="AF539" s="1160"/>
      <c r="AG539" s="1160"/>
      <c r="AH539" s="1160"/>
      <c r="AI539" s="1160"/>
      <c r="AJ539" s="1160"/>
      <c r="AK539" s="1160"/>
      <c r="AL539" s="1160"/>
    </row>
    <row r="540" ht="15.0" customHeight="1">
      <c r="A540" s="1209"/>
      <c r="B540" s="1209"/>
      <c r="C540" s="1210"/>
      <c r="D540" s="1160"/>
      <c r="E540" s="1160"/>
      <c r="F540" s="1160"/>
      <c r="G540" s="1160"/>
      <c r="H540" s="1160"/>
      <c r="I540" s="1160"/>
      <c r="J540" s="1160"/>
      <c r="K540" s="1160"/>
      <c r="L540" s="1160"/>
      <c r="M540" s="1160"/>
      <c r="N540" s="1160"/>
      <c r="O540" s="1160"/>
      <c r="P540" s="1160"/>
      <c r="Q540" s="1160"/>
      <c r="R540" s="1160"/>
      <c r="S540" s="1160"/>
      <c r="T540" s="1160"/>
      <c r="U540" s="1160"/>
      <c r="V540" s="1160"/>
      <c r="W540" s="1160"/>
      <c r="X540" s="1160"/>
      <c r="Y540" s="1160"/>
      <c r="Z540" s="1160"/>
      <c r="AA540" s="1160"/>
      <c r="AB540" s="1160"/>
      <c r="AC540" s="1160"/>
      <c r="AD540" s="1160"/>
      <c r="AE540" s="1160"/>
      <c r="AF540" s="1160"/>
      <c r="AG540" s="1160"/>
      <c r="AH540" s="1160"/>
      <c r="AI540" s="1160"/>
      <c r="AJ540" s="1160"/>
      <c r="AK540" s="1160"/>
      <c r="AL540" s="1160"/>
    </row>
    <row r="541" ht="15.0" customHeight="1">
      <c r="A541" s="1209"/>
      <c r="B541" s="1209"/>
      <c r="C541" s="1210"/>
      <c r="D541" s="1160"/>
      <c r="E541" s="1160"/>
      <c r="F541" s="1160"/>
      <c r="G541" s="1160"/>
      <c r="H541" s="1160"/>
      <c r="I541" s="1160"/>
      <c r="J541" s="1160"/>
      <c r="K541" s="1160"/>
      <c r="L541" s="1160"/>
      <c r="M541" s="1160"/>
      <c r="N541" s="1160"/>
      <c r="O541" s="1160"/>
      <c r="P541" s="1160"/>
      <c r="Q541" s="1160"/>
      <c r="R541" s="1160"/>
      <c r="S541" s="1160"/>
      <c r="T541" s="1160"/>
      <c r="U541" s="1160"/>
      <c r="V541" s="1160"/>
      <c r="W541" s="1160"/>
      <c r="X541" s="1160"/>
      <c r="Y541" s="1160"/>
      <c r="Z541" s="1160"/>
      <c r="AA541" s="1160"/>
      <c r="AB541" s="1160"/>
      <c r="AC541" s="1160"/>
      <c r="AD541" s="1160"/>
      <c r="AE541" s="1160"/>
      <c r="AF541" s="1160"/>
      <c r="AG541" s="1160"/>
      <c r="AH541" s="1160"/>
      <c r="AI541" s="1160"/>
      <c r="AJ541" s="1160"/>
      <c r="AK541" s="1160"/>
      <c r="AL541" s="1160"/>
    </row>
    <row r="542" ht="15.0" customHeight="1">
      <c r="A542" s="1209"/>
      <c r="B542" s="1209"/>
      <c r="C542" s="1210"/>
      <c r="D542" s="1160"/>
      <c r="E542" s="1160"/>
      <c r="F542" s="1160"/>
      <c r="G542" s="1160"/>
      <c r="H542" s="1160"/>
      <c r="I542" s="1160"/>
      <c r="J542" s="1160"/>
      <c r="K542" s="1160"/>
      <c r="L542" s="1160"/>
      <c r="M542" s="1160"/>
      <c r="N542" s="1160"/>
      <c r="O542" s="1160"/>
      <c r="P542" s="1160"/>
      <c r="Q542" s="1160"/>
      <c r="R542" s="1160"/>
      <c r="S542" s="1160"/>
      <c r="T542" s="1160"/>
      <c r="U542" s="1160"/>
      <c r="V542" s="1160"/>
      <c r="W542" s="1160"/>
      <c r="X542" s="1160"/>
      <c r="Y542" s="1160"/>
      <c r="Z542" s="1160"/>
      <c r="AA542" s="1160"/>
      <c r="AB542" s="1160"/>
      <c r="AC542" s="1160"/>
      <c r="AD542" s="1160"/>
      <c r="AE542" s="1160"/>
      <c r="AF542" s="1160"/>
      <c r="AG542" s="1160"/>
      <c r="AH542" s="1160"/>
      <c r="AI542" s="1160"/>
      <c r="AJ542" s="1160"/>
      <c r="AK542" s="1160"/>
      <c r="AL542" s="1160"/>
    </row>
    <row r="543" ht="15.0" customHeight="1">
      <c r="A543" s="1209"/>
      <c r="B543" s="1209"/>
      <c r="C543" s="1210"/>
      <c r="D543" s="1160"/>
      <c r="E543" s="1160"/>
      <c r="F543" s="1160"/>
      <c r="G543" s="1160"/>
      <c r="H543" s="1160"/>
      <c r="I543" s="1160"/>
      <c r="J543" s="1160"/>
      <c r="K543" s="1160"/>
      <c r="L543" s="1160"/>
      <c r="M543" s="1160"/>
      <c r="N543" s="1160"/>
      <c r="O543" s="1160"/>
      <c r="P543" s="1160"/>
      <c r="Q543" s="1160"/>
      <c r="R543" s="1160"/>
      <c r="S543" s="1160"/>
      <c r="T543" s="1160"/>
      <c r="U543" s="1160"/>
      <c r="V543" s="1160"/>
      <c r="W543" s="1160"/>
      <c r="X543" s="1160"/>
      <c r="Y543" s="1160"/>
      <c r="Z543" s="1160"/>
      <c r="AA543" s="1160"/>
      <c r="AB543" s="1160"/>
      <c r="AC543" s="1160"/>
      <c r="AD543" s="1160"/>
      <c r="AE543" s="1160"/>
      <c r="AF543" s="1160"/>
      <c r="AG543" s="1160"/>
      <c r="AH543" s="1160"/>
      <c r="AI543" s="1160"/>
      <c r="AJ543" s="1160"/>
      <c r="AK543" s="1160"/>
      <c r="AL543" s="1160"/>
    </row>
    <row r="544" ht="15.0" customHeight="1">
      <c r="A544" s="1209"/>
      <c r="B544" s="1209"/>
      <c r="C544" s="1210"/>
      <c r="D544" s="1160"/>
      <c r="E544" s="1160"/>
      <c r="F544" s="1160"/>
      <c r="G544" s="1160"/>
      <c r="H544" s="1160"/>
      <c r="I544" s="1160"/>
      <c r="J544" s="1160"/>
      <c r="K544" s="1160"/>
      <c r="L544" s="1160"/>
      <c r="M544" s="1160"/>
      <c r="N544" s="1160"/>
      <c r="O544" s="1160"/>
      <c r="P544" s="1160"/>
      <c r="Q544" s="1160"/>
      <c r="R544" s="1160"/>
      <c r="S544" s="1160"/>
      <c r="T544" s="1160"/>
      <c r="U544" s="1160"/>
      <c r="V544" s="1160"/>
      <c r="W544" s="1160"/>
      <c r="X544" s="1160"/>
      <c r="Y544" s="1160"/>
      <c r="Z544" s="1160"/>
      <c r="AA544" s="1160"/>
      <c r="AB544" s="1160"/>
      <c r="AC544" s="1160"/>
      <c r="AD544" s="1160"/>
      <c r="AE544" s="1160"/>
      <c r="AF544" s="1160"/>
      <c r="AG544" s="1160"/>
      <c r="AH544" s="1160"/>
      <c r="AI544" s="1160"/>
      <c r="AJ544" s="1160"/>
      <c r="AK544" s="1160"/>
      <c r="AL544" s="1160"/>
    </row>
    <row r="545" ht="15.0" customHeight="1">
      <c r="A545" s="1209"/>
      <c r="B545" s="1209"/>
      <c r="C545" s="1210"/>
      <c r="D545" s="1160"/>
      <c r="E545" s="1160"/>
      <c r="F545" s="1160"/>
      <c r="G545" s="1160"/>
      <c r="H545" s="1160"/>
      <c r="I545" s="1160"/>
      <c r="J545" s="1160"/>
      <c r="K545" s="1160"/>
      <c r="L545" s="1160"/>
      <c r="M545" s="1160"/>
      <c r="N545" s="1160"/>
      <c r="O545" s="1160"/>
      <c r="P545" s="1160"/>
      <c r="Q545" s="1160"/>
      <c r="R545" s="1160"/>
      <c r="S545" s="1160"/>
      <c r="T545" s="1160"/>
      <c r="U545" s="1160"/>
      <c r="V545" s="1160"/>
      <c r="W545" s="1160"/>
      <c r="X545" s="1160"/>
      <c r="Y545" s="1160"/>
      <c r="Z545" s="1160"/>
      <c r="AA545" s="1160"/>
      <c r="AB545" s="1160"/>
      <c r="AC545" s="1160"/>
      <c r="AD545" s="1160"/>
      <c r="AE545" s="1160"/>
      <c r="AF545" s="1160"/>
      <c r="AG545" s="1160"/>
      <c r="AH545" s="1160"/>
      <c r="AI545" s="1160"/>
      <c r="AJ545" s="1160"/>
      <c r="AK545" s="1160"/>
      <c r="AL545" s="1160"/>
    </row>
    <row r="546" ht="15.0" customHeight="1">
      <c r="A546" s="1209"/>
      <c r="B546" s="1209"/>
      <c r="C546" s="1210"/>
      <c r="D546" s="1160"/>
      <c r="E546" s="1160"/>
      <c r="F546" s="1160"/>
      <c r="G546" s="1160"/>
      <c r="H546" s="1160"/>
      <c r="I546" s="1160"/>
      <c r="J546" s="1160"/>
      <c r="K546" s="1160"/>
      <c r="L546" s="1160"/>
      <c r="M546" s="1160"/>
      <c r="N546" s="1160"/>
      <c r="O546" s="1160"/>
      <c r="P546" s="1160"/>
      <c r="Q546" s="1160"/>
      <c r="R546" s="1160"/>
      <c r="S546" s="1160"/>
      <c r="T546" s="1160"/>
      <c r="U546" s="1160"/>
      <c r="V546" s="1160"/>
      <c r="W546" s="1160"/>
      <c r="X546" s="1160"/>
      <c r="Y546" s="1160"/>
      <c r="Z546" s="1160"/>
      <c r="AA546" s="1160"/>
      <c r="AB546" s="1160"/>
      <c r="AC546" s="1160"/>
      <c r="AD546" s="1160"/>
      <c r="AE546" s="1160"/>
      <c r="AF546" s="1160"/>
      <c r="AG546" s="1160"/>
      <c r="AH546" s="1160"/>
      <c r="AI546" s="1160"/>
      <c r="AJ546" s="1160"/>
      <c r="AK546" s="1160"/>
      <c r="AL546" s="1160"/>
    </row>
    <row r="547" ht="15.0" customHeight="1">
      <c r="A547" s="1209"/>
      <c r="B547" s="1209"/>
      <c r="C547" s="1210"/>
      <c r="D547" s="1160"/>
      <c r="E547" s="1160"/>
      <c r="F547" s="1160"/>
      <c r="G547" s="1160"/>
      <c r="H547" s="1160"/>
      <c r="I547" s="1160"/>
      <c r="J547" s="1160"/>
      <c r="K547" s="1160"/>
      <c r="L547" s="1160"/>
      <c r="M547" s="1160"/>
      <c r="N547" s="1160"/>
      <c r="O547" s="1160"/>
      <c r="P547" s="1160"/>
      <c r="Q547" s="1160"/>
      <c r="R547" s="1160"/>
      <c r="S547" s="1160"/>
      <c r="T547" s="1160"/>
      <c r="U547" s="1160"/>
      <c r="V547" s="1160"/>
      <c r="W547" s="1160"/>
      <c r="X547" s="1160"/>
      <c r="Y547" s="1160"/>
      <c r="Z547" s="1160"/>
      <c r="AA547" s="1160"/>
      <c r="AB547" s="1160"/>
      <c r="AC547" s="1160"/>
      <c r="AD547" s="1160"/>
      <c r="AE547" s="1160"/>
      <c r="AF547" s="1160"/>
      <c r="AG547" s="1160"/>
      <c r="AH547" s="1160"/>
      <c r="AI547" s="1160"/>
      <c r="AJ547" s="1160"/>
      <c r="AK547" s="1160"/>
      <c r="AL547" s="1160"/>
    </row>
    <row r="548" ht="15.0" customHeight="1">
      <c r="A548" s="1209"/>
      <c r="B548" s="1209"/>
      <c r="C548" s="1210"/>
      <c r="D548" s="1160"/>
      <c r="E548" s="1160"/>
      <c r="F548" s="1160"/>
      <c r="G548" s="1160"/>
      <c r="H548" s="1160"/>
      <c r="I548" s="1160"/>
      <c r="J548" s="1160"/>
      <c r="K548" s="1160"/>
      <c r="L548" s="1160"/>
      <c r="M548" s="1160"/>
      <c r="N548" s="1160"/>
      <c r="O548" s="1160"/>
      <c r="P548" s="1160"/>
      <c r="Q548" s="1160"/>
      <c r="R548" s="1160"/>
      <c r="S548" s="1160"/>
      <c r="T548" s="1160"/>
      <c r="U548" s="1160"/>
      <c r="V548" s="1160"/>
      <c r="W548" s="1160"/>
      <c r="X548" s="1160"/>
      <c r="Y548" s="1160"/>
      <c r="Z548" s="1160"/>
      <c r="AA548" s="1160"/>
      <c r="AB548" s="1160"/>
      <c r="AC548" s="1160"/>
      <c r="AD548" s="1160"/>
      <c r="AE548" s="1160"/>
      <c r="AF548" s="1160"/>
      <c r="AG548" s="1160"/>
      <c r="AH548" s="1160"/>
      <c r="AI548" s="1160"/>
      <c r="AJ548" s="1160"/>
      <c r="AK548" s="1160"/>
      <c r="AL548" s="1160"/>
    </row>
    <row r="549" ht="15.0" customHeight="1">
      <c r="A549" s="1209"/>
      <c r="B549" s="1209"/>
      <c r="C549" s="1210"/>
      <c r="D549" s="1160"/>
      <c r="E549" s="1160"/>
      <c r="F549" s="1160"/>
      <c r="G549" s="1160"/>
      <c r="H549" s="1160"/>
      <c r="I549" s="1160"/>
      <c r="J549" s="1160"/>
      <c r="K549" s="1160"/>
      <c r="L549" s="1160"/>
      <c r="M549" s="1160"/>
      <c r="N549" s="1160"/>
      <c r="O549" s="1160"/>
      <c r="P549" s="1160"/>
      <c r="Q549" s="1160"/>
      <c r="R549" s="1160"/>
      <c r="S549" s="1160"/>
      <c r="T549" s="1160"/>
      <c r="U549" s="1160"/>
      <c r="V549" s="1160"/>
      <c r="W549" s="1160"/>
      <c r="X549" s="1160"/>
      <c r="Y549" s="1160"/>
      <c r="Z549" s="1160"/>
      <c r="AA549" s="1160"/>
      <c r="AB549" s="1160"/>
      <c r="AC549" s="1160"/>
      <c r="AD549" s="1160"/>
      <c r="AE549" s="1160"/>
      <c r="AF549" s="1160"/>
      <c r="AG549" s="1160"/>
      <c r="AH549" s="1160"/>
      <c r="AI549" s="1160"/>
      <c r="AJ549" s="1160"/>
      <c r="AK549" s="1160"/>
      <c r="AL549" s="1160"/>
    </row>
    <row r="550" ht="15.0" customHeight="1">
      <c r="A550" s="1209"/>
      <c r="B550" s="1209"/>
      <c r="C550" s="1210"/>
      <c r="D550" s="1160"/>
      <c r="E550" s="1160"/>
      <c r="F550" s="1160"/>
      <c r="G550" s="1160"/>
      <c r="H550" s="1160"/>
      <c r="I550" s="1160"/>
      <c r="J550" s="1160"/>
      <c r="K550" s="1160"/>
      <c r="L550" s="1160"/>
      <c r="M550" s="1160"/>
      <c r="N550" s="1160"/>
      <c r="O550" s="1160"/>
      <c r="P550" s="1160"/>
      <c r="Q550" s="1160"/>
      <c r="R550" s="1160"/>
      <c r="S550" s="1160"/>
      <c r="T550" s="1160"/>
      <c r="U550" s="1160"/>
      <c r="V550" s="1160"/>
      <c r="W550" s="1160"/>
      <c r="X550" s="1160"/>
      <c r="Y550" s="1160"/>
      <c r="Z550" s="1160"/>
      <c r="AA550" s="1160"/>
      <c r="AB550" s="1160"/>
      <c r="AC550" s="1160"/>
      <c r="AD550" s="1160"/>
      <c r="AE550" s="1160"/>
      <c r="AF550" s="1160"/>
      <c r="AG550" s="1160"/>
      <c r="AH550" s="1160"/>
      <c r="AI550" s="1160"/>
      <c r="AJ550" s="1160"/>
      <c r="AK550" s="1160"/>
      <c r="AL550" s="1160"/>
    </row>
    <row r="551" ht="15.0" customHeight="1">
      <c r="A551" s="1209"/>
      <c r="B551" s="1209"/>
      <c r="C551" s="1210"/>
      <c r="D551" s="1160"/>
      <c r="E551" s="1160"/>
      <c r="F551" s="1160"/>
      <c r="G551" s="1160"/>
      <c r="H551" s="1160"/>
      <c r="I551" s="1160"/>
      <c r="J551" s="1160"/>
      <c r="K551" s="1160"/>
      <c r="L551" s="1160"/>
      <c r="M551" s="1160"/>
      <c r="N551" s="1160"/>
      <c r="O551" s="1160"/>
      <c r="P551" s="1160"/>
      <c r="Q551" s="1160"/>
      <c r="R551" s="1160"/>
      <c r="S551" s="1160"/>
      <c r="T551" s="1160"/>
      <c r="U551" s="1160"/>
      <c r="V551" s="1160"/>
      <c r="W551" s="1160"/>
      <c r="X551" s="1160"/>
      <c r="Y551" s="1160"/>
      <c r="Z551" s="1160"/>
      <c r="AA551" s="1160"/>
      <c r="AB551" s="1160"/>
      <c r="AC551" s="1160"/>
      <c r="AD551" s="1160"/>
      <c r="AE551" s="1160"/>
      <c r="AF551" s="1160"/>
      <c r="AG551" s="1160"/>
      <c r="AH551" s="1160"/>
      <c r="AI551" s="1160"/>
      <c r="AJ551" s="1160"/>
      <c r="AK551" s="1160"/>
      <c r="AL551" s="1160"/>
    </row>
    <row r="552" ht="15.0" customHeight="1">
      <c r="A552" s="1209"/>
      <c r="B552" s="1209"/>
      <c r="C552" s="1210"/>
      <c r="D552" s="1160"/>
      <c r="E552" s="1160"/>
      <c r="F552" s="1160"/>
      <c r="G552" s="1160"/>
      <c r="H552" s="1160"/>
      <c r="I552" s="1160"/>
      <c r="J552" s="1160"/>
      <c r="K552" s="1160"/>
      <c r="L552" s="1160"/>
      <c r="M552" s="1160"/>
      <c r="N552" s="1160"/>
      <c r="O552" s="1160"/>
      <c r="P552" s="1160"/>
      <c r="Q552" s="1160"/>
      <c r="R552" s="1160"/>
      <c r="S552" s="1160"/>
      <c r="T552" s="1160"/>
      <c r="U552" s="1160"/>
      <c r="V552" s="1160"/>
      <c r="W552" s="1160"/>
      <c r="X552" s="1160"/>
      <c r="Y552" s="1160"/>
      <c r="Z552" s="1160"/>
      <c r="AA552" s="1160"/>
      <c r="AB552" s="1160"/>
      <c r="AC552" s="1160"/>
      <c r="AD552" s="1160"/>
      <c r="AE552" s="1160"/>
      <c r="AF552" s="1160"/>
      <c r="AG552" s="1160"/>
      <c r="AH552" s="1160"/>
      <c r="AI552" s="1160"/>
      <c r="AJ552" s="1160"/>
      <c r="AK552" s="1160"/>
      <c r="AL552" s="1160"/>
    </row>
    <row r="553" ht="15.0" customHeight="1">
      <c r="A553" s="1209"/>
      <c r="B553" s="1209"/>
      <c r="C553" s="1210"/>
      <c r="D553" s="1160"/>
      <c r="E553" s="1160"/>
      <c r="F553" s="1160"/>
      <c r="G553" s="1160"/>
      <c r="H553" s="1160"/>
      <c r="I553" s="1160"/>
      <c r="J553" s="1160"/>
      <c r="K553" s="1160"/>
      <c r="L553" s="1160"/>
      <c r="M553" s="1160"/>
      <c r="N553" s="1160"/>
      <c r="O553" s="1160"/>
      <c r="P553" s="1160"/>
      <c r="Q553" s="1160"/>
      <c r="R553" s="1160"/>
      <c r="S553" s="1160"/>
      <c r="T553" s="1160"/>
      <c r="U553" s="1160"/>
      <c r="V553" s="1160"/>
      <c r="W553" s="1160"/>
      <c r="X553" s="1160"/>
      <c r="Y553" s="1160"/>
      <c r="Z553" s="1160"/>
      <c r="AA553" s="1160"/>
      <c r="AB553" s="1160"/>
      <c r="AC553" s="1160"/>
      <c r="AD553" s="1160"/>
      <c r="AE553" s="1160"/>
      <c r="AF553" s="1160"/>
      <c r="AG553" s="1160"/>
      <c r="AH553" s="1160"/>
      <c r="AI553" s="1160"/>
      <c r="AJ553" s="1160"/>
      <c r="AK553" s="1160"/>
      <c r="AL553" s="1160"/>
    </row>
    <row r="554" ht="15.0" customHeight="1">
      <c r="A554" s="1209"/>
      <c r="B554" s="1209"/>
      <c r="C554" s="1210"/>
      <c r="D554" s="1160"/>
      <c r="E554" s="1160"/>
      <c r="F554" s="1160"/>
      <c r="G554" s="1160"/>
      <c r="H554" s="1160"/>
      <c r="I554" s="1160"/>
      <c r="J554" s="1160"/>
      <c r="K554" s="1160"/>
      <c r="L554" s="1160"/>
      <c r="M554" s="1160"/>
      <c r="N554" s="1160"/>
      <c r="O554" s="1160"/>
      <c r="P554" s="1160"/>
      <c r="Q554" s="1160"/>
      <c r="R554" s="1160"/>
      <c r="S554" s="1160"/>
      <c r="T554" s="1160"/>
      <c r="U554" s="1160"/>
      <c r="V554" s="1160"/>
      <c r="W554" s="1160"/>
      <c r="X554" s="1160"/>
      <c r="Y554" s="1160"/>
      <c r="Z554" s="1160"/>
      <c r="AA554" s="1160"/>
      <c r="AB554" s="1160"/>
      <c r="AC554" s="1160"/>
      <c r="AD554" s="1160"/>
      <c r="AE554" s="1160"/>
      <c r="AF554" s="1160"/>
      <c r="AG554" s="1160"/>
      <c r="AH554" s="1160"/>
      <c r="AI554" s="1160"/>
      <c r="AJ554" s="1160"/>
      <c r="AK554" s="1160"/>
      <c r="AL554" s="1160"/>
    </row>
    <row r="555" ht="15.0" customHeight="1">
      <c r="A555" s="1209"/>
      <c r="B555" s="1209"/>
      <c r="C555" s="1210"/>
      <c r="D555" s="1160"/>
      <c r="E555" s="1160"/>
      <c r="F555" s="1160"/>
      <c r="G555" s="1160"/>
      <c r="H555" s="1160"/>
      <c r="I555" s="1160"/>
      <c r="J555" s="1160"/>
      <c r="K555" s="1160"/>
      <c r="L555" s="1160"/>
      <c r="M555" s="1160"/>
      <c r="N555" s="1160"/>
      <c r="O555" s="1160"/>
      <c r="P555" s="1160"/>
      <c r="Q555" s="1160"/>
      <c r="R555" s="1160"/>
      <c r="S555" s="1160"/>
      <c r="T555" s="1160"/>
      <c r="U555" s="1160"/>
      <c r="V555" s="1160"/>
      <c r="W555" s="1160"/>
      <c r="X555" s="1160"/>
      <c r="Y555" s="1160"/>
      <c r="Z555" s="1160"/>
      <c r="AA555" s="1160"/>
      <c r="AB555" s="1160"/>
      <c r="AC555" s="1160"/>
      <c r="AD555" s="1160"/>
      <c r="AE555" s="1160"/>
      <c r="AF555" s="1160"/>
      <c r="AG555" s="1160"/>
      <c r="AH555" s="1160"/>
      <c r="AI555" s="1160"/>
      <c r="AJ555" s="1160"/>
      <c r="AK555" s="1160"/>
      <c r="AL555" s="1160"/>
    </row>
    <row r="556" ht="15.0" customHeight="1">
      <c r="A556" s="1209"/>
      <c r="B556" s="1209"/>
      <c r="C556" s="1210"/>
      <c r="D556" s="1160"/>
      <c r="E556" s="1160"/>
      <c r="F556" s="1160"/>
      <c r="G556" s="1160"/>
      <c r="H556" s="1160"/>
      <c r="I556" s="1160"/>
      <c r="J556" s="1160"/>
      <c r="K556" s="1160"/>
      <c r="L556" s="1160"/>
      <c r="M556" s="1160"/>
      <c r="N556" s="1160"/>
      <c r="O556" s="1160"/>
      <c r="P556" s="1160"/>
      <c r="Q556" s="1160"/>
      <c r="R556" s="1160"/>
      <c r="S556" s="1160"/>
      <c r="T556" s="1160"/>
      <c r="U556" s="1160"/>
      <c r="V556" s="1160"/>
      <c r="W556" s="1160"/>
      <c r="X556" s="1160"/>
      <c r="Y556" s="1160"/>
      <c r="Z556" s="1160"/>
      <c r="AA556" s="1160"/>
      <c r="AB556" s="1160"/>
      <c r="AC556" s="1160"/>
      <c r="AD556" s="1160"/>
      <c r="AE556" s="1160"/>
      <c r="AF556" s="1160"/>
      <c r="AG556" s="1160"/>
      <c r="AH556" s="1160"/>
      <c r="AI556" s="1160"/>
      <c r="AJ556" s="1160"/>
      <c r="AK556" s="1160"/>
      <c r="AL556" s="1160"/>
    </row>
    <row r="557" ht="15.0" customHeight="1">
      <c r="A557" s="1209"/>
      <c r="B557" s="1209"/>
      <c r="C557" s="1210"/>
      <c r="D557" s="1160"/>
      <c r="E557" s="1160"/>
      <c r="F557" s="1160"/>
      <c r="G557" s="1160"/>
      <c r="H557" s="1160"/>
      <c r="I557" s="1160"/>
      <c r="J557" s="1160"/>
      <c r="K557" s="1160"/>
      <c r="L557" s="1160"/>
      <c r="M557" s="1160"/>
      <c r="N557" s="1160"/>
      <c r="O557" s="1160"/>
      <c r="P557" s="1160"/>
      <c r="Q557" s="1160"/>
      <c r="R557" s="1160"/>
      <c r="S557" s="1160"/>
      <c r="T557" s="1160"/>
      <c r="U557" s="1160"/>
      <c r="V557" s="1160"/>
      <c r="W557" s="1160"/>
      <c r="X557" s="1160"/>
      <c r="Y557" s="1160"/>
      <c r="Z557" s="1160"/>
      <c r="AA557" s="1160"/>
      <c r="AB557" s="1160"/>
      <c r="AC557" s="1160"/>
      <c r="AD557" s="1160"/>
      <c r="AE557" s="1160"/>
      <c r="AF557" s="1160"/>
      <c r="AG557" s="1160"/>
      <c r="AH557" s="1160"/>
      <c r="AI557" s="1160"/>
      <c r="AJ557" s="1160"/>
      <c r="AK557" s="1160"/>
      <c r="AL557" s="1160"/>
    </row>
    <row r="558" ht="15.0" customHeight="1">
      <c r="A558" s="1209"/>
      <c r="B558" s="1209"/>
      <c r="C558" s="1210"/>
      <c r="D558" s="1160"/>
      <c r="E558" s="1160"/>
      <c r="F558" s="1160"/>
      <c r="G558" s="1160"/>
      <c r="H558" s="1160"/>
      <c r="I558" s="1160"/>
      <c r="J558" s="1160"/>
      <c r="K558" s="1160"/>
      <c r="L558" s="1160"/>
      <c r="M558" s="1160"/>
      <c r="N558" s="1160"/>
      <c r="O558" s="1160"/>
      <c r="P558" s="1160"/>
      <c r="Q558" s="1160"/>
      <c r="R558" s="1160"/>
      <c r="S558" s="1160"/>
      <c r="T558" s="1160"/>
      <c r="U558" s="1160"/>
      <c r="V558" s="1160"/>
      <c r="W558" s="1160"/>
      <c r="X558" s="1160"/>
      <c r="Y558" s="1160"/>
      <c r="Z558" s="1160"/>
      <c r="AA558" s="1160"/>
      <c r="AB558" s="1160"/>
      <c r="AC558" s="1160"/>
      <c r="AD558" s="1160"/>
      <c r="AE558" s="1160"/>
      <c r="AF558" s="1160"/>
      <c r="AG558" s="1160"/>
      <c r="AH558" s="1160"/>
      <c r="AI558" s="1160"/>
      <c r="AJ558" s="1160"/>
      <c r="AK558" s="1160"/>
      <c r="AL558" s="1160"/>
    </row>
    <row r="559" ht="15.0" customHeight="1">
      <c r="A559" s="1209"/>
      <c r="B559" s="1209"/>
      <c r="C559" s="1210"/>
      <c r="D559" s="1160"/>
      <c r="E559" s="1160"/>
      <c r="F559" s="1160"/>
      <c r="G559" s="1160"/>
      <c r="H559" s="1160"/>
      <c r="I559" s="1160"/>
      <c r="J559" s="1160"/>
      <c r="K559" s="1160"/>
      <c r="L559" s="1160"/>
      <c r="M559" s="1160"/>
      <c r="N559" s="1160"/>
      <c r="O559" s="1160"/>
      <c r="P559" s="1160"/>
      <c r="Q559" s="1160"/>
      <c r="R559" s="1160"/>
      <c r="S559" s="1160"/>
      <c r="T559" s="1160"/>
      <c r="U559" s="1160"/>
      <c r="V559" s="1160"/>
      <c r="W559" s="1160"/>
      <c r="X559" s="1160"/>
      <c r="Y559" s="1160"/>
      <c r="Z559" s="1160"/>
      <c r="AA559" s="1160"/>
      <c r="AB559" s="1160"/>
      <c r="AC559" s="1160"/>
      <c r="AD559" s="1160"/>
      <c r="AE559" s="1160"/>
      <c r="AF559" s="1160"/>
      <c r="AG559" s="1160"/>
      <c r="AH559" s="1160"/>
      <c r="AI559" s="1160"/>
      <c r="AJ559" s="1160"/>
      <c r="AK559" s="1160"/>
      <c r="AL559" s="1160"/>
    </row>
    <row r="560" ht="15.0" customHeight="1">
      <c r="A560" s="1209"/>
      <c r="B560" s="1209"/>
      <c r="C560" s="1210"/>
      <c r="D560" s="1160"/>
      <c r="E560" s="1160"/>
      <c r="F560" s="1160"/>
      <c r="G560" s="1160"/>
      <c r="H560" s="1160"/>
      <c r="I560" s="1160"/>
      <c r="J560" s="1160"/>
      <c r="K560" s="1160"/>
      <c r="L560" s="1160"/>
      <c r="M560" s="1160"/>
      <c r="N560" s="1160"/>
      <c r="O560" s="1160"/>
      <c r="P560" s="1160"/>
      <c r="Q560" s="1160"/>
      <c r="R560" s="1160"/>
      <c r="S560" s="1160"/>
      <c r="T560" s="1160"/>
      <c r="U560" s="1160"/>
      <c r="V560" s="1160"/>
      <c r="W560" s="1160"/>
      <c r="X560" s="1160"/>
      <c r="Y560" s="1160"/>
      <c r="Z560" s="1160"/>
      <c r="AA560" s="1160"/>
      <c r="AB560" s="1160"/>
      <c r="AC560" s="1160"/>
      <c r="AD560" s="1160"/>
      <c r="AE560" s="1160"/>
      <c r="AF560" s="1160"/>
      <c r="AG560" s="1160"/>
      <c r="AH560" s="1160"/>
      <c r="AI560" s="1160"/>
      <c r="AJ560" s="1160"/>
      <c r="AK560" s="1160"/>
      <c r="AL560" s="1160"/>
    </row>
    <row r="561" ht="15.0" customHeight="1">
      <c r="A561" s="1209"/>
      <c r="B561" s="1209"/>
      <c r="C561" s="1210"/>
      <c r="D561" s="1160"/>
      <c r="E561" s="1160"/>
      <c r="F561" s="1160"/>
      <c r="G561" s="1160"/>
      <c r="H561" s="1160"/>
      <c r="I561" s="1160"/>
      <c r="J561" s="1160"/>
      <c r="K561" s="1160"/>
      <c r="L561" s="1160"/>
      <c r="M561" s="1160"/>
      <c r="N561" s="1160"/>
      <c r="O561" s="1160"/>
      <c r="P561" s="1160"/>
      <c r="Q561" s="1160"/>
      <c r="R561" s="1160"/>
      <c r="S561" s="1160"/>
      <c r="T561" s="1160"/>
      <c r="U561" s="1160"/>
      <c r="V561" s="1160"/>
      <c r="W561" s="1160"/>
      <c r="X561" s="1160"/>
      <c r="Y561" s="1160"/>
      <c r="Z561" s="1160"/>
      <c r="AA561" s="1160"/>
      <c r="AB561" s="1160"/>
      <c r="AC561" s="1160"/>
      <c r="AD561" s="1160"/>
      <c r="AE561" s="1160"/>
      <c r="AF561" s="1160"/>
      <c r="AG561" s="1160"/>
      <c r="AH561" s="1160"/>
      <c r="AI561" s="1160"/>
      <c r="AJ561" s="1160"/>
      <c r="AK561" s="1160"/>
      <c r="AL561" s="1160"/>
    </row>
    <row r="562" ht="15.0" customHeight="1">
      <c r="A562" s="1209"/>
      <c r="B562" s="1209"/>
      <c r="C562" s="1210"/>
      <c r="D562" s="1160"/>
      <c r="E562" s="1160"/>
      <c r="F562" s="1160"/>
      <c r="G562" s="1160"/>
      <c r="H562" s="1160"/>
      <c r="I562" s="1160"/>
      <c r="J562" s="1160"/>
      <c r="K562" s="1160"/>
      <c r="L562" s="1160"/>
      <c r="M562" s="1160"/>
      <c r="N562" s="1160"/>
      <c r="O562" s="1160"/>
      <c r="P562" s="1160"/>
      <c r="Q562" s="1160"/>
      <c r="R562" s="1160"/>
      <c r="S562" s="1160"/>
      <c r="T562" s="1160"/>
      <c r="U562" s="1160"/>
      <c r="V562" s="1160"/>
      <c r="W562" s="1160"/>
      <c r="X562" s="1160"/>
      <c r="Y562" s="1160"/>
      <c r="Z562" s="1160"/>
      <c r="AA562" s="1160"/>
      <c r="AB562" s="1160"/>
      <c r="AC562" s="1160"/>
      <c r="AD562" s="1160"/>
      <c r="AE562" s="1160"/>
      <c r="AF562" s="1160"/>
      <c r="AG562" s="1160"/>
      <c r="AH562" s="1160"/>
      <c r="AI562" s="1160"/>
      <c r="AJ562" s="1160"/>
      <c r="AK562" s="1160"/>
      <c r="AL562" s="1160"/>
    </row>
    <row r="563" ht="15.0" customHeight="1">
      <c r="A563" s="1209"/>
      <c r="B563" s="1209"/>
      <c r="C563" s="1210"/>
      <c r="D563" s="1160"/>
      <c r="E563" s="1160"/>
      <c r="F563" s="1160"/>
      <c r="G563" s="1160"/>
      <c r="H563" s="1160"/>
      <c r="I563" s="1160"/>
      <c r="J563" s="1160"/>
      <c r="K563" s="1160"/>
      <c r="L563" s="1160"/>
      <c r="M563" s="1160"/>
      <c r="N563" s="1160"/>
      <c r="O563" s="1160"/>
      <c r="P563" s="1160"/>
      <c r="Q563" s="1160"/>
      <c r="R563" s="1160"/>
      <c r="S563" s="1160"/>
      <c r="T563" s="1160"/>
      <c r="U563" s="1160"/>
      <c r="V563" s="1160"/>
      <c r="W563" s="1160"/>
      <c r="X563" s="1160"/>
      <c r="Y563" s="1160"/>
      <c r="Z563" s="1160"/>
      <c r="AA563" s="1160"/>
      <c r="AB563" s="1160"/>
      <c r="AC563" s="1160"/>
      <c r="AD563" s="1160"/>
      <c r="AE563" s="1160"/>
      <c r="AF563" s="1160"/>
      <c r="AG563" s="1160"/>
      <c r="AH563" s="1160"/>
      <c r="AI563" s="1160"/>
      <c r="AJ563" s="1160"/>
      <c r="AK563" s="1160"/>
      <c r="AL563" s="1160"/>
    </row>
    <row r="564" ht="15.0" customHeight="1">
      <c r="A564" s="1209"/>
      <c r="B564" s="1209"/>
      <c r="C564" s="1210"/>
      <c r="D564" s="1160"/>
      <c r="E564" s="1160"/>
      <c r="F564" s="1160"/>
      <c r="G564" s="1160"/>
      <c r="H564" s="1160"/>
      <c r="I564" s="1160"/>
      <c r="J564" s="1160"/>
      <c r="K564" s="1160"/>
      <c r="L564" s="1160"/>
      <c r="M564" s="1160"/>
      <c r="N564" s="1160"/>
      <c r="O564" s="1160"/>
      <c r="P564" s="1160"/>
      <c r="Q564" s="1160"/>
      <c r="R564" s="1160"/>
      <c r="S564" s="1160"/>
      <c r="T564" s="1160"/>
      <c r="U564" s="1160"/>
      <c r="V564" s="1160"/>
      <c r="W564" s="1160"/>
      <c r="X564" s="1160"/>
      <c r="Y564" s="1160"/>
      <c r="Z564" s="1160"/>
      <c r="AA564" s="1160"/>
      <c r="AB564" s="1160"/>
      <c r="AC564" s="1160"/>
      <c r="AD564" s="1160"/>
      <c r="AE564" s="1160"/>
      <c r="AF564" s="1160"/>
      <c r="AG564" s="1160"/>
      <c r="AH564" s="1160"/>
      <c r="AI564" s="1160"/>
      <c r="AJ564" s="1160"/>
      <c r="AK564" s="1160"/>
      <c r="AL564" s="1160"/>
    </row>
    <row r="565" ht="15.0" customHeight="1">
      <c r="A565" s="1209"/>
      <c r="B565" s="1209"/>
      <c r="C565" s="1210"/>
      <c r="D565" s="1160"/>
      <c r="E565" s="1160"/>
      <c r="F565" s="1160"/>
      <c r="G565" s="1160"/>
      <c r="H565" s="1160"/>
      <c r="I565" s="1160"/>
      <c r="J565" s="1160"/>
      <c r="K565" s="1160"/>
      <c r="L565" s="1160"/>
      <c r="M565" s="1160"/>
      <c r="N565" s="1160"/>
      <c r="O565" s="1160"/>
      <c r="P565" s="1160"/>
      <c r="Q565" s="1160"/>
      <c r="R565" s="1160"/>
      <c r="S565" s="1160"/>
      <c r="T565" s="1160"/>
      <c r="U565" s="1160"/>
      <c r="V565" s="1160"/>
      <c r="W565" s="1160"/>
      <c r="X565" s="1160"/>
      <c r="Y565" s="1160"/>
      <c r="Z565" s="1160"/>
      <c r="AA565" s="1160"/>
      <c r="AB565" s="1160"/>
      <c r="AC565" s="1160"/>
      <c r="AD565" s="1160"/>
      <c r="AE565" s="1160"/>
      <c r="AF565" s="1160"/>
      <c r="AG565" s="1160"/>
      <c r="AH565" s="1160"/>
      <c r="AI565" s="1160"/>
      <c r="AJ565" s="1160"/>
      <c r="AK565" s="1160"/>
      <c r="AL565" s="1160"/>
    </row>
    <row r="566" ht="15.0" customHeight="1">
      <c r="A566" s="1209"/>
      <c r="B566" s="1209"/>
      <c r="C566" s="1210"/>
      <c r="D566" s="1160"/>
      <c r="E566" s="1160"/>
      <c r="F566" s="1160"/>
      <c r="G566" s="1160"/>
      <c r="H566" s="1160"/>
      <c r="I566" s="1160"/>
      <c r="J566" s="1160"/>
      <c r="K566" s="1160"/>
      <c r="L566" s="1160"/>
      <c r="M566" s="1160"/>
      <c r="N566" s="1160"/>
      <c r="O566" s="1160"/>
      <c r="P566" s="1160"/>
      <c r="Q566" s="1160"/>
      <c r="R566" s="1160"/>
      <c r="S566" s="1160"/>
      <c r="T566" s="1160"/>
      <c r="U566" s="1160"/>
      <c r="V566" s="1160"/>
      <c r="W566" s="1160"/>
      <c r="X566" s="1160"/>
      <c r="Y566" s="1160"/>
      <c r="Z566" s="1160"/>
      <c r="AA566" s="1160"/>
      <c r="AB566" s="1160"/>
      <c r="AC566" s="1160"/>
      <c r="AD566" s="1160"/>
      <c r="AE566" s="1160"/>
      <c r="AF566" s="1160"/>
      <c r="AG566" s="1160"/>
      <c r="AH566" s="1160"/>
      <c r="AI566" s="1160"/>
      <c r="AJ566" s="1160"/>
      <c r="AK566" s="1160"/>
      <c r="AL566" s="1160"/>
    </row>
    <row r="567" ht="15.0" customHeight="1">
      <c r="A567" s="1209"/>
      <c r="B567" s="1209"/>
      <c r="C567" s="1210"/>
      <c r="D567" s="1160"/>
      <c r="E567" s="1160"/>
      <c r="F567" s="1160"/>
      <c r="G567" s="1160"/>
      <c r="H567" s="1160"/>
      <c r="I567" s="1160"/>
      <c r="J567" s="1160"/>
      <c r="K567" s="1160"/>
      <c r="L567" s="1160"/>
      <c r="M567" s="1160"/>
      <c r="N567" s="1160"/>
      <c r="O567" s="1160"/>
      <c r="P567" s="1160"/>
      <c r="Q567" s="1160"/>
      <c r="R567" s="1160"/>
      <c r="S567" s="1160"/>
      <c r="T567" s="1160"/>
      <c r="U567" s="1160"/>
      <c r="V567" s="1160"/>
      <c r="W567" s="1160"/>
      <c r="X567" s="1160"/>
      <c r="Y567" s="1160"/>
      <c r="Z567" s="1160"/>
      <c r="AA567" s="1160"/>
      <c r="AB567" s="1160"/>
      <c r="AC567" s="1160"/>
      <c r="AD567" s="1160"/>
      <c r="AE567" s="1160"/>
      <c r="AF567" s="1160"/>
      <c r="AG567" s="1160"/>
      <c r="AH567" s="1160"/>
      <c r="AI567" s="1160"/>
      <c r="AJ567" s="1160"/>
      <c r="AK567" s="1160"/>
      <c r="AL567" s="1160"/>
    </row>
    <row r="568" ht="15.0" customHeight="1">
      <c r="A568" s="1209"/>
      <c r="B568" s="1209"/>
      <c r="C568" s="1210"/>
      <c r="D568" s="1160"/>
      <c r="E568" s="1160"/>
      <c r="F568" s="1160"/>
      <c r="G568" s="1160"/>
      <c r="H568" s="1160"/>
      <c r="I568" s="1160"/>
      <c r="J568" s="1160"/>
      <c r="K568" s="1160"/>
      <c r="L568" s="1160"/>
      <c r="M568" s="1160"/>
      <c r="N568" s="1160"/>
      <c r="O568" s="1160"/>
      <c r="P568" s="1160"/>
      <c r="Q568" s="1160"/>
      <c r="R568" s="1160"/>
      <c r="S568" s="1160"/>
      <c r="T568" s="1160"/>
      <c r="U568" s="1160"/>
      <c r="V568" s="1160"/>
      <c r="W568" s="1160"/>
      <c r="X568" s="1160"/>
      <c r="Y568" s="1160"/>
      <c r="Z568" s="1160"/>
      <c r="AA568" s="1160"/>
      <c r="AB568" s="1160"/>
      <c r="AC568" s="1160"/>
      <c r="AD568" s="1160"/>
      <c r="AE568" s="1160"/>
      <c r="AF568" s="1160"/>
      <c r="AG568" s="1160"/>
      <c r="AH568" s="1160"/>
      <c r="AI568" s="1160"/>
      <c r="AJ568" s="1160"/>
      <c r="AK568" s="1160"/>
      <c r="AL568" s="1160"/>
    </row>
    <row r="569" ht="15.0" customHeight="1">
      <c r="A569" s="1209"/>
      <c r="B569" s="1209"/>
      <c r="C569" s="1210"/>
      <c r="D569" s="1160"/>
      <c r="E569" s="1160"/>
      <c r="F569" s="1160"/>
      <c r="G569" s="1160"/>
      <c r="H569" s="1160"/>
      <c r="I569" s="1160"/>
      <c r="J569" s="1160"/>
      <c r="K569" s="1160"/>
      <c r="L569" s="1160"/>
      <c r="M569" s="1160"/>
      <c r="N569" s="1160"/>
      <c r="O569" s="1160"/>
      <c r="P569" s="1160"/>
      <c r="Q569" s="1160"/>
      <c r="R569" s="1160"/>
      <c r="S569" s="1160"/>
      <c r="T569" s="1160"/>
      <c r="U569" s="1160"/>
      <c r="V569" s="1160"/>
      <c r="W569" s="1160"/>
      <c r="X569" s="1160"/>
      <c r="Y569" s="1160"/>
      <c r="Z569" s="1160"/>
      <c r="AA569" s="1160"/>
      <c r="AB569" s="1160"/>
      <c r="AC569" s="1160"/>
      <c r="AD569" s="1160"/>
      <c r="AE569" s="1160"/>
      <c r="AF569" s="1160"/>
      <c r="AG569" s="1160"/>
      <c r="AH569" s="1160"/>
      <c r="AI569" s="1160"/>
      <c r="AJ569" s="1160"/>
      <c r="AK569" s="1160"/>
      <c r="AL569" s="1160"/>
    </row>
    <row r="570" ht="15.0" customHeight="1">
      <c r="A570" s="1209"/>
      <c r="B570" s="1209"/>
      <c r="C570" s="1210"/>
      <c r="D570" s="1160"/>
      <c r="E570" s="1160"/>
      <c r="F570" s="1160"/>
      <c r="G570" s="1160"/>
      <c r="H570" s="1160"/>
      <c r="I570" s="1160"/>
      <c r="J570" s="1160"/>
      <c r="K570" s="1160"/>
      <c r="L570" s="1160"/>
      <c r="M570" s="1160"/>
      <c r="N570" s="1160"/>
      <c r="O570" s="1160"/>
      <c r="P570" s="1160"/>
      <c r="Q570" s="1160"/>
      <c r="R570" s="1160"/>
      <c r="S570" s="1160"/>
      <c r="T570" s="1160"/>
      <c r="U570" s="1160"/>
      <c r="V570" s="1160"/>
      <c r="W570" s="1160"/>
      <c r="X570" s="1160"/>
      <c r="Y570" s="1160"/>
      <c r="Z570" s="1160"/>
      <c r="AA570" s="1160"/>
      <c r="AB570" s="1160"/>
      <c r="AC570" s="1160"/>
      <c r="AD570" s="1160"/>
      <c r="AE570" s="1160"/>
      <c r="AF570" s="1160"/>
      <c r="AG570" s="1160"/>
      <c r="AH570" s="1160"/>
      <c r="AI570" s="1160"/>
      <c r="AJ570" s="1160"/>
      <c r="AK570" s="1160"/>
      <c r="AL570" s="1160"/>
    </row>
    <row r="571" ht="15.0" customHeight="1">
      <c r="A571" s="1209"/>
      <c r="B571" s="1209"/>
      <c r="C571" s="1210"/>
      <c r="D571" s="1160"/>
      <c r="E571" s="1160"/>
      <c r="F571" s="1160"/>
      <c r="G571" s="1160"/>
      <c r="H571" s="1160"/>
      <c r="I571" s="1160"/>
      <c r="J571" s="1160"/>
      <c r="K571" s="1160"/>
      <c r="L571" s="1160"/>
      <c r="M571" s="1160"/>
      <c r="N571" s="1160"/>
      <c r="O571" s="1160"/>
      <c r="P571" s="1160"/>
      <c r="Q571" s="1160"/>
      <c r="R571" s="1160"/>
      <c r="S571" s="1160"/>
      <c r="T571" s="1160"/>
      <c r="U571" s="1160"/>
      <c r="V571" s="1160"/>
      <c r="W571" s="1160"/>
      <c r="X571" s="1160"/>
      <c r="Y571" s="1160"/>
      <c r="Z571" s="1160"/>
      <c r="AA571" s="1160"/>
      <c r="AB571" s="1160"/>
      <c r="AC571" s="1160"/>
      <c r="AD571" s="1160"/>
      <c r="AE571" s="1160"/>
      <c r="AF571" s="1160"/>
      <c r="AG571" s="1160"/>
      <c r="AH571" s="1160"/>
      <c r="AI571" s="1160"/>
      <c r="AJ571" s="1160"/>
      <c r="AK571" s="1160"/>
      <c r="AL571" s="1160"/>
    </row>
    <row r="572" ht="15.0" customHeight="1">
      <c r="A572" s="1209"/>
      <c r="B572" s="1209"/>
      <c r="C572" s="1210"/>
      <c r="D572" s="1160"/>
      <c r="E572" s="1160"/>
      <c r="F572" s="1160"/>
      <c r="G572" s="1160"/>
      <c r="H572" s="1160"/>
      <c r="I572" s="1160"/>
      <c r="J572" s="1160"/>
      <c r="K572" s="1160"/>
      <c r="L572" s="1160"/>
      <c r="M572" s="1160"/>
      <c r="N572" s="1160"/>
      <c r="O572" s="1160"/>
      <c r="P572" s="1160"/>
      <c r="Q572" s="1160"/>
      <c r="R572" s="1160"/>
      <c r="S572" s="1160"/>
      <c r="T572" s="1160"/>
      <c r="U572" s="1160"/>
      <c r="V572" s="1160"/>
      <c r="W572" s="1160"/>
      <c r="X572" s="1160"/>
      <c r="Y572" s="1160"/>
      <c r="Z572" s="1160"/>
      <c r="AA572" s="1160"/>
      <c r="AB572" s="1160"/>
      <c r="AC572" s="1160"/>
      <c r="AD572" s="1160"/>
      <c r="AE572" s="1160"/>
      <c r="AF572" s="1160"/>
      <c r="AG572" s="1160"/>
      <c r="AH572" s="1160"/>
      <c r="AI572" s="1160"/>
      <c r="AJ572" s="1160"/>
      <c r="AK572" s="1160"/>
      <c r="AL572" s="1160"/>
    </row>
    <row r="573" ht="15.0" customHeight="1">
      <c r="A573" s="1209"/>
      <c r="B573" s="1209"/>
      <c r="C573" s="1210"/>
      <c r="D573" s="1160"/>
      <c r="E573" s="1160"/>
      <c r="F573" s="1160"/>
      <c r="G573" s="1160"/>
      <c r="H573" s="1160"/>
      <c r="I573" s="1160"/>
      <c r="J573" s="1160"/>
      <c r="K573" s="1160"/>
      <c r="L573" s="1160"/>
      <c r="M573" s="1160"/>
      <c r="N573" s="1160"/>
      <c r="O573" s="1160"/>
      <c r="P573" s="1160"/>
      <c r="Q573" s="1160"/>
      <c r="R573" s="1160"/>
      <c r="S573" s="1160"/>
      <c r="T573" s="1160"/>
      <c r="U573" s="1160"/>
      <c r="V573" s="1160"/>
      <c r="W573" s="1160"/>
      <c r="X573" s="1160"/>
      <c r="Y573" s="1160"/>
      <c r="Z573" s="1160"/>
      <c r="AA573" s="1160"/>
      <c r="AB573" s="1160"/>
      <c r="AC573" s="1160"/>
      <c r="AD573" s="1160"/>
      <c r="AE573" s="1160"/>
      <c r="AF573" s="1160"/>
      <c r="AG573" s="1160"/>
      <c r="AH573" s="1160"/>
      <c r="AI573" s="1160"/>
      <c r="AJ573" s="1160"/>
      <c r="AK573" s="1160"/>
      <c r="AL573" s="1160"/>
    </row>
    <row r="574" ht="15.0" customHeight="1">
      <c r="A574" s="1209"/>
      <c r="B574" s="1209"/>
      <c r="C574" s="1210"/>
      <c r="D574" s="1160"/>
      <c r="E574" s="1160"/>
      <c r="F574" s="1160"/>
      <c r="G574" s="1160"/>
      <c r="H574" s="1160"/>
      <c r="I574" s="1160"/>
      <c r="J574" s="1160"/>
      <c r="K574" s="1160"/>
      <c r="L574" s="1160"/>
      <c r="M574" s="1160"/>
      <c r="N574" s="1160"/>
      <c r="O574" s="1160"/>
      <c r="P574" s="1160"/>
      <c r="Q574" s="1160"/>
      <c r="R574" s="1160"/>
      <c r="S574" s="1160"/>
      <c r="T574" s="1160"/>
      <c r="U574" s="1160"/>
      <c r="V574" s="1160"/>
      <c r="W574" s="1160"/>
      <c r="X574" s="1160"/>
      <c r="Y574" s="1160"/>
      <c r="Z574" s="1160"/>
      <c r="AA574" s="1160"/>
      <c r="AB574" s="1160"/>
      <c r="AC574" s="1160"/>
      <c r="AD574" s="1160"/>
      <c r="AE574" s="1160"/>
      <c r="AF574" s="1160"/>
      <c r="AG574" s="1160"/>
      <c r="AH574" s="1160"/>
      <c r="AI574" s="1160"/>
      <c r="AJ574" s="1160"/>
      <c r="AK574" s="1160"/>
      <c r="AL574" s="1160"/>
    </row>
    <row r="575" ht="15.0" customHeight="1">
      <c r="A575" s="1209"/>
      <c r="B575" s="1209"/>
      <c r="C575" s="1210"/>
      <c r="D575" s="1160"/>
      <c r="E575" s="1160"/>
      <c r="F575" s="1160"/>
      <c r="G575" s="1160"/>
      <c r="H575" s="1160"/>
      <c r="I575" s="1160"/>
      <c r="J575" s="1160"/>
      <c r="K575" s="1160"/>
      <c r="L575" s="1160"/>
      <c r="M575" s="1160"/>
      <c r="N575" s="1160"/>
      <c r="O575" s="1160"/>
      <c r="P575" s="1160"/>
      <c r="Q575" s="1160"/>
      <c r="R575" s="1160"/>
      <c r="S575" s="1160"/>
      <c r="T575" s="1160"/>
      <c r="U575" s="1160"/>
      <c r="V575" s="1160"/>
      <c r="W575" s="1160"/>
      <c r="X575" s="1160"/>
      <c r="Y575" s="1160"/>
      <c r="Z575" s="1160"/>
      <c r="AA575" s="1160"/>
      <c r="AB575" s="1160"/>
      <c r="AC575" s="1160"/>
      <c r="AD575" s="1160"/>
      <c r="AE575" s="1160"/>
      <c r="AF575" s="1160"/>
      <c r="AG575" s="1160"/>
      <c r="AH575" s="1160"/>
      <c r="AI575" s="1160"/>
      <c r="AJ575" s="1160"/>
      <c r="AK575" s="1160"/>
      <c r="AL575" s="1160"/>
    </row>
    <row r="576" ht="15.0" customHeight="1">
      <c r="A576" s="1209"/>
      <c r="B576" s="1209"/>
      <c r="C576" s="1210"/>
      <c r="D576" s="1160"/>
      <c r="E576" s="1160"/>
      <c r="F576" s="1160"/>
      <c r="G576" s="1160"/>
      <c r="H576" s="1160"/>
      <c r="I576" s="1160"/>
      <c r="J576" s="1160"/>
      <c r="K576" s="1160"/>
      <c r="L576" s="1160"/>
      <c r="M576" s="1160"/>
      <c r="N576" s="1160"/>
      <c r="O576" s="1160"/>
      <c r="P576" s="1160"/>
      <c r="Q576" s="1160"/>
      <c r="R576" s="1160"/>
      <c r="S576" s="1160"/>
      <c r="T576" s="1160"/>
      <c r="U576" s="1160"/>
      <c r="V576" s="1160"/>
      <c r="W576" s="1160"/>
      <c r="X576" s="1160"/>
      <c r="Y576" s="1160"/>
      <c r="Z576" s="1160"/>
      <c r="AA576" s="1160"/>
      <c r="AB576" s="1160"/>
      <c r="AC576" s="1160"/>
      <c r="AD576" s="1160"/>
      <c r="AE576" s="1160"/>
      <c r="AF576" s="1160"/>
      <c r="AG576" s="1160"/>
      <c r="AH576" s="1160"/>
      <c r="AI576" s="1160"/>
      <c r="AJ576" s="1160"/>
      <c r="AK576" s="1160"/>
      <c r="AL576" s="1160"/>
    </row>
    <row r="577" ht="15.0" customHeight="1">
      <c r="A577" s="1209"/>
      <c r="B577" s="1209"/>
      <c r="C577" s="1210"/>
      <c r="D577" s="1160"/>
      <c r="E577" s="1160"/>
      <c r="F577" s="1160"/>
      <c r="G577" s="1160"/>
      <c r="H577" s="1160"/>
      <c r="I577" s="1160"/>
      <c r="J577" s="1160"/>
      <c r="K577" s="1160"/>
      <c r="L577" s="1160"/>
      <c r="M577" s="1160"/>
      <c r="N577" s="1160"/>
      <c r="O577" s="1160"/>
      <c r="P577" s="1160"/>
      <c r="Q577" s="1160"/>
      <c r="R577" s="1160"/>
      <c r="S577" s="1160"/>
      <c r="T577" s="1160"/>
      <c r="U577" s="1160"/>
      <c r="V577" s="1160"/>
      <c r="W577" s="1160"/>
      <c r="X577" s="1160"/>
      <c r="Y577" s="1160"/>
      <c r="Z577" s="1160"/>
      <c r="AA577" s="1160"/>
      <c r="AB577" s="1160"/>
      <c r="AC577" s="1160"/>
      <c r="AD577" s="1160"/>
      <c r="AE577" s="1160"/>
      <c r="AF577" s="1160"/>
      <c r="AG577" s="1160"/>
      <c r="AH577" s="1160"/>
      <c r="AI577" s="1160"/>
      <c r="AJ577" s="1160"/>
      <c r="AK577" s="1160"/>
      <c r="AL577" s="1160"/>
    </row>
    <row r="578" ht="15.0" customHeight="1">
      <c r="A578" s="1209"/>
      <c r="B578" s="1209"/>
      <c r="C578" s="1210"/>
      <c r="D578" s="1160"/>
      <c r="E578" s="1160"/>
      <c r="F578" s="1160"/>
      <c r="G578" s="1160"/>
      <c r="H578" s="1160"/>
      <c r="I578" s="1160"/>
      <c r="J578" s="1160"/>
      <c r="K578" s="1160"/>
      <c r="L578" s="1160"/>
      <c r="M578" s="1160"/>
      <c r="N578" s="1160"/>
      <c r="O578" s="1160"/>
      <c r="P578" s="1160"/>
      <c r="Q578" s="1160"/>
      <c r="R578" s="1160"/>
      <c r="S578" s="1160"/>
      <c r="T578" s="1160"/>
      <c r="U578" s="1160"/>
      <c r="V578" s="1160"/>
      <c r="W578" s="1160"/>
      <c r="X578" s="1160"/>
      <c r="Y578" s="1160"/>
      <c r="Z578" s="1160"/>
      <c r="AA578" s="1160"/>
      <c r="AB578" s="1160"/>
      <c r="AC578" s="1160"/>
      <c r="AD578" s="1160"/>
      <c r="AE578" s="1160"/>
      <c r="AF578" s="1160"/>
      <c r="AG578" s="1160"/>
      <c r="AH578" s="1160"/>
      <c r="AI578" s="1160"/>
      <c r="AJ578" s="1160"/>
      <c r="AK578" s="1160"/>
      <c r="AL578" s="1160"/>
    </row>
    <row r="579" ht="15.0" customHeight="1">
      <c r="A579" s="1209"/>
      <c r="B579" s="1209"/>
      <c r="C579" s="1210"/>
      <c r="D579" s="1160"/>
      <c r="E579" s="1160"/>
      <c r="F579" s="1160"/>
      <c r="G579" s="1160"/>
      <c r="H579" s="1160"/>
      <c r="I579" s="1160"/>
      <c r="J579" s="1160"/>
      <c r="K579" s="1160"/>
      <c r="L579" s="1160"/>
      <c r="M579" s="1160"/>
      <c r="N579" s="1160"/>
      <c r="O579" s="1160"/>
      <c r="P579" s="1160"/>
      <c r="Q579" s="1160"/>
      <c r="R579" s="1160"/>
      <c r="S579" s="1160"/>
      <c r="T579" s="1160"/>
      <c r="U579" s="1160"/>
      <c r="V579" s="1160"/>
      <c r="W579" s="1160"/>
      <c r="X579" s="1160"/>
      <c r="Y579" s="1160"/>
      <c r="Z579" s="1160"/>
      <c r="AA579" s="1160"/>
      <c r="AB579" s="1160"/>
      <c r="AC579" s="1160"/>
      <c r="AD579" s="1160"/>
      <c r="AE579" s="1160"/>
      <c r="AF579" s="1160"/>
      <c r="AG579" s="1160"/>
      <c r="AH579" s="1160"/>
      <c r="AI579" s="1160"/>
      <c r="AJ579" s="1160"/>
      <c r="AK579" s="1160"/>
      <c r="AL579" s="1160"/>
    </row>
    <row r="580" ht="15.0" customHeight="1">
      <c r="A580" s="1209"/>
      <c r="B580" s="1209"/>
      <c r="C580" s="1210"/>
      <c r="D580" s="1160"/>
      <c r="E580" s="1160"/>
      <c r="F580" s="1160"/>
      <c r="G580" s="1160"/>
      <c r="H580" s="1160"/>
      <c r="I580" s="1160"/>
      <c r="J580" s="1160"/>
      <c r="K580" s="1160"/>
      <c r="L580" s="1160"/>
      <c r="M580" s="1160"/>
      <c r="N580" s="1160"/>
      <c r="O580" s="1160"/>
      <c r="P580" s="1160"/>
      <c r="Q580" s="1160"/>
      <c r="R580" s="1160"/>
      <c r="S580" s="1160"/>
      <c r="T580" s="1160"/>
      <c r="U580" s="1160"/>
      <c r="V580" s="1160"/>
      <c r="W580" s="1160"/>
      <c r="X580" s="1160"/>
      <c r="Y580" s="1160"/>
      <c r="Z580" s="1160"/>
      <c r="AA580" s="1160"/>
      <c r="AB580" s="1160"/>
      <c r="AC580" s="1160"/>
      <c r="AD580" s="1160"/>
      <c r="AE580" s="1160"/>
      <c r="AF580" s="1160"/>
      <c r="AG580" s="1160"/>
      <c r="AH580" s="1160"/>
      <c r="AI580" s="1160"/>
      <c r="AJ580" s="1160"/>
      <c r="AK580" s="1160"/>
      <c r="AL580" s="1160"/>
    </row>
    <row r="581" ht="15.0" customHeight="1">
      <c r="A581" s="1209"/>
      <c r="B581" s="1209"/>
      <c r="C581" s="1210"/>
      <c r="D581" s="1160"/>
      <c r="E581" s="1160"/>
      <c r="F581" s="1160"/>
      <c r="G581" s="1160"/>
      <c r="H581" s="1160"/>
      <c r="I581" s="1160"/>
      <c r="J581" s="1160"/>
      <c r="K581" s="1160"/>
      <c r="L581" s="1160"/>
      <c r="M581" s="1160"/>
      <c r="N581" s="1160"/>
      <c r="O581" s="1160"/>
      <c r="P581" s="1160"/>
      <c r="Q581" s="1160"/>
      <c r="R581" s="1160"/>
      <c r="S581" s="1160"/>
      <c r="T581" s="1160"/>
      <c r="U581" s="1160"/>
      <c r="V581" s="1160"/>
      <c r="W581" s="1160"/>
      <c r="X581" s="1160"/>
      <c r="Y581" s="1160"/>
      <c r="Z581" s="1160"/>
      <c r="AA581" s="1160"/>
      <c r="AB581" s="1160"/>
      <c r="AC581" s="1160"/>
      <c r="AD581" s="1160"/>
      <c r="AE581" s="1160"/>
      <c r="AF581" s="1160"/>
      <c r="AG581" s="1160"/>
      <c r="AH581" s="1160"/>
      <c r="AI581" s="1160"/>
      <c r="AJ581" s="1160"/>
      <c r="AK581" s="1160"/>
      <c r="AL581" s="1160"/>
    </row>
    <row r="582" ht="15.0" customHeight="1">
      <c r="A582" s="1209"/>
      <c r="B582" s="1209"/>
      <c r="C582" s="1210"/>
      <c r="D582" s="1160"/>
      <c r="E582" s="1160"/>
      <c r="F582" s="1160"/>
      <c r="G582" s="1160"/>
      <c r="H582" s="1160"/>
      <c r="I582" s="1160"/>
      <c r="J582" s="1160"/>
      <c r="K582" s="1160"/>
      <c r="L582" s="1160"/>
      <c r="M582" s="1160"/>
      <c r="N582" s="1160"/>
      <c r="O582" s="1160"/>
      <c r="P582" s="1160"/>
      <c r="Q582" s="1160"/>
      <c r="R582" s="1160"/>
      <c r="S582" s="1160"/>
      <c r="T582" s="1160"/>
      <c r="U582" s="1160"/>
      <c r="V582" s="1160"/>
      <c r="W582" s="1160"/>
      <c r="X582" s="1160"/>
      <c r="Y582" s="1160"/>
      <c r="Z582" s="1160"/>
      <c r="AA582" s="1160"/>
      <c r="AB582" s="1160"/>
      <c r="AC582" s="1160"/>
      <c r="AD582" s="1160"/>
      <c r="AE582" s="1160"/>
      <c r="AF582" s="1160"/>
      <c r="AG582" s="1160"/>
      <c r="AH582" s="1160"/>
      <c r="AI582" s="1160"/>
      <c r="AJ582" s="1160"/>
      <c r="AK582" s="1160"/>
      <c r="AL582" s="1160"/>
    </row>
    <row r="583" ht="15.0" customHeight="1">
      <c r="A583" s="1209"/>
      <c r="B583" s="1209"/>
      <c r="C583" s="1210"/>
      <c r="D583" s="1160"/>
      <c r="E583" s="1160"/>
      <c r="F583" s="1160"/>
      <c r="G583" s="1160"/>
      <c r="H583" s="1160"/>
      <c r="I583" s="1160"/>
      <c r="J583" s="1160"/>
      <c r="K583" s="1160"/>
      <c r="L583" s="1160"/>
      <c r="M583" s="1160"/>
      <c r="N583" s="1160"/>
      <c r="O583" s="1160"/>
      <c r="P583" s="1160"/>
      <c r="Q583" s="1160"/>
      <c r="R583" s="1160"/>
      <c r="S583" s="1160"/>
      <c r="T583" s="1160"/>
      <c r="U583" s="1160"/>
      <c r="V583" s="1160"/>
      <c r="W583" s="1160"/>
      <c r="X583" s="1160"/>
      <c r="Y583" s="1160"/>
      <c r="Z583" s="1160"/>
      <c r="AA583" s="1160"/>
      <c r="AB583" s="1160"/>
      <c r="AC583" s="1160"/>
      <c r="AD583" s="1160"/>
      <c r="AE583" s="1160"/>
      <c r="AF583" s="1160"/>
      <c r="AG583" s="1160"/>
      <c r="AH583" s="1160"/>
      <c r="AI583" s="1160"/>
      <c r="AJ583" s="1160"/>
      <c r="AK583" s="1160"/>
      <c r="AL583" s="1160"/>
    </row>
    <row r="584" ht="15.0" customHeight="1">
      <c r="A584" s="1209"/>
      <c r="B584" s="1209"/>
      <c r="C584" s="1210"/>
      <c r="D584" s="1160"/>
      <c r="E584" s="1160"/>
      <c r="F584" s="1160"/>
      <c r="G584" s="1160"/>
      <c r="H584" s="1160"/>
      <c r="I584" s="1160"/>
      <c r="J584" s="1160"/>
      <c r="K584" s="1160"/>
      <c r="L584" s="1160"/>
      <c r="M584" s="1160"/>
      <c r="N584" s="1160"/>
      <c r="O584" s="1160"/>
      <c r="P584" s="1160"/>
      <c r="Q584" s="1160"/>
      <c r="R584" s="1160"/>
      <c r="S584" s="1160"/>
      <c r="T584" s="1160"/>
      <c r="U584" s="1160"/>
      <c r="V584" s="1160"/>
      <c r="W584" s="1160"/>
      <c r="X584" s="1160"/>
      <c r="Y584" s="1160"/>
      <c r="Z584" s="1160"/>
      <c r="AA584" s="1160"/>
      <c r="AB584" s="1160"/>
      <c r="AC584" s="1160"/>
      <c r="AD584" s="1160"/>
      <c r="AE584" s="1160"/>
      <c r="AF584" s="1160"/>
      <c r="AG584" s="1160"/>
      <c r="AH584" s="1160"/>
      <c r="AI584" s="1160"/>
      <c r="AJ584" s="1160"/>
      <c r="AK584" s="1160"/>
      <c r="AL584" s="1160"/>
    </row>
    <row r="585" ht="15.0" customHeight="1">
      <c r="A585" s="1209"/>
      <c r="B585" s="1209"/>
      <c r="C585" s="1210"/>
      <c r="D585" s="1160"/>
      <c r="E585" s="1160"/>
      <c r="F585" s="1160"/>
      <c r="G585" s="1160"/>
      <c r="H585" s="1160"/>
      <c r="I585" s="1160"/>
      <c r="J585" s="1160"/>
      <c r="K585" s="1160"/>
      <c r="L585" s="1160"/>
      <c r="M585" s="1160"/>
      <c r="N585" s="1160"/>
      <c r="O585" s="1160"/>
      <c r="P585" s="1160"/>
      <c r="Q585" s="1160"/>
      <c r="R585" s="1160"/>
      <c r="S585" s="1160"/>
      <c r="T585" s="1160"/>
      <c r="U585" s="1160"/>
      <c r="V585" s="1160"/>
      <c r="W585" s="1160"/>
      <c r="X585" s="1160"/>
      <c r="Y585" s="1160"/>
      <c r="Z585" s="1160"/>
      <c r="AA585" s="1160"/>
      <c r="AB585" s="1160"/>
      <c r="AC585" s="1160"/>
      <c r="AD585" s="1160"/>
      <c r="AE585" s="1160"/>
      <c r="AF585" s="1160"/>
      <c r="AG585" s="1160"/>
      <c r="AH585" s="1160"/>
      <c r="AI585" s="1160"/>
      <c r="AJ585" s="1160"/>
      <c r="AK585" s="1160"/>
      <c r="AL585" s="1160"/>
    </row>
    <row r="586" ht="15.0" customHeight="1">
      <c r="A586" s="1209"/>
      <c r="B586" s="1209"/>
      <c r="C586" s="1210"/>
      <c r="D586" s="1160"/>
      <c r="E586" s="1160"/>
      <c r="F586" s="1160"/>
      <c r="G586" s="1160"/>
      <c r="H586" s="1160"/>
      <c r="I586" s="1160"/>
      <c r="J586" s="1160"/>
      <c r="K586" s="1160"/>
      <c r="L586" s="1160"/>
      <c r="M586" s="1160"/>
      <c r="N586" s="1160"/>
      <c r="O586" s="1160"/>
      <c r="P586" s="1160"/>
      <c r="Q586" s="1160"/>
      <c r="R586" s="1160"/>
      <c r="S586" s="1160"/>
      <c r="T586" s="1160"/>
      <c r="U586" s="1160"/>
      <c r="V586" s="1160"/>
      <c r="W586" s="1160"/>
      <c r="X586" s="1160"/>
      <c r="Y586" s="1160"/>
      <c r="Z586" s="1160"/>
      <c r="AA586" s="1160"/>
      <c r="AB586" s="1160"/>
      <c r="AC586" s="1160"/>
      <c r="AD586" s="1160"/>
      <c r="AE586" s="1160"/>
      <c r="AF586" s="1160"/>
      <c r="AG586" s="1160"/>
      <c r="AH586" s="1160"/>
      <c r="AI586" s="1160"/>
      <c r="AJ586" s="1160"/>
      <c r="AK586" s="1160"/>
      <c r="AL586" s="1160"/>
    </row>
    <row r="587" ht="15.0" customHeight="1">
      <c r="A587" s="1209"/>
      <c r="B587" s="1209"/>
      <c r="C587" s="1210"/>
      <c r="D587" s="1160"/>
      <c r="E587" s="1160"/>
      <c r="F587" s="1160"/>
      <c r="G587" s="1160"/>
      <c r="H587" s="1160"/>
      <c r="I587" s="1160"/>
      <c r="J587" s="1160"/>
      <c r="K587" s="1160"/>
      <c r="L587" s="1160"/>
      <c r="M587" s="1160"/>
      <c r="N587" s="1160"/>
      <c r="O587" s="1160"/>
      <c r="P587" s="1160"/>
      <c r="Q587" s="1160"/>
      <c r="R587" s="1160"/>
      <c r="S587" s="1160"/>
      <c r="T587" s="1160"/>
      <c r="U587" s="1160"/>
      <c r="V587" s="1160"/>
      <c r="W587" s="1160"/>
      <c r="X587" s="1160"/>
      <c r="Y587" s="1160"/>
      <c r="Z587" s="1160"/>
      <c r="AA587" s="1160"/>
      <c r="AB587" s="1160"/>
      <c r="AC587" s="1160"/>
      <c r="AD587" s="1160"/>
      <c r="AE587" s="1160"/>
      <c r="AF587" s="1160"/>
      <c r="AG587" s="1160"/>
      <c r="AH587" s="1160"/>
      <c r="AI587" s="1160"/>
      <c r="AJ587" s="1160"/>
      <c r="AK587" s="1160"/>
      <c r="AL587" s="1160"/>
    </row>
    <row r="588" ht="15.0" customHeight="1">
      <c r="A588" s="1209"/>
      <c r="B588" s="1209"/>
      <c r="C588" s="1210"/>
      <c r="D588" s="1160"/>
      <c r="E588" s="1160"/>
      <c r="F588" s="1160"/>
      <c r="G588" s="1160"/>
      <c r="H588" s="1160"/>
      <c r="I588" s="1160"/>
      <c r="J588" s="1160"/>
      <c r="K588" s="1160"/>
      <c r="L588" s="1160"/>
      <c r="M588" s="1160"/>
      <c r="N588" s="1160"/>
      <c r="O588" s="1160"/>
      <c r="P588" s="1160"/>
      <c r="Q588" s="1160"/>
      <c r="R588" s="1160"/>
      <c r="S588" s="1160"/>
      <c r="T588" s="1160"/>
      <c r="U588" s="1160"/>
      <c r="V588" s="1160"/>
      <c r="W588" s="1160"/>
      <c r="X588" s="1160"/>
      <c r="Y588" s="1160"/>
      <c r="Z588" s="1160"/>
      <c r="AA588" s="1160"/>
      <c r="AB588" s="1160"/>
      <c r="AC588" s="1160"/>
      <c r="AD588" s="1160"/>
      <c r="AE588" s="1160"/>
      <c r="AF588" s="1160"/>
      <c r="AG588" s="1160"/>
      <c r="AH588" s="1160"/>
      <c r="AI588" s="1160"/>
      <c r="AJ588" s="1160"/>
      <c r="AK588" s="1160"/>
      <c r="AL588" s="1160"/>
    </row>
    <row r="589" ht="15.0" customHeight="1">
      <c r="A589" s="1209"/>
      <c r="B589" s="1209"/>
      <c r="C589" s="1210"/>
      <c r="D589" s="1160"/>
      <c r="E589" s="1160"/>
      <c r="F589" s="1160"/>
      <c r="G589" s="1160"/>
      <c r="H589" s="1160"/>
      <c r="I589" s="1160"/>
      <c r="J589" s="1160"/>
      <c r="K589" s="1160"/>
      <c r="L589" s="1160"/>
      <c r="M589" s="1160"/>
      <c r="N589" s="1160"/>
      <c r="O589" s="1160"/>
      <c r="P589" s="1160"/>
      <c r="Q589" s="1160"/>
      <c r="R589" s="1160"/>
      <c r="S589" s="1160"/>
      <c r="T589" s="1160"/>
      <c r="U589" s="1160"/>
      <c r="V589" s="1160"/>
      <c r="W589" s="1160"/>
      <c r="X589" s="1160"/>
      <c r="Y589" s="1160"/>
      <c r="Z589" s="1160"/>
      <c r="AA589" s="1160"/>
      <c r="AB589" s="1160"/>
      <c r="AC589" s="1160"/>
      <c r="AD589" s="1160"/>
      <c r="AE589" s="1160"/>
      <c r="AF589" s="1160"/>
      <c r="AG589" s="1160"/>
      <c r="AH589" s="1160"/>
      <c r="AI589" s="1160"/>
      <c r="AJ589" s="1160"/>
      <c r="AK589" s="1160"/>
      <c r="AL589" s="1160"/>
    </row>
    <row r="590" ht="15.0" customHeight="1">
      <c r="A590" s="1209"/>
      <c r="B590" s="1209"/>
      <c r="C590" s="1210"/>
      <c r="D590" s="1160"/>
      <c r="E590" s="1160"/>
      <c r="F590" s="1160"/>
      <c r="G590" s="1160"/>
      <c r="H590" s="1160"/>
      <c r="I590" s="1160"/>
      <c r="J590" s="1160"/>
      <c r="K590" s="1160"/>
      <c r="L590" s="1160"/>
      <c r="M590" s="1160"/>
      <c r="N590" s="1160"/>
      <c r="O590" s="1160"/>
      <c r="P590" s="1160"/>
      <c r="Q590" s="1160"/>
      <c r="R590" s="1160"/>
      <c r="S590" s="1160"/>
      <c r="T590" s="1160"/>
      <c r="U590" s="1160"/>
      <c r="V590" s="1160"/>
      <c r="W590" s="1160"/>
      <c r="X590" s="1160"/>
      <c r="Y590" s="1160"/>
      <c r="Z590" s="1160"/>
      <c r="AA590" s="1160"/>
      <c r="AB590" s="1160"/>
      <c r="AC590" s="1160"/>
      <c r="AD590" s="1160"/>
      <c r="AE590" s="1160"/>
      <c r="AF590" s="1160"/>
      <c r="AG590" s="1160"/>
      <c r="AH590" s="1160"/>
      <c r="AI590" s="1160"/>
      <c r="AJ590" s="1160"/>
      <c r="AK590" s="1160"/>
      <c r="AL590" s="1160"/>
    </row>
    <row r="591" ht="15.0" customHeight="1">
      <c r="A591" s="1209"/>
      <c r="B591" s="1209"/>
      <c r="C591" s="1210"/>
      <c r="D591" s="1160"/>
      <c r="E591" s="1160"/>
      <c r="F591" s="1160"/>
      <c r="G591" s="1160"/>
      <c r="H591" s="1160"/>
      <c r="I591" s="1160"/>
      <c r="J591" s="1160"/>
      <c r="K591" s="1160"/>
      <c r="L591" s="1160"/>
      <c r="M591" s="1160"/>
      <c r="N591" s="1160"/>
      <c r="O591" s="1160"/>
      <c r="P591" s="1160"/>
      <c r="Q591" s="1160"/>
      <c r="R591" s="1160"/>
      <c r="S591" s="1160"/>
      <c r="T591" s="1160"/>
      <c r="U591" s="1160"/>
      <c r="V591" s="1160"/>
      <c r="W591" s="1160"/>
      <c r="X591" s="1160"/>
      <c r="Y591" s="1160"/>
      <c r="Z591" s="1160"/>
      <c r="AA591" s="1160"/>
      <c r="AB591" s="1160"/>
      <c r="AC591" s="1160"/>
      <c r="AD591" s="1160"/>
      <c r="AE591" s="1160"/>
      <c r="AF591" s="1160"/>
      <c r="AG591" s="1160"/>
      <c r="AH591" s="1160"/>
      <c r="AI591" s="1160"/>
      <c r="AJ591" s="1160"/>
      <c r="AK591" s="1160"/>
      <c r="AL591" s="1160"/>
    </row>
    <row r="592" ht="15.0" customHeight="1">
      <c r="A592" s="1209"/>
      <c r="B592" s="1209"/>
      <c r="C592" s="1210"/>
      <c r="D592" s="1160"/>
      <c r="E592" s="1160"/>
      <c r="F592" s="1160"/>
      <c r="G592" s="1160"/>
      <c r="H592" s="1160"/>
      <c r="I592" s="1160"/>
      <c r="J592" s="1160"/>
      <c r="K592" s="1160"/>
      <c r="L592" s="1160"/>
      <c r="M592" s="1160"/>
      <c r="N592" s="1160"/>
      <c r="O592" s="1160"/>
      <c r="P592" s="1160"/>
      <c r="Q592" s="1160"/>
      <c r="R592" s="1160"/>
      <c r="S592" s="1160"/>
      <c r="T592" s="1160"/>
      <c r="U592" s="1160"/>
      <c r="V592" s="1160"/>
      <c r="W592" s="1160"/>
      <c r="X592" s="1160"/>
      <c r="Y592" s="1160"/>
      <c r="Z592" s="1160"/>
      <c r="AA592" s="1160"/>
      <c r="AB592" s="1160"/>
      <c r="AC592" s="1160"/>
      <c r="AD592" s="1160"/>
      <c r="AE592" s="1160"/>
      <c r="AF592" s="1160"/>
      <c r="AG592" s="1160"/>
      <c r="AH592" s="1160"/>
      <c r="AI592" s="1160"/>
      <c r="AJ592" s="1160"/>
      <c r="AK592" s="1160"/>
      <c r="AL592" s="1160"/>
    </row>
    <row r="593" ht="15.0" customHeight="1">
      <c r="A593" s="1209"/>
      <c r="B593" s="1209"/>
      <c r="C593" s="1210"/>
      <c r="D593" s="1160"/>
      <c r="E593" s="1160"/>
      <c r="F593" s="1160"/>
      <c r="G593" s="1160"/>
      <c r="H593" s="1160"/>
      <c r="I593" s="1160"/>
      <c r="J593" s="1160"/>
      <c r="K593" s="1160"/>
      <c r="L593" s="1160"/>
      <c r="M593" s="1160"/>
      <c r="N593" s="1160"/>
      <c r="O593" s="1160"/>
      <c r="P593" s="1160"/>
      <c r="Q593" s="1160"/>
      <c r="R593" s="1160"/>
      <c r="S593" s="1160"/>
      <c r="T593" s="1160"/>
      <c r="U593" s="1160"/>
      <c r="V593" s="1160"/>
      <c r="W593" s="1160"/>
      <c r="X593" s="1160"/>
      <c r="Y593" s="1160"/>
      <c r="Z593" s="1160"/>
      <c r="AA593" s="1160"/>
      <c r="AB593" s="1160"/>
      <c r="AC593" s="1160"/>
      <c r="AD593" s="1160"/>
      <c r="AE593" s="1160"/>
      <c r="AF593" s="1160"/>
      <c r="AG593" s="1160"/>
      <c r="AH593" s="1160"/>
      <c r="AI593" s="1160"/>
      <c r="AJ593" s="1160"/>
      <c r="AK593" s="1160"/>
      <c r="AL593" s="1160"/>
    </row>
    <row r="594" ht="15.0" customHeight="1">
      <c r="A594" s="1209"/>
      <c r="B594" s="1209"/>
      <c r="C594" s="1210"/>
      <c r="D594" s="1160"/>
      <c r="E594" s="1160"/>
      <c r="F594" s="1160"/>
      <c r="G594" s="1160"/>
      <c r="H594" s="1160"/>
      <c r="I594" s="1160"/>
      <c r="J594" s="1160"/>
      <c r="K594" s="1160"/>
      <c r="L594" s="1160"/>
      <c r="M594" s="1160"/>
      <c r="N594" s="1160"/>
      <c r="O594" s="1160"/>
      <c r="P594" s="1160"/>
      <c r="Q594" s="1160"/>
      <c r="R594" s="1160"/>
      <c r="S594" s="1160"/>
      <c r="T594" s="1160"/>
      <c r="U594" s="1160"/>
      <c r="V594" s="1160"/>
      <c r="W594" s="1160"/>
      <c r="X594" s="1160"/>
      <c r="Y594" s="1160"/>
      <c r="Z594" s="1160"/>
      <c r="AA594" s="1160"/>
      <c r="AB594" s="1160"/>
      <c r="AC594" s="1160"/>
      <c r="AD594" s="1160"/>
      <c r="AE594" s="1160"/>
      <c r="AF594" s="1160"/>
      <c r="AG594" s="1160"/>
      <c r="AH594" s="1160"/>
      <c r="AI594" s="1160"/>
      <c r="AJ594" s="1160"/>
      <c r="AK594" s="1160"/>
      <c r="AL594" s="1160"/>
    </row>
    <row r="595" ht="15.0" customHeight="1">
      <c r="A595" s="1209"/>
      <c r="B595" s="1209"/>
      <c r="C595" s="1210"/>
      <c r="D595" s="1160"/>
      <c r="E595" s="1160"/>
      <c r="F595" s="1160"/>
      <c r="G595" s="1160"/>
      <c r="H595" s="1160"/>
      <c r="I595" s="1160"/>
      <c r="J595" s="1160"/>
      <c r="K595" s="1160"/>
      <c r="L595" s="1160"/>
      <c r="M595" s="1160"/>
      <c r="N595" s="1160"/>
      <c r="O595" s="1160"/>
      <c r="P595" s="1160"/>
      <c r="Q595" s="1160"/>
      <c r="R595" s="1160"/>
      <c r="S595" s="1160"/>
      <c r="T595" s="1160"/>
      <c r="U595" s="1160"/>
      <c r="V595" s="1160"/>
      <c r="W595" s="1160"/>
      <c r="X595" s="1160"/>
      <c r="Y595" s="1160"/>
      <c r="Z595" s="1160"/>
      <c r="AA595" s="1160"/>
      <c r="AB595" s="1160"/>
      <c r="AC595" s="1160"/>
      <c r="AD595" s="1160"/>
      <c r="AE595" s="1160"/>
      <c r="AF595" s="1160"/>
      <c r="AG595" s="1160"/>
      <c r="AH595" s="1160"/>
      <c r="AI595" s="1160"/>
      <c r="AJ595" s="1160"/>
      <c r="AK595" s="1160"/>
      <c r="AL595" s="1160"/>
    </row>
    <row r="596" ht="15.0" customHeight="1">
      <c r="A596" s="1209"/>
      <c r="B596" s="1209"/>
      <c r="C596" s="1210"/>
      <c r="D596" s="1160"/>
      <c r="E596" s="1160"/>
      <c r="F596" s="1160"/>
      <c r="G596" s="1160"/>
      <c r="H596" s="1160"/>
      <c r="I596" s="1160"/>
      <c r="J596" s="1160"/>
      <c r="K596" s="1160"/>
      <c r="L596" s="1160"/>
      <c r="M596" s="1160"/>
      <c r="N596" s="1160"/>
      <c r="O596" s="1160"/>
      <c r="P596" s="1160"/>
      <c r="Q596" s="1160"/>
      <c r="R596" s="1160"/>
      <c r="S596" s="1160"/>
      <c r="T596" s="1160"/>
      <c r="U596" s="1160"/>
      <c r="V596" s="1160"/>
      <c r="W596" s="1160"/>
      <c r="X596" s="1160"/>
      <c r="Y596" s="1160"/>
      <c r="Z596" s="1160"/>
      <c r="AA596" s="1160"/>
      <c r="AB596" s="1160"/>
      <c r="AC596" s="1160"/>
      <c r="AD596" s="1160"/>
      <c r="AE596" s="1160"/>
      <c r="AF596" s="1160"/>
      <c r="AG596" s="1160"/>
      <c r="AH596" s="1160"/>
      <c r="AI596" s="1160"/>
      <c r="AJ596" s="1160"/>
      <c r="AK596" s="1160"/>
      <c r="AL596" s="1160"/>
    </row>
    <row r="597" ht="15.0" customHeight="1">
      <c r="A597" s="1209"/>
      <c r="B597" s="1209"/>
      <c r="C597" s="1210"/>
      <c r="D597" s="1160"/>
      <c r="E597" s="1160"/>
      <c r="F597" s="1160"/>
      <c r="G597" s="1160"/>
      <c r="H597" s="1160"/>
      <c r="I597" s="1160"/>
      <c r="J597" s="1160"/>
      <c r="K597" s="1160"/>
      <c r="L597" s="1160"/>
      <c r="M597" s="1160"/>
      <c r="N597" s="1160"/>
      <c r="O597" s="1160"/>
      <c r="P597" s="1160"/>
      <c r="Q597" s="1160"/>
      <c r="R597" s="1160"/>
      <c r="S597" s="1160"/>
      <c r="T597" s="1160"/>
      <c r="U597" s="1160"/>
      <c r="V597" s="1160"/>
      <c r="W597" s="1160"/>
      <c r="X597" s="1160"/>
      <c r="Y597" s="1160"/>
      <c r="Z597" s="1160"/>
      <c r="AA597" s="1160"/>
      <c r="AB597" s="1160"/>
      <c r="AC597" s="1160"/>
      <c r="AD597" s="1160"/>
      <c r="AE597" s="1160"/>
      <c r="AF597" s="1160"/>
      <c r="AG597" s="1160"/>
      <c r="AH597" s="1160"/>
      <c r="AI597" s="1160"/>
      <c r="AJ597" s="1160"/>
      <c r="AK597" s="1160"/>
      <c r="AL597" s="1160"/>
    </row>
    <row r="598" ht="15.0" customHeight="1">
      <c r="A598" s="1209"/>
      <c r="B598" s="1209"/>
      <c r="C598" s="1210"/>
      <c r="D598" s="1160"/>
      <c r="E598" s="1160"/>
      <c r="F598" s="1160"/>
      <c r="G598" s="1160"/>
      <c r="H598" s="1160"/>
      <c r="I598" s="1160"/>
      <c r="J598" s="1160"/>
      <c r="K598" s="1160"/>
      <c r="L598" s="1160"/>
      <c r="M598" s="1160"/>
      <c r="N598" s="1160"/>
      <c r="O598" s="1160"/>
      <c r="P598" s="1160"/>
      <c r="Q598" s="1160"/>
      <c r="R598" s="1160"/>
      <c r="S598" s="1160"/>
      <c r="T598" s="1160"/>
      <c r="U598" s="1160"/>
      <c r="V598" s="1160"/>
      <c r="W598" s="1160"/>
      <c r="X598" s="1160"/>
      <c r="Y598" s="1160"/>
      <c r="Z598" s="1160"/>
      <c r="AA598" s="1160"/>
      <c r="AB598" s="1160"/>
      <c r="AC598" s="1160"/>
      <c r="AD598" s="1160"/>
      <c r="AE598" s="1160"/>
      <c r="AF598" s="1160"/>
      <c r="AG598" s="1160"/>
      <c r="AH598" s="1160"/>
      <c r="AI598" s="1160"/>
      <c r="AJ598" s="1160"/>
      <c r="AK598" s="1160"/>
      <c r="AL598" s="1160"/>
    </row>
    <row r="599" ht="15.0" customHeight="1">
      <c r="A599" s="1209"/>
      <c r="B599" s="1209"/>
      <c r="C599" s="1210"/>
      <c r="D599" s="1160"/>
      <c r="E599" s="1160"/>
      <c r="F599" s="1160"/>
      <c r="G599" s="1160"/>
      <c r="H599" s="1160"/>
      <c r="I599" s="1160"/>
      <c r="J599" s="1160"/>
      <c r="K599" s="1160"/>
      <c r="L599" s="1160"/>
      <c r="M599" s="1160"/>
      <c r="N599" s="1160"/>
      <c r="O599" s="1160"/>
      <c r="P599" s="1160"/>
      <c r="Q599" s="1160"/>
      <c r="R599" s="1160"/>
      <c r="S599" s="1160"/>
      <c r="T599" s="1160"/>
      <c r="U599" s="1160"/>
      <c r="V599" s="1160"/>
      <c r="W599" s="1160"/>
      <c r="X599" s="1160"/>
      <c r="Y599" s="1160"/>
      <c r="Z599" s="1160"/>
      <c r="AA599" s="1160"/>
      <c r="AB599" s="1160"/>
      <c r="AC599" s="1160"/>
      <c r="AD599" s="1160"/>
      <c r="AE599" s="1160"/>
      <c r="AF599" s="1160"/>
      <c r="AG599" s="1160"/>
      <c r="AH599" s="1160"/>
      <c r="AI599" s="1160"/>
      <c r="AJ599" s="1160"/>
      <c r="AK599" s="1160"/>
      <c r="AL599" s="1160"/>
    </row>
    <row r="600" ht="15.0" customHeight="1">
      <c r="A600" s="1209"/>
      <c r="B600" s="1209"/>
      <c r="C600" s="1210"/>
      <c r="D600" s="1160"/>
      <c r="E600" s="1160"/>
      <c r="F600" s="1160"/>
      <c r="G600" s="1160"/>
      <c r="H600" s="1160"/>
      <c r="I600" s="1160"/>
      <c r="J600" s="1160"/>
      <c r="K600" s="1160"/>
      <c r="L600" s="1160"/>
      <c r="M600" s="1160"/>
      <c r="N600" s="1160"/>
      <c r="O600" s="1160"/>
      <c r="P600" s="1160"/>
      <c r="Q600" s="1160"/>
      <c r="R600" s="1160"/>
      <c r="S600" s="1160"/>
      <c r="T600" s="1160"/>
      <c r="U600" s="1160"/>
      <c r="V600" s="1160"/>
      <c r="W600" s="1160"/>
      <c r="X600" s="1160"/>
      <c r="Y600" s="1160"/>
      <c r="Z600" s="1160"/>
      <c r="AA600" s="1160"/>
      <c r="AB600" s="1160"/>
      <c r="AC600" s="1160"/>
      <c r="AD600" s="1160"/>
      <c r="AE600" s="1160"/>
      <c r="AF600" s="1160"/>
      <c r="AG600" s="1160"/>
      <c r="AH600" s="1160"/>
      <c r="AI600" s="1160"/>
      <c r="AJ600" s="1160"/>
      <c r="AK600" s="1160"/>
      <c r="AL600" s="1160"/>
    </row>
    <row r="601" ht="15.0" customHeight="1">
      <c r="A601" s="1209"/>
      <c r="B601" s="1209"/>
      <c r="C601" s="1210"/>
      <c r="D601" s="1160"/>
      <c r="E601" s="1160"/>
      <c r="F601" s="1160"/>
      <c r="G601" s="1160"/>
      <c r="H601" s="1160"/>
      <c r="I601" s="1160"/>
      <c r="J601" s="1160"/>
      <c r="K601" s="1160"/>
      <c r="L601" s="1160"/>
      <c r="M601" s="1160"/>
      <c r="N601" s="1160"/>
      <c r="O601" s="1160"/>
      <c r="P601" s="1160"/>
      <c r="Q601" s="1160"/>
      <c r="R601" s="1160"/>
      <c r="S601" s="1160"/>
      <c r="T601" s="1160"/>
      <c r="U601" s="1160"/>
      <c r="V601" s="1160"/>
      <c r="W601" s="1160"/>
      <c r="X601" s="1160"/>
      <c r="Y601" s="1160"/>
      <c r="Z601" s="1160"/>
      <c r="AA601" s="1160"/>
      <c r="AB601" s="1160"/>
      <c r="AC601" s="1160"/>
      <c r="AD601" s="1160"/>
      <c r="AE601" s="1160"/>
      <c r="AF601" s="1160"/>
      <c r="AG601" s="1160"/>
      <c r="AH601" s="1160"/>
      <c r="AI601" s="1160"/>
      <c r="AJ601" s="1160"/>
      <c r="AK601" s="1160"/>
      <c r="AL601" s="1160"/>
    </row>
    <row r="602" ht="15.0" customHeight="1">
      <c r="A602" s="1209"/>
      <c r="B602" s="1209"/>
      <c r="C602" s="1210"/>
      <c r="D602" s="1160"/>
      <c r="E602" s="1160"/>
      <c r="F602" s="1160"/>
      <c r="G602" s="1160"/>
      <c r="H602" s="1160"/>
      <c r="I602" s="1160"/>
      <c r="J602" s="1160"/>
      <c r="K602" s="1160"/>
      <c r="L602" s="1160"/>
      <c r="M602" s="1160"/>
      <c r="N602" s="1160"/>
      <c r="O602" s="1160"/>
      <c r="P602" s="1160"/>
      <c r="Q602" s="1160"/>
      <c r="R602" s="1160"/>
      <c r="S602" s="1160"/>
      <c r="T602" s="1160"/>
      <c r="U602" s="1160"/>
      <c r="V602" s="1160"/>
      <c r="W602" s="1160"/>
      <c r="X602" s="1160"/>
      <c r="Y602" s="1160"/>
      <c r="Z602" s="1160"/>
      <c r="AA602" s="1160"/>
      <c r="AB602" s="1160"/>
      <c r="AC602" s="1160"/>
      <c r="AD602" s="1160"/>
      <c r="AE602" s="1160"/>
      <c r="AF602" s="1160"/>
      <c r="AG602" s="1160"/>
      <c r="AH602" s="1160"/>
      <c r="AI602" s="1160"/>
      <c r="AJ602" s="1160"/>
      <c r="AK602" s="1160"/>
      <c r="AL602" s="1160"/>
    </row>
    <row r="603" ht="15.0" customHeight="1">
      <c r="A603" s="1209"/>
      <c r="B603" s="1209"/>
      <c r="C603" s="1210"/>
      <c r="D603" s="1160"/>
      <c r="E603" s="1160"/>
      <c r="F603" s="1160"/>
      <c r="G603" s="1160"/>
      <c r="H603" s="1160"/>
      <c r="I603" s="1160"/>
      <c r="J603" s="1160"/>
      <c r="K603" s="1160"/>
      <c r="L603" s="1160"/>
      <c r="M603" s="1160"/>
      <c r="N603" s="1160"/>
      <c r="O603" s="1160"/>
      <c r="P603" s="1160"/>
      <c r="Q603" s="1160"/>
      <c r="R603" s="1160"/>
      <c r="S603" s="1160"/>
      <c r="T603" s="1160"/>
      <c r="U603" s="1160"/>
      <c r="V603" s="1160"/>
      <c r="W603" s="1160"/>
      <c r="X603" s="1160"/>
      <c r="Y603" s="1160"/>
      <c r="Z603" s="1160"/>
      <c r="AA603" s="1160"/>
      <c r="AB603" s="1160"/>
      <c r="AC603" s="1160"/>
      <c r="AD603" s="1160"/>
      <c r="AE603" s="1160"/>
      <c r="AF603" s="1160"/>
      <c r="AG603" s="1160"/>
      <c r="AH603" s="1160"/>
      <c r="AI603" s="1160"/>
      <c r="AJ603" s="1160"/>
      <c r="AK603" s="1160"/>
      <c r="AL603" s="1160"/>
    </row>
    <row r="604" ht="15.0" customHeight="1">
      <c r="A604" s="1209"/>
      <c r="B604" s="1209"/>
      <c r="C604" s="1210"/>
      <c r="D604" s="1160"/>
      <c r="E604" s="1160"/>
      <c r="F604" s="1160"/>
      <c r="G604" s="1160"/>
      <c r="H604" s="1160"/>
      <c r="I604" s="1160"/>
      <c r="J604" s="1160"/>
      <c r="K604" s="1160"/>
      <c r="L604" s="1160"/>
      <c r="M604" s="1160"/>
      <c r="N604" s="1160"/>
      <c r="O604" s="1160"/>
      <c r="P604" s="1160"/>
      <c r="Q604" s="1160"/>
      <c r="R604" s="1160"/>
      <c r="S604" s="1160"/>
      <c r="T604" s="1160"/>
      <c r="U604" s="1160"/>
      <c r="V604" s="1160"/>
      <c r="W604" s="1160"/>
      <c r="X604" s="1160"/>
      <c r="Y604" s="1160"/>
      <c r="Z604" s="1160"/>
      <c r="AA604" s="1160"/>
      <c r="AB604" s="1160"/>
      <c r="AC604" s="1160"/>
      <c r="AD604" s="1160"/>
      <c r="AE604" s="1160"/>
      <c r="AF604" s="1160"/>
      <c r="AG604" s="1160"/>
      <c r="AH604" s="1160"/>
      <c r="AI604" s="1160"/>
      <c r="AJ604" s="1160"/>
      <c r="AK604" s="1160"/>
      <c r="AL604" s="1160"/>
    </row>
    <row r="605" ht="15.0" customHeight="1">
      <c r="A605" s="1209"/>
      <c r="B605" s="1209"/>
      <c r="C605" s="1210"/>
      <c r="D605" s="1160"/>
      <c r="E605" s="1160"/>
      <c r="F605" s="1160"/>
      <c r="G605" s="1160"/>
      <c r="H605" s="1160"/>
      <c r="I605" s="1160"/>
      <c r="J605" s="1160"/>
      <c r="K605" s="1160"/>
      <c r="L605" s="1160"/>
      <c r="M605" s="1160"/>
      <c r="N605" s="1160"/>
      <c r="O605" s="1160"/>
      <c r="P605" s="1160"/>
      <c r="Q605" s="1160"/>
      <c r="R605" s="1160"/>
      <c r="S605" s="1160"/>
      <c r="T605" s="1160"/>
      <c r="U605" s="1160"/>
      <c r="V605" s="1160"/>
      <c r="W605" s="1160"/>
      <c r="X605" s="1160"/>
      <c r="Y605" s="1160"/>
      <c r="Z605" s="1160"/>
      <c r="AA605" s="1160"/>
      <c r="AB605" s="1160"/>
      <c r="AC605" s="1160"/>
      <c r="AD605" s="1160"/>
      <c r="AE605" s="1160"/>
      <c r="AF605" s="1160"/>
      <c r="AG605" s="1160"/>
      <c r="AH605" s="1160"/>
      <c r="AI605" s="1160"/>
      <c r="AJ605" s="1160"/>
      <c r="AK605" s="1160"/>
      <c r="AL605" s="1160"/>
    </row>
    <row r="606" ht="15.0" customHeight="1">
      <c r="A606" s="1209"/>
      <c r="B606" s="1209"/>
      <c r="C606" s="1210"/>
      <c r="D606" s="1160"/>
      <c r="E606" s="1160"/>
      <c r="F606" s="1160"/>
      <c r="G606" s="1160"/>
      <c r="H606" s="1160"/>
      <c r="I606" s="1160"/>
      <c r="J606" s="1160"/>
      <c r="K606" s="1160"/>
      <c r="L606" s="1160"/>
      <c r="M606" s="1160"/>
      <c r="N606" s="1160"/>
      <c r="O606" s="1160"/>
      <c r="P606" s="1160"/>
      <c r="Q606" s="1160"/>
      <c r="R606" s="1160"/>
      <c r="S606" s="1160"/>
      <c r="T606" s="1160"/>
      <c r="U606" s="1160"/>
      <c r="V606" s="1160"/>
      <c r="W606" s="1160"/>
      <c r="X606" s="1160"/>
      <c r="Y606" s="1160"/>
      <c r="Z606" s="1160"/>
      <c r="AA606" s="1160"/>
      <c r="AB606" s="1160"/>
      <c r="AC606" s="1160"/>
      <c r="AD606" s="1160"/>
      <c r="AE606" s="1160"/>
      <c r="AF606" s="1160"/>
      <c r="AG606" s="1160"/>
      <c r="AH606" s="1160"/>
      <c r="AI606" s="1160"/>
      <c r="AJ606" s="1160"/>
      <c r="AK606" s="1160"/>
      <c r="AL606" s="1160"/>
    </row>
    <row r="607" ht="15.0" customHeight="1">
      <c r="A607" s="1209"/>
      <c r="B607" s="1209"/>
      <c r="C607" s="1210"/>
      <c r="D607" s="1160"/>
      <c r="E607" s="1160"/>
      <c r="F607" s="1160"/>
      <c r="G607" s="1160"/>
      <c r="H607" s="1160"/>
      <c r="I607" s="1160"/>
      <c r="J607" s="1160"/>
      <c r="K607" s="1160"/>
      <c r="L607" s="1160"/>
      <c r="M607" s="1160"/>
      <c r="N607" s="1160"/>
      <c r="O607" s="1160"/>
      <c r="P607" s="1160"/>
      <c r="Q607" s="1160"/>
      <c r="R607" s="1160"/>
      <c r="S607" s="1160"/>
      <c r="T607" s="1160"/>
      <c r="U607" s="1160"/>
      <c r="V607" s="1160"/>
      <c r="W607" s="1160"/>
      <c r="X607" s="1160"/>
      <c r="Y607" s="1160"/>
      <c r="Z607" s="1160"/>
      <c r="AA607" s="1160"/>
      <c r="AB607" s="1160"/>
      <c r="AC607" s="1160"/>
      <c r="AD607" s="1160"/>
      <c r="AE607" s="1160"/>
      <c r="AF607" s="1160"/>
      <c r="AG607" s="1160"/>
      <c r="AH607" s="1160"/>
      <c r="AI607" s="1160"/>
      <c r="AJ607" s="1160"/>
      <c r="AK607" s="1160"/>
      <c r="AL607" s="1160"/>
    </row>
    <row r="608" ht="15.0" customHeight="1">
      <c r="A608" s="1209"/>
      <c r="B608" s="1209"/>
      <c r="C608" s="1210"/>
      <c r="D608" s="1160"/>
      <c r="E608" s="1160"/>
      <c r="F608" s="1160"/>
      <c r="G608" s="1160"/>
      <c r="H608" s="1160"/>
      <c r="I608" s="1160"/>
      <c r="J608" s="1160"/>
      <c r="K608" s="1160"/>
      <c r="L608" s="1160"/>
      <c r="M608" s="1160"/>
      <c r="N608" s="1160"/>
      <c r="O608" s="1160"/>
      <c r="P608" s="1160"/>
      <c r="Q608" s="1160"/>
      <c r="R608" s="1160"/>
      <c r="S608" s="1160"/>
      <c r="T608" s="1160"/>
      <c r="U608" s="1160"/>
      <c r="V608" s="1160"/>
      <c r="W608" s="1160"/>
      <c r="X608" s="1160"/>
      <c r="Y608" s="1160"/>
      <c r="Z608" s="1160"/>
      <c r="AA608" s="1160"/>
      <c r="AB608" s="1160"/>
      <c r="AC608" s="1160"/>
      <c r="AD608" s="1160"/>
      <c r="AE608" s="1160"/>
      <c r="AF608" s="1160"/>
      <c r="AG608" s="1160"/>
      <c r="AH608" s="1160"/>
      <c r="AI608" s="1160"/>
      <c r="AJ608" s="1160"/>
      <c r="AK608" s="1160"/>
      <c r="AL608" s="1160"/>
    </row>
    <row r="609" ht="15.0" customHeight="1">
      <c r="A609" s="1209"/>
      <c r="B609" s="1209"/>
      <c r="C609" s="1210"/>
      <c r="D609" s="1160"/>
      <c r="E609" s="1160"/>
      <c r="F609" s="1160"/>
      <c r="G609" s="1160"/>
      <c r="H609" s="1160"/>
      <c r="I609" s="1160"/>
      <c r="J609" s="1160"/>
      <c r="K609" s="1160"/>
      <c r="L609" s="1160"/>
      <c r="M609" s="1160"/>
      <c r="N609" s="1160"/>
      <c r="O609" s="1160"/>
      <c r="P609" s="1160"/>
      <c r="Q609" s="1160"/>
      <c r="R609" s="1160"/>
      <c r="S609" s="1160"/>
      <c r="T609" s="1160"/>
      <c r="U609" s="1160"/>
      <c r="V609" s="1160"/>
      <c r="W609" s="1160"/>
      <c r="X609" s="1160"/>
      <c r="Y609" s="1160"/>
      <c r="Z609" s="1160"/>
      <c r="AA609" s="1160"/>
      <c r="AB609" s="1160"/>
      <c r="AC609" s="1160"/>
      <c r="AD609" s="1160"/>
      <c r="AE609" s="1160"/>
      <c r="AF609" s="1160"/>
      <c r="AG609" s="1160"/>
      <c r="AH609" s="1160"/>
      <c r="AI609" s="1160"/>
      <c r="AJ609" s="1160"/>
      <c r="AK609" s="1160"/>
      <c r="AL609" s="1160"/>
    </row>
    <row r="610" ht="15.0" customHeight="1">
      <c r="A610" s="1209"/>
      <c r="B610" s="1209"/>
      <c r="C610" s="1210"/>
      <c r="D610" s="1160"/>
      <c r="E610" s="1160"/>
      <c r="F610" s="1160"/>
      <c r="G610" s="1160"/>
      <c r="H610" s="1160"/>
      <c r="I610" s="1160"/>
      <c r="J610" s="1160"/>
      <c r="K610" s="1160"/>
      <c r="L610" s="1160"/>
      <c r="M610" s="1160"/>
      <c r="N610" s="1160"/>
      <c r="O610" s="1160"/>
      <c r="P610" s="1160"/>
      <c r="Q610" s="1160"/>
      <c r="R610" s="1160"/>
      <c r="S610" s="1160"/>
      <c r="T610" s="1160"/>
      <c r="U610" s="1160"/>
      <c r="V610" s="1160"/>
      <c r="W610" s="1160"/>
      <c r="X610" s="1160"/>
      <c r="Y610" s="1160"/>
      <c r="Z610" s="1160"/>
      <c r="AA610" s="1160"/>
      <c r="AB610" s="1160"/>
      <c r="AC610" s="1160"/>
      <c r="AD610" s="1160"/>
      <c r="AE610" s="1160"/>
      <c r="AF610" s="1160"/>
      <c r="AG610" s="1160"/>
      <c r="AH610" s="1160"/>
      <c r="AI610" s="1160"/>
      <c r="AJ610" s="1160"/>
      <c r="AK610" s="1160"/>
      <c r="AL610" s="1160"/>
    </row>
    <row r="611" ht="15.0" customHeight="1">
      <c r="A611" s="1209"/>
      <c r="B611" s="1209"/>
      <c r="C611" s="1210"/>
      <c r="D611" s="1160"/>
      <c r="E611" s="1160"/>
      <c r="F611" s="1160"/>
      <c r="G611" s="1160"/>
      <c r="H611" s="1160"/>
      <c r="I611" s="1160"/>
      <c r="J611" s="1160"/>
      <c r="K611" s="1160"/>
      <c r="L611" s="1160"/>
      <c r="M611" s="1160"/>
      <c r="N611" s="1160"/>
      <c r="O611" s="1160"/>
      <c r="P611" s="1160"/>
      <c r="Q611" s="1160"/>
      <c r="R611" s="1160"/>
      <c r="S611" s="1160"/>
      <c r="T611" s="1160"/>
      <c r="U611" s="1160"/>
      <c r="V611" s="1160"/>
      <c r="W611" s="1160"/>
      <c r="X611" s="1160"/>
      <c r="Y611" s="1160"/>
      <c r="Z611" s="1160"/>
      <c r="AA611" s="1160"/>
      <c r="AB611" s="1160"/>
      <c r="AC611" s="1160"/>
      <c r="AD611" s="1160"/>
      <c r="AE611" s="1160"/>
      <c r="AF611" s="1160"/>
      <c r="AG611" s="1160"/>
      <c r="AH611" s="1160"/>
      <c r="AI611" s="1160"/>
      <c r="AJ611" s="1160"/>
      <c r="AK611" s="1160"/>
      <c r="AL611" s="1160"/>
    </row>
    <row r="612" ht="15.0" customHeight="1">
      <c r="A612" s="1209"/>
      <c r="B612" s="1209"/>
      <c r="C612" s="1210"/>
      <c r="D612" s="1160"/>
      <c r="E612" s="1160"/>
      <c r="F612" s="1160"/>
      <c r="G612" s="1160"/>
      <c r="H612" s="1160"/>
      <c r="I612" s="1160"/>
      <c r="J612" s="1160"/>
      <c r="K612" s="1160"/>
      <c r="L612" s="1160"/>
      <c r="M612" s="1160"/>
      <c r="N612" s="1160"/>
      <c r="O612" s="1160"/>
      <c r="P612" s="1160"/>
      <c r="Q612" s="1160"/>
      <c r="R612" s="1160"/>
      <c r="S612" s="1160"/>
      <c r="T612" s="1160"/>
      <c r="U612" s="1160"/>
      <c r="V612" s="1160"/>
      <c r="W612" s="1160"/>
      <c r="X612" s="1160"/>
      <c r="Y612" s="1160"/>
      <c r="Z612" s="1160"/>
      <c r="AA612" s="1160"/>
      <c r="AB612" s="1160"/>
      <c r="AC612" s="1160"/>
      <c r="AD612" s="1160"/>
      <c r="AE612" s="1160"/>
      <c r="AF612" s="1160"/>
      <c r="AG612" s="1160"/>
      <c r="AH612" s="1160"/>
      <c r="AI612" s="1160"/>
      <c r="AJ612" s="1160"/>
      <c r="AK612" s="1160"/>
      <c r="AL612" s="1160"/>
    </row>
    <row r="613" ht="15.0" customHeight="1">
      <c r="A613" s="1209"/>
      <c r="B613" s="1209"/>
      <c r="C613" s="1210"/>
      <c r="D613" s="1160"/>
      <c r="E613" s="1160"/>
      <c r="F613" s="1160"/>
      <c r="G613" s="1160"/>
      <c r="H613" s="1160"/>
      <c r="I613" s="1160"/>
      <c r="J613" s="1160"/>
      <c r="K613" s="1160"/>
      <c r="L613" s="1160"/>
      <c r="M613" s="1160"/>
      <c r="N613" s="1160"/>
      <c r="O613" s="1160"/>
      <c r="P613" s="1160"/>
      <c r="Q613" s="1160"/>
      <c r="R613" s="1160"/>
      <c r="S613" s="1160"/>
      <c r="T613" s="1160"/>
      <c r="U613" s="1160"/>
      <c r="V613" s="1160"/>
      <c r="W613" s="1160"/>
      <c r="X613" s="1160"/>
      <c r="Y613" s="1160"/>
      <c r="Z613" s="1160"/>
      <c r="AA613" s="1160"/>
      <c r="AB613" s="1160"/>
      <c r="AC613" s="1160"/>
      <c r="AD613" s="1160"/>
      <c r="AE613" s="1160"/>
      <c r="AF613" s="1160"/>
      <c r="AG613" s="1160"/>
      <c r="AH613" s="1160"/>
      <c r="AI613" s="1160"/>
      <c r="AJ613" s="1160"/>
      <c r="AK613" s="1160"/>
      <c r="AL613" s="1160"/>
    </row>
    <row r="614" ht="15.0" customHeight="1">
      <c r="A614" s="1209"/>
      <c r="B614" s="1209"/>
      <c r="C614" s="1210"/>
      <c r="D614" s="1160"/>
      <c r="E614" s="1160"/>
      <c r="F614" s="1160"/>
      <c r="G614" s="1160"/>
      <c r="H614" s="1160"/>
      <c r="I614" s="1160"/>
      <c r="J614" s="1160"/>
      <c r="K614" s="1160"/>
      <c r="L614" s="1160"/>
      <c r="M614" s="1160"/>
      <c r="N614" s="1160"/>
      <c r="O614" s="1160"/>
      <c r="P614" s="1160"/>
      <c r="Q614" s="1160"/>
      <c r="R614" s="1160"/>
      <c r="S614" s="1160"/>
      <c r="T614" s="1160"/>
      <c r="U614" s="1160"/>
      <c r="V614" s="1160"/>
      <c r="W614" s="1160"/>
      <c r="X614" s="1160"/>
      <c r="Y614" s="1160"/>
      <c r="Z614" s="1160"/>
      <c r="AA614" s="1160"/>
      <c r="AB614" s="1160"/>
      <c r="AC614" s="1160"/>
      <c r="AD614" s="1160"/>
      <c r="AE614" s="1160"/>
      <c r="AF614" s="1160"/>
      <c r="AG614" s="1160"/>
      <c r="AH614" s="1160"/>
      <c r="AI614" s="1160"/>
      <c r="AJ614" s="1160"/>
      <c r="AK614" s="1160"/>
      <c r="AL614" s="1160"/>
    </row>
    <row r="615" ht="15.0" customHeight="1">
      <c r="A615" s="1209"/>
      <c r="B615" s="1209"/>
      <c r="C615" s="1210"/>
      <c r="D615" s="1160"/>
      <c r="E615" s="1160"/>
      <c r="F615" s="1160"/>
      <c r="G615" s="1160"/>
      <c r="H615" s="1160"/>
      <c r="I615" s="1160"/>
      <c r="J615" s="1160"/>
      <c r="K615" s="1160"/>
      <c r="L615" s="1160"/>
      <c r="M615" s="1160"/>
      <c r="N615" s="1160"/>
      <c r="O615" s="1160"/>
      <c r="P615" s="1160"/>
      <c r="Q615" s="1160"/>
      <c r="R615" s="1160"/>
      <c r="S615" s="1160"/>
      <c r="T615" s="1160"/>
      <c r="U615" s="1160"/>
      <c r="V615" s="1160"/>
      <c r="W615" s="1160"/>
      <c r="X615" s="1160"/>
      <c r="Y615" s="1160"/>
      <c r="Z615" s="1160"/>
      <c r="AA615" s="1160"/>
      <c r="AB615" s="1160"/>
      <c r="AC615" s="1160"/>
      <c r="AD615" s="1160"/>
      <c r="AE615" s="1160"/>
      <c r="AF615" s="1160"/>
      <c r="AG615" s="1160"/>
      <c r="AH615" s="1160"/>
      <c r="AI615" s="1160"/>
      <c r="AJ615" s="1160"/>
      <c r="AK615" s="1160"/>
      <c r="AL615" s="1160"/>
    </row>
    <row r="616" ht="15.0" customHeight="1">
      <c r="A616" s="1209"/>
      <c r="B616" s="1209"/>
      <c r="C616" s="1210"/>
      <c r="D616" s="1160"/>
      <c r="E616" s="1160"/>
      <c r="F616" s="1160"/>
      <c r="G616" s="1160"/>
      <c r="H616" s="1160"/>
      <c r="I616" s="1160"/>
      <c r="J616" s="1160"/>
      <c r="K616" s="1160"/>
      <c r="L616" s="1160"/>
      <c r="M616" s="1160"/>
      <c r="N616" s="1160"/>
      <c r="O616" s="1160"/>
      <c r="P616" s="1160"/>
      <c r="Q616" s="1160"/>
      <c r="R616" s="1160"/>
      <c r="S616" s="1160"/>
      <c r="T616" s="1160"/>
      <c r="U616" s="1160"/>
      <c r="V616" s="1160"/>
      <c r="W616" s="1160"/>
      <c r="X616" s="1160"/>
      <c r="Y616" s="1160"/>
      <c r="Z616" s="1160"/>
      <c r="AA616" s="1160"/>
      <c r="AB616" s="1160"/>
      <c r="AC616" s="1160"/>
      <c r="AD616" s="1160"/>
      <c r="AE616" s="1160"/>
      <c r="AF616" s="1160"/>
      <c r="AG616" s="1160"/>
      <c r="AH616" s="1160"/>
      <c r="AI616" s="1160"/>
      <c r="AJ616" s="1160"/>
      <c r="AK616" s="1160"/>
      <c r="AL616" s="1160"/>
    </row>
    <row r="617" ht="15.0" customHeight="1">
      <c r="A617" s="1209"/>
      <c r="B617" s="1209"/>
      <c r="C617" s="1210"/>
      <c r="D617" s="1160"/>
      <c r="E617" s="1160"/>
      <c r="F617" s="1160"/>
      <c r="G617" s="1160"/>
      <c r="H617" s="1160"/>
      <c r="I617" s="1160"/>
      <c r="J617" s="1160"/>
      <c r="K617" s="1160"/>
      <c r="L617" s="1160"/>
      <c r="M617" s="1160"/>
      <c r="N617" s="1160"/>
      <c r="O617" s="1160"/>
      <c r="P617" s="1160"/>
      <c r="Q617" s="1160"/>
      <c r="R617" s="1160"/>
      <c r="S617" s="1160"/>
      <c r="T617" s="1160"/>
      <c r="U617" s="1160"/>
      <c r="V617" s="1160"/>
      <c r="W617" s="1160"/>
      <c r="X617" s="1160"/>
      <c r="Y617" s="1160"/>
      <c r="Z617" s="1160"/>
      <c r="AA617" s="1160"/>
      <c r="AB617" s="1160"/>
      <c r="AC617" s="1160"/>
      <c r="AD617" s="1160"/>
      <c r="AE617" s="1160"/>
      <c r="AF617" s="1160"/>
      <c r="AG617" s="1160"/>
      <c r="AH617" s="1160"/>
      <c r="AI617" s="1160"/>
      <c r="AJ617" s="1160"/>
      <c r="AK617" s="1160"/>
      <c r="AL617" s="1160"/>
    </row>
    <row r="618" ht="15.0" customHeight="1">
      <c r="A618" s="1209"/>
      <c r="B618" s="1209"/>
      <c r="C618" s="1210"/>
      <c r="D618" s="1160"/>
      <c r="E618" s="1160"/>
      <c r="F618" s="1160"/>
      <c r="G618" s="1160"/>
      <c r="H618" s="1160"/>
      <c r="I618" s="1160"/>
      <c r="J618" s="1160"/>
      <c r="K618" s="1160"/>
      <c r="L618" s="1160"/>
      <c r="M618" s="1160"/>
      <c r="N618" s="1160"/>
      <c r="O618" s="1160"/>
      <c r="P618" s="1160"/>
      <c r="Q618" s="1160"/>
      <c r="R618" s="1160"/>
      <c r="S618" s="1160"/>
      <c r="T618" s="1160"/>
      <c r="U618" s="1160"/>
      <c r="V618" s="1160"/>
      <c r="W618" s="1160"/>
      <c r="X618" s="1160"/>
      <c r="Y618" s="1160"/>
      <c r="Z618" s="1160"/>
      <c r="AA618" s="1160"/>
      <c r="AB618" s="1160"/>
      <c r="AC618" s="1160"/>
      <c r="AD618" s="1160"/>
      <c r="AE618" s="1160"/>
      <c r="AF618" s="1160"/>
      <c r="AG618" s="1160"/>
      <c r="AH618" s="1160"/>
      <c r="AI618" s="1160"/>
      <c r="AJ618" s="1160"/>
      <c r="AK618" s="1160"/>
      <c r="AL618" s="1160"/>
    </row>
    <row r="619" ht="15.0" customHeight="1">
      <c r="A619" s="1209"/>
      <c r="B619" s="1209"/>
      <c r="C619" s="1210"/>
      <c r="D619" s="1160"/>
      <c r="E619" s="1160"/>
      <c r="F619" s="1160"/>
      <c r="G619" s="1160"/>
      <c r="H619" s="1160"/>
      <c r="I619" s="1160"/>
      <c r="J619" s="1160"/>
      <c r="K619" s="1160"/>
      <c r="L619" s="1160"/>
      <c r="M619" s="1160"/>
      <c r="N619" s="1160"/>
      <c r="O619" s="1160"/>
      <c r="P619" s="1160"/>
      <c r="Q619" s="1160"/>
      <c r="R619" s="1160"/>
      <c r="S619" s="1160"/>
      <c r="T619" s="1160"/>
      <c r="U619" s="1160"/>
      <c r="V619" s="1160"/>
      <c r="W619" s="1160"/>
      <c r="X619" s="1160"/>
      <c r="Y619" s="1160"/>
      <c r="Z619" s="1160"/>
      <c r="AA619" s="1160"/>
      <c r="AB619" s="1160"/>
      <c r="AC619" s="1160"/>
      <c r="AD619" s="1160"/>
      <c r="AE619" s="1160"/>
      <c r="AF619" s="1160"/>
      <c r="AG619" s="1160"/>
      <c r="AH619" s="1160"/>
      <c r="AI619" s="1160"/>
      <c r="AJ619" s="1160"/>
      <c r="AK619" s="1160"/>
      <c r="AL619" s="1160"/>
    </row>
    <row r="620" ht="15.0" customHeight="1">
      <c r="A620" s="1209"/>
      <c r="B620" s="1209"/>
      <c r="C620" s="1210"/>
      <c r="D620" s="1160"/>
      <c r="E620" s="1160"/>
      <c r="F620" s="1160"/>
      <c r="G620" s="1160"/>
      <c r="H620" s="1160"/>
      <c r="I620" s="1160"/>
      <c r="J620" s="1160"/>
      <c r="K620" s="1160"/>
      <c r="L620" s="1160"/>
      <c r="M620" s="1160"/>
      <c r="N620" s="1160"/>
      <c r="O620" s="1160"/>
      <c r="P620" s="1160"/>
      <c r="Q620" s="1160"/>
      <c r="R620" s="1160"/>
      <c r="S620" s="1160"/>
      <c r="T620" s="1160"/>
      <c r="U620" s="1160"/>
      <c r="V620" s="1160"/>
      <c r="W620" s="1160"/>
      <c r="X620" s="1160"/>
      <c r="Y620" s="1160"/>
      <c r="Z620" s="1160"/>
      <c r="AA620" s="1160"/>
      <c r="AB620" s="1160"/>
      <c r="AC620" s="1160"/>
      <c r="AD620" s="1160"/>
      <c r="AE620" s="1160"/>
      <c r="AF620" s="1160"/>
      <c r="AG620" s="1160"/>
      <c r="AH620" s="1160"/>
      <c r="AI620" s="1160"/>
      <c r="AJ620" s="1160"/>
      <c r="AK620" s="1160"/>
      <c r="AL620" s="1160"/>
    </row>
    <row r="621" ht="15.0" customHeight="1">
      <c r="A621" s="1209"/>
      <c r="B621" s="1209"/>
      <c r="C621" s="1210"/>
      <c r="D621" s="1160"/>
      <c r="E621" s="1160"/>
      <c r="F621" s="1160"/>
      <c r="G621" s="1160"/>
      <c r="H621" s="1160"/>
      <c r="I621" s="1160"/>
      <c r="J621" s="1160"/>
      <c r="K621" s="1160"/>
      <c r="L621" s="1160"/>
      <c r="M621" s="1160"/>
      <c r="N621" s="1160"/>
      <c r="O621" s="1160"/>
      <c r="P621" s="1160"/>
      <c r="Q621" s="1160"/>
      <c r="R621" s="1160"/>
      <c r="S621" s="1160"/>
      <c r="T621" s="1160"/>
      <c r="U621" s="1160"/>
      <c r="V621" s="1160"/>
      <c r="W621" s="1160"/>
      <c r="X621" s="1160"/>
      <c r="Y621" s="1160"/>
      <c r="Z621" s="1160"/>
      <c r="AA621" s="1160"/>
      <c r="AB621" s="1160"/>
      <c r="AC621" s="1160"/>
      <c r="AD621" s="1160"/>
      <c r="AE621" s="1160"/>
      <c r="AF621" s="1160"/>
      <c r="AG621" s="1160"/>
      <c r="AH621" s="1160"/>
      <c r="AI621" s="1160"/>
      <c r="AJ621" s="1160"/>
      <c r="AK621" s="1160"/>
      <c r="AL621" s="1160"/>
    </row>
    <row r="622" ht="15.0" customHeight="1">
      <c r="A622" s="1209"/>
      <c r="B622" s="1209"/>
      <c r="C622" s="1210"/>
      <c r="D622" s="1160"/>
      <c r="E622" s="1160"/>
      <c r="F622" s="1160"/>
      <c r="G622" s="1160"/>
      <c r="H622" s="1160"/>
      <c r="I622" s="1160"/>
      <c r="J622" s="1160"/>
      <c r="K622" s="1160"/>
      <c r="L622" s="1160"/>
      <c r="M622" s="1160"/>
      <c r="N622" s="1160"/>
      <c r="O622" s="1160"/>
      <c r="P622" s="1160"/>
      <c r="Q622" s="1160"/>
      <c r="R622" s="1160"/>
      <c r="S622" s="1160"/>
      <c r="T622" s="1160"/>
      <c r="U622" s="1160"/>
      <c r="V622" s="1160"/>
      <c r="W622" s="1160"/>
      <c r="X622" s="1160"/>
      <c r="Y622" s="1160"/>
      <c r="Z622" s="1160"/>
      <c r="AA622" s="1160"/>
      <c r="AB622" s="1160"/>
      <c r="AC622" s="1160"/>
      <c r="AD622" s="1160"/>
      <c r="AE622" s="1160"/>
      <c r="AF622" s="1160"/>
      <c r="AG622" s="1160"/>
      <c r="AH622" s="1160"/>
      <c r="AI622" s="1160"/>
      <c r="AJ622" s="1160"/>
      <c r="AK622" s="1160"/>
      <c r="AL622" s="1160"/>
    </row>
    <row r="623" ht="15.0" customHeight="1">
      <c r="A623" s="1209"/>
      <c r="B623" s="1209"/>
      <c r="C623" s="1210"/>
      <c r="D623" s="1160"/>
      <c r="E623" s="1160"/>
      <c r="F623" s="1160"/>
      <c r="G623" s="1160"/>
      <c r="H623" s="1160"/>
      <c r="I623" s="1160"/>
      <c r="J623" s="1160"/>
      <c r="K623" s="1160"/>
      <c r="L623" s="1160"/>
      <c r="M623" s="1160"/>
      <c r="N623" s="1160"/>
      <c r="O623" s="1160"/>
      <c r="P623" s="1160"/>
      <c r="Q623" s="1160"/>
      <c r="R623" s="1160"/>
      <c r="S623" s="1160"/>
      <c r="T623" s="1160"/>
      <c r="U623" s="1160"/>
      <c r="V623" s="1160"/>
      <c r="W623" s="1160"/>
      <c r="X623" s="1160"/>
      <c r="Y623" s="1160"/>
      <c r="Z623" s="1160"/>
      <c r="AA623" s="1160"/>
      <c r="AB623" s="1160"/>
      <c r="AC623" s="1160"/>
      <c r="AD623" s="1160"/>
      <c r="AE623" s="1160"/>
      <c r="AF623" s="1160"/>
      <c r="AG623" s="1160"/>
      <c r="AH623" s="1160"/>
      <c r="AI623" s="1160"/>
      <c r="AJ623" s="1160"/>
      <c r="AK623" s="1160"/>
      <c r="AL623" s="1160"/>
    </row>
    <row r="624" ht="15.0" customHeight="1">
      <c r="A624" s="1209"/>
      <c r="B624" s="1209"/>
      <c r="C624" s="1210"/>
      <c r="D624" s="1160"/>
      <c r="E624" s="1160"/>
      <c r="F624" s="1160"/>
      <c r="G624" s="1160"/>
      <c r="H624" s="1160"/>
      <c r="I624" s="1160"/>
      <c r="J624" s="1160"/>
      <c r="K624" s="1160"/>
      <c r="L624" s="1160"/>
      <c r="M624" s="1160"/>
      <c r="N624" s="1160"/>
      <c r="O624" s="1160"/>
      <c r="P624" s="1160"/>
      <c r="Q624" s="1160"/>
      <c r="R624" s="1160"/>
      <c r="S624" s="1160"/>
      <c r="T624" s="1160"/>
      <c r="U624" s="1160"/>
      <c r="V624" s="1160"/>
      <c r="W624" s="1160"/>
      <c r="X624" s="1160"/>
      <c r="Y624" s="1160"/>
      <c r="Z624" s="1160"/>
      <c r="AA624" s="1160"/>
      <c r="AB624" s="1160"/>
      <c r="AC624" s="1160"/>
      <c r="AD624" s="1160"/>
      <c r="AE624" s="1160"/>
      <c r="AF624" s="1160"/>
      <c r="AG624" s="1160"/>
      <c r="AH624" s="1160"/>
      <c r="AI624" s="1160"/>
      <c r="AJ624" s="1160"/>
      <c r="AK624" s="1160"/>
      <c r="AL624" s="1160"/>
    </row>
    <row r="625" ht="15.0" customHeight="1">
      <c r="A625" s="1209"/>
      <c r="B625" s="1209"/>
      <c r="C625" s="1210"/>
      <c r="D625" s="1160"/>
      <c r="E625" s="1160"/>
      <c r="F625" s="1160"/>
      <c r="G625" s="1160"/>
      <c r="H625" s="1160"/>
      <c r="I625" s="1160"/>
      <c r="J625" s="1160"/>
      <c r="K625" s="1160"/>
      <c r="L625" s="1160"/>
      <c r="M625" s="1160"/>
      <c r="N625" s="1160"/>
      <c r="O625" s="1160"/>
      <c r="P625" s="1160"/>
      <c r="Q625" s="1160"/>
      <c r="R625" s="1160"/>
      <c r="S625" s="1160"/>
      <c r="T625" s="1160"/>
      <c r="U625" s="1160"/>
      <c r="V625" s="1160"/>
      <c r="W625" s="1160"/>
      <c r="X625" s="1160"/>
      <c r="Y625" s="1160"/>
      <c r="Z625" s="1160"/>
      <c r="AA625" s="1160"/>
      <c r="AB625" s="1160"/>
      <c r="AC625" s="1160"/>
      <c r="AD625" s="1160"/>
      <c r="AE625" s="1160"/>
      <c r="AF625" s="1160"/>
      <c r="AG625" s="1160"/>
      <c r="AH625" s="1160"/>
      <c r="AI625" s="1160"/>
      <c r="AJ625" s="1160"/>
      <c r="AK625" s="1160"/>
      <c r="AL625" s="1160"/>
    </row>
    <row r="626" ht="15.0" customHeight="1">
      <c r="A626" s="1209"/>
      <c r="B626" s="1209"/>
      <c r="C626" s="1210"/>
      <c r="D626" s="1160"/>
      <c r="E626" s="1160"/>
      <c r="F626" s="1160"/>
      <c r="G626" s="1160"/>
      <c r="H626" s="1160"/>
      <c r="I626" s="1160"/>
      <c r="J626" s="1160"/>
      <c r="K626" s="1160"/>
      <c r="L626" s="1160"/>
      <c r="M626" s="1160"/>
      <c r="N626" s="1160"/>
      <c r="O626" s="1160"/>
      <c r="P626" s="1160"/>
      <c r="Q626" s="1160"/>
      <c r="R626" s="1160"/>
      <c r="S626" s="1160"/>
      <c r="T626" s="1160"/>
      <c r="U626" s="1160"/>
      <c r="V626" s="1160"/>
      <c r="W626" s="1160"/>
      <c r="X626" s="1160"/>
      <c r="Y626" s="1160"/>
      <c r="Z626" s="1160"/>
      <c r="AA626" s="1160"/>
      <c r="AB626" s="1160"/>
      <c r="AC626" s="1160"/>
      <c r="AD626" s="1160"/>
      <c r="AE626" s="1160"/>
      <c r="AF626" s="1160"/>
      <c r="AG626" s="1160"/>
      <c r="AH626" s="1160"/>
      <c r="AI626" s="1160"/>
      <c r="AJ626" s="1160"/>
      <c r="AK626" s="1160"/>
      <c r="AL626" s="1160"/>
    </row>
    <row r="627" ht="15.0" customHeight="1">
      <c r="A627" s="1209"/>
      <c r="B627" s="1209"/>
      <c r="C627" s="1210"/>
      <c r="D627" s="1160"/>
      <c r="E627" s="1160"/>
      <c r="F627" s="1160"/>
      <c r="G627" s="1160"/>
      <c r="H627" s="1160"/>
      <c r="I627" s="1160"/>
      <c r="J627" s="1160"/>
      <c r="K627" s="1160"/>
      <c r="L627" s="1160"/>
      <c r="M627" s="1160"/>
      <c r="N627" s="1160"/>
      <c r="O627" s="1160"/>
      <c r="P627" s="1160"/>
      <c r="Q627" s="1160"/>
      <c r="R627" s="1160"/>
      <c r="S627" s="1160"/>
      <c r="T627" s="1160"/>
      <c r="U627" s="1160"/>
      <c r="V627" s="1160"/>
      <c r="W627" s="1160"/>
      <c r="X627" s="1160"/>
      <c r="Y627" s="1160"/>
      <c r="Z627" s="1160"/>
      <c r="AA627" s="1160"/>
      <c r="AB627" s="1160"/>
      <c r="AC627" s="1160"/>
      <c r="AD627" s="1160"/>
      <c r="AE627" s="1160"/>
      <c r="AF627" s="1160"/>
      <c r="AG627" s="1160"/>
      <c r="AH627" s="1160"/>
      <c r="AI627" s="1160"/>
      <c r="AJ627" s="1160"/>
      <c r="AK627" s="1160"/>
      <c r="AL627" s="1160"/>
    </row>
    <row r="628" ht="15.0" customHeight="1">
      <c r="A628" s="1209"/>
      <c r="B628" s="1209"/>
      <c r="C628" s="1210"/>
      <c r="D628" s="1160"/>
      <c r="E628" s="1160"/>
      <c r="F628" s="1160"/>
      <c r="G628" s="1160"/>
      <c r="H628" s="1160"/>
      <c r="I628" s="1160"/>
      <c r="J628" s="1160"/>
      <c r="K628" s="1160"/>
      <c r="L628" s="1160"/>
      <c r="M628" s="1160"/>
      <c r="N628" s="1160"/>
      <c r="O628" s="1160"/>
      <c r="P628" s="1160"/>
      <c r="Q628" s="1160"/>
      <c r="R628" s="1160"/>
      <c r="S628" s="1160"/>
      <c r="T628" s="1160"/>
      <c r="U628" s="1160"/>
      <c r="V628" s="1160"/>
      <c r="W628" s="1160"/>
      <c r="X628" s="1160"/>
      <c r="Y628" s="1160"/>
      <c r="Z628" s="1160"/>
      <c r="AA628" s="1160"/>
      <c r="AB628" s="1160"/>
      <c r="AC628" s="1160"/>
      <c r="AD628" s="1160"/>
      <c r="AE628" s="1160"/>
      <c r="AF628" s="1160"/>
      <c r="AG628" s="1160"/>
      <c r="AH628" s="1160"/>
      <c r="AI628" s="1160"/>
      <c r="AJ628" s="1160"/>
      <c r="AK628" s="1160"/>
      <c r="AL628" s="1160"/>
    </row>
    <row r="629" ht="15.0" customHeight="1">
      <c r="A629" s="1209"/>
      <c r="B629" s="1209"/>
      <c r="C629" s="1210"/>
      <c r="D629" s="1160"/>
      <c r="E629" s="1160"/>
      <c r="F629" s="1160"/>
      <c r="G629" s="1160"/>
      <c r="H629" s="1160"/>
      <c r="I629" s="1160"/>
      <c r="J629" s="1160"/>
      <c r="K629" s="1160"/>
      <c r="L629" s="1160"/>
      <c r="M629" s="1160"/>
      <c r="N629" s="1160"/>
      <c r="O629" s="1160"/>
      <c r="P629" s="1160"/>
      <c r="Q629" s="1160"/>
      <c r="R629" s="1160"/>
      <c r="S629" s="1160"/>
      <c r="T629" s="1160"/>
      <c r="U629" s="1160"/>
      <c r="V629" s="1160"/>
      <c r="W629" s="1160"/>
      <c r="X629" s="1160"/>
      <c r="Y629" s="1160"/>
      <c r="Z629" s="1160"/>
      <c r="AA629" s="1160"/>
      <c r="AB629" s="1160"/>
      <c r="AC629" s="1160"/>
      <c r="AD629" s="1160"/>
      <c r="AE629" s="1160"/>
      <c r="AF629" s="1160"/>
      <c r="AG629" s="1160"/>
      <c r="AH629" s="1160"/>
      <c r="AI629" s="1160"/>
      <c r="AJ629" s="1160"/>
      <c r="AK629" s="1160"/>
      <c r="AL629" s="1160"/>
    </row>
    <row r="630" ht="15.0" customHeight="1">
      <c r="A630" s="1209"/>
      <c r="B630" s="1209"/>
      <c r="C630" s="1210"/>
      <c r="D630" s="1160"/>
      <c r="E630" s="1160"/>
      <c r="F630" s="1160"/>
      <c r="G630" s="1160"/>
      <c r="H630" s="1160"/>
      <c r="I630" s="1160"/>
      <c r="J630" s="1160"/>
      <c r="K630" s="1160"/>
      <c r="L630" s="1160"/>
      <c r="M630" s="1160"/>
      <c r="N630" s="1160"/>
      <c r="O630" s="1160"/>
      <c r="P630" s="1160"/>
      <c r="Q630" s="1160"/>
      <c r="R630" s="1160"/>
      <c r="S630" s="1160"/>
      <c r="T630" s="1160"/>
      <c r="U630" s="1160"/>
      <c r="V630" s="1160"/>
      <c r="W630" s="1160"/>
      <c r="X630" s="1160"/>
      <c r="Y630" s="1160"/>
      <c r="Z630" s="1160"/>
      <c r="AA630" s="1160"/>
      <c r="AB630" s="1160"/>
      <c r="AC630" s="1160"/>
      <c r="AD630" s="1160"/>
      <c r="AE630" s="1160"/>
      <c r="AF630" s="1160"/>
      <c r="AG630" s="1160"/>
      <c r="AH630" s="1160"/>
      <c r="AI630" s="1160"/>
      <c r="AJ630" s="1160"/>
      <c r="AK630" s="1160"/>
      <c r="AL630" s="1160"/>
    </row>
    <row r="631" ht="15.0" customHeight="1">
      <c r="A631" s="1209"/>
      <c r="B631" s="1209"/>
      <c r="C631" s="1210"/>
      <c r="D631" s="1160"/>
      <c r="E631" s="1160"/>
      <c r="F631" s="1160"/>
      <c r="G631" s="1160"/>
      <c r="H631" s="1160"/>
      <c r="I631" s="1160"/>
      <c r="J631" s="1160"/>
      <c r="K631" s="1160"/>
      <c r="L631" s="1160"/>
      <c r="M631" s="1160"/>
      <c r="N631" s="1160"/>
      <c r="O631" s="1160"/>
      <c r="P631" s="1160"/>
      <c r="Q631" s="1160"/>
      <c r="R631" s="1160"/>
      <c r="S631" s="1160"/>
      <c r="T631" s="1160"/>
      <c r="U631" s="1160"/>
      <c r="V631" s="1160"/>
      <c r="W631" s="1160"/>
      <c r="X631" s="1160"/>
      <c r="Y631" s="1160"/>
      <c r="Z631" s="1160"/>
      <c r="AA631" s="1160"/>
      <c r="AB631" s="1160"/>
      <c r="AC631" s="1160"/>
      <c r="AD631" s="1160"/>
      <c r="AE631" s="1160"/>
      <c r="AF631" s="1160"/>
      <c r="AG631" s="1160"/>
      <c r="AH631" s="1160"/>
      <c r="AI631" s="1160"/>
      <c r="AJ631" s="1160"/>
      <c r="AK631" s="1160"/>
      <c r="AL631" s="1160"/>
    </row>
    <row r="632" ht="15.0" customHeight="1">
      <c r="A632" s="1209"/>
      <c r="B632" s="1209"/>
      <c r="C632" s="1210"/>
      <c r="D632" s="1160"/>
      <c r="E632" s="1160"/>
      <c r="F632" s="1160"/>
      <c r="G632" s="1160"/>
      <c r="H632" s="1160"/>
      <c r="I632" s="1160"/>
      <c r="J632" s="1160"/>
      <c r="K632" s="1160"/>
      <c r="L632" s="1160"/>
      <c r="M632" s="1160"/>
      <c r="N632" s="1160"/>
      <c r="O632" s="1160"/>
      <c r="P632" s="1160"/>
      <c r="Q632" s="1160"/>
      <c r="R632" s="1160"/>
      <c r="S632" s="1160"/>
      <c r="T632" s="1160"/>
      <c r="U632" s="1160"/>
      <c r="V632" s="1160"/>
      <c r="W632" s="1160"/>
      <c r="X632" s="1160"/>
      <c r="Y632" s="1160"/>
      <c r="Z632" s="1160"/>
      <c r="AA632" s="1160"/>
      <c r="AB632" s="1160"/>
      <c r="AC632" s="1160"/>
      <c r="AD632" s="1160"/>
      <c r="AE632" s="1160"/>
      <c r="AF632" s="1160"/>
      <c r="AG632" s="1160"/>
      <c r="AH632" s="1160"/>
      <c r="AI632" s="1160"/>
      <c r="AJ632" s="1160"/>
      <c r="AK632" s="1160"/>
      <c r="AL632" s="1160"/>
    </row>
    <row r="633" ht="15.0" customHeight="1">
      <c r="A633" s="1209"/>
      <c r="B633" s="1209"/>
      <c r="C633" s="1210"/>
      <c r="D633" s="1160"/>
      <c r="E633" s="1160"/>
      <c r="F633" s="1160"/>
      <c r="G633" s="1160"/>
      <c r="H633" s="1160"/>
      <c r="I633" s="1160"/>
      <c r="J633" s="1160"/>
      <c r="K633" s="1160"/>
      <c r="L633" s="1160"/>
      <c r="M633" s="1160"/>
      <c r="N633" s="1160"/>
      <c r="O633" s="1160"/>
      <c r="P633" s="1160"/>
      <c r="Q633" s="1160"/>
      <c r="R633" s="1160"/>
      <c r="S633" s="1160"/>
      <c r="T633" s="1160"/>
      <c r="U633" s="1160"/>
      <c r="V633" s="1160"/>
      <c r="W633" s="1160"/>
      <c r="X633" s="1160"/>
      <c r="Y633" s="1160"/>
      <c r="Z633" s="1160"/>
      <c r="AA633" s="1160"/>
      <c r="AB633" s="1160"/>
      <c r="AC633" s="1160"/>
      <c r="AD633" s="1160"/>
      <c r="AE633" s="1160"/>
      <c r="AF633" s="1160"/>
      <c r="AG633" s="1160"/>
      <c r="AH633" s="1160"/>
      <c r="AI633" s="1160"/>
      <c r="AJ633" s="1160"/>
      <c r="AK633" s="1160"/>
      <c r="AL633" s="1160"/>
    </row>
    <row r="634" ht="15.0" customHeight="1">
      <c r="A634" s="1209"/>
      <c r="B634" s="1209"/>
      <c r="C634" s="1210"/>
      <c r="D634" s="1160"/>
      <c r="E634" s="1160"/>
      <c r="F634" s="1160"/>
      <c r="G634" s="1160"/>
      <c r="H634" s="1160"/>
      <c r="I634" s="1160"/>
      <c r="J634" s="1160"/>
      <c r="K634" s="1160"/>
      <c r="L634" s="1160"/>
      <c r="M634" s="1160"/>
      <c r="N634" s="1160"/>
      <c r="O634" s="1160"/>
      <c r="P634" s="1160"/>
      <c r="Q634" s="1160"/>
      <c r="R634" s="1160"/>
      <c r="S634" s="1160"/>
      <c r="T634" s="1160"/>
      <c r="U634" s="1160"/>
      <c r="V634" s="1160"/>
      <c r="W634" s="1160"/>
      <c r="X634" s="1160"/>
      <c r="Y634" s="1160"/>
      <c r="Z634" s="1160"/>
      <c r="AA634" s="1160"/>
      <c r="AB634" s="1160"/>
      <c r="AC634" s="1160"/>
      <c r="AD634" s="1160"/>
      <c r="AE634" s="1160"/>
      <c r="AF634" s="1160"/>
      <c r="AG634" s="1160"/>
      <c r="AH634" s="1160"/>
      <c r="AI634" s="1160"/>
      <c r="AJ634" s="1160"/>
      <c r="AK634" s="1160"/>
      <c r="AL634" s="1160"/>
    </row>
    <row r="635" ht="15.0" customHeight="1">
      <c r="A635" s="1209"/>
      <c r="B635" s="1209"/>
      <c r="C635" s="1210"/>
      <c r="D635" s="1160"/>
      <c r="E635" s="1160"/>
      <c r="F635" s="1160"/>
      <c r="G635" s="1160"/>
      <c r="H635" s="1160"/>
      <c r="I635" s="1160"/>
      <c r="J635" s="1160"/>
      <c r="K635" s="1160"/>
      <c r="L635" s="1160"/>
      <c r="M635" s="1160"/>
      <c r="N635" s="1160"/>
      <c r="O635" s="1160"/>
      <c r="P635" s="1160"/>
      <c r="Q635" s="1160"/>
      <c r="R635" s="1160"/>
      <c r="S635" s="1160"/>
      <c r="T635" s="1160"/>
      <c r="U635" s="1160"/>
      <c r="V635" s="1160"/>
      <c r="W635" s="1160"/>
      <c r="X635" s="1160"/>
      <c r="Y635" s="1160"/>
      <c r="Z635" s="1160"/>
      <c r="AA635" s="1160"/>
      <c r="AB635" s="1160"/>
      <c r="AC635" s="1160"/>
      <c r="AD635" s="1160"/>
      <c r="AE635" s="1160"/>
      <c r="AF635" s="1160"/>
      <c r="AG635" s="1160"/>
      <c r="AH635" s="1160"/>
      <c r="AI635" s="1160"/>
      <c r="AJ635" s="1160"/>
      <c r="AK635" s="1160"/>
      <c r="AL635" s="1160"/>
    </row>
    <row r="636" ht="15.0" customHeight="1">
      <c r="A636" s="1209"/>
      <c r="B636" s="1209"/>
      <c r="C636" s="1210"/>
      <c r="D636" s="1160"/>
      <c r="E636" s="1160"/>
      <c r="F636" s="1160"/>
      <c r="G636" s="1160"/>
      <c r="H636" s="1160"/>
      <c r="I636" s="1160"/>
      <c r="J636" s="1160"/>
      <c r="K636" s="1160"/>
      <c r="L636" s="1160"/>
      <c r="M636" s="1160"/>
      <c r="N636" s="1160"/>
      <c r="O636" s="1160"/>
      <c r="P636" s="1160"/>
      <c r="Q636" s="1160"/>
      <c r="R636" s="1160"/>
      <c r="S636" s="1160"/>
      <c r="T636" s="1160"/>
      <c r="U636" s="1160"/>
      <c r="V636" s="1160"/>
      <c r="W636" s="1160"/>
      <c r="X636" s="1160"/>
      <c r="Y636" s="1160"/>
      <c r="Z636" s="1160"/>
      <c r="AA636" s="1160"/>
      <c r="AB636" s="1160"/>
      <c r="AC636" s="1160"/>
      <c r="AD636" s="1160"/>
      <c r="AE636" s="1160"/>
      <c r="AF636" s="1160"/>
      <c r="AG636" s="1160"/>
      <c r="AH636" s="1160"/>
      <c r="AI636" s="1160"/>
      <c r="AJ636" s="1160"/>
      <c r="AK636" s="1160"/>
      <c r="AL636" s="1160"/>
    </row>
    <row r="637" ht="15.0" customHeight="1">
      <c r="A637" s="1209"/>
      <c r="B637" s="1209"/>
      <c r="C637" s="1210"/>
      <c r="D637" s="1160"/>
      <c r="E637" s="1160"/>
      <c r="F637" s="1160"/>
      <c r="G637" s="1160"/>
      <c r="H637" s="1160"/>
      <c r="I637" s="1160"/>
      <c r="J637" s="1160"/>
      <c r="K637" s="1160"/>
      <c r="L637" s="1160"/>
      <c r="M637" s="1160"/>
      <c r="N637" s="1160"/>
      <c r="O637" s="1160"/>
      <c r="P637" s="1160"/>
      <c r="Q637" s="1160"/>
      <c r="R637" s="1160"/>
      <c r="S637" s="1160"/>
      <c r="T637" s="1160"/>
      <c r="U637" s="1160"/>
      <c r="V637" s="1160"/>
      <c r="W637" s="1160"/>
      <c r="X637" s="1160"/>
      <c r="Y637" s="1160"/>
      <c r="Z637" s="1160"/>
      <c r="AA637" s="1160"/>
      <c r="AB637" s="1160"/>
      <c r="AC637" s="1160"/>
      <c r="AD637" s="1160"/>
      <c r="AE637" s="1160"/>
      <c r="AF637" s="1160"/>
      <c r="AG637" s="1160"/>
      <c r="AH637" s="1160"/>
      <c r="AI637" s="1160"/>
      <c r="AJ637" s="1160"/>
      <c r="AK637" s="1160"/>
      <c r="AL637" s="1160"/>
    </row>
    <row r="638" ht="15.0" customHeight="1">
      <c r="A638" s="1209"/>
      <c r="B638" s="1209"/>
      <c r="C638" s="1210"/>
      <c r="D638" s="1160"/>
      <c r="E638" s="1160"/>
      <c r="F638" s="1160"/>
      <c r="G638" s="1160"/>
      <c r="H638" s="1160"/>
      <c r="I638" s="1160"/>
      <c r="J638" s="1160"/>
      <c r="K638" s="1160"/>
      <c r="L638" s="1160"/>
      <c r="M638" s="1160"/>
      <c r="N638" s="1160"/>
      <c r="O638" s="1160"/>
      <c r="P638" s="1160"/>
      <c r="Q638" s="1160"/>
      <c r="R638" s="1160"/>
      <c r="S638" s="1160"/>
      <c r="T638" s="1160"/>
      <c r="U638" s="1160"/>
      <c r="V638" s="1160"/>
      <c r="W638" s="1160"/>
      <c r="X638" s="1160"/>
      <c r="Y638" s="1160"/>
      <c r="Z638" s="1160"/>
      <c r="AA638" s="1160"/>
      <c r="AB638" s="1160"/>
      <c r="AC638" s="1160"/>
      <c r="AD638" s="1160"/>
      <c r="AE638" s="1160"/>
      <c r="AF638" s="1160"/>
      <c r="AG638" s="1160"/>
      <c r="AH638" s="1160"/>
      <c r="AI638" s="1160"/>
      <c r="AJ638" s="1160"/>
      <c r="AK638" s="1160"/>
      <c r="AL638" s="1160"/>
    </row>
    <row r="639" ht="15.0" customHeight="1">
      <c r="A639" s="1209"/>
      <c r="B639" s="1209"/>
      <c r="C639" s="1210"/>
      <c r="D639" s="1160"/>
      <c r="E639" s="1160"/>
      <c r="F639" s="1160"/>
      <c r="G639" s="1160"/>
      <c r="H639" s="1160"/>
      <c r="I639" s="1160"/>
      <c r="J639" s="1160"/>
      <c r="K639" s="1160"/>
      <c r="L639" s="1160"/>
      <c r="M639" s="1160"/>
      <c r="N639" s="1160"/>
      <c r="O639" s="1160"/>
      <c r="P639" s="1160"/>
      <c r="Q639" s="1160"/>
      <c r="R639" s="1160"/>
      <c r="S639" s="1160"/>
      <c r="T639" s="1160"/>
      <c r="U639" s="1160"/>
      <c r="V639" s="1160"/>
      <c r="W639" s="1160"/>
      <c r="X639" s="1160"/>
      <c r="Y639" s="1160"/>
      <c r="Z639" s="1160"/>
      <c r="AA639" s="1160"/>
      <c r="AB639" s="1160"/>
      <c r="AC639" s="1160"/>
      <c r="AD639" s="1160"/>
      <c r="AE639" s="1160"/>
      <c r="AF639" s="1160"/>
      <c r="AG639" s="1160"/>
      <c r="AH639" s="1160"/>
      <c r="AI639" s="1160"/>
      <c r="AJ639" s="1160"/>
      <c r="AK639" s="1160"/>
      <c r="AL639" s="1160"/>
    </row>
    <row r="640" ht="15.0" customHeight="1">
      <c r="A640" s="1209"/>
      <c r="B640" s="1209"/>
      <c r="C640" s="1210"/>
      <c r="D640" s="1160"/>
      <c r="E640" s="1160"/>
      <c r="F640" s="1160"/>
      <c r="G640" s="1160"/>
      <c r="H640" s="1160"/>
      <c r="I640" s="1160"/>
      <c r="J640" s="1160"/>
      <c r="K640" s="1160"/>
      <c r="L640" s="1160"/>
      <c r="M640" s="1160"/>
      <c r="N640" s="1160"/>
      <c r="O640" s="1160"/>
      <c r="P640" s="1160"/>
      <c r="Q640" s="1160"/>
      <c r="R640" s="1160"/>
      <c r="S640" s="1160"/>
      <c r="T640" s="1160"/>
      <c r="U640" s="1160"/>
      <c r="V640" s="1160"/>
      <c r="W640" s="1160"/>
      <c r="X640" s="1160"/>
      <c r="Y640" s="1160"/>
      <c r="Z640" s="1160"/>
      <c r="AA640" s="1160"/>
      <c r="AB640" s="1160"/>
      <c r="AC640" s="1160"/>
      <c r="AD640" s="1160"/>
      <c r="AE640" s="1160"/>
      <c r="AF640" s="1160"/>
      <c r="AG640" s="1160"/>
      <c r="AH640" s="1160"/>
      <c r="AI640" s="1160"/>
      <c r="AJ640" s="1160"/>
      <c r="AK640" s="1160"/>
      <c r="AL640" s="1160"/>
    </row>
    <row r="641" ht="15.0" customHeight="1">
      <c r="A641" s="1209"/>
      <c r="B641" s="1209"/>
      <c r="C641" s="1210"/>
      <c r="D641" s="1160"/>
      <c r="E641" s="1160"/>
      <c r="F641" s="1160"/>
      <c r="G641" s="1160"/>
      <c r="H641" s="1160"/>
      <c r="I641" s="1160"/>
      <c r="J641" s="1160"/>
      <c r="K641" s="1160"/>
      <c r="L641" s="1160"/>
      <c r="M641" s="1160"/>
      <c r="N641" s="1160"/>
      <c r="O641" s="1160"/>
      <c r="P641" s="1160"/>
      <c r="Q641" s="1160"/>
      <c r="R641" s="1160"/>
      <c r="S641" s="1160"/>
      <c r="T641" s="1160"/>
      <c r="U641" s="1160"/>
      <c r="V641" s="1160"/>
      <c r="W641" s="1160"/>
      <c r="X641" s="1160"/>
      <c r="Y641" s="1160"/>
      <c r="Z641" s="1160"/>
      <c r="AA641" s="1160"/>
      <c r="AB641" s="1160"/>
      <c r="AC641" s="1160"/>
      <c r="AD641" s="1160"/>
      <c r="AE641" s="1160"/>
      <c r="AF641" s="1160"/>
      <c r="AG641" s="1160"/>
      <c r="AH641" s="1160"/>
      <c r="AI641" s="1160"/>
      <c r="AJ641" s="1160"/>
      <c r="AK641" s="1160"/>
      <c r="AL641" s="1160"/>
    </row>
    <row r="642" ht="15.0" customHeight="1">
      <c r="A642" s="1209"/>
      <c r="B642" s="1209"/>
      <c r="C642" s="1210"/>
      <c r="D642" s="1160"/>
      <c r="E642" s="1160"/>
      <c r="F642" s="1160"/>
      <c r="G642" s="1160"/>
      <c r="H642" s="1160"/>
      <c r="I642" s="1160"/>
      <c r="J642" s="1160"/>
      <c r="K642" s="1160"/>
      <c r="L642" s="1160"/>
      <c r="M642" s="1160"/>
      <c r="N642" s="1160"/>
      <c r="O642" s="1160"/>
      <c r="P642" s="1160"/>
      <c r="Q642" s="1160"/>
      <c r="R642" s="1160"/>
      <c r="S642" s="1160"/>
      <c r="T642" s="1160"/>
      <c r="U642" s="1160"/>
      <c r="V642" s="1160"/>
      <c r="W642" s="1160"/>
      <c r="X642" s="1160"/>
      <c r="Y642" s="1160"/>
      <c r="Z642" s="1160"/>
      <c r="AA642" s="1160"/>
      <c r="AB642" s="1160"/>
      <c r="AC642" s="1160"/>
      <c r="AD642" s="1160"/>
      <c r="AE642" s="1160"/>
      <c r="AF642" s="1160"/>
      <c r="AG642" s="1160"/>
      <c r="AH642" s="1160"/>
      <c r="AI642" s="1160"/>
      <c r="AJ642" s="1160"/>
      <c r="AK642" s="1160"/>
      <c r="AL642" s="1160"/>
    </row>
    <row r="643" ht="15.0" customHeight="1">
      <c r="A643" s="1209"/>
      <c r="B643" s="1209"/>
      <c r="C643" s="1210"/>
      <c r="D643" s="1160"/>
      <c r="E643" s="1160"/>
      <c r="F643" s="1160"/>
      <c r="G643" s="1160"/>
      <c r="H643" s="1160"/>
      <c r="I643" s="1160"/>
      <c r="J643" s="1160"/>
      <c r="K643" s="1160"/>
      <c r="L643" s="1160"/>
      <c r="M643" s="1160"/>
      <c r="N643" s="1160"/>
      <c r="O643" s="1160"/>
      <c r="P643" s="1160"/>
      <c r="Q643" s="1160"/>
      <c r="R643" s="1160"/>
      <c r="S643" s="1160"/>
      <c r="T643" s="1160"/>
      <c r="U643" s="1160"/>
      <c r="V643" s="1160"/>
      <c r="W643" s="1160"/>
      <c r="X643" s="1160"/>
      <c r="Y643" s="1160"/>
      <c r="Z643" s="1160"/>
      <c r="AA643" s="1160"/>
      <c r="AB643" s="1160"/>
      <c r="AC643" s="1160"/>
      <c r="AD643" s="1160"/>
      <c r="AE643" s="1160"/>
      <c r="AF643" s="1160"/>
      <c r="AG643" s="1160"/>
      <c r="AH643" s="1160"/>
      <c r="AI643" s="1160"/>
      <c r="AJ643" s="1160"/>
      <c r="AK643" s="1160"/>
      <c r="AL643" s="1160"/>
    </row>
    <row r="644" ht="15.0" customHeight="1">
      <c r="A644" s="1209"/>
      <c r="B644" s="1209"/>
      <c r="C644" s="1210"/>
      <c r="D644" s="1160"/>
      <c r="E644" s="1160"/>
      <c r="F644" s="1160"/>
      <c r="G644" s="1160"/>
      <c r="H644" s="1160"/>
      <c r="I644" s="1160"/>
      <c r="J644" s="1160"/>
      <c r="K644" s="1160"/>
      <c r="L644" s="1160"/>
      <c r="M644" s="1160"/>
      <c r="N644" s="1160"/>
      <c r="O644" s="1160"/>
      <c r="P644" s="1160"/>
      <c r="Q644" s="1160"/>
      <c r="R644" s="1160"/>
      <c r="S644" s="1160"/>
      <c r="T644" s="1160"/>
      <c r="U644" s="1160"/>
      <c r="V644" s="1160"/>
      <c r="W644" s="1160"/>
      <c r="X644" s="1160"/>
      <c r="Y644" s="1160"/>
      <c r="Z644" s="1160"/>
      <c r="AA644" s="1160"/>
      <c r="AB644" s="1160"/>
      <c r="AC644" s="1160"/>
      <c r="AD644" s="1160"/>
      <c r="AE644" s="1160"/>
      <c r="AF644" s="1160"/>
      <c r="AG644" s="1160"/>
      <c r="AH644" s="1160"/>
      <c r="AI644" s="1160"/>
      <c r="AJ644" s="1160"/>
      <c r="AK644" s="1160"/>
      <c r="AL644" s="1160"/>
    </row>
    <row r="645" ht="15.0" customHeight="1">
      <c r="A645" s="1209"/>
      <c r="B645" s="1209"/>
      <c r="C645" s="1210"/>
      <c r="D645" s="1160"/>
      <c r="E645" s="1160"/>
      <c r="F645" s="1160"/>
      <c r="G645" s="1160"/>
      <c r="H645" s="1160"/>
      <c r="I645" s="1160"/>
      <c r="J645" s="1160"/>
      <c r="K645" s="1160"/>
      <c r="L645" s="1160"/>
      <c r="M645" s="1160"/>
      <c r="N645" s="1160"/>
      <c r="O645" s="1160"/>
      <c r="P645" s="1160"/>
      <c r="Q645" s="1160"/>
      <c r="R645" s="1160"/>
      <c r="S645" s="1160"/>
      <c r="T645" s="1160"/>
      <c r="U645" s="1160"/>
      <c r="V645" s="1160"/>
      <c r="W645" s="1160"/>
      <c r="X645" s="1160"/>
      <c r="Y645" s="1160"/>
      <c r="Z645" s="1160"/>
      <c r="AA645" s="1160"/>
      <c r="AB645" s="1160"/>
      <c r="AC645" s="1160"/>
      <c r="AD645" s="1160"/>
      <c r="AE645" s="1160"/>
      <c r="AF645" s="1160"/>
      <c r="AG645" s="1160"/>
      <c r="AH645" s="1160"/>
      <c r="AI645" s="1160"/>
      <c r="AJ645" s="1160"/>
      <c r="AK645" s="1160"/>
      <c r="AL645" s="1160"/>
    </row>
    <row r="646" ht="15.0" customHeight="1">
      <c r="A646" s="1209"/>
      <c r="B646" s="1209"/>
      <c r="C646" s="1210"/>
      <c r="D646" s="1160"/>
      <c r="E646" s="1160"/>
      <c r="F646" s="1160"/>
      <c r="G646" s="1160"/>
      <c r="H646" s="1160"/>
      <c r="I646" s="1160"/>
      <c r="J646" s="1160"/>
      <c r="K646" s="1160"/>
      <c r="L646" s="1160"/>
      <c r="M646" s="1160"/>
      <c r="N646" s="1160"/>
      <c r="O646" s="1160"/>
      <c r="P646" s="1160"/>
      <c r="Q646" s="1160"/>
      <c r="R646" s="1160"/>
      <c r="S646" s="1160"/>
      <c r="T646" s="1160"/>
      <c r="U646" s="1160"/>
      <c r="V646" s="1160"/>
      <c r="W646" s="1160"/>
      <c r="X646" s="1160"/>
      <c r="Y646" s="1160"/>
      <c r="Z646" s="1160"/>
      <c r="AA646" s="1160"/>
      <c r="AB646" s="1160"/>
      <c r="AC646" s="1160"/>
      <c r="AD646" s="1160"/>
      <c r="AE646" s="1160"/>
      <c r="AF646" s="1160"/>
      <c r="AG646" s="1160"/>
      <c r="AH646" s="1160"/>
      <c r="AI646" s="1160"/>
      <c r="AJ646" s="1160"/>
      <c r="AK646" s="1160"/>
      <c r="AL646" s="1160"/>
    </row>
    <row r="647" ht="15.0" customHeight="1">
      <c r="A647" s="1209"/>
      <c r="B647" s="1209"/>
      <c r="C647" s="1210"/>
      <c r="D647" s="1160"/>
      <c r="E647" s="1160"/>
      <c r="F647" s="1160"/>
      <c r="G647" s="1160"/>
      <c r="H647" s="1160"/>
      <c r="I647" s="1160"/>
      <c r="J647" s="1160"/>
      <c r="K647" s="1160"/>
      <c r="L647" s="1160"/>
      <c r="M647" s="1160"/>
      <c r="N647" s="1160"/>
      <c r="O647" s="1160"/>
      <c r="P647" s="1160"/>
      <c r="Q647" s="1160"/>
      <c r="R647" s="1160"/>
      <c r="S647" s="1160"/>
      <c r="T647" s="1160"/>
      <c r="U647" s="1160"/>
      <c r="V647" s="1160"/>
      <c r="W647" s="1160"/>
      <c r="X647" s="1160"/>
      <c r="Y647" s="1160"/>
      <c r="Z647" s="1160"/>
      <c r="AA647" s="1160"/>
      <c r="AB647" s="1160"/>
      <c r="AC647" s="1160"/>
      <c r="AD647" s="1160"/>
      <c r="AE647" s="1160"/>
      <c r="AF647" s="1160"/>
      <c r="AG647" s="1160"/>
      <c r="AH647" s="1160"/>
      <c r="AI647" s="1160"/>
      <c r="AJ647" s="1160"/>
      <c r="AK647" s="1160"/>
      <c r="AL647" s="1160"/>
    </row>
    <row r="648" ht="15.0" customHeight="1">
      <c r="A648" s="1209"/>
      <c r="B648" s="1209"/>
      <c r="C648" s="1210"/>
      <c r="D648" s="1160"/>
      <c r="E648" s="1160"/>
      <c r="F648" s="1160"/>
      <c r="G648" s="1160"/>
      <c r="H648" s="1160"/>
      <c r="I648" s="1160"/>
      <c r="J648" s="1160"/>
      <c r="K648" s="1160"/>
      <c r="L648" s="1160"/>
      <c r="M648" s="1160"/>
      <c r="N648" s="1160"/>
      <c r="O648" s="1160"/>
      <c r="P648" s="1160"/>
      <c r="Q648" s="1160"/>
      <c r="R648" s="1160"/>
      <c r="S648" s="1160"/>
      <c r="T648" s="1160"/>
      <c r="U648" s="1160"/>
      <c r="V648" s="1160"/>
      <c r="W648" s="1160"/>
      <c r="X648" s="1160"/>
      <c r="Y648" s="1160"/>
      <c r="Z648" s="1160"/>
      <c r="AA648" s="1160"/>
      <c r="AB648" s="1160"/>
      <c r="AC648" s="1160"/>
      <c r="AD648" s="1160"/>
      <c r="AE648" s="1160"/>
      <c r="AF648" s="1160"/>
      <c r="AG648" s="1160"/>
      <c r="AH648" s="1160"/>
      <c r="AI648" s="1160"/>
      <c r="AJ648" s="1160"/>
      <c r="AK648" s="1160"/>
      <c r="AL648" s="1160"/>
    </row>
    <row r="649" ht="15.0" customHeight="1">
      <c r="A649" s="1209"/>
      <c r="B649" s="1209"/>
      <c r="C649" s="1210"/>
      <c r="D649" s="1160"/>
      <c r="E649" s="1160"/>
      <c r="F649" s="1160"/>
      <c r="G649" s="1160"/>
      <c r="H649" s="1160"/>
      <c r="I649" s="1160"/>
      <c r="J649" s="1160"/>
      <c r="K649" s="1160"/>
      <c r="L649" s="1160"/>
      <c r="M649" s="1160"/>
      <c r="N649" s="1160"/>
      <c r="O649" s="1160"/>
      <c r="P649" s="1160"/>
      <c r="Q649" s="1160"/>
      <c r="R649" s="1160"/>
      <c r="S649" s="1160"/>
      <c r="T649" s="1160"/>
      <c r="U649" s="1160"/>
      <c r="V649" s="1160"/>
      <c r="W649" s="1160"/>
      <c r="X649" s="1160"/>
      <c r="Y649" s="1160"/>
      <c r="Z649" s="1160"/>
      <c r="AA649" s="1160"/>
      <c r="AB649" s="1160"/>
      <c r="AC649" s="1160"/>
      <c r="AD649" s="1160"/>
      <c r="AE649" s="1160"/>
      <c r="AF649" s="1160"/>
      <c r="AG649" s="1160"/>
      <c r="AH649" s="1160"/>
      <c r="AI649" s="1160"/>
      <c r="AJ649" s="1160"/>
      <c r="AK649" s="1160"/>
      <c r="AL649" s="1160"/>
    </row>
    <row r="650" ht="15.0" customHeight="1">
      <c r="A650" s="1209"/>
      <c r="B650" s="1209"/>
      <c r="C650" s="1210"/>
      <c r="D650" s="1160"/>
      <c r="E650" s="1160"/>
      <c r="F650" s="1160"/>
      <c r="G650" s="1160"/>
      <c r="H650" s="1160"/>
      <c r="I650" s="1160"/>
      <c r="J650" s="1160"/>
      <c r="K650" s="1160"/>
      <c r="L650" s="1160"/>
      <c r="M650" s="1160"/>
      <c r="N650" s="1160"/>
      <c r="O650" s="1160"/>
      <c r="P650" s="1160"/>
      <c r="Q650" s="1160"/>
      <c r="R650" s="1160"/>
      <c r="S650" s="1160"/>
      <c r="T650" s="1160"/>
      <c r="U650" s="1160"/>
      <c r="V650" s="1160"/>
      <c r="W650" s="1160"/>
      <c r="X650" s="1160"/>
      <c r="Y650" s="1160"/>
      <c r="Z650" s="1160"/>
      <c r="AA650" s="1160"/>
      <c r="AB650" s="1160"/>
      <c r="AC650" s="1160"/>
      <c r="AD650" s="1160"/>
      <c r="AE650" s="1160"/>
      <c r="AF650" s="1160"/>
      <c r="AG650" s="1160"/>
      <c r="AH650" s="1160"/>
      <c r="AI650" s="1160"/>
      <c r="AJ650" s="1160"/>
      <c r="AK650" s="1160"/>
      <c r="AL650" s="1160"/>
    </row>
    <row r="651" ht="15.0" customHeight="1">
      <c r="A651" s="1209"/>
      <c r="B651" s="1209"/>
      <c r="C651" s="1210"/>
      <c r="D651" s="1160"/>
      <c r="E651" s="1160"/>
      <c r="F651" s="1160"/>
      <c r="G651" s="1160"/>
      <c r="H651" s="1160"/>
      <c r="I651" s="1160"/>
      <c r="J651" s="1160"/>
      <c r="K651" s="1160"/>
      <c r="L651" s="1160"/>
      <c r="M651" s="1160"/>
      <c r="N651" s="1160"/>
      <c r="O651" s="1160"/>
      <c r="P651" s="1160"/>
      <c r="Q651" s="1160"/>
      <c r="R651" s="1160"/>
      <c r="S651" s="1160"/>
      <c r="T651" s="1160"/>
      <c r="U651" s="1160"/>
      <c r="V651" s="1160"/>
      <c r="W651" s="1160"/>
      <c r="X651" s="1160"/>
      <c r="Y651" s="1160"/>
      <c r="Z651" s="1160"/>
      <c r="AA651" s="1160"/>
      <c r="AB651" s="1160"/>
      <c r="AC651" s="1160"/>
      <c r="AD651" s="1160"/>
      <c r="AE651" s="1160"/>
      <c r="AF651" s="1160"/>
      <c r="AG651" s="1160"/>
      <c r="AH651" s="1160"/>
      <c r="AI651" s="1160"/>
      <c r="AJ651" s="1160"/>
      <c r="AK651" s="1160"/>
      <c r="AL651" s="1160"/>
    </row>
    <row r="652" ht="15.0" customHeight="1">
      <c r="A652" s="1209"/>
      <c r="B652" s="1209"/>
      <c r="C652" s="1210"/>
      <c r="D652" s="1160"/>
      <c r="E652" s="1160"/>
      <c r="F652" s="1160"/>
      <c r="G652" s="1160"/>
      <c r="H652" s="1160"/>
      <c r="I652" s="1160"/>
      <c r="J652" s="1160"/>
      <c r="K652" s="1160"/>
      <c r="L652" s="1160"/>
      <c r="M652" s="1160"/>
      <c r="N652" s="1160"/>
      <c r="O652" s="1160"/>
      <c r="P652" s="1160"/>
      <c r="Q652" s="1160"/>
      <c r="R652" s="1160"/>
      <c r="S652" s="1160"/>
      <c r="T652" s="1160"/>
      <c r="U652" s="1160"/>
      <c r="V652" s="1160"/>
      <c r="W652" s="1160"/>
      <c r="X652" s="1160"/>
      <c r="Y652" s="1160"/>
      <c r="Z652" s="1160"/>
      <c r="AA652" s="1160"/>
      <c r="AB652" s="1160"/>
      <c r="AC652" s="1160"/>
      <c r="AD652" s="1160"/>
      <c r="AE652" s="1160"/>
      <c r="AF652" s="1160"/>
      <c r="AG652" s="1160"/>
      <c r="AH652" s="1160"/>
      <c r="AI652" s="1160"/>
      <c r="AJ652" s="1160"/>
      <c r="AK652" s="1160"/>
      <c r="AL652" s="1160"/>
    </row>
    <row r="653" ht="15.0" customHeight="1">
      <c r="A653" s="1209"/>
      <c r="B653" s="1209"/>
      <c r="C653" s="1210"/>
      <c r="D653" s="1160"/>
      <c r="E653" s="1160"/>
      <c r="F653" s="1160"/>
      <c r="G653" s="1160"/>
      <c r="H653" s="1160"/>
      <c r="I653" s="1160"/>
      <c r="J653" s="1160"/>
      <c r="K653" s="1160"/>
      <c r="L653" s="1160"/>
      <c r="M653" s="1160"/>
      <c r="N653" s="1160"/>
      <c r="O653" s="1160"/>
      <c r="P653" s="1160"/>
      <c r="Q653" s="1160"/>
      <c r="R653" s="1160"/>
      <c r="S653" s="1160"/>
      <c r="T653" s="1160"/>
      <c r="U653" s="1160"/>
      <c r="V653" s="1160"/>
      <c r="W653" s="1160"/>
      <c r="X653" s="1160"/>
      <c r="Y653" s="1160"/>
      <c r="Z653" s="1160"/>
      <c r="AA653" s="1160"/>
      <c r="AB653" s="1160"/>
      <c r="AC653" s="1160"/>
      <c r="AD653" s="1160"/>
      <c r="AE653" s="1160"/>
      <c r="AF653" s="1160"/>
      <c r="AG653" s="1160"/>
      <c r="AH653" s="1160"/>
      <c r="AI653" s="1160"/>
      <c r="AJ653" s="1160"/>
      <c r="AK653" s="1160"/>
      <c r="AL653" s="1160"/>
    </row>
    <row r="654" ht="15.0" customHeight="1">
      <c r="A654" s="1209"/>
      <c r="B654" s="1209"/>
      <c r="C654" s="1210"/>
      <c r="D654" s="1160"/>
      <c r="E654" s="1160"/>
      <c r="F654" s="1160"/>
      <c r="G654" s="1160"/>
      <c r="H654" s="1160"/>
      <c r="I654" s="1160"/>
      <c r="J654" s="1160"/>
      <c r="K654" s="1160"/>
      <c r="L654" s="1160"/>
      <c r="M654" s="1160"/>
      <c r="N654" s="1160"/>
      <c r="O654" s="1160"/>
      <c r="P654" s="1160"/>
      <c r="Q654" s="1160"/>
      <c r="R654" s="1160"/>
      <c r="S654" s="1160"/>
      <c r="T654" s="1160"/>
      <c r="U654" s="1160"/>
      <c r="V654" s="1160"/>
      <c r="W654" s="1160"/>
      <c r="X654" s="1160"/>
      <c r="Y654" s="1160"/>
      <c r="Z654" s="1160"/>
      <c r="AA654" s="1160"/>
      <c r="AB654" s="1160"/>
      <c r="AC654" s="1160"/>
      <c r="AD654" s="1160"/>
      <c r="AE654" s="1160"/>
      <c r="AF654" s="1160"/>
      <c r="AG654" s="1160"/>
      <c r="AH654" s="1160"/>
      <c r="AI654" s="1160"/>
      <c r="AJ654" s="1160"/>
      <c r="AK654" s="1160"/>
      <c r="AL654" s="1160"/>
    </row>
    <row r="655" ht="15.0" customHeight="1">
      <c r="A655" s="1209"/>
      <c r="B655" s="1209"/>
      <c r="C655" s="1210"/>
      <c r="D655" s="1160"/>
      <c r="E655" s="1160"/>
      <c r="F655" s="1160"/>
      <c r="G655" s="1160"/>
      <c r="H655" s="1160"/>
      <c r="I655" s="1160"/>
      <c r="J655" s="1160"/>
      <c r="K655" s="1160"/>
      <c r="L655" s="1160"/>
      <c r="M655" s="1160"/>
      <c r="N655" s="1160"/>
      <c r="O655" s="1160"/>
      <c r="P655" s="1160"/>
      <c r="Q655" s="1160"/>
      <c r="R655" s="1160"/>
      <c r="S655" s="1160"/>
      <c r="T655" s="1160"/>
      <c r="U655" s="1160"/>
      <c r="V655" s="1160"/>
      <c r="W655" s="1160"/>
      <c r="X655" s="1160"/>
      <c r="Y655" s="1160"/>
      <c r="Z655" s="1160"/>
      <c r="AA655" s="1160"/>
      <c r="AB655" s="1160"/>
      <c r="AC655" s="1160"/>
      <c r="AD655" s="1160"/>
      <c r="AE655" s="1160"/>
      <c r="AF655" s="1160"/>
      <c r="AG655" s="1160"/>
      <c r="AH655" s="1160"/>
      <c r="AI655" s="1160"/>
      <c r="AJ655" s="1160"/>
      <c r="AK655" s="1160"/>
      <c r="AL655" s="1160"/>
    </row>
    <row r="656" ht="15.0" customHeight="1">
      <c r="A656" s="1209"/>
      <c r="B656" s="1209"/>
      <c r="C656" s="1210"/>
      <c r="D656" s="1160"/>
      <c r="E656" s="1160"/>
      <c r="F656" s="1160"/>
      <c r="G656" s="1160"/>
      <c r="H656" s="1160"/>
      <c r="I656" s="1160"/>
      <c r="J656" s="1160"/>
      <c r="K656" s="1160"/>
      <c r="L656" s="1160"/>
      <c r="M656" s="1160"/>
      <c r="N656" s="1160"/>
      <c r="O656" s="1160"/>
      <c r="P656" s="1160"/>
      <c r="Q656" s="1160"/>
      <c r="R656" s="1160"/>
      <c r="S656" s="1160"/>
      <c r="T656" s="1160"/>
      <c r="U656" s="1160"/>
      <c r="V656" s="1160"/>
      <c r="W656" s="1160"/>
      <c r="X656" s="1160"/>
      <c r="Y656" s="1160"/>
      <c r="Z656" s="1160"/>
      <c r="AA656" s="1160"/>
      <c r="AB656" s="1160"/>
      <c r="AC656" s="1160"/>
      <c r="AD656" s="1160"/>
      <c r="AE656" s="1160"/>
      <c r="AF656" s="1160"/>
      <c r="AG656" s="1160"/>
      <c r="AH656" s="1160"/>
      <c r="AI656" s="1160"/>
      <c r="AJ656" s="1160"/>
      <c r="AK656" s="1160"/>
      <c r="AL656" s="1160"/>
    </row>
    <row r="657" ht="15.0" customHeight="1">
      <c r="A657" s="1209"/>
      <c r="B657" s="1209"/>
      <c r="C657" s="1210"/>
      <c r="D657" s="1160"/>
      <c r="E657" s="1160"/>
      <c r="F657" s="1160"/>
      <c r="G657" s="1160"/>
      <c r="H657" s="1160"/>
      <c r="I657" s="1160"/>
      <c r="J657" s="1160"/>
      <c r="K657" s="1160"/>
      <c r="L657" s="1160"/>
      <c r="M657" s="1160"/>
      <c r="N657" s="1160"/>
      <c r="O657" s="1160"/>
      <c r="P657" s="1160"/>
      <c r="Q657" s="1160"/>
      <c r="R657" s="1160"/>
      <c r="S657" s="1160"/>
      <c r="T657" s="1160"/>
      <c r="U657" s="1160"/>
      <c r="V657" s="1160"/>
      <c r="W657" s="1160"/>
      <c r="X657" s="1160"/>
      <c r="Y657" s="1160"/>
      <c r="Z657" s="1160"/>
      <c r="AA657" s="1160"/>
      <c r="AB657" s="1160"/>
      <c r="AC657" s="1160"/>
      <c r="AD657" s="1160"/>
      <c r="AE657" s="1160"/>
      <c r="AF657" s="1160"/>
      <c r="AG657" s="1160"/>
      <c r="AH657" s="1160"/>
      <c r="AI657" s="1160"/>
      <c r="AJ657" s="1160"/>
      <c r="AK657" s="1160"/>
      <c r="AL657" s="1160"/>
    </row>
    <row r="658" ht="15.0" customHeight="1">
      <c r="A658" s="1209"/>
      <c r="B658" s="1209"/>
      <c r="C658" s="1210"/>
      <c r="D658" s="1160"/>
      <c r="E658" s="1160"/>
      <c r="F658" s="1160"/>
      <c r="G658" s="1160"/>
      <c r="H658" s="1160"/>
      <c r="I658" s="1160"/>
      <c r="J658" s="1160"/>
      <c r="K658" s="1160"/>
      <c r="L658" s="1160"/>
      <c r="M658" s="1160"/>
      <c r="N658" s="1160"/>
      <c r="O658" s="1160"/>
      <c r="P658" s="1160"/>
      <c r="Q658" s="1160"/>
      <c r="R658" s="1160"/>
      <c r="S658" s="1160"/>
      <c r="T658" s="1160"/>
      <c r="U658" s="1160"/>
      <c r="V658" s="1160"/>
      <c r="W658" s="1160"/>
      <c r="X658" s="1160"/>
      <c r="Y658" s="1160"/>
      <c r="Z658" s="1160"/>
      <c r="AA658" s="1160"/>
      <c r="AB658" s="1160"/>
      <c r="AC658" s="1160"/>
      <c r="AD658" s="1160"/>
      <c r="AE658" s="1160"/>
      <c r="AF658" s="1160"/>
      <c r="AG658" s="1160"/>
      <c r="AH658" s="1160"/>
      <c r="AI658" s="1160"/>
      <c r="AJ658" s="1160"/>
      <c r="AK658" s="1160"/>
      <c r="AL658" s="1160"/>
    </row>
    <row r="659" ht="15.0" customHeight="1">
      <c r="A659" s="1209"/>
      <c r="B659" s="1209"/>
      <c r="C659" s="1210"/>
      <c r="D659" s="1160"/>
      <c r="E659" s="1160"/>
      <c r="F659" s="1160"/>
      <c r="G659" s="1160"/>
      <c r="H659" s="1160"/>
      <c r="I659" s="1160"/>
      <c r="J659" s="1160"/>
      <c r="K659" s="1160"/>
      <c r="L659" s="1160"/>
      <c r="M659" s="1160"/>
      <c r="N659" s="1160"/>
      <c r="O659" s="1160"/>
      <c r="P659" s="1160"/>
      <c r="Q659" s="1160"/>
      <c r="R659" s="1160"/>
      <c r="S659" s="1160"/>
      <c r="T659" s="1160"/>
      <c r="U659" s="1160"/>
      <c r="V659" s="1160"/>
      <c r="W659" s="1160"/>
      <c r="X659" s="1160"/>
      <c r="Y659" s="1160"/>
      <c r="Z659" s="1160"/>
      <c r="AA659" s="1160"/>
      <c r="AB659" s="1160"/>
      <c r="AC659" s="1160"/>
      <c r="AD659" s="1160"/>
      <c r="AE659" s="1160"/>
      <c r="AF659" s="1160"/>
      <c r="AG659" s="1160"/>
      <c r="AH659" s="1160"/>
      <c r="AI659" s="1160"/>
      <c r="AJ659" s="1160"/>
      <c r="AK659" s="1160"/>
      <c r="AL659" s="1160"/>
    </row>
    <row r="660" ht="15.0" customHeight="1">
      <c r="A660" s="1209"/>
      <c r="B660" s="1209"/>
      <c r="C660" s="1210"/>
      <c r="D660" s="1160"/>
      <c r="E660" s="1160"/>
      <c r="F660" s="1160"/>
      <c r="G660" s="1160"/>
      <c r="H660" s="1160"/>
      <c r="I660" s="1160"/>
      <c r="J660" s="1160"/>
      <c r="K660" s="1160"/>
      <c r="L660" s="1160"/>
      <c r="M660" s="1160"/>
      <c r="N660" s="1160"/>
      <c r="O660" s="1160"/>
      <c r="P660" s="1160"/>
      <c r="Q660" s="1160"/>
      <c r="R660" s="1160"/>
      <c r="S660" s="1160"/>
      <c r="T660" s="1160"/>
      <c r="U660" s="1160"/>
      <c r="V660" s="1160"/>
      <c r="W660" s="1160"/>
      <c r="X660" s="1160"/>
      <c r="Y660" s="1160"/>
      <c r="Z660" s="1160"/>
      <c r="AA660" s="1160"/>
      <c r="AB660" s="1160"/>
      <c r="AC660" s="1160"/>
      <c r="AD660" s="1160"/>
      <c r="AE660" s="1160"/>
      <c r="AF660" s="1160"/>
      <c r="AG660" s="1160"/>
      <c r="AH660" s="1160"/>
      <c r="AI660" s="1160"/>
      <c r="AJ660" s="1160"/>
      <c r="AK660" s="1160"/>
      <c r="AL660" s="1160"/>
    </row>
    <row r="661" ht="15.0" customHeight="1">
      <c r="A661" s="1209"/>
      <c r="B661" s="1209"/>
      <c r="C661" s="1210"/>
      <c r="D661" s="1160"/>
      <c r="E661" s="1160"/>
      <c r="F661" s="1160"/>
      <c r="G661" s="1160"/>
      <c r="H661" s="1160"/>
      <c r="I661" s="1160"/>
      <c r="J661" s="1160"/>
      <c r="K661" s="1160"/>
      <c r="L661" s="1160"/>
      <c r="M661" s="1160"/>
      <c r="N661" s="1160"/>
      <c r="O661" s="1160"/>
      <c r="P661" s="1160"/>
      <c r="Q661" s="1160"/>
      <c r="R661" s="1160"/>
      <c r="S661" s="1160"/>
      <c r="T661" s="1160"/>
      <c r="U661" s="1160"/>
      <c r="V661" s="1160"/>
      <c r="W661" s="1160"/>
      <c r="X661" s="1160"/>
      <c r="Y661" s="1160"/>
      <c r="Z661" s="1160"/>
      <c r="AA661" s="1160"/>
      <c r="AB661" s="1160"/>
      <c r="AC661" s="1160"/>
      <c r="AD661" s="1160"/>
      <c r="AE661" s="1160"/>
      <c r="AF661" s="1160"/>
      <c r="AG661" s="1160"/>
      <c r="AH661" s="1160"/>
      <c r="AI661" s="1160"/>
      <c r="AJ661" s="1160"/>
      <c r="AK661" s="1160"/>
      <c r="AL661" s="1160"/>
    </row>
    <row r="662" ht="15.0" customHeight="1">
      <c r="A662" s="1209"/>
      <c r="B662" s="1209"/>
      <c r="C662" s="1210"/>
      <c r="D662" s="1160"/>
      <c r="E662" s="1160"/>
      <c r="F662" s="1160"/>
      <c r="G662" s="1160"/>
      <c r="H662" s="1160"/>
      <c r="I662" s="1160"/>
      <c r="J662" s="1160"/>
      <c r="K662" s="1160"/>
      <c r="L662" s="1160"/>
      <c r="M662" s="1160"/>
      <c r="N662" s="1160"/>
      <c r="O662" s="1160"/>
      <c r="P662" s="1160"/>
      <c r="Q662" s="1160"/>
      <c r="R662" s="1160"/>
      <c r="S662" s="1160"/>
      <c r="T662" s="1160"/>
      <c r="U662" s="1160"/>
      <c r="V662" s="1160"/>
      <c r="W662" s="1160"/>
      <c r="X662" s="1160"/>
      <c r="Y662" s="1160"/>
      <c r="Z662" s="1160"/>
      <c r="AA662" s="1160"/>
      <c r="AB662" s="1160"/>
      <c r="AC662" s="1160"/>
      <c r="AD662" s="1160"/>
      <c r="AE662" s="1160"/>
      <c r="AF662" s="1160"/>
      <c r="AG662" s="1160"/>
      <c r="AH662" s="1160"/>
      <c r="AI662" s="1160"/>
      <c r="AJ662" s="1160"/>
      <c r="AK662" s="1160"/>
      <c r="AL662" s="1160"/>
    </row>
    <row r="663" ht="15.0" customHeight="1">
      <c r="A663" s="1209"/>
      <c r="B663" s="1209"/>
      <c r="C663" s="1210"/>
      <c r="D663" s="1160"/>
      <c r="E663" s="1160"/>
      <c r="F663" s="1160"/>
      <c r="G663" s="1160"/>
      <c r="H663" s="1160"/>
      <c r="I663" s="1160"/>
      <c r="J663" s="1160"/>
      <c r="K663" s="1160"/>
      <c r="L663" s="1160"/>
      <c r="M663" s="1160"/>
      <c r="N663" s="1160"/>
      <c r="O663" s="1160"/>
      <c r="P663" s="1160"/>
      <c r="Q663" s="1160"/>
      <c r="R663" s="1160"/>
      <c r="S663" s="1160"/>
      <c r="T663" s="1160"/>
      <c r="U663" s="1160"/>
      <c r="V663" s="1160"/>
      <c r="W663" s="1160"/>
      <c r="X663" s="1160"/>
      <c r="Y663" s="1160"/>
      <c r="Z663" s="1160"/>
      <c r="AA663" s="1160"/>
      <c r="AB663" s="1160"/>
      <c r="AC663" s="1160"/>
      <c r="AD663" s="1160"/>
      <c r="AE663" s="1160"/>
      <c r="AF663" s="1160"/>
      <c r="AG663" s="1160"/>
      <c r="AH663" s="1160"/>
      <c r="AI663" s="1160"/>
      <c r="AJ663" s="1160"/>
      <c r="AK663" s="1160"/>
      <c r="AL663" s="1160"/>
    </row>
    <row r="664" ht="15.0" customHeight="1">
      <c r="A664" s="1209"/>
      <c r="B664" s="1209"/>
      <c r="C664" s="1210"/>
      <c r="D664" s="1160"/>
      <c r="E664" s="1160"/>
      <c r="F664" s="1160"/>
      <c r="G664" s="1160"/>
      <c r="H664" s="1160"/>
      <c r="I664" s="1160"/>
      <c r="J664" s="1160"/>
      <c r="K664" s="1160"/>
      <c r="L664" s="1160"/>
      <c r="M664" s="1160"/>
      <c r="N664" s="1160"/>
      <c r="O664" s="1160"/>
      <c r="P664" s="1160"/>
      <c r="Q664" s="1160"/>
      <c r="R664" s="1160"/>
      <c r="S664" s="1160"/>
      <c r="T664" s="1160"/>
      <c r="U664" s="1160"/>
      <c r="V664" s="1160"/>
      <c r="W664" s="1160"/>
      <c r="X664" s="1160"/>
      <c r="Y664" s="1160"/>
      <c r="Z664" s="1160"/>
      <c r="AA664" s="1160"/>
      <c r="AB664" s="1160"/>
      <c r="AC664" s="1160"/>
      <c r="AD664" s="1160"/>
      <c r="AE664" s="1160"/>
      <c r="AF664" s="1160"/>
      <c r="AG664" s="1160"/>
      <c r="AH664" s="1160"/>
      <c r="AI664" s="1160"/>
      <c r="AJ664" s="1160"/>
      <c r="AK664" s="1160"/>
      <c r="AL664" s="1160"/>
    </row>
    <row r="665" ht="15.0" customHeight="1">
      <c r="A665" s="1209"/>
      <c r="B665" s="1209"/>
      <c r="C665" s="1210"/>
      <c r="D665" s="1160"/>
      <c r="E665" s="1160"/>
      <c r="F665" s="1160"/>
      <c r="G665" s="1160"/>
      <c r="H665" s="1160"/>
      <c r="I665" s="1160"/>
      <c r="J665" s="1160"/>
      <c r="K665" s="1160"/>
      <c r="L665" s="1160"/>
      <c r="M665" s="1160"/>
      <c r="N665" s="1160"/>
      <c r="O665" s="1160"/>
      <c r="P665" s="1160"/>
      <c r="Q665" s="1160"/>
      <c r="R665" s="1160"/>
      <c r="S665" s="1160"/>
      <c r="T665" s="1160"/>
      <c r="U665" s="1160"/>
      <c r="V665" s="1160"/>
      <c r="W665" s="1160"/>
      <c r="X665" s="1160"/>
      <c r="Y665" s="1160"/>
      <c r="Z665" s="1160"/>
      <c r="AA665" s="1160"/>
      <c r="AB665" s="1160"/>
      <c r="AC665" s="1160"/>
      <c r="AD665" s="1160"/>
      <c r="AE665" s="1160"/>
      <c r="AF665" s="1160"/>
      <c r="AG665" s="1160"/>
      <c r="AH665" s="1160"/>
      <c r="AI665" s="1160"/>
      <c r="AJ665" s="1160"/>
      <c r="AK665" s="1160"/>
      <c r="AL665" s="1160"/>
    </row>
    <row r="666" ht="15.0" customHeight="1">
      <c r="A666" s="1209"/>
      <c r="B666" s="1209"/>
      <c r="C666" s="1210"/>
      <c r="D666" s="1160"/>
      <c r="E666" s="1160"/>
      <c r="F666" s="1160"/>
      <c r="G666" s="1160"/>
      <c r="H666" s="1160"/>
      <c r="I666" s="1160"/>
      <c r="J666" s="1160"/>
      <c r="K666" s="1160"/>
      <c r="L666" s="1160"/>
      <c r="M666" s="1160"/>
      <c r="N666" s="1160"/>
      <c r="O666" s="1160"/>
      <c r="P666" s="1160"/>
      <c r="Q666" s="1160"/>
      <c r="R666" s="1160"/>
      <c r="S666" s="1160"/>
      <c r="T666" s="1160"/>
      <c r="U666" s="1160"/>
      <c r="V666" s="1160"/>
      <c r="W666" s="1160"/>
      <c r="X666" s="1160"/>
      <c r="Y666" s="1160"/>
      <c r="Z666" s="1160"/>
      <c r="AA666" s="1160"/>
      <c r="AB666" s="1160"/>
      <c r="AC666" s="1160"/>
      <c r="AD666" s="1160"/>
      <c r="AE666" s="1160"/>
      <c r="AF666" s="1160"/>
      <c r="AG666" s="1160"/>
      <c r="AH666" s="1160"/>
      <c r="AI666" s="1160"/>
      <c r="AJ666" s="1160"/>
      <c r="AK666" s="1160"/>
      <c r="AL666" s="1160"/>
    </row>
    <row r="667" ht="15.0" customHeight="1">
      <c r="A667" s="1209"/>
      <c r="B667" s="1209"/>
      <c r="C667" s="1210"/>
      <c r="D667" s="1160"/>
      <c r="E667" s="1160"/>
      <c r="F667" s="1160"/>
      <c r="G667" s="1160"/>
      <c r="H667" s="1160"/>
      <c r="I667" s="1160"/>
      <c r="J667" s="1160"/>
      <c r="K667" s="1160"/>
      <c r="L667" s="1160"/>
      <c r="M667" s="1160"/>
      <c r="N667" s="1160"/>
      <c r="O667" s="1160"/>
      <c r="P667" s="1160"/>
      <c r="Q667" s="1160"/>
      <c r="R667" s="1160"/>
      <c r="S667" s="1160"/>
      <c r="T667" s="1160"/>
      <c r="U667" s="1160"/>
      <c r="V667" s="1160"/>
      <c r="W667" s="1160"/>
      <c r="X667" s="1160"/>
      <c r="Y667" s="1160"/>
      <c r="Z667" s="1160"/>
      <c r="AA667" s="1160"/>
      <c r="AB667" s="1160"/>
      <c r="AC667" s="1160"/>
      <c r="AD667" s="1160"/>
      <c r="AE667" s="1160"/>
      <c r="AF667" s="1160"/>
      <c r="AG667" s="1160"/>
      <c r="AH667" s="1160"/>
      <c r="AI667" s="1160"/>
      <c r="AJ667" s="1160"/>
      <c r="AK667" s="1160"/>
      <c r="AL667" s="1160"/>
    </row>
    <row r="668" ht="15.0" customHeight="1">
      <c r="A668" s="1209"/>
      <c r="B668" s="1209"/>
      <c r="C668" s="1210"/>
      <c r="D668" s="1160"/>
      <c r="E668" s="1160"/>
      <c r="F668" s="1160"/>
      <c r="G668" s="1160"/>
      <c r="H668" s="1160"/>
      <c r="I668" s="1160"/>
      <c r="J668" s="1160"/>
      <c r="K668" s="1160"/>
      <c r="L668" s="1160"/>
      <c r="M668" s="1160"/>
      <c r="N668" s="1160"/>
      <c r="O668" s="1160"/>
      <c r="P668" s="1160"/>
      <c r="Q668" s="1160"/>
      <c r="R668" s="1160"/>
      <c r="S668" s="1160"/>
      <c r="T668" s="1160"/>
      <c r="U668" s="1160"/>
      <c r="V668" s="1160"/>
      <c r="W668" s="1160"/>
      <c r="X668" s="1160"/>
      <c r="Y668" s="1160"/>
      <c r="Z668" s="1160"/>
      <c r="AA668" s="1160"/>
      <c r="AB668" s="1160"/>
      <c r="AC668" s="1160"/>
      <c r="AD668" s="1160"/>
      <c r="AE668" s="1160"/>
      <c r="AF668" s="1160"/>
      <c r="AG668" s="1160"/>
      <c r="AH668" s="1160"/>
      <c r="AI668" s="1160"/>
      <c r="AJ668" s="1160"/>
      <c r="AK668" s="1160"/>
      <c r="AL668" s="1160"/>
    </row>
    <row r="669" ht="15.0" customHeight="1">
      <c r="A669" s="1209"/>
      <c r="B669" s="1209"/>
      <c r="C669" s="1210"/>
      <c r="D669" s="1160"/>
      <c r="E669" s="1160"/>
      <c r="F669" s="1160"/>
      <c r="G669" s="1160"/>
      <c r="H669" s="1160"/>
      <c r="I669" s="1160"/>
      <c r="J669" s="1160"/>
      <c r="K669" s="1160"/>
      <c r="L669" s="1160"/>
      <c r="M669" s="1160"/>
      <c r="N669" s="1160"/>
      <c r="O669" s="1160"/>
      <c r="P669" s="1160"/>
      <c r="Q669" s="1160"/>
      <c r="R669" s="1160"/>
      <c r="S669" s="1160"/>
      <c r="T669" s="1160"/>
      <c r="U669" s="1160"/>
      <c r="V669" s="1160"/>
      <c r="W669" s="1160"/>
      <c r="X669" s="1160"/>
      <c r="Y669" s="1160"/>
      <c r="Z669" s="1160"/>
      <c r="AA669" s="1160"/>
      <c r="AB669" s="1160"/>
      <c r="AC669" s="1160"/>
      <c r="AD669" s="1160"/>
      <c r="AE669" s="1160"/>
      <c r="AF669" s="1160"/>
      <c r="AG669" s="1160"/>
      <c r="AH669" s="1160"/>
      <c r="AI669" s="1160"/>
      <c r="AJ669" s="1160"/>
      <c r="AK669" s="1160"/>
      <c r="AL669" s="1160"/>
    </row>
    <row r="670" ht="15.0" customHeight="1">
      <c r="A670" s="1209"/>
      <c r="B670" s="1209"/>
      <c r="C670" s="1210"/>
      <c r="D670" s="1160"/>
      <c r="E670" s="1160"/>
      <c r="F670" s="1160"/>
      <c r="G670" s="1160"/>
      <c r="H670" s="1160"/>
      <c r="I670" s="1160"/>
      <c r="J670" s="1160"/>
      <c r="K670" s="1160"/>
      <c r="L670" s="1160"/>
      <c r="M670" s="1160"/>
      <c r="N670" s="1160"/>
      <c r="O670" s="1160"/>
      <c r="P670" s="1160"/>
      <c r="Q670" s="1160"/>
      <c r="R670" s="1160"/>
      <c r="S670" s="1160"/>
      <c r="T670" s="1160"/>
      <c r="U670" s="1160"/>
      <c r="V670" s="1160"/>
      <c r="W670" s="1160"/>
      <c r="X670" s="1160"/>
      <c r="Y670" s="1160"/>
      <c r="Z670" s="1160"/>
      <c r="AA670" s="1160"/>
      <c r="AB670" s="1160"/>
      <c r="AC670" s="1160"/>
      <c r="AD670" s="1160"/>
      <c r="AE670" s="1160"/>
      <c r="AF670" s="1160"/>
      <c r="AG670" s="1160"/>
      <c r="AH670" s="1160"/>
      <c r="AI670" s="1160"/>
      <c r="AJ670" s="1160"/>
      <c r="AK670" s="1160"/>
      <c r="AL670" s="1160"/>
    </row>
    <row r="671" ht="15.0" customHeight="1">
      <c r="A671" s="1209"/>
      <c r="B671" s="1209"/>
      <c r="C671" s="1210"/>
      <c r="D671" s="1160"/>
      <c r="E671" s="1160"/>
      <c r="F671" s="1160"/>
      <c r="G671" s="1160"/>
      <c r="H671" s="1160"/>
      <c r="I671" s="1160"/>
      <c r="J671" s="1160"/>
      <c r="K671" s="1160"/>
      <c r="L671" s="1160"/>
      <c r="M671" s="1160"/>
      <c r="N671" s="1160"/>
      <c r="O671" s="1160"/>
      <c r="P671" s="1160"/>
      <c r="Q671" s="1160"/>
      <c r="R671" s="1160"/>
      <c r="S671" s="1160"/>
      <c r="T671" s="1160"/>
      <c r="U671" s="1160"/>
      <c r="V671" s="1160"/>
      <c r="W671" s="1160"/>
      <c r="X671" s="1160"/>
      <c r="Y671" s="1160"/>
      <c r="Z671" s="1160"/>
      <c r="AA671" s="1160"/>
      <c r="AB671" s="1160"/>
      <c r="AC671" s="1160"/>
      <c r="AD671" s="1160"/>
      <c r="AE671" s="1160"/>
      <c r="AF671" s="1160"/>
      <c r="AG671" s="1160"/>
      <c r="AH671" s="1160"/>
      <c r="AI671" s="1160"/>
      <c r="AJ671" s="1160"/>
      <c r="AK671" s="1160"/>
      <c r="AL671" s="1160"/>
    </row>
    <row r="672" ht="15.0" customHeight="1">
      <c r="A672" s="1209"/>
      <c r="B672" s="1209"/>
      <c r="C672" s="1210"/>
      <c r="D672" s="1160"/>
      <c r="E672" s="1160"/>
      <c r="F672" s="1160"/>
      <c r="G672" s="1160"/>
      <c r="H672" s="1160"/>
      <c r="I672" s="1160"/>
      <c r="J672" s="1160"/>
      <c r="K672" s="1160"/>
      <c r="L672" s="1160"/>
      <c r="M672" s="1160"/>
      <c r="N672" s="1160"/>
      <c r="O672" s="1160"/>
      <c r="P672" s="1160"/>
      <c r="Q672" s="1160"/>
      <c r="R672" s="1160"/>
      <c r="S672" s="1160"/>
      <c r="T672" s="1160"/>
      <c r="U672" s="1160"/>
      <c r="V672" s="1160"/>
      <c r="W672" s="1160"/>
      <c r="X672" s="1160"/>
      <c r="Y672" s="1160"/>
      <c r="Z672" s="1160"/>
      <c r="AA672" s="1160"/>
      <c r="AB672" s="1160"/>
      <c r="AC672" s="1160"/>
      <c r="AD672" s="1160"/>
      <c r="AE672" s="1160"/>
      <c r="AF672" s="1160"/>
      <c r="AG672" s="1160"/>
      <c r="AH672" s="1160"/>
      <c r="AI672" s="1160"/>
      <c r="AJ672" s="1160"/>
      <c r="AK672" s="1160"/>
      <c r="AL672" s="1160"/>
    </row>
    <row r="673" ht="15.0" customHeight="1">
      <c r="A673" s="1209"/>
      <c r="B673" s="1209"/>
      <c r="C673" s="1210"/>
      <c r="D673" s="1160"/>
      <c r="E673" s="1160"/>
      <c r="F673" s="1160"/>
      <c r="G673" s="1160"/>
      <c r="H673" s="1160"/>
      <c r="I673" s="1160"/>
      <c r="J673" s="1160"/>
      <c r="K673" s="1160"/>
      <c r="L673" s="1160"/>
      <c r="M673" s="1160"/>
      <c r="N673" s="1160"/>
      <c r="O673" s="1160"/>
      <c r="P673" s="1160"/>
      <c r="Q673" s="1160"/>
      <c r="R673" s="1160"/>
      <c r="S673" s="1160"/>
      <c r="T673" s="1160"/>
      <c r="U673" s="1160"/>
      <c r="V673" s="1160"/>
      <c r="W673" s="1160"/>
      <c r="X673" s="1160"/>
      <c r="Y673" s="1160"/>
      <c r="Z673" s="1160"/>
      <c r="AA673" s="1160"/>
      <c r="AB673" s="1160"/>
      <c r="AC673" s="1160"/>
      <c r="AD673" s="1160"/>
      <c r="AE673" s="1160"/>
      <c r="AF673" s="1160"/>
      <c r="AG673" s="1160"/>
      <c r="AH673" s="1160"/>
      <c r="AI673" s="1160"/>
      <c r="AJ673" s="1160"/>
      <c r="AK673" s="1160"/>
      <c r="AL673" s="1160"/>
    </row>
    <row r="674" ht="15.0" customHeight="1">
      <c r="A674" s="1209"/>
      <c r="B674" s="1209"/>
      <c r="C674" s="1210"/>
      <c r="D674" s="1160"/>
      <c r="E674" s="1160"/>
      <c r="F674" s="1160"/>
      <c r="G674" s="1160"/>
      <c r="H674" s="1160"/>
      <c r="I674" s="1160"/>
      <c r="J674" s="1160"/>
      <c r="K674" s="1160"/>
      <c r="L674" s="1160"/>
      <c r="M674" s="1160"/>
      <c r="N674" s="1160"/>
      <c r="O674" s="1160"/>
      <c r="P674" s="1160"/>
      <c r="Q674" s="1160"/>
      <c r="R674" s="1160"/>
      <c r="S674" s="1160"/>
      <c r="T674" s="1160"/>
      <c r="U674" s="1160"/>
      <c r="V674" s="1160"/>
      <c r="W674" s="1160"/>
      <c r="X674" s="1160"/>
      <c r="Y674" s="1160"/>
      <c r="Z674" s="1160"/>
      <c r="AA674" s="1160"/>
      <c r="AB674" s="1160"/>
      <c r="AC674" s="1160"/>
      <c r="AD674" s="1160"/>
      <c r="AE674" s="1160"/>
      <c r="AF674" s="1160"/>
      <c r="AG674" s="1160"/>
      <c r="AH674" s="1160"/>
      <c r="AI674" s="1160"/>
      <c r="AJ674" s="1160"/>
      <c r="AK674" s="1160"/>
      <c r="AL674" s="1160"/>
    </row>
    <row r="675" ht="15.0" customHeight="1">
      <c r="A675" s="1209"/>
      <c r="B675" s="1209"/>
      <c r="C675" s="1210"/>
      <c r="D675" s="1160"/>
      <c r="E675" s="1160"/>
      <c r="F675" s="1160"/>
      <c r="G675" s="1160"/>
      <c r="H675" s="1160"/>
      <c r="I675" s="1160"/>
      <c r="J675" s="1160"/>
      <c r="K675" s="1160"/>
      <c r="L675" s="1160"/>
      <c r="M675" s="1160"/>
      <c r="N675" s="1160"/>
      <c r="O675" s="1160"/>
      <c r="P675" s="1160"/>
      <c r="Q675" s="1160"/>
      <c r="R675" s="1160"/>
      <c r="S675" s="1160"/>
      <c r="T675" s="1160"/>
      <c r="U675" s="1160"/>
      <c r="V675" s="1160"/>
      <c r="W675" s="1160"/>
      <c r="X675" s="1160"/>
      <c r="Y675" s="1160"/>
      <c r="Z675" s="1160"/>
      <c r="AA675" s="1160"/>
      <c r="AB675" s="1160"/>
      <c r="AC675" s="1160"/>
      <c r="AD675" s="1160"/>
      <c r="AE675" s="1160"/>
      <c r="AF675" s="1160"/>
      <c r="AG675" s="1160"/>
      <c r="AH675" s="1160"/>
      <c r="AI675" s="1160"/>
      <c r="AJ675" s="1160"/>
      <c r="AK675" s="1160"/>
      <c r="AL675" s="1160"/>
    </row>
    <row r="676" ht="15.0" customHeight="1">
      <c r="A676" s="1209"/>
      <c r="B676" s="1209"/>
      <c r="C676" s="1210"/>
      <c r="D676" s="1160"/>
      <c r="E676" s="1160"/>
      <c r="F676" s="1160"/>
      <c r="G676" s="1160"/>
      <c r="H676" s="1160"/>
      <c r="I676" s="1160"/>
      <c r="J676" s="1160"/>
      <c r="K676" s="1160"/>
      <c r="L676" s="1160"/>
      <c r="M676" s="1160"/>
      <c r="N676" s="1160"/>
      <c r="O676" s="1160"/>
      <c r="P676" s="1160"/>
      <c r="Q676" s="1160"/>
      <c r="R676" s="1160"/>
      <c r="S676" s="1160"/>
      <c r="T676" s="1160"/>
      <c r="U676" s="1160"/>
      <c r="V676" s="1160"/>
      <c r="W676" s="1160"/>
      <c r="X676" s="1160"/>
      <c r="Y676" s="1160"/>
      <c r="Z676" s="1160"/>
      <c r="AA676" s="1160"/>
      <c r="AB676" s="1160"/>
      <c r="AC676" s="1160"/>
      <c r="AD676" s="1160"/>
      <c r="AE676" s="1160"/>
      <c r="AF676" s="1160"/>
      <c r="AG676" s="1160"/>
      <c r="AH676" s="1160"/>
      <c r="AI676" s="1160"/>
      <c r="AJ676" s="1160"/>
      <c r="AK676" s="1160"/>
      <c r="AL676" s="1160"/>
    </row>
    <row r="677" ht="15.0" customHeight="1">
      <c r="A677" s="1209"/>
      <c r="B677" s="1209"/>
      <c r="C677" s="1210"/>
      <c r="D677" s="1160"/>
      <c r="E677" s="1160"/>
      <c r="F677" s="1160"/>
      <c r="G677" s="1160"/>
      <c r="H677" s="1160"/>
      <c r="I677" s="1160"/>
      <c r="J677" s="1160"/>
      <c r="K677" s="1160"/>
      <c r="L677" s="1160"/>
      <c r="M677" s="1160"/>
      <c r="N677" s="1160"/>
      <c r="O677" s="1160"/>
      <c r="P677" s="1160"/>
      <c r="Q677" s="1160"/>
      <c r="R677" s="1160"/>
      <c r="S677" s="1160"/>
      <c r="T677" s="1160"/>
      <c r="U677" s="1160"/>
      <c r="V677" s="1160"/>
      <c r="W677" s="1160"/>
      <c r="X677" s="1160"/>
      <c r="Y677" s="1160"/>
      <c r="Z677" s="1160"/>
      <c r="AA677" s="1160"/>
      <c r="AB677" s="1160"/>
      <c r="AC677" s="1160"/>
      <c r="AD677" s="1160"/>
      <c r="AE677" s="1160"/>
      <c r="AF677" s="1160"/>
      <c r="AG677" s="1160"/>
      <c r="AH677" s="1160"/>
      <c r="AI677" s="1160"/>
      <c r="AJ677" s="1160"/>
      <c r="AK677" s="1160"/>
      <c r="AL677" s="1160"/>
    </row>
    <row r="678" ht="15.0" customHeight="1">
      <c r="A678" s="1209"/>
      <c r="B678" s="1209"/>
      <c r="C678" s="1210"/>
      <c r="D678" s="1160"/>
      <c r="E678" s="1160"/>
      <c r="F678" s="1160"/>
      <c r="G678" s="1160"/>
      <c r="H678" s="1160"/>
      <c r="I678" s="1160"/>
      <c r="J678" s="1160"/>
      <c r="K678" s="1160"/>
      <c r="L678" s="1160"/>
      <c r="M678" s="1160"/>
      <c r="N678" s="1160"/>
      <c r="O678" s="1160"/>
      <c r="P678" s="1160"/>
      <c r="Q678" s="1160"/>
      <c r="R678" s="1160"/>
      <c r="S678" s="1160"/>
      <c r="T678" s="1160"/>
      <c r="U678" s="1160"/>
      <c r="V678" s="1160"/>
      <c r="W678" s="1160"/>
      <c r="X678" s="1160"/>
      <c r="Y678" s="1160"/>
      <c r="Z678" s="1160"/>
      <c r="AA678" s="1160"/>
      <c r="AB678" s="1160"/>
      <c r="AC678" s="1160"/>
      <c r="AD678" s="1160"/>
      <c r="AE678" s="1160"/>
      <c r="AF678" s="1160"/>
      <c r="AG678" s="1160"/>
      <c r="AH678" s="1160"/>
      <c r="AI678" s="1160"/>
      <c r="AJ678" s="1160"/>
      <c r="AK678" s="1160"/>
      <c r="AL678" s="1160"/>
    </row>
    <row r="679" ht="15.0" customHeight="1">
      <c r="A679" s="1209"/>
      <c r="B679" s="1209"/>
      <c r="C679" s="1210"/>
      <c r="D679" s="1160"/>
      <c r="E679" s="1160"/>
      <c r="F679" s="1160"/>
      <c r="G679" s="1160"/>
      <c r="H679" s="1160"/>
      <c r="I679" s="1160"/>
      <c r="J679" s="1160"/>
      <c r="K679" s="1160"/>
      <c r="L679" s="1160"/>
      <c r="M679" s="1160"/>
      <c r="N679" s="1160"/>
      <c r="O679" s="1160"/>
      <c r="P679" s="1160"/>
      <c r="Q679" s="1160"/>
      <c r="R679" s="1160"/>
      <c r="S679" s="1160"/>
      <c r="T679" s="1160"/>
      <c r="U679" s="1160"/>
      <c r="V679" s="1160"/>
      <c r="W679" s="1160"/>
      <c r="X679" s="1160"/>
      <c r="Y679" s="1160"/>
      <c r="Z679" s="1160"/>
      <c r="AA679" s="1160"/>
      <c r="AB679" s="1160"/>
      <c r="AC679" s="1160"/>
      <c r="AD679" s="1160"/>
      <c r="AE679" s="1160"/>
      <c r="AF679" s="1160"/>
      <c r="AG679" s="1160"/>
      <c r="AH679" s="1160"/>
      <c r="AI679" s="1160"/>
      <c r="AJ679" s="1160"/>
      <c r="AK679" s="1160"/>
      <c r="AL679" s="1160"/>
    </row>
    <row r="680" ht="15.0" customHeight="1">
      <c r="A680" s="1209"/>
      <c r="B680" s="1209"/>
      <c r="C680" s="1210"/>
      <c r="D680" s="1160"/>
      <c r="E680" s="1160"/>
      <c r="F680" s="1160"/>
      <c r="G680" s="1160"/>
      <c r="H680" s="1160"/>
      <c r="I680" s="1160"/>
      <c r="J680" s="1160"/>
      <c r="K680" s="1160"/>
      <c r="L680" s="1160"/>
      <c r="M680" s="1160"/>
      <c r="N680" s="1160"/>
      <c r="O680" s="1160"/>
      <c r="P680" s="1160"/>
      <c r="Q680" s="1160"/>
      <c r="R680" s="1160"/>
      <c r="S680" s="1160"/>
      <c r="T680" s="1160"/>
      <c r="U680" s="1160"/>
      <c r="V680" s="1160"/>
      <c r="W680" s="1160"/>
      <c r="X680" s="1160"/>
      <c r="Y680" s="1160"/>
      <c r="Z680" s="1160"/>
      <c r="AA680" s="1160"/>
      <c r="AB680" s="1160"/>
      <c r="AC680" s="1160"/>
      <c r="AD680" s="1160"/>
      <c r="AE680" s="1160"/>
      <c r="AF680" s="1160"/>
      <c r="AG680" s="1160"/>
      <c r="AH680" s="1160"/>
      <c r="AI680" s="1160"/>
      <c r="AJ680" s="1160"/>
      <c r="AK680" s="1160"/>
      <c r="AL680" s="1160"/>
    </row>
    <row r="681" ht="15.0" customHeight="1">
      <c r="A681" s="1209"/>
      <c r="B681" s="1209"/>
      <c r="C681" s="1210"/>
      <c r="D681" s="1160"/>
      <c r="E681" s="1160"/>
      <c r="F681" s="1160"/>
      <c r="G681" s="1160"/>
      <c r="H681" s="1160"/>
      <c r="I681" s="1160"/>
      <c r="J681" s="1160"/>
      <c r="K681" s="1160"/>
      <c r="L681" s="1160"/>
      <c r="M681" s="1160"/>
      <c r="N681" s="1160"/>
      <c r="O681" s="1160"/>
      <c r="P681" s="1160"/>
      <c r="Q681" s="1160"/>
      <c r="R681" s="1160"/>
      <c r="S681" s="1160"/>
      <c r="T681" s="1160"/>
      <c r="U681" s="1160"/>
      <c r="V681" s="1160"/>
      <c r="W681" s="1160"/>
      <c r="X681" s="1160"/>
      <c r="Y681" s="1160"/>
      <c r="Z681" s="1160"/>
      <c r="AA681" s="1160"/>
      <c r="AB681" s="1160"/>
      <c r="AC681" s="1160"/>
      <c r="AD681" s="1160"/>
      <c r="AE681" s="1160"/>
      <c r="AF681" s="1160"/>
      <c r="AG681" s="1160"/>
      <c r="AH681" s="1160"/>
      <c r="AI681" s="1160"/>
      <c r="AJ681" s="1160"/>
      <c r="AK681" s="1160"/>
      <c r="AL681" s="1160"/>
    </row>
    <row r="682" ht="15.0" customHeight="1">
      <c r="A682" s="1209"/>
      <c r="B682" s="1209"/>
      <c r="C682" s="1210"/>
      <c r="D682" s="1160"/>
      <c r="E682" s="1160"/>
      <c r="F682" s="1160"/>
      <c r="G682" s="1160"/>
      <c r="H682" s="1160"/>
      <c r="I682" s="1160"/>
      <c r="J682" s="1160"/>
      <c r="K682" s="1160"/>
      <c r="L682" s="1160"/>
      <c r="M682" s="1160"/>
      <c r="N682" s="1160"/>
      <c r="O682" s="1160"/>
      <c r="P682" s="1160"/>
      <c r="Q682" s="1160"/>
      <c r="R682" s="1160"/>
      <c r="S682" s="1160"/>
      <c r="T682" s="1160"/>
      <c r="U682" s="1160"/>
      <c r="V682" s="1160"/>
      <c r="W682" s="1160"/>
      <c r="X682" s="1160"/>
      <c r="Y682" s="1160"/>
      <c r="Z682" s="1160"/>
      <c r="AA682" s="1160"/>
      <c r="AB682" s="1160"/>
      <c r="AC682" s="1160"/>
      <c r="AD682" s="1160"/>
      <c r="AE682" s="1160"/>
      <c r="AF682" s="1160"/>
      <c r="AG682" s="1160"/>
      <c r="AH682" s="1160"/>
      <c r="AI682" s="1160"/>
      <c r="AJ682" s="1160"/>
      <c r="AK682" s="1160"/>
      <c r="AL682" s="1160"/>
    </row>
    <row r="683" ht="15.0" customHeight="1">
      <c r="A683" s="1209"/>
      <c r="B683" s="1209"/>
      <c r="C683" s="1210"/>
      <c r="D683" s="1160"/>
      <c r="E683" s="1160"/>
      <c r="F683" s="1160"/>
      <c r="G683" s="1160"/>
      <c r="H683" s="1160"/>
      <c r="I683" s="1160"/>
      <c r="J683" s="1160"/>
      <c r="K683" s="1160"/>
      <c r="L683" s="1160"/>
      <c r="M683" s="1160"/>
      <c r="N683" s="1160"/>
      <c r="O683" s="1160"/>
      <c r="P683" s="1160"/>
      <c r="Q683" s="1160"/>
      <c r="R683" s="1160"/>
      <c r="S683" s="1160"/>
      <c r="T683" s="1160"/>
      <c r="U683" s="1160"/>
      <c r="V683" s="1160"/>
      <c r="W683" s="1160"/>
      <c r="X683" s="1160"/>
      <c r="Y683" s="1160"/>
      <c r="Z683" s="1160"/>
      <c r="AA683" s="1160"/>
      <c r="AB683" s="1160"/>
      <c r="AC683" s="1160"/>
      <c r="AD683" s="1160"/>
      <c r="AE683" s="1160"/>
      <c r="AF683" s="1160"/>
      <c r="AG683" s="1160"/>
      <c r="AH683" s="1160"/>
      <c r="AI683" s="1160"/>
      <c r="AJ683" s="1160"/>
      <c r="AK683" s="1160"/>
      <c r="AL683" s="1160"/>
    </row>
    <row r="684" ht="15.0" customHeight="1">
      <c r="A684" s="1209"/>
      <c r="B684" s="1209"/>
      <c r="C684" s="1210"/>
      <c r="D684" s="1160"/>
      <c r="E684" s="1160"/>
      <c r="F684" s="1160"/>
      <c r="G684" s="1160"/>
      <c r="H684" s="1160"/>
      <c r="I684" s="1160"/>
      <c r="J684" s="1160"/>
      <c r="K684" s="1160"/>
      <c r="L684" s="1160"/>
      <c r="M684" s="1160"/>
      <c r="N684" s="1160"/>
      <c r="O684" s="1160"/>
      <c r="P684" s="1160"/>
      <c r="Q684" s="1160"/>
      <c r="R684" s="1160"/>
      <c r="S684" s="1160"/>
      <c r="T684" s="1160"/>
      <c r="U684" s="1160"/>
      <c r="V684" s="1160"/>
      <c r="W684" s="1160"/>
      <c r="X684" s="1160"/>
      <c r="Y684" s="1160"/>
      <c r="Z684" s="1160"/>
      <c r="AA684" s="1160"/>
      <c r="AB684" s="1160"/>
      <c r="AC684" s="1160"/>
      <c r="AD684" s="1160"/>
      <c r="AE684" s="1160"/>
      <c r="AF684" s="1160"/>
      <c r="AG684" s="1160"/>
      <c r="AH684" s="1160"/>
      <c r="AI684" s="1160"/>
      <c r="AJ684" s="1160"/>
      <c r="AK684" s="1160"/>
      <c r="AL684" s="1160"/>
    </row>
    <row r="685" ht="15.0" customHeight="1">
      <c r="A685" s="1209"/>
      <c r="B685" s="1209"/>
      <c r="C685" s="1210"/>
      <c r="D685" s="1160"/>
      <c r="E685" s="1160"/>
      <c r="F685" s="1160"/>
      <c r="G685" s="1160"/>
      <c r="H685" s="1160"/>
      <c r="I685" s="1160"/>
      <c r="J685" s="1160"/>
      <c r="K685" s="1160"/>
      <c r="L685" s="1160"/>
      <c r="M685" s="1160"/>
      <c r="N685" s="1160"/>
      <c r="O685" s="1160"/>
      <c r="P685" s="1160"/>
      <c r="Q685" s="1160"/>
      <c r="R685" s="1160"/>
      <c r="S685" s="1160"/>
      <c r="T685" s="1160"/>
      <c r="U685" s="1160"/>
      <c r="V685" s="1160"/>
      <c r="W685" s="1160"/>
      <c r="X685" s="1160"/>
      <c r="Y685" s="1160"/>
      <c r="Z685" s="1160"/>
      <c r="AA685" s="1160"/>
      <c r="AB685" s="1160"/>
      <c r="AC685" s="1160"/>
      <c r="AD685" s="1160"/>
      <c r="AE685" s="1160"/>
      <c r="AF685" s="1160"/>
      <c r="AG685" s="1160"/>
      <c r="AH685" s="1160"/>
      <c r="AI685" s="1160"/>
      <c r="AJ685" s="1160"/>
      <c r="AK685" s="1160"/>
      <c r="AL685" s="1160"/>
    </row>
    <row r="686" ht="15.0" customHeight="1">
      <c r="A686" s="1209"/>
      <c r="B686" s="1209"/>
      <c r="C686" s="1210"/>
      <c r="D686" s="1160"/>
      <c r="E686" s="1160"/>
      <c r="F686" s="1160"/>
      <c r="G686" s="1160"/>
      <c r="H686" s="1160"/>
      <c r="I686" s="1160"/>
      <c r="J686" s="1160"/>
      <c r="K686" s="1160"/>
      <c r="L686" s="1160"/>
      <c r="M686" s="1160"/>
      <c r="N686" s="1160"/>
      <c r="O686" s="1160"/>
      <c r="P686" s="1160"/>
      <c r="Q686" s="1160"/>
      <c r="R686" s="1160"/>
      <c r="S686" s="1160"/>
      <c r="T686" s="1160"/>
      <c r="U686" s="1160"/>
      <c r="V686" s="1160"/>
      <c r="W686" s="1160"/>
      <c r="X686" s="1160"/>
      <c r="Y686" s="1160"/>
      <c r="Z686" s="1160"/>
      <c r="AA686" s="1160"/>
      <c r="AB686" s="1160"/>
      <c r="AC686" s="1160"/>
      <c r="AD686" s="1160"/>
      <c r="AE686" s="1160"/>
      <c r="AF686" s="1160"/>
      <c r="AG686" s="1160"/>
      <c r="AH686" s="1160"/>
      <c r="AI686" s="1160"/>
      <c r="AJ686" s="1160"/>
      <c r="AK686" s="1160"/>
      <c r="AL686" s="1160"/>
    </row>
    <row r="687" ht="15.0" customHeight="1">
      <c r="A687" s="1209"/>
      <c r="B687" s="1209"/>
      <c r="C687" s="1210"/>
      <c r="D687" s="1160"/>
      <c r="E687" s="1160"/>
      <c r="F687" s="1160"/>
      <c r="G687" s="1160"/>
      <c r="H687" s="1160"/>
      <c r="I687" s="1160"/>
      <c r="J687" s="1160"/>
      <c r="K687" s="1160"/>
      <c r="L687" s="1160"/>
      <c r="M687" s="1160"/>
      <c r="N687" s="1160"/>
      <c r="O687" s="1160"/>
      <c r="P687" s="1160"/>
      <c r="Q687" s="1160"/>
      <c r="R687" s="1160"/>
      <c r="S687" s="1160"/>
      <c r="T687" s="1160"/>
      <c r="U687" s="1160"/>
      <c r="V687" s="1160"/>
      <c r="W687" s="1160"/>
      <c r="X687" s="1160"/>
      <c r="Y687" s="1160"/>
      <c r="Z687" s="1160"/>
      <c r="AA687" s="1160"/>
      <c r="AB687" s="1160"/>
      <c r="AC687" s="1160"/>
      <c r="AD687" s="1160"/>
      <c r="AE687" s="1160"/>
      <c r="AF687" s="1160"/>
      <c r="AG687" s="1160"/>
      <c r="AH687" s="1160"/>
      <c r="AI687" s="1160"/>
      <c r="AJ687" s="1160"/>
      <c r="AK687" s="1160"/>
      <c r="AL687" s="1160"/>
    </row>
    <row r="688" ht="15.0" customHeight="1">
      <c r="A688" s="1209"/>
      <c r="B688" s="1209"/>
      <c r="C688" s="1210"/>
      <c r="D688" s="1160"/>
      <c r="E688" s="1160"/>
      <c r="F688" s="1160"/>
      <c r="G688" s="1160"/>
      <c r="H688" s="1160"/>
      <c r="I688" s="1160"/>
      <c r="J688" s="1160"/>
      <c r="K688" s="1160"/>
      <c r="L688" s="1160"/>
      <c r="M688" s="1160"/>
      <c r="N688" s="1160"/>
      <c r="O688" s="1160"/>
      <c r="P688" s="1160"/>
      <c r="Q688" s="1160"/>
      <c r="R688" s="1160"/>
      <c r="S688" s="1160"/>
      <c r="T688" s="1160"/>
      <c r="U688" s="1160"/>
      <c r="V688" s="1160"/>
      <c r="W688" s="1160"/>
      <c r="X688" s="1160"/>
      <c r="Y688" s="1160"/>
      <c r="Z688" s="1160"/>
      <c r="AA688" s="1160"/>
      <c r="AB688" s="1160"/>
      <c r="AC688" s="1160"/>
      <c r="AD688" s="1160"/>
      <c r="AE688" s="1160"/>
      <c r="AF688" s="1160"/>
      <c r="AG688" s="1160"/>
      <c r="AH688" s="1160"/>
      <c r="AI688" s="1160"/>
      <c r="AJ688" s="1160"/>
      <c r="AK688" s="1160"/>
      <c r="AL688" s="1160"/>
    </row>
    <row r="689" ht="15.0" customHeight="1">
      <c r="A689" s="1209"/>
      <c r="B689" s="1209"/>
      <c r="C689" s="1210"/>
      <c r="D689" s="1160"/>
      <c r="E689" s="1160"/>
      <c r="F689" s="1160"/>
      <c r="G689" s="1160"/>
      <c r="H689" s="1160"/>
      <c r="I689" s="1160"/>
      <c r="J689" s="1160"/>
      <c r="K689" s="1160"/>
      <c r="L689" s="1160"/>
      <c r="M689" s="1160"/>
      <c r="N689" s="1160"/>
      <c r="O689" s="1160"/>
      <c r="P689" s="1160"/>
      <c r="Q689" s="1160"/>
      <c r="R689" s="1160"/>
      <c r="S689" s="1160"/>
      <c r="T689" s="1160"/>
      <c r="U689" s="1160"/>
      <c r="V689" s="1160"/>
      <c r="W689" s="1160"/>
      <c r="X689" s="1160"/>
      <c r="Y689" s="1160"/>
      <c r="Z689" s="1160"/>
      <c r="AA689" s="1160"/>
      <c r="AB689" s="1160"/>
      <c r="AC689" s="1160"/>
      <c r="AD689" s="1160"/>
      <c r="AE689" s="1160"/>
      <c r="AF689" s="1160"/>
      <c r="AG689" s="1160"/>
      <c r="AH689" s="1160"/>
      <c r="AI689" s="1160"/>
      <c r="AJ689" s="1160"/>
      <c r="AK689" s="1160"/>
      <c r="AL689" s="1160"/>
    </row>
    <row r="690" ht="15.0" customHeight="1">
      <c r="A690" s="1209"/>
      <c r="B690" s="1209"/>
      <c r="C690" s="1210"/>
      <c r="D690" s="1160"/>
      <c r="E690" s="1160"/>
      <c r="F690" s="1160"/>
      <c r="G690" s="1160"/>
      <c r="H690" s="1160"/>
      <c r="I690" s="1160"/>
      <c r="J690" s="1160"/>
      <c r="K690" s="1160"/>
      <c r="L690" s="1160"/>
      <c r="M690" s="1160"/>
      <c r="N690" s="1160"/>
      <c r="O690" s="1160"/>
      <c r="P690" s="1160"/>
      <c r="Q690" s="1160"/>
      <c r="R690" s="1160"/>
      <c r="S690" s="1160"/>
      <c r="T690" s="1160"/>
      <c r="U690" s="1160"/>
      <c r="V690" s="1160"/>
      <c r="W690" s="1160"/>
      <c r="X690" s="1160"/>
      <c r="Y690" s="1160"/>
      <c r="Z690" s="1160"/>
      <c r="AA690" s="1160"/>
      <c r="AB690" s="1160"/>
      <c r="AC690" s="1160"/>
      <c r="AD690" s="1160"/>
      <c r="AE690" s="1160"/>
      <c r="AF690" s="1160"/>
      <c r="AG690" s="1160"/>
      <c r="AH690" s="1160"/>
      <c r="AI690" s="1160"/>
      <c r="AJ690" s="1160"/>
      <c r="AK690" s="1160"/>
      <c r="AL690" s="1160"/>
    </row>
    <row r="691" ht="15.0" customHeight="1">
      <c r="A691" s="1209"/>
      <c r="B691" s="1209"/>
      <c r="C691" s="1210"/>
      <c r="D691" s="1160"/>
      <c r="E691" s="1160"/>
      <c r="F691" s="1160"/>
      <c r="G691" s="1160"/>
      <c r="H691" s="1160"/>
      <c r="I691" s="1160"/>
      <c r="J691" s="1160"/>
      <c r="K691" s="1160"/>
      <c r="L691" s="1160"/>
      <c r="M691" s="1160"/>
      <c r="N691" s="1160"/>
      <c r="O691" s="1160"/>
      <c r="P691" s="1160"/>
      <c r="Q691" s="1160"/>
      <c r="R691" s="1160"/>
      <c r="S691" s="1160"/>
      <c r="T691" s="1160"/>
      <c r="U691" s="1160"/>
      <c r="V691" s="1160"/>
      <c r="W691" s="1160"/>
      <c r="X691" s="1160"/>
      <c r="Y691" s="1160"/>
      <c r="Z691" s="1160"/>
      <c r="AA691" s="1160"/>
      <c r="AB691" s="1160"/>
      <c r="AC691" s="1160"/>
      <c r="AD691" s="1160"/>
      <c r="AE691" s="1160"/>
      <c r="AF691" s="1160"/>
      <c r="AG691" s="1160"/>
      <c r="AH691" s="1160"/>
      <c r="AI691" s="1160"/>
      <c r="AJ691" s="1160"/>
      <c r="AK691" s="1160"/>
      <c r="AL691" s="1160"/>
    </row>
    <row r="692" ht="15.0" customHeight="1">
      <c r="A692" s="1209"/>
      <c r="B692" s="1209"/>
      <c r="C692" s="1210"/>
      <c r="D692" s="1160"/>
      <c r="E692" s="1160"/>
      <c r="F692" s="1160"/>
      <c r="G692" s="1160"/>
      <c r="H692" s="1160"/>
      <c r="I692" s="1160"/>
      <c r="J692" s="1160"/>
      <c r="K692" s="1160"/>
      <c r="L692" s="1160"/>
      <c r="M692" s="1160"/>
      <c r="N692" s="1160"/>
      <c r="O692" s="1160"/>
      <c r="P692" s="1160"/>
      <c r="Q692" s="1160"/>
      <c r="R692" s="1160"/>
      <c r="S692" s="1160"/>
      <c r="T692" s="1160"/>
      <c r="U692" s="1160"/>
      <c r="V692" s="1160"/>
      <c r="W692" s="1160"/>
      <c r="X692" s="1160"/>
      <c r="Y692" s="1160"/>
      <c r="Z692" s="1160"/>
      <c r="AA692" s="1160"/>
      <c r="AB692" s="1160"/>
      <c r="AC692" s="1160"/>
      <c r="AD692" s="1160"/>
      <c r="AE692" s="1160"/>
      <c r="AF692" s="1160"/>
      <c r="AG692" s="1160"/>
      <c r="AH692" s="1160"/>
      <c r="AI692" s="1160"/>
      <c r="AJ692" s="1160"/>
      <c r="AK692" s="1160"/>
      <c r="AL692" s="1160"/>
    </row>
    <row r="693" ht="15.0" customHeight="1">
      <c r="A693" s="1209"/>
      <c r="B693" s="1209"/>
      <c r="C693" s="1210"/>
      <c r="D693" s="1160"/>
      <c r="E693" s="1160"/>
      <c r="F693" s="1160"/>
      <c r="G693" s="1160"/>
      <c r="H693" s="1160"/>
      <c r="I693" s="1160"/>
      <c r="J693" s="1160"/>
      <c r="K693" s="1160"/>
      <c r="L693" s="1160"/>
      <c r="M693" s="1160"/>
      <c r="N693" s="1160"/>
      <c r="O693" s="1160"/>
      <c r="P693" s="1160"/>
      <c r="Q693" s="1160"/>
      <c r="R693" s="1160"/>
      <c r="S693" s="1160"/>
      <c r="T693" s="1160"/>
      <c r="U693" s="1160"/>
      <c r="V693" s="1160"/>
      <c r="W693" s="1160"/>
      <c r="X693" s="1160"/>
      <c r="Y693" s="1160"/>
      <c r="Z693" s="1160"/>
      <c r="AA693" s="1160"/>
      <c r="AB693" s="1160"/>
      <c r="AC693" s="1160"/>
      <c r="AD693" s="1160"/>
      <c r="AE693" s="1160"/>
      <c r="AF693" s="1160"/>
      <c r="AG693" s="1160"/>
      <c r="AH693" s="1160"/>
      <c r="AI693" s="1160"/>
      <c r="AJ693" s="1160"/>
      <c r="AK693" s="1160"/>
      <c r="AL693" s="1160"/>
    </row>
    <row r="694" ht="15.0" customHeight="1">
      <c r="A694" s="1209"/>
      <c r="B694" s="1209"/>
      <c r="C694" s="1210"/>
      <c r="D694" s="1160"/>
      <c r="E694" s="1160"/>
      <c r="F694" s="1160"/>
      <c r="G694" s="1160"/>
      <c r="H694" s="1160"/>
      <c r="I694" s="1160"/>
      <c r="J694" s="1160"/>
      <c r="K694" s="1160"/>
      <c r="L694" s="1160"/>
      <c r="M694" s="1160"/>
      <c r="N694" s="1160"/>
      <c r="O694" s="1160"/>
      <c r="P694" s="1160"/>
      <c r="Q694" s="1160"/>
      <c r="R694" s="1160"/>
      <c r="S694" s="1160"/>
      <c r="T694" s="1160"/>
      <c r="U694" s="1160"/>
      <c r="V694" s="1160"/>
      <c r="W694" s="1160"/>
      <c r="X694" s="1160"/>
      <c r="Y694" s="1160"/>
      <c r="Z694" s="1160"/>
      <c r="AA694" s="1160"/>
      <c r="AB694" s="1160"/>
      <c r="AC694" s="1160"/>
      <c r="AD694" s="1160"/>
      <c r="AE694" s="1160"/>
      <c r="AF694" s="1160"/>
      <c r="AG694" s="1160"/>
      <c r="AH694" s="1160"/>
      <c r="AI694" s="1160"/>
      <c r="AJ694" s="1160"/>
      <c r="AK694" s="1160"/>
      <c r="AL694" s="1160"/>
    </row>
    <row r="695" ht="15.0" customHeight="1">
      <c r="A695" s="1209"/>
      <c r="B695" s="1209"/>
      <c r="C695" s="1210"/>
      <c r="D695" s="1160"/>
      <c r="E695" s="1160"/>
      <c r="F695" s="1160"/>
      <c r="G695" s="1160"/>
      <c r="H695" s="1160"/>
      <c r="I695" s="1160"/>
      <c r="J695" s="1160"/>
      <c r="K695" s="1160"/>
      <c r="L695" s="1160"/>
      <c r="M695" s="1160"/>
      <c r="N695" s="1160"/>
      <c r="O695" s="1160"/>
      <c r="P695" s="1160"/>
      <c r="Q695" s="1160"/>
      <c r="R695" s="1160"/>
      <c r="S695" s="1160"/>
      <c r="T695" s="1160"/>
      <c r="U695" s="1160"/>
      <c r="V695" s="1160"/>
      <c r="W695" s="1160"/>
      <c r="X695" s="1160"/>
      <c r="Y695" s="1160"/>
      <c r="Z695" s="1160"/>
      <c r="AA695" s="1160"/>
      <c r="AB695" s="1160"/>
      <c r="AC695" s="1160"/>
      <c r="AD695" s="1160"/>
      <c r="AE695" s="1160"/>
      <c r="AF695" s="1160"/>
      <c r="AG695" s="1160"/>
      <c r="AH695" s="1160"/>
      <c r="AI695" s="1160"/>
      <c r="AJ695" s="1160"/>
      <c r="AK695" s="1160"/>
      <c r="AL695" s="1160"/>
    </row>
    <row r="696" ht="15.0" customHeight="1">
      <c r="A696" s="1209"/>
      <c r="B696" s="1209"/>
      <c r="C696" s="1210"/>
      <c r="D696" s="1160"/>
      <c r="E696" s="1160"/>
      <c r="F696" s="1160"/>
      <c r="G696" s="1160"/>
      <c r="H696" s="1160"/>
      <c r="I696" s="1160"/>
      <c r="J696" s="1160"/>
      <c r="K696" s="1160"/>
      <c r="L696" s="1160"/>
      <c r="M696" s="1160"/>
      <c r="N696" s="1160"/>
      <c r="O696" s="1160"/>
      <c r="P696" s="1160"/>
      <c r="Q696" s="1160"/>
      <c r="R696" s="1160"/>
      <c r="S696" s="1160"/>
      <c r="T696" s="1160"/>
      <c r="U696" s="1160"/>
      <c r="V696" s="1160"/>
      <c r="W696" s="1160"/>
      <c r="X696" s="1160"/>
      <c r="Y696" s="1160"/>
      <c r="Z696" s="1160"/>
      <c r="AA696" s="1160"/>
      <c r="AB696" s="1160"/>
      <c r="AC696" s="1160"/>
      <c r="AD696" s="1160"/>
      <c r="AE696" s="1160"/>
      <c r="AF696" s="1160"/>
      <c r="AG696" s="1160"/>
      <c r="AH696" s="1160"/>
      <c r="AI696" s="1160"/>
      <c r="AJ696" s="1160"/>
      <c r="AK696" s="1160"/>
      <c r="AL696" s="1160"/>
    </row>
    <row r="697" ht="15.0" customHeight="1">
      <c r="A697" s="1209"/>
      <c r="B697" s="1209"/>
      <c r="C697" s="1210"/>
      <c r="D697" s="1160"/>
      <c r="E697" s="1160"/>
      <c r="F697" s="1160"/>
      <c r="G697" s="1160"/>
      <c r="H697" s="1160"/>
      <c r="I697" s="1160"/>
      <c r="J697" s="1160"/>
      <c r="K697" s="1160"/>
      <c r="L697" s="1160"/>
      <c r="M697" s="1160"/>
      <c r="N697" s="1160"/>
      <c r="O697" s="1160"/>
      <c r="P697" s="1160"/>
      <c r="Q697" s="1160"/>
      <c r="R697" s="1160"/>
      <c r="S697" s="1160"/>
      <c r="T697" s="1160"/>
      <c r="U697" s="1160"/>
      <c r="V697" s="1160"/>
      <c r="W697" s="1160"/>
      <c r="X697" s="1160"/>
      <c r="Y697" s="1160"/>
      <c r="Z697" s="1160"/>
      <c r="AA697" s="1160"/>
      <c r="AB697" s="1160"/>
      <c r="AC697" s="1160"/>
      <c r="AD697" s="1160"/>
      <c r="AE697" s="1160"/>
      <c r="AF697" s="1160"/>
      <c r="AG697" s="1160"/>
      <c r="AH697" s="1160"/>
      <c r="AI697" s="1160"/>
      <c r="AJ697" s="1160"/>
      <c r="AK697" s="1160"/>
      <c r="AL697" s="1160"/>
    </row>
    <row r="698" ht="15.0" customHeight="1">
      <c r="A698" s="1209"/>
      <c r="B698" s="1209"/>
      <c r="C698" s="1210"/>
      <c r="D698" s="1160"/>
      <c r="E698" s="1160"/>
      <c r="F698" s="1160"/>
      <c r="G698" s="1160"/>
      <c r="H698" s="1160"/>
      <c r="I698" s="1160"/>
      <c r="J698" s="1160"/>
      <c r="K698" s="1160"/>
      <c r="L698" s="1160"/>
      <c r="M698" s="1160"/>
      <c r="N698" s="1160"/>
      <c r="O698" s="1160"/>
      <c r="P698" s="1160"/>
      <c r="Q698" s="1160"/>
      <c r="R698" s="1160"/>
      <c r="S698" s="1160"/>
      <c r="T698" s="1160"/>
      <c r="U698" s="1160"/>
      <c r="V698" s="1160"/>
      <c r="W698" s="1160"/>
      <c r="X698" s="1160"/>
      <c r="Y698" s="1160"/>
      <c r="Z698" s="1160"/>
      <c r="AA698" s="1160"/>
      <c r="AB698" s="1160"/>
      <c r="AC698" s="1160"/>
      <c r="AD698" s="1160"/>
      <c r="AE698" s="1160"/>
      <c r="AF698" s="1160"/>
      <c r="AG698" s="1160"/>
      <c r="AH698" s="1160"/>
      <c r="AI698" s="1160"/>
      <c r="AJ698" s="1160"/>
      <c r="AK698" s="1160"/>
      <c r="AL698" s="1160"/>
    </row>
    <row r="699" ht="15.0" customHeight="1">
      <c r="A699" s="1209"/>
      <c r="B699" s="1209"/>
      <c r="C699" s="1210"/>
      <c r="D699" s="1160"/>
      <c r="E699" s="1160"/>
      <c r="F699" s="1160"/>
      <c r="G699" s="1160"/>
      <c r="H699" s="1160"/>
      <c r="I699" s="1160"/>
      <c r="J699" s="1160"/>
      <c r="K699" s="1160"/>
      <c r="L699" s="1160"/>
      <c r="M699" s="1160"/>
      <c r="N699" s="1160"/>
      <c r="O699" s="1160"/>
      <c r="P699" s="1160"/>
      <c r="Q699" s="1160"/>
      <c r="R699" s="1160"/>
      <c r="S699" s="1160"/>
      <c r="T699" s="1160"/>
      <c r="U699" s="1160"/>
      <c r="V699" s="1160"/>
      <c r="W699" s="1160"/>
      <c r="X699" s="1160"/>
      <c r="Y699" s="1160"/>
      <c r="Z699" s="1160"/>
      <c r="AA699" s="1160"/>
      <c r="AB699" s="1160"/>
      <c r="AC699" s="1160"/>
      <c r="AD699" s="1160"/>
      <c r="AE699" s="1160"/>
      <c r="AF699" s="1160"/>
      <c r="AG699" s="1160"/>
      <c r="AH699" s="1160"/>
      <c r="AI699" s="1160"/>
      <c r="AJ699" s="1160"/>
      <c r="AK699" s="1160"/>
      <c r="AL699" s="1160"/>
    </row>
    <row r="700" ht="15.0" customHeight="1">
      <c r="A700" s="1209"/>
      <c r="B700" s="1209"/>
      <c r="C700" s="1210"/>
      <c r="D700" s="1160"/>
      <c r="E700" s="1160"/>
      <c r="F700" s="1160"/>
      <c r="G700" s="1160"/>
      <c r="H700" s="1160"/>
      <c r="I700" s="1160"/>
      <c r="J700" s="1160"/>
      <c r="K700" s="1160"/>
      <c r="L700" s="1160"/>
      <c r="M700" s="1160"/>
      <c r="N700" s="1160"/>
      <c r="O700" s="1160"/>
      <c r="P700" s="1160"/>
      <c r="Q700" s="1160"/>
      <c r="R700" s="1160"/>
      <c r="S700" s="1160"/>
      <c r="T700" s="1160"/>
      <c r="U700" s="1160"/>
      <c r="V700" s="1160"/>
      <c r="W700" s="1160"/>
      <c r="X700" s="1160"/>
      <c r="Y700" s="1160"/>
      <c r="Z700" s="1160"/>
      <c r="AA700" s="1160"/>
      <c r="AB700" s="1160"/>
      <c r="AC700" s="1160"/>
      <c r="AD700" s="1160"/>
      <c r="AE700" s="1160"/>
      <c r="AF700" s="1160"/>
      <c r="AG700" s="1160"/>
      <c r="AH700" s="1160"/>
      <c r="AI700" s="1160"/>
      <c r="AJ700" s="1160"/>
      <c r="AK700" s="1160"/>
      <c r="AL700" s="1160"/>
    </row>
    <row r="701" ht="15.0" customHeight="1">
      <c r="A701" s="1209"/>
      <c r="B701" s="1209"/>
      <c r="C701" s="1210"/>
      <c r="D701" s="1160"/>
      <c r="E701" s="1160"/>
      <c r="F701" s="1160"/>
      <c r="G701" s="1160"/>
      <c r="H701" s="1160"/>
      <c r="I701" s="1160"/>
      <c r="J701" s="1160"/>
      <c r="K701" s="1160"/>
      <c r="L701" s="1160"/>
      <c r="M701" s="1160"/>
      <c r="N701" s="1160"/>
      <c r="O701" s="1160"/>
      <c r="P701" s="1160"/>
      <c r="Q701" s="1160"/>
      <c r="R701" s="1160"/>
      <c r="S701" s="1160"/>
      <c r="T701" s="1160"/>
      <c r="U701" s="1160"/>
      <c r="V701" s="1160"/>
      <c r="W701" s="1160"/>
      <c r="X701" s="1160"/>
      <c r="Y701" s="1160"/>
      <c r="Z701" s="1160"/>
      <c r="AA701" s="1160"/>
      <c r="AB701" s="1160"/>
      <c r="AC701" s="1160"/>
      <c r="AD701" s="1160"/>
      <c r="AE701" s="1160"/>
      <c r="AF701" s="1160"/>
      <c r="AG701" s="1160"/>
      <c r="AH701" s="1160"/>
      <c r="AI701" s="1160"/>
      <c r="AJ701" s="1160"/>
      <c r="AK701" s="1160"/>
      <c r="AL701" s="1160"/>
    </row>
    <row r="702" ht="15.0" customHeight="1">
      <c r="A702" s="1209"/>
      <c r="B702" s="1209"/>
      <c r="C702" s="1210"/>
      <c r="D702" s="1160"/>
      <c r="E702" s="1160"/>
      <c r="F702" s="1160"/>
      <c r="G702" s="1160"/>
      <c r="H702" s="1160"/>
      <c r="I702" s="1160"/>
      <c r="J702" s="1160"/>
      <c r="K702" s="1160"/>
      <c r="L702" s="1160"/>
      <c r="M702" s="1160"/>
      <c r="N702" s="1160"/>
      <c r="O702" s="1160"/>
      <c r="P702" s="1160"/>
      <c r="Q702" s="1160"/>
      <c r="R702" s="1160"/>
      <c r="S702" s="1160"/>
      <c r="T702" s="1160"/>
      <c r="U702" s="1160"/>
      <c r="V702" s="1160"/>
      <c r="W702" s="1160"/>
      <c r="X702" s="1160"/>
      <c r="Y702" s="1160"/>
      <c r="Z702" s="1160"/>
      <c r="AA702" s="1160"/>
      <c r="AB702" s="1160"/>
      <c r="AC702" s="1160"/>
      <c r="AD702" s="1160"/>
      <c r="AE702" s="1160"/>
      <c r="AF702" s="1160"/>
      <c r="AG702" s="1160"/>
      <c r="AH702" s="1160"/>
      <c r="AI702" s="1160"/>
      <c r="AJ702" s="1160"/>
      <c r="AK702" s="1160"/>
      <c r="AL702" s="1160"/>
    </row>
    <row r="703" ht="15.0" customHeight="1">
      <c r="A703" s="1209"/>
      <c r="B703" s="1209"/>
      <c r="C703" s="1210"/>
      <c r="D703" s="1160"/>
      <c r="E703" s="1160"/>
      <c r="F703" s="1160"/>
      <c r="G703" s="1160"/>
      <c r="H703" s="1160"/>
      <c r="I703" s="1160"/>
      <c r="J703" s="1160"/>
      <c r="K703" s="1160"/>
      <c r="L703" s="1160"/>
      <c r="M703" s="1160"/>
      <c r="N703" s="1160"/>
      <c r="O703" s="1160"/>
      <c r="P703" s="1160"/>
      <c r="Q703" s="1160"/>
      <c r="R703" s="1160"/>
      <c r="S703" s="1160"/>
      <c r="T703" s="1160"/>
      <c r="U703" s="1160"/>
      <c r="V703" s="1160"/>
      <c r="W703" s="1160"/>
      <c r="X703" s="1160"/>
      <c r="Y703" s="1160"/>
      <c r="Z703" s="1160"/>
      <c r="AA703" s="1160"/>
      <c r="AB703" s="1160"/>
      <c r="AC703" s="1160"/>
      <c r="AD703" s="1160"/>
      <c r="AE703" s="1160"/>
      <c r="AF703" s="1160"/>
      <c r="AG703" s="1160"/>
      <c r="AH703" s="1160"/>
      <c r="AI703" s="1160"/>
      <c r="AJ703" s="1160"/>
      <c r="AK703" s="1160"/>
      <c r="AL703" s="1160"/>
    </row>
    <row r="704" ht="15.0" customHeight="1">
      <c r="A704" s="1209"/>
      <c r="B704" s="1209"/>
      <c r="C704" s="1210"/>
      <c r="D704" s="1160"/>
      <c r="E704" s="1160"/>
      <c r="F704" s="1160"/>
      <c r="G704" s="1160"/>
      <c r="H704" s="1160"/>
      <c r="I704" s="1160"/>
      <c r="J704" s="1160"/>
      <c r="K704" s="1160"/>
      <c r="L704" s="1160"/>
      <c r="M704" s="1160"/>
      <c r="N704" s="1160"/>
      <c r="O704" s="1160"/>
      <c r="P704" s="1160"/>
      <c r="Q704" s="1160"/>
      <c r="R704" s="1160"/>
      <c r="S704" s="1160"/>
      <c r="T704" s="1160"/>
      <c r="U704" s="1160"/>
      <c r="V704" s="1160"/>
      <c r="W704" s="1160"/>
      <c r="X704" s="1160"/>
      <c r="Y704" s="1160"/>
      <c r="Z704" s="1160"/>
      <c r="AA704" s="1160"/>
      <c r="AB704" s="1160"/>
      <c r="AC704" s="1160"/>
      <c r="AD704" s="1160"/>
      <c r="AE704" s="1160"/>
      <c r="AF704" s="1160"/>
      <c r="AG704" s="1160"/>
      <c r="AH704" s="1160"/>
      <c r="AI704" s="1160"/>
      <c r="AJ704" s="1160"/>
      <c r="AK704" s="1160"/>
      <c r="AL704" s="1160"/>
    </row>
    <row r="705" ht="15.0" customHeight="1">
      <c r="A705" s="1209"/>
      <c r="B705" s="1209"/>
      <c r="C705" s="1210"/>
      <c r="D705" s="1160"/>
      <c r="E705" s="1160"/>
      <c r="F705" s="1160"/>
      <c r="G705" s="1160"/>
      <c r="H705" s="1160"/>
      <c r="I705" s="1160"/>
      <c r="J705" s="1160"/>
      <c r="K705" s="1160"/>
      <c r="L705" s="1160"/>
      <c r="M705" s="1160"/>
      <c r="N705" s="1160"/>
      <c r="O705" s="1160"/>
      <c r="P705" s="1160"/>
      <c r="Q705" s="1160"/>
      <c r="R705" s="1160"/>
      <c r="S705" s="1160"/>
      <c r="T705" s="1160"/>
      <c r="U705" s="1160"/>
      <c r="V705" s="1160"/>
      <c r="W705" s="1160"/>
      <c r="X705" s="1160"/>
      <c r="Y705" s="1160"/>
      <c r="Z705" s="1160"/>
      <c r="AA705" s="1160"/>
      <c r="AB705" s="1160"/>
      <c r="AC705" s="1160"/>
      <c r="AD705" s="1160"/>
      <c r="AE705" s="1160"/>
      <c r="AF705" s="1160"/>
      <c r="AG705" s="1160"/>
      <c r="AH705" s="1160"/>
      <c r="AI705" s="1160"/>
      <c r="AJ705" s="1160"/>
      <c r="AK705" s="1160"/>
      <c r="AL705" s="1160"/>
    </row>
    <row r="706" ht="15.0" customHeight="1">
      <c r="A706" s="1209"/>
      <c r="B706" s="1209"/>
      <c r="C706" s="1210"/>
      <c r="D706" s="1160"/>
      <c r="E706" s="1160"/>
      <c r="F706" s="1160"/>
      <c r="G706" s="1160"/>
      <c r="H706" s="1160"/>
      <c r="I706" s="1160"/>
      <c r="J706" s="1160"/>
      <c r="K706" s="1160"/>
      <c r="L706" s="1160"/>
      <c r="M706" s="1160"/>
      <c r="N706" s="1160"/>
      <c r="O706" s="1160"/>
      <c r="P706" s="1160"/>
      <c r="Q706" s="1160"/>
      <c r="R706" s="1160"/>
      <c r="S706" s="1160"/>
      <c r="T706" s="1160"/>
      <c r="U706" s="1160"/>
      <c r="V706" s="1160"/>
      <c r="W706" s="1160"/>
      <c r="X706" s="1160"/>
      <c r="Y706" s="1160"/>
      <c r="Z706" s="1160"/>
      <c r="AA706" s="1160"/>
      <c r="AB706" s="1160"/>
      <c r="AC706" s="1160"/>
      <c r="AD706" s="1160"/>
      <c r="AE706" s="1160"/>
      <c r="AF706" s="1160"/>
      <c r="AG706" s="1160"/>
      <c r="AH706" s="1160"/>
      <c r="AI706" s="1160"/>
      <c r="AJ706" s="1160"/>
      <c r="AK706" s="1160"/>
      <c r="AL706" s="1160"/>
    </row>
    <row r="707" ht="15.0" customHeight="1">
      <c r="A707" s="1209"/>
      <c r="B707" s="1209"/>
      <c r="C707" s="1210"/>
      <c r="D707" s="1160"/>
      <c r="E707" s="1160"/>
      <c r="F707" s="1160"/>
      <c r="G707" s="1160"/>
      <c r="H707" s="1160"/>
      <c r="I707" s="1160"/>
      <c r="J707" s="1160"/>
      <c r="K707" s="1160"/>
      <c r="L707" s="1160"/>
      <c r="M707" s="1160"/>
      <c r="N707" s="1160"/>
      <c r="O707" s="1160"/>
      <c r="P707" s="1160"/>
      <c r="Q707" s="1160"/>
      <c r="R707" s="1160"/>
      <c r="S707" s="1160"/>
      <c r="T707" s="1160"/>
      <c r="U707" s="1160"/>
      <c r="V707" s="1160"/>
      <c r="W707" s="1160"/>
      <c r="X707" s="1160"/>
      <c r="Y707" s="1160"/>
      <c r="Z707" s="1160"/>
      <c r="AA707" s="1160"/>
      <c r="AB707" s="1160"/>
      <c r="AC707" s="1160"/>
      <c r="AD707" s="1160"/>
      <c r="AE707" s="1160"/>
      <c r="AF707" s="1160"/>
      <c r="AG707" s="1160"/>
      <c r="AH707" s="1160"/>
      <c r="AI707" s="1160"/>
      <c r="AJ707" s="1160"/>
      <c r="AK707" s="1160"/>
      <c r="AL707" s="1160"/>
    </row>
    <row r="708" ht="15.0" customHeight="1">
      <c r="A708" s="1209"/>
      <c r="B708" s="1209"/>
      <c r="C708" s="1210"/>
      <c r="D708" s="1160"/>
      <c r="E708" s="1160"/>
      <c r="F708" s="1160"/>
      <c r="G708" s="1160"/>
      <c r="H708" s="1160"/>
      <c r="I708" s="1160"/>
      <c r="J708" s="1160"/>
      <c r="K708" s="1160"/>
      <c r="L708" s="1160"/>
      <c r="M708" s="1160"/>
      <c r="N708" s="1160"/>
      <c r="O708" s="1160"/>
      <c r="P708" s="1160"/>
      <c r="Q708" s="1160"/>
      <c r="R708" s="1160"/>
      <c r="S708" s="1160"/>
      <c r="T708" s="1160"/>
      <c r="U708" s="1160"/>
      <c r="V708" s="1160"/>
      <c r="W708" s="1160"/>
      <c r="X708" s="1160"/>
      <c r="Y708" s="1160"/>
      <c r="Z708" s="1160"/>
      <c r="AA708" s="1160"/>
      <c r="AB708" s="1160"/>
      <c r="AC708" s="1160"/>
      <c r="AD708" s="1160"/>
      <c r="AE708" s="1160"/>
      <c r="AF708" s="1160"/>
      <c r="AG708" s="1160"/>
      <c r="AH708" s="1160"/>
      <c r="AI708" s="1160"/>
      <c r="AJ708" s="1160"/>
      <c r="AK708" s="1160"/>
      <c r="AL708" s="1160"/>
    </row>
    <row r="709" ht="15.0" customHeight="1">
      <c r="A709" s="1209"/>
      <c r="B709" s="1209"/>
      <c r="C709" s="1210"/>
      <c r="D709" s="1160"/>
      <c r="E709" s="1160"/>
      <c r="F709" s="1160"/>
      <c r="G709" s="1160"/>
      <c r="H709" s="1160"/>
      <c r="I709" s="1160"/>
      <c r="J709" s="1160"/>
      <c r="K709" s="1160"/>
      <c r="L709" s="1160"/>
      <c r="M709" s="1160"/>
      <c r="N709" s="1160"/>
      <c r="O709" s="1160"/>
      <c r="P709" s="1160"/>
      <c r="Q709" s="1160"/>
      <c r="R709" s="1160"/>
      <c r="S709" s="1160"/>
      <c r="T709" s="1160"/>
      <c r="U709" s="1160"/>
      <c r="V709" s="1160"/>
      <c r="W709" s="1160"/>
      <c r="X709" s="1160"/>
      <c r="Y709" s="1160"/>
      <c r="Z709" s="1160"/>
      <c r="AA709" s="1160"/>
      <c r="AB709" s="1160"/>
      <c r="AC709" s="1160"/>
      <c r="AD709" s="1160"/>
      <c r="AE709" s="1160"/>
      <c r="AF709" s="1160"/>
      <c r="AG709" s="1160"/>
      <c r="AH709" s="1160"/>
      <c r="AI709" s="1160"/>
      <c r="AJ709" s="1160"/>
      <c r="AK709" s="1160"/>
      <c r="AL709" s="1160"/>
    </row>
    <row r="710" ht="15.0" customHeight="1">
      <c r="A710" s="1209"/>
      <c r="B710" s="1209"/>
      <c r="C710" s="1210"/>
      <c r="D710" s="1160"/>
      <c r="E710" s="1160"/>
      <c r="F710" s="1160"/>
      <c r="G710" s="1160"/>
      <c r="H710" s="1160"/>
      <c r="I710" s="1160"/>
      <c r="J710" s="1160"/>
      <c r="K710" s="1160"/>
      <c r="L710" s="1160"/>
      <c r="M710" s="1160"/>
      <c r="N710" s="1160"/>
      <c r="O710" s="1160"/>
      <c r="P710" s="1160"/>
      <c r="Q710" s="1160"/>
      <c r="R710" s="1160"/>
      <c r="S710" s="1160"/>
      <c r="T710" s="1160"/>
      <c r="U710" s="1160"/>
      <c r="V710" s="1160"/>
      <c r="W710" s="1160"/>
      <c r="X710" s="1160"/>
      <c r="Y710" s="1160"/>
      <c r="Z710" s="1160"/>
      <c r="AA710" s="1160"/>
      <c r="AB710" s="1160"/>
      <c r="AC710" s="1160"/>
      <c r="AD710" s="1160"/>
      <c r="AE710" s="1160"/>
      <c r="AF710" s="1160"/>
      <c r="AG710" s="1160"/>
      <c r="AH710" s="1160"/>
      <c r="AI710" s="1160"/>
      <c r="AJ710" s="1160"/>
      <c r="AK710" s="1160"/>
      <c r="AL710" s="1160"/>
    </row>
    <row r="711" ht="15.0" customHeight="1">
      <c r="A711" s="1209"/>
      <c r="B711" s="1209"/>
      <c r="C711" s="1210"/>
      <c r="D711" s="1160"/>
      <c r="E711" s="1160"/>
      <c r="F711" s="1160"/>
      <c r="G711" s="1160"/>
      <c r="H711" s="1160"/>
      <c r="I711" s="1160"/>
      <c r="J711" s="1160"/>
      <c r="K711" s="1160"/>
      <c r="L711" s="1160"/>
      <c r="M711" s="1160"/>
      <c r="N711" s="1160"/>
      <c r="O711" s="1160"/>
      <c r="P711" s="1160"/>
      <c r="Q711" s="1160"/>
      <c r="R711" s="1160"/>
      <c r="S711" s="1160"/>
      <c r="T711" s="1160"/>
      <c r="U711" s="1160"/>
      <c r="V711" s="1160"/>
      <c r="W711" s="1160"/>
      <c r="X711" s="1160"/>
      <c r="Y711" s="1160"/>
      <c r="Z711" s="1160"/>
      <c r="AA711" s="1160"/>
      <c r="AB711" s="1160"/>
      <c r="AC711" s="1160"/>
      <c r="AD711" s="1160"/>
      <c r="AE711" s="1160"/>
      <c r="AF711" s="1160"/>
      <c r="AG711" s="1160"/>
      <c r="AH711" s="1160"/>
      <c r="AI711" s="1160"/>
      <c r="AJ711" s="1160"/>
      <c r="AK711" s="1160"/>
      <c r="AL711" s="1160"/>
    </row>
    <row r="712" ht="15.0" customHeight="1">
      <c r="A712" s="1209"/>
      <c r="B712" s="1209"/>
      <c r="C712" s="1210"/>
      <c r="D712" s="1160"/>
      <c r="E712" s="1160"/>
      <c r="F712" s="1160"/>
      <c r="G712" s="1160"/>
      <c r="H712" s="1160"/>
      <c r="I712" s="1160"/>
      <c r="J712" s="1160"/>
      <c r="K712" s="1160"/>
      <c r="L712" s="1160"/>
      <c r="M712" s="1160"/>
      <c r="N712" s="1160"/>
      <c r="O712" s="1160"/>
      <c r="P712" s="1160"/>
      <c r="Q712" s="1160"/>
      <c r="R712" s="1160"/>
      <c r="S712" s="1160"/>
      <c r="T712" s="1160"/>
      <c r="U712" s="1160"/>
      <c r="V712" s="1160"/>
      <c r="W712" s="1160"/>
      <c r="X712" s="1160"/>
      <c r="Y712" s="1160"/>
      <c r="Z712" s="1160"/>
      <c r="AA712" s="1160"/>
      <c r="AB712" s="1160"/>
      <c r="AC712" s="1160"/>
      <c r="AD712" s="1160"/>
      <c r="AE712" s="1160"/>
      <c r="AF712" s="1160"/>
      <c r="AG712" s="1160"/>
      <c r="AH712" s="1160"/>
      <c r="AI712" s="1160"/>
      <c r="AJ712" s="1160"/>
      <c r="AK712" s="1160"/>
      <c r="AL712" s="1160"/>
    </row>
    <row r="713" ht="15.0" customHeight="1">
      <c r="A713" s="1209"/>
      <c r="B713" s="1209"/>
      <c r="C713" s="1210"/>
      <c r="D713" s="1160"/>
      <c r="E713" s="1160"/>
      <c r="F713" s="1160"/>
      <c r="G713" s="1160"/>
      <c r="H713" s="1160"/>
      <c r="I713" s="1160"/>
      <c r="J713" s="1160"/>
      <c r="K713" s="1160"/>
      <c r="L713" s="1160"/>
      <c r="M713" s="1160"/>
      <c r="N713" s="1160"/>
      <c r="O713" s="1160"/>
      <c r="P713" s="1160"/>
      <c r="Q713" s="1160"/>
      <c r="R713" s="1160"/>
      <c r="S713" s="1160"/>
      <c r="T713" s="1160"/>
      <c r="U713" s="1160"/>
      <c r="V713" s="1160"/>
      <c r="W713" s="1160"/>
      <c r="X713" s="1160"/>
      <c r="Y713" s="1160"/>
      <c r="Z713" s="1160"/>
      <c r="AA713" s="1160"/>
      <c r="AB713" s="1160"/>
      <c r="AC713" s="1160"/>
      <c r="AD713" s="1160"/>
      <c r="AE713" s="1160"/>
      <c r="AF713" s="1160"/>
      <c r="AG713" s="1160"/>
      <c r="AH713" s="1160"/>
      <c r="AI713" s="1160"/>
      <c r="AJ713" s="1160"/>
      <c r="AK713" s="1160"/>
      <c r="AL713" s="1160"/>
    </row>
    <row r="714" ht="15.0" customHeight="1">
      <c r="A714" s="1209"/>
      <c r="B714" s="1209"/>
      <c r="C714" s="1210"/>
      <c r="D714" s="1160"/>
      <c r="E714" s="1160"/>
      <c r="F714" s="1160"/>
      <c r="G714" s="1160"/>
      <c r="H714" s="1160"/>
      <c r="I714" s="1160"/>
      <c r="J714" s="1160"/>
      <c r="K714" s="1160"/>
      <c r="L714" s="1160"/>
      <c r="M714" s="1160"/>
      <c r="N714" s="1160"/>
      <c r="O714" s="1160"/>
      <c r="P714" s="1160"/>
      <c r="Q714" s="1160"/>
      <c r="R714" s="1160"/>
      <c r="S714" s="1160"/>
      <c r="T714" s="1160"/>
      <c r="U714" s="1160"/>
      <c r="V714" s="1160"/>
      <c r="W714" s="1160"/>
      <c r="X714" s="1160"/>
      <c r="Y714" s="1160"/>
      <c r="Z714" s="1160"/>
      <c r="AA714" s="1160"/>
      <c r="AB714" s="1160"/>
      <c r="AC714" s="1160"/>
      <c r="AD714" s="1160"/>
      <c r="AE714" s="1160"/>
      <c r="AF714" s="1160"/>
      <c r="AG714" s="1160"/>
      <c r="AH714" s="1160"/>
      <c r="AI714" s="1160"/>
      <c r="AJ714" s="1160"/>
      <c r="AK714" s="1160"/>
      <c r="AL714" s="1160"/>
    </row>
    <row r="715" ht="15.0" customHeight="1">
      <c r="A715" s="1209"/>
      <c r="B715" s="1209"/>
      <c r="C715" s="1210"/>
      <c r="D715" s="1160"/>
      <c r="E715" s="1160"/>
      <c r="F715" s="1160"/>
      <c r="G715" s="1160"/>
      <c r="H715" s="1160"/>
      <c r="I715" s="1160"/>
      <c r="J715" s="1160"/>
      <c r="K715" s="1160"/>
      <c r="L715" s="1160"/>
      <c r="M715" s="1160"/>
      <c r="N715" s="1160"/>
      <c r="O715" s="1160"/>
      <c r="P715" s="1160"/>
      <c r="Q715" s="1160"/>
      <c r="R715" s="1160"/>
      <c r="S715" s="1160"/>
      <c r="T715" s="1160"/>
      <c r="U715" s="1160"/>
      <c r="V715" s="1160"/>
      <c r="W715" s="1160"/>
      <c r="X715" s="1160"/>
      <c r="Y715" s="1160"/>
      <c r="Z715" s="1160"/>
      <c r="AA715" s="1160"/>
      <c r="AB715" s="1160"/>
      <c r="AC715" s="1160"/>
      <c r="AD715" s="1160"/>
      <c r="AE715" s="1160"/>
      <c r="AF715" s="1160"/>
      <c r="AG715" s="1160"/>
      <c r="AH715" s="1160"/>
      <c r="AI715" s="1160"/>
      <c r="AJ715" s="1160"/>
      <c r="AK715" s="1160"/>
      <c r="AL715" s="1160"/>
    </row>
    <row r="716" ht="15.0" customHeight="1">
      <c r="A716" s="1209"/>
      <c r="B716" s="1209"/>
      <c r="C716" s="1210"/>
      <c r="D716" s="1160"/>
      <c r="E716" s="1160"/>
      <c r="F716" s="1160"/>
      <c r="G716" s="1160"/>
      <c r="H716" s="1160"/>
      <c r="I716" s="1160"/>
      <c r="J716" s="1160"/>
      <c r="K716" s="1160"/>
      <c r="L716" s="1160"/>
      <c r="M716" s="1160"/>
      <c r="N716" s="1160"/>
      <c r="O716" s="1160"/>
      <c r="P716" s="1160"/>
      <c r="Q716" s="1160"/>
      <c r="R716" s="1160"/>
      <c r="S716" s="1160"/>
      <c r="T716" s="1160"/>
      <c r="U716" s="1160"/>
      <c r="V716" s="1160"/>
      <c r="W716" s="1160"/>
      <c r="X716" s="1160"/>
      <c r="Y716" s="1160"/>
      <c r="Z716" s="1160"/>
      <c r="AA716" s="1160"/>
      <c r="AB716" s="1160"/>
      <c r="AC716" s="1160"/>
      <c r="AD716" s="1160"/>
      <c r="AE716" s="1160"/>
      <c r="AF716" s="1160"/>
      <c r="AG716" s="1160"/>
      <c r="AH716" s="1160"/>
      <c r="AI716" s="1160"/>
      <c r="AJ716" s="1160"/>
      <c r="AK716" s="1160"/>
      <c r="AL716" s="1160"/>
    </row>
    <row r="717" ht="15.0" customHeight="1">
      <c r="A717" s="1209"/>
      <c r="B717" s="1209"/>
      <c r="C717" s="1210"/>
      <c r="D717" s="1160"/>
      <c r="E717" s="1160"/>
      <c r="F717" s="1160"/>
      <c r="G717" s="1160"/>
      <c r="H717" s="1160"/>
      <c r="I717" s="1160"/>
      <c r="J717" s="1160"/>
      <c r="K717" s="1160"/>
      <c r="L717" s="1160"/>
      <c r="M717" s="1160"/>
      <c r="N717" s="1160"/>
      <c r="O717" s="1160"/>
      <c r="P717" s="1160"/>
      <c r="Q717" s="1160"/>
      <c r="R717" s="1160"/>
      <c r="S717" s="1160"/>
      <c r="T717" s="1160"/>
      <c r="U717" s="1160"/>
      <c r="V717" s="1160"/>
      <c r="W717" s="1160"/>
      <c r="X717" s="1160"/>
      <c r="Y717" s="1160"/>
      <c r="Z717" s="1160"/>
      <c r="AA717" s="1160"/>
      <c r="AB717" s="1160"/>
      <c r="AC717" s="1160"/>
      <c r="AD717" s="1160"/>
      <c r="AE717" s="1160"/>
      <c r="AF717" s="1160"/>
      <c r="AG717" s="1160"/>
      <c r="AH717" s="1160"/>
      <c r="AI717" s="1160"/>
      <c r="AJ717" s="1160"/>
      <c r="AK717" s="1160"/>
      <c r="AL717" s="1160"/>
    </row>
    <row r="718" ht="15.0" customHeight="1">
      <c r="A718" s="1209"/>
      <c r="B718" s="1209"/>
      <c r="C718" s="1210"/>
      <c r="D718" s="1160"/>
      <c r="E718" s="1160"/>
      <c r="F718" s="1160"/>
      <c r="G718" s="1160"/>
      <c r="H718" s="1160"/>
      <c r="I718" s="1160"/>
      <c r="J718" s="1160"/>
      <c r="K718" s="1160"/>
      <c r="L718" s="1160"/>
      <c r="M718" s="1160"/>
      <c r="N718" s="1160"/>
      <c r="O718" s="1160"/>
      <c r="P718" s="1160"/>
      <c r="Q718" s="1160"/>
      <c r="R718" s="1160"/>
      <c r="S718" s="1160"/>
      <c r="T718" s="1160"/>
      <c r="U718" s="1160"/>
      <c r="V718" s="1160"/>
      <c r="W718" s="1160"/>
      <c r="X718" s="1160"/>
      <c r="Y718" s="1160"/>
      <c r="Z718" s="1160"/>
      <c r="AA718" s="1160"/>
      <c r="AB718" s="1160"/>
      <c r="AC718" s="1160"/>
      <c r="AD718" s="1160"/>
      <c r="AE718" s="1160"/>
      <c r="AF718" s="1160"/>
      <c r="AG718" s="1160"/>
      <c r="AH718" s="1160"/>
      <c r="AI718" s="1160"/>
      <c r="AJ718" s="1160"/>
      <c r="AK718" s="1160"/>
      <c r="AL718" s="1160"/>
    </row>
    <row r="719" ht="15.0" customHeight="1">
      <c r="A719" s="1209"/>
      <c r="B719" s="1209"/>
      <c r="C719" s="1210"/>
      <c r="D719" s="1160"/>
      <c r="E719" s="1160"/>
      <c r="F719" s="1160"/>
      <c r="G719" s="1160"/>
      <c r="H719" s="1160"/>
      <c r="I719" s="1160"/>
      <c r="J719" s="1160"/>
      <c r="K719" s="1160"/>
      <c r="L719" s="1160"/>
      <c r="M719" s="1160"/>
      <c r="N719" s="1160"/>
      <c r="O719" s="1160"/>
      <c r="P719" s="1160"/>
      <c r="Q719" s="1160"/>
      <c r="R719" s="1160"/>
      <c r="S719" s="1160"/>
      <c r="T719" s="1160"/>
      <c r="U719" s="1160"/>
      <c r="V719" s="1160"/>
      <c r="W719" s="1160"/>
      <c r="X719" s="1160"/>
      <c r="Y719" s="1160"/>
      <c r="Z719" s="1160"/>
      <c r="AA719" s="1160"/>
      <c r="AB719" s="1160"/>
      <c r="AC719" s="1160"/>
      <c r="AD719" s="1160"/>
      <c r="AE719" s="1160"/>
      <c r="AF719" s="1160"/>
      <c r="AG719" s="1160"/>
      <c r="AH719" s="1160"/>
      <c r="AI719" s="1160"/>
      <c r="AJ719" s="1160"/>
      <c r="AK719" s="1160"/>
      <c r="AL719" s="1160"/>
    </row>
    <row r="720" ht="15.0" customHeight="1">
      <c r="A720" s="1209"/>
      <c r="B720" s="1209"/>
      <c r="C720" s="1210"/>
      <c r="D720" s="1160"/>
      <c r="E720" s="1160"/>
      <c r="F720" s="1160"/>
      <c r="G720" s="1160"/>
      <c r="H720" s="1160"/>
      <c r="I720" s="1160"/>
      <c r="J720" s="1160"/>
      <c r="K720" s="1160"/>
      <c r="L720" s="1160"/>
      <c r="M720" s="1160"/>
      <c r="N720" s="1160"/>
      <c r="O720" s="1160"/>
      <c r="P720" s="1160"/>
      <c r="Q720" s="1160"/>
      <c r="R720" s="1160"/>
      <c r="S720" s="1160"/>
      <c r="T720" s="1160"/>
      <c r="U720" s="1160"/>
      <c r="V720" s="1160"/>
      <c r="W720" s="1160"/>
      <c r="X720" s="1160"/>
      <c r="Y720" s="1160"/>
      <c r="Z720" s="1160"/>
      <c r="AA720" s="1160"/>
      <c r="AB720" s="1160"/>
      <c r="AC720" s="1160"/>
      <c r="AD720" s="1160"/>
      <c r="AE720" s="1160"/>
      <c r="AF720" s="1160"/>
      <c r="AG720" s="1160"/>
      <c r="AH720" s="1160"/>
      <c r="AI720" s="1160"/>
      <c r="AJ720" s="1160"/>
      <c r="AK720" s="1160"/>
      <c r="AL720" s="1160"/>
    </row>
    <row r="721" ht="15.0" customHeight="1">
      <c r="A721" s="1209"/>
      <c r="B721" s="1209"/>
      <c r="C721" s="1210"/>
      <c r="D721" s="1160"/>
      <c r="E721" s="1160"/>
      <c r="F721" s="1160"/>
      <c r="G721" s="1160"/>
      <c r="H721" s="1160"/>
      <c r="I721" s="1160"/>
      <c r="J721" s="1160"/>
      <c r="K721" s="1160"/>
      <c r="L721" s="1160"/>
      <c r="M721" s="1160"/>
      <c r="N721" s="1160"/>
      <c r="O721" s="1160"/>
      <c r="P721" s="1160"/>
      <c r="Q721" s="1160"/>
      <c r="R721" s="1160"/>
      <c r="S721" s="1160"/>
      <c r="T721" s="1160"/>
      <c r="U721" s="1160"/>
      <c r="V721" s="1160"/>
      <c r="W721" s="1160"/>
      <c r="X721" s="1160"/>
      <c r="Y721" s="1160"/>
      <c r="Z721" s="1160"/>
      <c r="AA721" s="1160"/>
      <c r="AB721" s="1160"/>
      <c r="AC721" s="1160"/>
      <c r="AD721" s="1160"/>
      <c r="AE721" s="1160"/>
      <c r="AF721" s="1160"/>
      <c r="AG721" s="1160"/>
      <c r="AH721" s="1160"/>
      <c r="AI721" s="1160"/>
      <c r="AJ721" s="1160"/>
      <c r="AK721" s="1160"/>
      <c r="AL721" s="1160"/>
    </row>
    <row r="722" ht="15.0" customHeight="1">
      <c r="A722" s="1209"/>
      <c r="B722" s="1209"/>
      <c r="C722" s="1210"/>
      <c r="D722" s="1160"/>
      <c r="E722" s="1160"/>
      <c r="F722" s="1160"/>
      <c r="G722" s="1160"/>
      <c r="H722" s="1160"/>
      <c r="I722" s="1160"/>
      <c r="J722" s="1160"/>
      <c r="K722" s="1160"/>
      <c r="L722" s="1160"/>
      <c r="M722" s="1160"/>
      <c r="N722" s="1160"/>
      <c r="O722" s="1160"/>
      <c r="P722" s="1160"/>
      <c r="Q722" s="1160"/>
      <c r="R722" s="1160"/>
      <c r="S722" s="1160"/>
      <c r="T722" s="1160"/>
      <c r="U722" s="1160"/>
      <c r="V722" s="1160"/>
      <c r="W722" s="1160"/>
      <c r="X722" s="1160"/>
      <c r="Y722" s="1160"/>
      <c r="Z722" s="1160"/>
      <c r="AA722" s="1160"/>
      <c r="AB722" s="1160"/>
      <c r="AC722" s="1160"/>
      <c r="AD722" s="1160"/>
      <c r="AE722" s="1160"/>
      <c r="AF722" s="1160"/>
      <c r="AG722" s="1160"/>
      <c r="AH722" s="1160"/>
      <c r="AI722" s="1160"/>
      <c r="AJ722" s="1160"/>
      <c r="AK722" s="1160"/>
      <c r="AL722" s="1160"/>
    </row>
    <row r="723" ht="15.0" customHeight="1">
      <c r="A723" s="1209"/>
      <c r="B723" s="1209"/>
      <c r="C723" s="1210"/>
      <c r="D723" s="1160"/>
      <c r="E723" s="1160"/>
      <c r="F723" s="1160"/>
      <c r="G723" s="1160"/>
      <c r="H723" s="1160"/>
      <c r="I723" s="1160"/>
      <c r="J723" s="1160"/>
      <c r="K723" s="1160"/>
      <c r="L723" s="1160"/>
      <c r="M723" s="1160"/>
      <c r="N723" s="1160"/>
      <c r="O723" s="1160"/>
      <c r="P723" s="1160"/>
      <c r="Q723" s="1160"/>
      <c r="R723" s="1160"/>
      <c r="S723" s="1160"/>
      <c r="T723" s="1160"/>
      <c r="U723" s="1160"/>
      <c r="V723" s="1160"/>
      <c r="W723" s="1160"/>
      <c r="X723" s="1160"/>
      <c r="Y723" s="1160"/>
      <c r="Z723" s="1160"/>
      <c r="AA723" s="1160"/>
      <c r="AB723" s="1160"/>
      <c r="AC723" s="1160"/>
      <c r="AD723" s="1160"/>
      <c r="AE723" s="1160"/>
      <c r="AF723" s="1160"/>
      <c r="AG723" s="1160"/>
      <c r="AH723" s="1160"/>
      <c r="AI723" s="1160"/>
      <c r="AJ723" s="1160"/>
      <c r="AK723" s="1160"/>
      <c r="AL723" s="1160"/>
    </row>
    <row r="724" ht="15.0" customHeight="1">
      <c r="A724" s="1209"/>
      <c r="B724" s="1209"/>
      <c r="C724" s="1210"/>
      <c r="D724" s="1160"/>
      <c r="E724" s="1160"/>
      <c r="F724" s="1160"/>
      <c r="G724" s="1160"/>
      <c r="H724" s="1160"/>
      <c r="I724" s="1160"/>
      <c r="J724" s="1160"/>
      <c r="K724" s="1160"/>
      <c r="L724" s="1160"/>
      <c r="M724" s="1160"/>
      <c r="N724" s="1160"/>
      <c r="O724" s="1160"/>
      <c r="P724" s="1160"/>
      <c r="Q724" s="1160"/>
      <c r="R724" s="1160"/>
      <c r="S724" s="1160"/>
      <c r="T724" s="1160"/>
      <c r="U724" s="1160"/>
      <c r="V724" s="1160"/>
      <c r="W724" s="1160"/>
      <c r="X724" s="1160"/>
      <c r="Y724" s="1160"/>
      <c r="Z724" s="1160"/>
      <c r="AA724" s="1160"/>
      <c r="AB724" s="1160"/>
      <c r="AC724" s="1160"/>
      <c r="AD724" s="1160"/>
      <c r="AE724" s="1160"/>
      <c r="AF724" s="1160"/>
      <c r="AG724" s="1160"/>
      <c r="AH724" s="1160"/>
      <c r="AI724" s="1160"/>
      <c r="AJ724" s="1160"/>
      <c r="AK724" s="1160"/>
      <c r="AL724" s="1160"/>
    </row>
    <row r="725" ht="15.0" customHeight="1">
      <c r="A725" s="1209"/>
      <c r="B725" s="1209"/>
      <c r="C725" s="1210"/>
      <c r="D725" s="1160"/>
      <c r="E725" s="1160"/>
      <c r="F725" s="1160"/>
      <c r="G725" s="1160"/>
      <c r="H725" s="1160"/>
      <c r="I725" s="1160"/>
      <c r="J725" s="1160"/>
      <c r="K725" s="1160"/>
      <c r="L725" s="1160"/>
      <c r="M725" s="1160"/>
      <c r="N725" s="1160"/>
      <c r="O725" s="1160"/>
      <c r="P725" s="1160"/>
      <c r="Q725" s="1160"/>
      <c r="R725" s="1160"/>
      <c r="S725" s="1160"/>
      <c r="T725" s="1160"/>
      <c r="U725" s="1160"/>
      <c r="V725" s="1160"/>
      <c r="W725" s="1160"/>
      <c r="X725" s="1160"/>
      <c r="Y725" s="1160"/>
      <c r="Z725" s="1160"/>
      <c r="AA725" s="1160"/>
      <c r="AB725" s="1160"/>
      <c r="AC725" s="1160"/>
      <c r="AD725" s="1160"/>
      <c r="AE725" s="1160"/>
      <c r="AF725" s="1160"/>
      <c r="AG725" s="1160"/>
      <c r="AH725" s="1160"/>
      <c r="AI725" s="1160"/>
      <c r="AJ725" s="1160"/>
      <c r="AK725" s="1160"/>
      <c r="AL725" s="1160"/>
    </row>
    <row r="726" ht="15.0" customHeight="1">
      <c r="A726" s="1209"/>
      <c r="B726" s="1209"/>
      <c r="C726" s="1210"/>
      <c r="D726" s="1160"/>
      <c r="E726" s="1160"/>
      <c r="F726" s="1160"/>
      <c r="G726" s="1160"/>
      <c r="H726" s="1160"/>
      <c r="I726" s="1160"/>
      <c r="J726" s="1160"/>
      <c r="K726" s="1160"/>
      <c r="L726" s="1160"/>
      <c r="M726" s="1160"/>
      <c r="N726" s="1160"/>
      <c r="O726" s="1160"/>
      <c r="P726" s="1160"/>
      <c r="Q726" s="1160"/>
      <c r="R726" s="1160"/>
      <c r="S726" s="1160"/>
      <c r="T726" s="1160"/>
      <c r="U726" s="1160"/>
      <c r="V726" s="1160"/>
      <c r="W726" s="1160"/>
      <c r="X726" s="1160"/>
      <c r="Y726" s="1160"/>
      <c r="Z726" s="1160"/>
      <c r="AA726" s="1160"/>
      <c r="AB726" s="1160"/>
      <c r="AC726" s="1160"/>
      <c r="AD726" s="1160"/>
      <c r="AE726" s="1160"/>
      <c r="AF726" s="1160"/>
      <c r="AG726" s="1160"/>
      <c r="AH726" s="1160"/>
      <c r="AI726" s="1160"/>
      <c r="AJ726" s="1160"/>
      <c r="AK726" s="1160"/>
      <c r="AL726" s="1160"/>
    </row>
    <row r="727" ht="15.0" customHeight="1">
      <c r="A727" s="1209"/>
      <c r="B727" s="1209"/>
      <c r="C727" s="1210"/>
      <c r="D727" s="1160"/>
      <c r="E727" s="1160"/>
      <c r="F727" s="1160"/>
      <c r="G727" s="1160"/>
      <c r="H727" s="1160"/>
      <c r="I727" s="1160"/>
      <c r="J727" s="1160"/>
      <c r="K727" s="1160"/>
      <c r="L727" s="1160"/>
      <c r="M727" s="1160"/>
      <c r="N727" s="1160"/>
      <c r="O727" s="1160"/>
      <c r="P727" s="1160"/>
      <c r="Q727" s="1160"/>
      <c r="R727" s="1160"/>
      <c r="S727" s="1160"/>
      <c r="T727" s="1160"/>
      <c r="U727" s="1160"/>
      <c r="V727" s="1160"/>
      <c r="W727" s="1160"/>
      <c r="X727" s="1160"/>
      <c r="Y727" s="1160"/>
      <c r="Z727" s="1160"/>
      <c r="AA727" s="1160"/>
      <c r="AB727" s="1160"/>
      <c r="AC727" s="1160"/>
      <c r="AD727" s="1160"/>
      <c r="AE727" s="1160"/>
      <c r="AF727" s="1160"/>
      <c r="AG727" s="1160"/>
      <c r="AH727" s="1160"/>
      <c r="AI727" s="1160"/>
      <c r="AJ727" s="1160"/>
      <c r="AK727" s="1160"/>
      <c r="AL727" s="1160"/>
    </row>
    <row r="728" ht="15.0" customHeight="1">
      <c r="A728" s="1209"/>
      <c r="B728" s="1209"/>
      <c r="C728" s="1210"/>
      <c r="D728" s="1160"/>
      <c r="E728" s="1160"/>
      <c r="F728" s="1160"/>
      <c r="G728" s="1160"/>
      <c r="H728" s="1160"/>
      <c r="I728" s="1160"/>
      <c r="J728" s="1160"/>
      <c r="K728" s="1160"/>
      <c r="L728" s="1160"/>
      <c r="M728" s="1160"/>
      <c r="N728" s="1160"/>
      <c r="O728" s="1160"/>
      <c r="P728" s="1160"/>
      <c r="Q728" s="1160"/>
      <c r="R728" s="1160"/>
      <c r="S728" s="1160"/>
      <c r="T728" s="1160"/>
      <c r="U728" s="1160"/>
      <c r="V728" s="1160"/>
      <c r="W728" s="1160"/>
      <c r="X728" s="1160"/>
      <c r="Y728" s="1160"/>
      <c r="Z728" s="1160"/>
      <c r="AA728" s="1160"/>
      <c r="AB728" s="1160"/>
      <c r="AC728" s="1160"/>
      <c r="AD728" s="1160"/>
      <c r="AE728" s="1160"/>
      <c r="AF728" s="1160"/>
      <c r="AG728" s="1160"/>
      <c r="AH728" s="1160"/>
      <c r="AI728" s="1160"/>
      <c r="AJ728" s="1160"/>
      <c r="AK728" s="1160"/>
      <c r="AL728" s="1160"/>
    </row>
    <row r="729" ht="15.0" customHeight="1">
      <c r="A729" s="1209"/>
      <c r="B729" s="1209"/>
      <c r="C729" s="1210"/>
      <c r="D729" s="1160"/>
      <c r="E729" s="1160"/>
      <c r="F729" s="1160"/>
      <c r="G729" s="1160"/>
      <c r="H729" s="1160"/>
      <c r="I729" s="1160"/>
      <c r="J729" s="1160"/>
      <c r="K729" s="1160"/>
      <c r="L729" s="1160"/>
      <c r="M729" s="1160"/>
      <c r="N729" s="1160"/>
      <c r="O729" s="1160"/>
      <c r="P729" s="1160"/>
      <c r="Q729" s="1160"/>
      <c r="R729" s="1160"/>
      <c r="S729" s="1160"/>
      <c r="T729" s="1160"/>
      <c r="U729" s="1160"/>
      <c r="V729" s="1160"/>
      <c r="W729" s="1160"/>
      <c r="X729" s="1160"/>
      <c r="Y729" s="1160"/>
      <c r="Z729" s="1160"/>
      <c r="AA729" s="1160"/>
      <c r="AB729" s="1160"/>
      <c r="AC729" s="1160"/>
      <c r="AD729" s="1160"/>
      <c r="AE729" s="1160"/>
      <c r="AF729" s="1160"/>
      <c r="AG729" s="1160"/>
      <c r="AH729" s="1160"/>
      <c r="AI729" s="1160"/>
      <c r="AJ729" s="1160"/>
      <c r="AK729" s="1160"/>
      <c r="AL729" s="1160"/>
    </row>
    <row r="730" ht="15.0" customHeight="1">
      <c r="A730" s="1209"/>
      <c r="B730" s="1209"/>
      <c r="C730" s="1210"/>
      <c r="D730" s="1160"/>
      <c r="E730" s="1160"/>
      <c r="F730" s="1160"/>
      <c r="G730" s="1160"/>
      <c r="H730" s="1160"/>
      <c r="I730" s="1160"/>
      <c r="J730" s="1160"/>
      <c r="K730" s="1160"/>
      <c r="L730" s="1160"/>
      <c r="M730" s="1160"/>
      <c r="N730" s="1160"/>
      <c r="O730" s="1160"/>
      <c r="P730" s="1160"/>
      <c r="Q730" s="1160"/>
      <c r="R730" s="1160"/>
      <c r="S730" s="1160"/>
      <c r="T730" s="1160"/>
      <c r="U730" s="1160"/>
      <c r="V730" s="1160"/>
      <c r="W730" s="1160"/>
      <c r="X730" s="1160"/>
      <c r="Y730" s="1160"/>
      <c r="Z730" s="1160"/>
      <c r="AA730" s="1160"/>
      <c r="AB730" s="1160"/>
      <c r="AC730" s="1160"/>
      <c r="AD730" s="1160"/>
      <c r="AE730" s="1160"/>
      <c r="AF730" s="1160"/>
      <c r="AG730" s="1160"/>
      <c r="AH730" s="1160"/>
      <c r="AI730" s="1160"/>
      <c r="AJ730" s="1160"/>
      <c r="AK730" s="1160"/>
      <c r="AL730" s="1160"/>
    </row>
    <row r="731" ht="15.0" customHeight="1">
      <c r="A731" s="1209"/>
      <c r="B731" s="1209"/>
      <c r="C731" s="1210"/>
      <c r="D731" s="1160"/>
      <c r="E731" s="1160"/>
      <c r="F731" s="1160"/>
      <c r="G731" s="1160"/>
      <c r="H731" s="1160"/>
      <c r="I731" s="1160"/>
      <c r="J731" s="1160"/>
      <c r="K731" s="1160"/>
      <c r="L731" s="1160"/>
      <c r="M731" s="1160"/>
      <c r="N731" s="1160"/>
      <c r="O731" s="1160"/>
      <c r="P731" s="1160"/>
      <c r="Q731" s="1160"/>
      <c r="R731" s="1160"/>
      <c r="S731" s="1160"/>
      <c r="T731" s="1160"/>
      <c r="U731" s="1160"/>
      <c r="V731" s="1160"/>
      <c r="W731" s="1160"/>
      <c r="X731" s="1160"/>
      <c r="Y731" s="1160"/>
      <c r="Z731" s="1160"/>
      <c r="AA731" s="1160"/>
      <c r="AB731" s="1160"/>
      <c r="AC731" s="1160"/>
      <c r="AD731" s="1160"/>
      <c r="AE731" s="1160"/>
      <c r="AF731" s="1160"/>
      <c r="AG731" s="1160"/>
      <c r="AH731" s="1160"/>
      <c r="AI731" s="1160"/>
      <c r="AJ731" s="1160"/>
      <c r="AK731" s="1160"/>
      <c r="AL731" s="1160"/>
    </row>
    <row r="732" ht="15.0" customHeight="1">
      <c r="A732" s="1209"/>
      <c r="B732" s="1209"/>
      <c r="C732" s="1210"/>
      <c r="D732" s="1160"/>
      <c r="E732" s="1160"/>
      <c r="F732" s="1160"/>
      <c r="G732" s="1160"/>
      <c r="H732" s="1160"/>
      <c r="I732" s="1160"/>
      <c r="J732" s="1160"/>
      <c r="K732" s="1160"/>
      <c r="L732" s="1160"/>
      <c r="M732" s="1160"/>
      <c r="N732" s="1160"/>
      <c r="O732" s="1160"/>
      <c r="P732" s="1160"/>
      <c r="Q732" s="1160"/>
      <c r="R732" s="1160"/>
      <c r="S732" s="1160"/>
      <c r="T732" s="1160"/>
      <c r="U732" s="1160"/>
      <c r="V732" s="1160"/>
      <c r="W732" s="1160"/>
      <c r="X732" s="1160"/>
      <c r="Y732" s="1160"/>
      <c r="Z732" s="1160"/>
      <c r="AA732" s="1160"/>
      <c r="AB732" s="1160"/>
      <c r="AC732" s="1160"/>
      <c r="AD732" s="1160"/>
      <c r="AE732" s="1160"/>
      <c r="AF732" s="1160"/>
      <c r="AG732" s="1160"/>
      <c r="AH732" s="1160"/>
      <c r="AI732" s="1160"/>
      <c r="AJ732" s="1160"/>
      <c r="AK732" s="1160"/>
      <c r="AL732" s="1160"/>
    </row>
    <row r="733" ht="15.0" customHeight="1">
      <c r="A733" s="1209"/>
      <c r="B733" s="1209"/>
      <c r="C733" s="1210"/>
      <c r="D733" s="1160"/>
      <c r="E733" s="1160"/>
      <c r="F733" s="1160"/>
      <c r="G733" s="1160"/>
      <c r="H733" s="1160"/>
      <c r="I733" s="1160"/>
      <c r="J733" s="1160"/>
      <c r="K733" s="1160"/>
      <c r="L733" s="1160"/>
      <c r="M733" s="1160"/>
      <c r="N733" s="1160"/>
      <c r="O733" s="1160"/>
      <c r="P733" s="1160"/>
      <c r="Q733" s="1160"/>
      <c r="R733" s="1160"/>
      <c r="S733" s="1160"/>
      <c r="T733" s="1160"/>
      <c r="U733" s="1160"/>
      <c r="V733" s="1160"/>
      <c r="W733" s="1160"/>
      <c r="X733" s="1160"/>
      <c r="Y733" s="1160"/>
      <c r="Z733" s="1160"/>
      <c r="AA733" s="1160"/>
      <c r="AB733" s="1160"/>
      <c r="AC733" s="1160"/>
      <c r="AD733" s="1160"/>
      <c r="AE733" s="1160"/>
      <c r="AF733" s="1160"/>
      <c r="AG733" s="1160"/>
      <c r="AH733" s="1160"/>
      <c r="AI733" s="1160"/>
      <c r="AJ733" s="1160"/>
      <c r="AK733" s="1160"/>
      <c r="AL733" s="1160"/>
    </row>
    <row r="734" ht="15.0" customHeight="1">
      <c r="A734" s="1209"/>
      <c r="B734" s="1209"/>
      <c r="C734" s="1210"/>
      <c r="D734" s="1160"/>
      <c r="E734" s="1160"/>
      <c r="F734" s="1160"/>
      <c r="G734" s="1160"/>
      <c r="H734" s="1160"/>
      <c r="I734" s="1160"/>
      <c r="J734" s="1160"/>
      <c r="K734" s="1160"/>
      <c r="L734" s="1160"/>
      <c r="M734" s="1160"/>
      <c r="N734" s="1160"/>
      <c r="O734" s="1160"/>
      <c r="P734" s="1160"/>
      <c r="Q734" s="1160"/>
      <c r="R734" s="1160"/>
      <c r="S734" s="1160"/>
      <c r="T734" s="1160"/>
      <c r="U734" s="1160"/>
      <c r="V734" s="1160"/>
      <c r="W734" s="1160"/>
      <c r="X734" s="1160"/>
      <c r="Y734" s="1160"/>
      <c r="Z734" s="1160"/>
      <c r="AA734" s="1160"/>
      <c r="AB734" s="1160"/>
      <c r="AC734" s="1160"/>
      <c r="AD734" s="1160"/>
      <c r="AE734" s="1160"/>
      <c r="AF734" s="1160"/>
      <c r="AG734" s="1160"/>
      <c r="AH734" s="1160"/>
      <c r="AI734" s="1160"/>
      <c r="AJ734" s="1160"/>
      <c r="AK734" s="1160"/>
      <c r="AL734" s="1160"/>
    </row>
    <row r="735" ht="15.0" customHeight="1">
      <c r="A735" s="1209"/>
      <c r="B735" s="1209"/>
      <c r="C735" s="1210"/>
      <c r="D735" s="1160"/>
      <c r="E735" s="1160"/>
      <c r="F735" s="1160"/>
      <c r="G735" s="1160"/>
      <c r="H735" s="1160"/>
      <c r="I735" s="1160"/>
      <c r="J735" s="1160"/>
      <c r="K735" s="1160"/>
      <c r="L735" s="1160"/>
      <c r="M735" s="1160"/>
      <c r="N735" s="1160"/>
      <c r="O735" s="1160"/>
      <c r="P735" s="1160"/>
      <c r="Q735" s="1160"/>
      <c r="R735" s="1160"/>
      <c r="S735" s="1160"/>
      <c r="T735" s="1160"/>
      <c r="U735" s="1160"/>
      <c r="V735" s="1160"/>
      <c r="W735" s="1160"/>
      <c r="X735" s="1160"/>
      <c r="Y735" s="1160"/>
      <c r="Z735" s="1160"/>
      <c r="AA735" s="1160"/>
      <c r="AB735" s="1160"/>
      <c r="AC735" s="1160"/>
      <c r="AD735" s="1160"/>
      <c r="AE735" s="1160"/>
      <c r="AF735" s="1160"/>
      <c r="AG735" s="1160"/>
      <c r="AH735" s="1160"/>
      <c r="AI735" s="1160"/>
      <c r="AJ735" s="1160"/>
      <c r="AK735" s="1160"/>
      <c r="AL735" s="1160"/>
    </row>
    <row r="736" ht="15.0" customHeight="1">
      <c r="A736" s="1209"/>
      <c r="B736" s="1209"/>
      <c r="C736" s="1210"/>
      <c r="D736" s="1160"/>
      <c r="E736" s="1160"/>
      <c r="F736" s="1160"/>
      <c r="G736" s="1160"/>
      <c r="H736" s="1160"/>
      <c r="I736" s="1160"/>
      <c r="J736" s="1160"/>
      <c r="K736" s="1160"/>
      <c r="L736" s="1160"/>
      <c r="M736" s="1160"/>
      <c r="N736" s="1160"/>
      <c r="O736" s="1160"/>
      <c r="P736" s="1160"/>
      <c r="Q736" s="1160"/>
      <c r="R736" s="1160"/>
      <c r="S736" s="1160"/>
      <c r="T736" s="1160"/>
      <c r="U736" s="1160"/>
      <c r="V736" s="1160"/>
      <c r="W736" s="1160"/>
      <c r="X736" s="1160"/>
      <c r="Y736" s="1160"/>
      <c r="Z736" s="1160"/>
      <c r="AA736" s="1160"/>
      <c r="AB736" s="1160"/>
      <c r="AC736" s="1160"/>
      <c r="AD736" s="1160"/>
      <c r="AE736" s="1160"/>
      <c r="AF736" s="1160"/>
      <c r="AG736" s="1160"/>
      <c r="AH736" s="1160"/>
      <c r="AI736" s="1160"/>
      <c r="AJ736" s="1160"/>
      <c r="AK736" s="1160"/>
      <c r="AL736" s="1160"/>
    </row>
    <row r="737" ht="15.0" customHeight="1">
      <c r="A737" s="1209"/>
      <c r="B737" s="1209"/>
      <c r="C737" s="1210"/>
      <c r="D737" s="1160"/>
      <c r="E737" s="1160"/>
      <c r="F737" s="1160"/>
      <c r="G737" s="1160"/>
      <c r="H737" s="1160"/>
      <c r="I737" s="1160"/>
      <c r="J737" s="1160"/>
      <c r="K737" s="1160"/>
      <c r="L737" s="1160"/>
      <c r="M737" s="1160"/>
      <c r="N737" s="1160"/>
      <c r="O737" s="1160"/>
      <c r="P737" s="1160"/>
      <c r="Q737" s="1160"/>
      <c r="R737" s="1160"/>
      <c r="S737" s="1160"/>
      <c r="T737" s="1160"/>
      <c r="U737" s="1160"/>
      <c r="V737" s="1160"/>
      <c r="W737" s="1160"/>
      <c r="X737" s="1160"/>
      <c r="Y737" s="1160"/>
      <c r="Z737" s="1160"/>
      <c r="AA737" s="1160"/>
      <c r="AB737" s="1160"/>
      <c r="AC737" s="1160"/>
      <c r="AD737" s="1160"/>
      <c r="AE737" s="1160"/>
      <c r="AF737" s="1160"/>
      <c r="AG737" s="1160"/>
      <c r="AH737" s="1160"/>
      <c r="AI737" s="1160"/>
      <c r="AJ737" s="1160"/>
      <c r="AK737" s="1160"/>
      <c r="AL737" s="1160"/>
    </row>
    <row r="738" ht="15.0" customHeight="1">
      <c r="A738" s="1209"/>
      <c r="B738" s="1209"/>
      <c r="C738" s="1210"/>
      <c r="D738" s="1160"/>
      <c r="E738" s="1160"/>
      <c r="F738" s="1160"/>
      <c r="G738" s="1160"/>
      <c r="H738" s="1160"/>
      <c r="I738" s="1160"/>
      <c r="J738" s="1160"/>
      <c r="K738" s="1160"/>
      <c r="L738" s="1160"/>
      <c r="M738" s="1160"/>
      <c r="N738" s="1160"/>
      <c r="O738" s="1160"/>
      <c r="P738" s="1160"/>
      <c r="Q738" s="1160"/>
      <c r="R738" s="1160"/>
      <c r="S738" s="1160"/>
      <c r="T738" s="1160"/>
      <c r="U738" s="1160"/>
      <c r="V738" s="1160"/>
      <c r="W738" s="1160"/>
      <c r="X738" s="1160"/>
      <c r="Y738" s="1160"/>
      <c r="Z738" s="1160"/>
      <c r="AA738" s="1160"/>
      <c r="AB738" s="1160"/>
      <c r="AC738" s="1160"/>
      <c r="AD738" s="1160"/>
      <c r="AE738" s="1160"/>
      <c r="AF738" s="1160"/>
      <c r="AG738" s="1160"/>
      <c r="AH738" s="1160"/>
      <c r="AI738" s="1160"/>
      <c r="AJ738" s="1160"/>
      <c r="AK738" s="1160"/>
      <c r="AL738" s="1160"/>
    </row>
    <row r="739" ht="15.0" customHeight="1">
      <c r="A739" s="1209"/>
      <c r="B739" s="1209"/>
      <c r="C739" s="1210"/>
      <c r="D739" s="1160"/>
      <c r="E739" s="1160"/>
      <c r="F739" s="1160"/>
      <c r="G739" s="1160"/>
      <c r="H739" s="1160"/>
      <c r="I739" s="1160"/>
      <c r="J739" s="1160"/>
      <c r="K739" s="1160"/>
      <c r="L739" s="1160"/>
      <c r="M739" s="1160"/>
      <c r="N739" s="1160"/>
      <c r="O739" s="1160"/>
      <c r="P739" s="1160"/>
      <c r="Q739" s="1160"/>
      <c r="R739" s="1160"/>
      <c r="S739" s="1160"/>
      <c r="T739" s="1160"/>
      <c r="U739" s="1160"/>
      <c r="V739" s="1160"/>
      <c r="W739" s="1160"/>
      <c r="X739" s="1160"/>
      <c r="Y739" s="1160"/>
      <c r="Z739" s="1160"/>
      <c r="AA739" s="1160"/>
      <c r="AB739" s="1160"/>
      <c r="AC739" s="1160"/>
      <c r="AD739" s="1160"/>
      <c r="AE739" s="1160"/>
      <c r="AF739" s="1160"/>
      <c r="AG739" s="1160"/>
      <c r="AH739" s="1160"/>
      <c r="AI739" s="1160"/>
      <c r="AJ739" s="1160"/>
      <c r="AK739" s="1160"/>
      <c r="AL739" s="1160"/>
    </row>
    <row r="740" ht="15.0" customHeight="1">
      <c r="A740" s="1209"/>
      <c r="B740" s="1209"/>
      <c r="C740" s="1210"/>
      <c r="D740" s="1160"/>
      <c r="E740" s="1160"/>
      <c r="F740" s="1160"/>
      <c r="G740" s="1160"/>
      <c r="H740" s="1160"/>
      <c r="I740" s="1160"/>
      <c r="J740" s="1160"/>
      <c r="K740" s="1160"/>
      <c r="L740" s="1160"/>
      <c r="M740" s="1160"/>
      <c r="N740" s="1160"/>
      <c r="O740" s="1160"/>
      <c r="P740" s="1160"/>
      <c r="Q740" s="1160"/>
      <c r="R740" s="1160"/>
      <c r="S740" s="1160"/>
      <c r="T740" s="1160"/>
      <c r="U740" s="1160"/>
      <c r="V740" s="1160"/>
      <c r="W740" s="1160"/>
      <c r="X740" s="1160"/>
      <c r="Y740" s="1160"/>
      <c r="Z740" s="1160"/>
      <c r="AA740" s="1160"/>
      <c r="AB740" s="1160"/>
      <c r="AC740" s="1160"/>
      <c r="AD740" s="1160"/>
      <c r="AE740" s="1160"/>
      <c r="AF740" s="1160"/>
      <c r="AG740" s="1160"/>
      <c r="AH740" s="1160"/>
      <c r="AI740" s="1160"/>
      <c r="AJ740" s="1160"/>
      <c r="AK740" s="1160"/>
      <c r="AL740" s="1160"/>
    </row>
    <row r="741" ht="15.0" customHeight="1">
      <c r="A741" s="1209"/>
      <c r="B741" s="1209"/>
      <c r="C741" s="1210"/>
      <c r="D741" s="1160"/>
      <c r="E741" s="1160"/>
      <c r="F741" s="1160"/>
      <c r="G741" s="1160"/>
      <c r="H741" s="1160"/>
      <c r="I741" s="1160"/>
      <c r="J741" s="1160"/>
      <c r="K741" s="1160"/>
      <c r="L741" s="1160"/>
      <c r="M741" s="1160"/>
      <c r="N741" s="1160"/>
      <c r="O741" s="1160"/>
      <c r="P741" s="1160"/>
      <c r="Q741" s="1160"/>
      <c r="R741" s="1160"/>
      <c r="S741" s="1160"/>
      <c r="T741" s="1160"/>
      <c r="U741" s="1160"/>
      <c r="V741" s="1160"/>
      <c r="W741" s="1160"/>
      <c r="X741" s="1160"/>
      <c r="Y741" s="1160"/>
      <c r="Z741" s="1160"/>
      <c r="AA741" s="1160"/>
      <c r="AB741" s="1160"/>
      <c r="AC741" s="1160"/>
      <c r="AD741" s="1160"/>
      <c r="AE741" s="1160"/>
      <c r="AF741" s="1160"/>
      <c r="AG741" s="1160"/>
      <c r="AH741" s="1160"/>
      <c r="AI741" s="1160"/>
      <c r="AJ741" s="1160"/>
      <c r="AK741" s="1160"/>
      <c r="AL741" s="1160"/>
    </row>
    <row r="742" ht="15.0" customHeight="1">
      <c r="A742" s="1209"/>
      <c r="B742" s="1209"/>
      <c r="C742" s="1210"/>
      <c r="D742" s="1160"/>
      <c r="E742" s="1160"/>
      <c r="F742" s="1160"/>
      <c r="G742" s="1160"/>
      <c r="H742" s="1160"/>
      <c r="I742" s="1160"/>
      <c r="J742" s="1160"/>
      <c r="K742" s="1160"/>
      <c r="L742" s="1160"/>
      <c r="M742" s="1160"/>
      <c r="N742" s="1160"/>
      <c r="O742" s="1160"/>
      <c r="P742" s="1160"/>
      <c r="Q742" s="1160"/>
      <c r="R742" s="1160"/>
      <c r="S742" s="1160"/>
      <c r="T742" s="1160"/>
      <c r="U742" s="1160"/>
      <c r="V742" s="1160"/>
      <c r="W742" s="1160"/>
      <c r="X742" s="1160"/>
      <c r="Y742" s="1160"/>
      <c r="Z742" s="1160"/>
      <c r="AA742" s="1160"/>
      <c r="AB742" s="1160"/>
      <c r="AC742" s="1160"/>
      <c r="AD742" s="1160"/>
      <c r="AE742" s="1160"/>
      <c r="AF742" s="1160"/>
      <c r="AG742" s="1160"/>
      <c r="AH742" s="1160"/>
      <c r="AI742" s="1160"/>
      <c r="AJ742" s="1160"/>
      <c r="AK742" s="1160"/>
      <c r="AL742" s="1160"/>
    </row>
    <row r="743" ht="15.0" customHeight="1">
      <c r="A743" s="1209"/>
      <c r="B743" s="1209"/>
      <c r="C743" s="1210"/>
      <c r="D743" s="1160"/>
      <c r="E743" s="1160"/>
      <c r="F743" s="1160"/>
      <c r="G743" s="1160"/>
      <c r="H743" s="1160"/>
      <c r="I743" s="1160"/>
      <c r="J743" s="1160"/>
      <c r="K743" s="1160"/>
      <c r="L743" s="1160"/>
      <c r="M743" s="1160"/>
      <c r="N743" s="1160"/>
      <c r="O743" s="1160"/>
      <c r="P743" s="1160"/>
      <c r="Q743" s="1160"/>
      <c r="R743" s="1160"/>
      <c r="S743" s="1160"/>
      <c r="T743" s="1160"/>
      <c r="U743" s="1160"/>
      <c r="V743" s="1160"/>
      <c r="W743" s="1160"/>
      <c r="X743" s="1160"/>
      <c r="Y743" s="1160"/>
      <c r="Z743" s="1160"/>
      <c r="AA743" s="1160"/>
      <c r="AB743" s="1160"/>
      <c r="AC743" s="1160"/>
      <c r="AD743" s="1160"/>
      <c r="AE743" s="1160"/>
      <c r="AF743" s="1160"/>
      <c r="AG743" s="1160"/>
      <c r="AH743" s="1160"/>
      <c r="AI743" s="1160"/>
      <c r="AJ743" s="1160"/>
      <c r="AK743" s="1160"/>
      <c r="AL743" s="1160"/>
    </row>
    <row r="744" ht="15.0" customHeight="1">
      <c r="A744" s="1209"/>
      <c r="B744" s="1209"/>
      <c r="C744" s="1210"/>
      <c r="D744" s="1160"/>
      <c r="E744" s="1160"/>
      <c r="F744" s="1160"/>
      <c r="G744" s="1160"/>
      <c r="H744" s="1160"/>
      <c r="I744" s="1160"/>
      <c r="J744" s="1160"/>
      <c r="K744" s="1160"/>
      <c r="L744" s="1160"/>
      <c r="M744" s="1160"/>
      <c r="N744" s="1160"/>
      <c r="O744" s="1160"/>
      <c r="P744" s="1160"/>
      <c r="Q744" s="1160"/>
      <c r="R744" s="1160"/>
      <c r="S744" s="1160"/>
      <c r="T744" s="1160"/>
      <c r="U744" s="1160"/>
      <c r="V744" s="1160"/>
      <c r="W744" s="1160"/>
      <c r="X744" s="1160"/>
      <c r="Y744" s="1160"/>
      <c r="Z744" s="1160"/>
      <c r="AA744" s="1160"/>
      <c r="AB744" s="1160"/>
      <c r="AC744" s="1160"/>
      <c r="AD744" s="1160"/>
      <c r="AE744" s="1160"/>
      <c r="AF744" s="1160"/>
      <c r="AG744" s="1160"/>
      <c r="AH744" s="1160"/>
      <c r="AI744" s="1160"/>
      <c r="AJ744" s="1160"/>
      <c r="AK744" s="1160"/>
      <c r="AL744" s="1160"/>
    </row>
    <row r="745" ht="15.0" customHeight="1">
      <c r="A745" s="1209"/>
      <c r="B745" s="1209"/>
      <c r="C745" s="1210"/>
      <c r="D745" s="1160"/>
      <c r="E745" s="1160"/>
      <c r="F745" s="1160"/>
      <c r="G745" s="1160"/>
      <c r="H745" s="1160"/>
      <c r="I745" s="1160"/>
      <c r="J745" s="1160"/>
      <c r="K745" s="1160"/>
      <c r="L745" s="1160"/>
      <c r="M745" s="1160"/>
      <c r="N745" s="1160"/>
      <c r="O745" s="1160"/>
      <c r="P745" s="1160"/>
      <c r="Q745" s="1160"/>
      <c r="R745" s="1160"/>
      <c r="S745" s="1160"/>
      <c r="T745" s="1160"/>
      <c r="U745" s="1160"/>
      <c r="V745" s="1160"/>
      <c r="W745" s="1160"/>
      <c r="X745" s="1160"/>
      <c r="Y745" s="1160"/>
      <c r="Z745" s="1160"/>
      <c r="AA745" s="1160"/>
      <c r="AB745" s="1160"/>
      <c r="AC745" s="1160"/>
      <c r="AD745" s="1160"/>
      <c r="AE745" s="1160"/>
      <c r="AF745" s="1160"/>
      <c r="AG745" s="1160"/>
      <c r="AH745" s="1160"/>
      <c r="AI745" s="1160"/>
      <c r="AJ745" s="1160"/>
      <c r="AK745" s="1160"/>
      <c r="AL745" s="1160"/>
    </row>
    <row r="746" ht="15.0" customHeight="1">
      <c r="A746" s="1209"/>
      <c r="B746" s="1209"/>
      <c r="C746" s="1210"/>
      <c r="D746" s="1160"/>
      <c r="E746" s="1160"/>
      <c r="F746" s="1160"/>
      <c r="G746" s="1160"/>
      <c r="H746" s="1160"/>
      <c r="I746" s="1160"/>
      <c r="J746" s="1160"/>
      <c r="K746" s="1160"/>
      <c r="L746" s="1160"/>
      <c r="M746" s="1160"/>
      <c r="N746" s="1160"/>
      <c r="O746" s="1160"/>
      <c r="P746" s="1160"/>
      <c r="Q746" s="1160"/>
      <c r="R746" s="1160"/>
      <c r="S746" s="1160"/>
      <c r="T746" s="1160"/>
      <c r="U746" s="1160"/>
      <c r="V746" s="1160"/>
      <c r="W746" s="1160"/>
      <c r="X746" s="1160"/>
      <c r="Y746" s="1160"/>
      <c r="Z746" s="1160"/>
      <c r="AA746" s="1160"/>
      <c r="AB746" s="1160"/>
      <c r="AC746" s="1160"/>
      <c r="AD746" s="1160"/>
      <c r="AE746" s="1160"/>
      <c r="AF746" s="1160"/>
      <c r="AG746" s="1160"/>
      <c r="AH746" s="1160"/>
      <c r="AI746" s="1160"/>
      <c r="AJ746" s="1160"/>
      <c r="AK746" s="1160"/>
      <c r="AL746" s="1160"/>
    </row>
    <row r="747" ht="15.0" customHeight="1">
      <c r="A747" s="1209"/>
      <c r="B747" s="1209"/>
      <c r="C747" s="1210"/>
      <c r="D747" s="1160"/>
      <c r="E747" s="1160"/>
      <c r="F747" s="1160"/>
      <c r="G747" s="1160"/>
      <c r="H747" s="1160"/>
      <c r="I747" s="1160"/>
      <c r="J747" s="1160"/>
      <c r="K747" s="1160"/>
      <c r="L747" s="1160"/>
      <c r="M747" s="1160"/>
      <c r="N747" s="1160"/>
      <c r="O747" s="1160"/>
      <c r="P747" s="1160"/>
      <c r="Q747" s="1160"/>
      <c r="R747" s="1160"/>
      <c r="S747" s="1160"/>
      <c r="T747" s="1160"/>
      <c r="U747" s="1160"/>
      <c r="V747" s="1160"/>
      <c r="W747" s="1160"/>
      <c r="X747" s="1160"/>
      <c r="Y747" s="1160"/>
      <c r="Z747" s="1160"/>
      <c r="AA747" s="1160"/>
      <c r="AB747" s="1160"/>
      <c r="AC747" s="1160"/>
      <c r="AD747" s="1160"/>
      <c r="AE747" s="1160"/>
      <c r="AF747" s="1160"/>
      <c r="AG747" s="1160"/>
      <c r="AH747" s="1160"/>
      <c r="AI747" s="1160"/>
      <c r="AJ747" s="1160"/>
      <c r="AK747" s="1160"/>
      <c r="AL747" s="1160"/>
    </row>
    <row r="748" ht="15.0" customHeight="1">
      <c r="A748" s="1209"/>
      <c r="B748" s="1209"/>
      <c r="C748" s="1210"/>
      <c r="D748" s="1160"/>
      <c r="E748" s="1160"/>
      <c r="F748" s="1160"/>
      <c r="G748" s="1160"/>
      <c r="H748" s="1160"/>
      <c r="I748" s="1160"/>
      <c r="J748" s="1160"/>
      <c r="K748" s="1160"/>
      <c r="L748" s="1160"/>
      <c r="M748" s="1160"/>
      <c r="N748" s="1160"/>
      <c r="O748" s="1160"/>
      <c r="P748" s="1160"/>
      <c r="Q748" s="1160"/>
      <c r="R748" s="1160"/>
      <c r="S748" s="1160"/>
      <c r="T748" s="1160"/>
      <c r="U748" s="1160"/>
      <c r="V748" s="1160"/>
      <c r="W748" s="1160"/>
      <c r="X748" s="1160"/>
      <c r="Y748" s="1160"/>
      <c r="Z748" s="1160"/>
      <c r="AA748" s="1160"/>
      <c r="AB748" s="1160"/>
      <c r="AC748" s="1160"/>
      <c r="AD748" s="1160"/>
      <c r="AE748" s="1160"/>
      <c r="AF748" s="1160"/>
      <c r="AG748" s="1160"/>
      <c r="AH748" s="1160"/>
      <c r="AI748" s="1160"/>
      <c r="AJ748" s="1160"/>
      <c r="AK748" s="1160"/>
      <c r="AL748" s="1160"/>
    </row>
    <row r="749" ht="15.0" customHeight="1">
      <c r="A749" s="1209"/>
      <c r="B749" s="1209"/>
      <c r="C749" s="1210"/>
      <c r="D749" s="1160"/>
      <c r="E749" s="1160"/>
      <c r="F749" s="1160"/>
      <c r="G749" s="1160"/>
      <c r="H749" s="1160"/>
      <c r="I749" s="1160"/>
      <c r="J749" s="1160"/>
      <c r="K749" s="1160"/>
      <c r="L749" s="1160"/>
      <c r="M749" s="1160"/>
      <c r="N749" s="1160"/>
      <c r="O749" s="1160"/>
      <c r="P749" s="1160"/>
      <c r="Q749" s="1160"/>
      <c r="R749" s="1160"/>
      <c r="S749" s="1160"/>
      <c r="T749" s="1160"/>
      <c r="U749" s="1160"/>
      <c r="V749" s="1160"/>
      <c r="W749" s="1160"/>
      <c r="X749" s="1160"/>
      <c r="Y749" s="1160"/>
      <c r="Z749" s="1160"/>
      <c r="AA749" s="1160"/>
      <c r="AB749" s="1160"/>
      <c r="AC749" s="1160"/>
      <c r="AD749" s="1160"/>
      <c r="AE749" s="1160"/>
      <c r="AF749" s="1160"/>
      <c r="AG749" s="1160"/>
      <c r="AH749" s="1160"/>
      <c r="AI749" s="1160"/>
      <c r="AJ749" s="1160"/>
      <c r="AK749" s="1160"/>
      <c r="AL749" s="1160"/>
    </row>
    <row r="750" ht="15.0" customHeight="1">
      <c r="A750" s="1209"/>
      <c r="B750" s="1209"/>
      <c r="C750" s="1210"/>
      <c r="D750" s="1160"/>
      <c r="E750" s="1160"/>
      <c r="F750" s="1160"/>
      <c r="G750" s="1160"/>
      <c r="H750" s="1160"/>
      <c r="I750" s="1160"/>
      <c r="J750" s="1160"/>
      <c r="K750" s="1160"/>
      <c r="L750" s="1160"/>
      <c r="M750" s="1160"/>
      <c r="N750" s="1160"/>
      <c r="O750" s="1160"/>
      <c r="P750" s="1160"/>
      <c r="Q750" s="1160"/>
      <c r="R750" s="1160"/>
      <c r="S750" s="1160"/>
      <c r="T750" s="1160"/>
      <c r="U750" s="1160"/>
      <c r="V750" s="1160"/>
      <c r="W750" s="1160"/>
      <c r="X750" s="1160"/>
      <c r="Y750" s="1160"/>
      <c r="Z750" s="1160"/>
      <c r="AA750" s="1160"/>
      <c r="AB750" s="1160"/>
      <c r="AC750" s="1160"/>
      <c r="AD750" s="1160"/>
      <c r="AE750" s="1160"/>
      <c r="AF750" s="1160"/>
      <c r="AG750" s="1160"/>
      <c r="AH750" s="1160"/>
      <c r="AI750" s="1160"/>
      <c r="AJ750" s="1160"/>
      <c r="AK750" s="1160"/>
      <c r="AL750" s="1160"/>
    </row>
    <row r="751" ht="15.0" customHeight="1">
      <c r="A751" s="1209"/>
      <c r="B751" s="1209"/>
      <c r="C751" s="1210"/>
      <c r="D751" s="1160"/>
      <c r="E751" s="1160"/>
      <c r="F751" s="1160"/>
      <c r="G751" s="1160"/>
      <c r="H751" s="1160"/>
      <c r="I751" s="1160"/>
      <c r="J751" s="1160"/>
      <c r="K751" s="1160"/>
      <c r="L751" s="1160"/>
      <c r="M751" s="1160"/>
      <c r="N751" s="1160"/>
      <c r="O751" s="1160"/>
      <c r="P751" s="1160"/>
      <c r="Q751" s="1160"/>
      <c r="R751" s="1160"/>
      <c r="S751" s="1160"/>
      <c r="T751" s="1160"/>
      <c r="U751" s="1160"/>
      <c r="V751" s="1160"/>
      <c r="W751" s="1160"/>
      <c r="X751" s="1160"/>
      <c r="Y751" s="1160"/>
      <c r="Z751" s="1160"/>
      <c r="AA751" s="1160"/>
      <c r="AB751" s="1160"/>
      <c r="AC751" s="1160"/>
      <c r="AD751" s="1160"/>
      <c r="AE751" s="1160"/>
      <c r="AF751" s="1160"/>
      <c r="AG751" s="1160"/>
      <c r="AH751" s="1160"/>
      <c r="AI751" s="1160"/>
      <c r="AJ751" s="1160"/>
      <c r="AK751" s="1160"/>
      <c r="AL751" s="1160"/>
    </row>
    <row r="752" ht="15.0" customHeight="1">
      <c r="A752" s="1209"/>
      <c r="B752" s="1209"/>
      <c r="C752" s="1210"/>
      <c r="D752" s="1160"/>
      <c r="E752" s="1160"/>
      <c r="F752" s="1160"/>
      <c r="G752" s="1160"/>
      <c r="H752" s="1160"/>
      <c r="I752" s="1160"/>
      <c r="J752" s="1160"/>
      <c r="K752" s="1160"/>
      <c r="L752" s="1160"/>
      <c r="M752" s="1160"/>
      <c r="N752" s="1160"/>
      <c r="O752" s="1160"/>
      <c r="P752" s="1160"/>
      <c r="Q752" s="1160"/>
      <c r="R752" s="1160"/>
      <c r="S752" s="1160"/>
      <c r="T752" s="1160"/>
      <c r="U752" s="1160"/>
      <c r="V752" s="1160"/>
      <c r="W752" s="1160"/>
      <c r="X752" s="1160"/>
      <c r="Y752" s="1160"/>
      <c r="Z752" s="1160"/>
      <c r="AA752" s="1160"/>
      <c r="AB752" s="1160"/>
      <c r="AC752" s="1160"/>
      <c r="AD752" s="1160"/>
      <c r="AE752" s="1160"/>
      <c r="AF752" s="1160"/>
      <c r="AG752" s="1160"/>
      <c r="AH752" s="1160"/>
      <c r="AI752" s="1160"/>
      <c r="AJ752" s="1160"/>
      <c r="AK752" s="1160"/>
      <c r="AL752" s="1160"/>
    </row>
    <row r="753" ht="15.0" customHeight="1">
      <c r="A753" s="1209"/>
      <c r="B753" s="1209"/>
      <c r="C753" s="1210"/>
      <c r="D753" s="1160"/>
      <c r="E753" s="1160"/>
      <c r="F753" s="1160"/>
      <c r="G753" s="1160"/>
      <c r="H753" s="1160"/>
      <c r="I753" s="1160"/>
      <c r="J753" s="1160"/>
      <c r="K753" s="1160"/>
      <c r="L753" s="1160"/>
      <c r="M753" s="1160"/>
      <c r="N753" s="1160"/>
      <c r="O753" s="1160"/>
      <c r="P753" s="1160"/>
      <c r="Q753" s="1160"/>
      <c r="R753" s="1160"/>
      <c r="S753" s="1160"/>
      <c r="T753" s="1160"/>
      <c r="U753" s="1160"/>
      <c r="V753" s="1160"/>
      <c r="W753" s="1160"/>
      <c r="X753" s="1160"/>
      <c r="Y753" s="1160"/>
      <c r="Z753" s="1160"/>
      <c r="AA753" s="1160"/>
      <c r="AB753" s="1160"/>
      <c r="AC753" s="1160"/>
      <c r="AD753" s="1160"/>
      <c r="AE753" s="1160"/>
      <c r="AF753" s="1160"/>
      <c r="AG753" s="1160"/>
      <c r="AH753" s="1160"/>
      <c r="AI753" s="1160"/>
      <c r="AJ753" s="1160"/>
      <c r="AK753" s="1160"/>
      <c r="AL753" s="1160"/>
    </row>
    <row r="754" ht="15.0" customHeight="1">
      <c r="A754" s="1209"/>
      <c r="B754" s="1209"/>
      <c r="C754" s="1210"/>
      <c r="D754" s="1160"/>
      <c r="E754" s="1160"/>
      <c r="F754" s="1160"/>
      <c r="G754" s="1160"/>
      <c r="H754" s="1160"/>
      <c r="I754" s="1160"/>
      <c r="J754" s="1160"/>
      <c r="K754" s="1160"/>
      <c r="L754" s="1160"/>
      <c r="M754" s="1160"/>
      <c r="N754" s="1160"/>
      <c r="O754" s="1160"/>
      <c r="P754" s="1160"/>
      <c r="Q754" s="1160"/>
      <c r="R754" s="1160"/>
      <c r="S754" s="1160"/>
      <c r="T754" s="1160"/>
      <c r="U754" s="1160"/>
      <c r="V754" s="1160"/>
      <c r="W754" s="1160"/>
      <c r="X754" s="1160"/>
      <c r="Y754" s="1160"/>
      <c r="Z754" s="1160"/>
      <c r="AA754" s="1160"/>
      <c r="AB754" s="1160"/>
      <c r="AC754" s="1160"/>
      <c r="AD754" s="1160"/>
      <c r="AE754" s="1160"/>
      <c r="AF754" s="1160"/>
      <c r="AG754" s="1160"/>
      <c r="AH754" s="1160"/>
      <c r="AI754" s="1160"/>
      <c r="AJ754" s="1160"/>
      <c r="AK754" s="1160"/>
      <c r="AL754" s="1160"/>
    </row>
    <row r="755" ht="15.0" customHeight="1">
      <c r="A755" s="1209"/>
      <c r="B755" s="1209"/>
      <c r="C755" s="1210"/>
      <c r="D755" s="1160"/>
      <c r="E755" s="1160"/>
      <c r="F755" s="1160"/>
      <c r="G755" s="1160"/>
      <c r="H755" s="1160"/>
      <c r="I755" s="1160"/>
      <c r="J755" s="1160"/>
      <c r="K755" s="1160"/>
      <c r="L755" s="1160"/>
      <c r="M755" s="1160"/>
      <c r="N755" s="1160"/>
      <c r="O755" s="1160"/>
      <c r="P755" s="1160"/>
      <c r="Q755" s="1160"/>
      <c r="R755" s="1160"/>
      <c r="S755" s="1160"/>
      <c r="T755" s="1160"/>
      <c r="U755" s="1160"/>
      <c r="V755" s="1160"/>
      <c r="W755" s="1160"/>
      <c r="X755" s="1160"/>
      <c r="Y755" s="1160"/>
      <c r="Z755" s="1160"/>
      <c r="AA755" s="1160"/>
      <c r="AB755" s="1160"/>
      <c r="AC755" s="1160"/>
      <c r="AD755" s="1160"/>
      <c r="AE755" s="1160"/>
      <c r="AF755" s="1160"/>
      <c r="AG755" s="1160"/>
      <c r="AH755" s="1160"/>
      <c r="AI755" s="1160"/>
      <c r="AJ755" s="1160"/>
      <c r="AK755" s="1160"/>
      <c r="AL755" s="1160"/>
    </row>
    <row r="756" ht="15.0" customHeight="1">
      <c r="A756" s="1209"/>
      <c r="B756" s="1209"/>
      <c r="C756" s="1210"/>
      <c r="D756" s="1160"/>
      <c r="E756" s="1160"/>
      <c r="F756" s="1160"/>
      <c r="G756" s="1160"/>
      <c r="H756" s="1160"/>
      <c r="I756" s="1160"/>
      <c r="J756" s="1160"/>
      <c r="K756" s="1160"/>
      <c r="L756" s="1160"/>
      <c r="M756" s="1160"/>
      <c r="N756" s="1160"/>
      <c r="O756" s="1160"/>
      <c r="P756" s="1160"/>
      <c r="Q756" s="1160"/>
      <c r="R756" s="1160"/>
      <c r="S756" s="1160"/>
      <c r="T756" s="1160"/>
      <c r="U756" s="1160"/>
      <c r="V756" s="1160"/>
      <c r="W756" s="1160"/>
      <c r="X756" s="1160"/>
      <c r="Y756" s="1160"/>
      <c r="Z756" s="1160"/>
      <c r="AA756" s="1160"/>
      <c r="AB756" s="1160"/>
      <c r="AC756" s="1160"/>
      <c r="AD756" s="1160"/>
      <c r="AE756" s="1160"/>
      <c r="AF756" s="1160"/>
      <c r="AG756" s="1160"/>
      <c r="AH756" s="1160"/>
      <c r="AI756" s="1160"/>
      <c r="AJ756" s="1160"/>
      <c r="AK756" s="1160"/>
      <c r="AL756" s="1160"/>
    </row>
    <row r="757" ht="15.0" customHeight="1">
      <c r="A757" s="1209"/>
      <c r="B757" s="1209"/>
      <c r="C757" s="1210"/>
      <c r="D757" s="1160"/>
      <c r="E757" s="1160"/>
      <c r="F757" s="1160"/>
      <c r="G757" s="1160"/>
      <c r="H757" s="1160"/>
      <c r="I757" s="1160"/>
      <c r="J757" s="1160"/>
      <c r="K757" s="1160"/>
      <c r="L757" s="1160"/>
      <c r="M757" s="1160"/>
      <c r="N757" s="1160"/>
      <c r="O757" s="1160"/>
      <c r="P757" s="1160"/>
      <c r="Q757" s="1160"/>
      <c r="R757" s="1160"/>
      <c r="S757" s="1160"/>
      <c r="T757" s="1160"/>
      <c r="U757" s="1160"/>
      <c r="V757" s="1160"/>
      <c r="W757" s="1160"/>
      <c r="X757" s="1160"/>
      <c r="Y757" s="1160"/>
      <c r="Z757" s="1160"/>
      <c r="AA757" s="1160"/>
      <c r="AB757" s="1160"/>
      <c r="AC757" s="1160"/>
      <c r="AD757" s="1160"/>
      <c r="AE757" s="1160"/>
      <c r="AF757" s="1160"/>
      <c r="AG757" s="1160"/>
      <c r="AH757" s="1160"/>
      <c r="AI757" s="1160"/>
      <c r="AJ757" s="1160"/>
      <c r="AK757" s="1160"/>
      <c r="AL757" s="1160"/>
    </row>
    <row r="758" ht="15.0" customHeight="1">
      <c r="A758" s="1209"/>
      <c r="B758" s="1209"/>
      <c r="C758" s="1210"/>
      <c r="D758" s="1160"/>
      <c r="E758" s="1160"/>
      <c r="F758" s="1160"/>
      <c r="G758" s="1160"/>
      <c r="H758" s="1160"/>
      <c r="I758" s="1160"/>
      <c r="J758" s="1160"/>
      <c r="K758" s="1160"/>
      <c r="L758" s="1160"/>
      <c r="M758" s="1160"/>
      <c r="N758" s="1160"/>
      <c r="O758" s="1160"/>
      <c r="P758" s="1160"/>
      <c r="Q758" s="1160"/>
      <c r="R758" s="1160"/>
      <c r="S758" s="1160"/>
      <c r="T758" s="1160"/>
      <c r="U758" s="1160"/>
      <c r="V758" s="1160"/>
      <c r="W758" s="1160"/>
      <c r="X758" s="1160"/>
      <c r="Y758" s="1160"/>
      <c r="Z758" s="1160"/>
      <c r="AA758" s="1160"/>
      <c r="AB758" s="1160"/>
      <c r="AC758" s="1160"/>
      <c r="AD758" s="1160"/>
      <c r="AE758" s="1160"/>
      <c r="AF758" s="1160"/>
      <c r="AG758" s="1160"/>
      <c r="AH758" s="1160"/>
      <c r="AI758" s="1160"/>
      <c r="AJ758" s="1160"/>
      <c r="AK758" s="1160"/>
      <c r="AL758" s="1160"/>
    </row>
    <row r="759" ht="15.0" customHeight="1">
      <c r="A759" s="1209"/>
      <c r="B759" s="1209"/>
      <c r="C759" s="1210"/>
      <c r="D759" s="1160"/>
      <c r="E759" s="1160"/>
      <c r="F759" s="1160"/>
      <c r="G759" s="1160"/>
      <c r="H759" s="1160"/>
      <c r="I759" s="1160"/>
      <c r="J759" s="1160"/>
      <c r="K759" s="1160"/>
      <c r="L759" s="1160"/>
      <c r="M759" s="1160"/>
      <c r="N759" s="1160"/>
      <c r="O759" s="1160"/>
      <c r="P759" s="1160"/>
      <c r="Q759" s="1160"/>
      <c r="R759" s="1160"/>
      <c r="S759" s="1160"/>
      <c r="T759" s="1160"/>
      <c r="U759" s="1160"/>
      <c r="V759" s="1160"/>
      <c r="W759" s="1160"/>
      <c r="X759" s="1160"/>
      <c r="Y759" s="1160"/>
      <c r="Z759" s="1160"/>
      <c r="AA759" s="1160"/>
      <c r="AB759" s="1160"/>
      <c r="AC759" s="1160"/>
      <c r="AD759" s="1160"/>
      <c r="AE759" s="1160"/>
      <c r="AF759" s="1160"/>
      <c r="AG759" s="1160"/>
      <c r="AH759" s="1160"/>
      <c r="AI759" s="1160"/>
      <c r="AJ759" s="1160"/>
      <c r="AK759" s="1160"/>
      <c r="AL759" s="1160"/>
    </row>
    <row r="760" ht="15.0" customHeight="1">
      <c r="A760" s="1209"/>
      <c r="B760" s="1209"/>
      <c r="C760" s="1210"/>
      <c r="D760" s="1160"/>
      <c r="E760" s="1160"/>
      <c r="F760" s="1160"/>
      <c r="G760" s="1160"/>
      <c r="H760" s="1160"/>
      <c r="I760" s="1160"/>
      <c r="J760" s="1160"/>
      <c r="K760" s="1160"/>
      <c r="L760" s="1160"/>
      <c r="M760" s="1160"/>
      <c r="N760" s="1160"/>
      <c r="O760" s="1160"/>
      <c r="P760" s="1160"/>
      <c r="Q760" s="1160"/>
      <c r="R760" s="1160"/>
      <c r="S760" s="1160"/>
      <c r="T760" s="1160"/>
      <c r="U760" s="1160"/>
      <c r="V760" s="1160"/>
      <c r="W760" s="1160"/>
      <c r="X760" s="1160"/>
      <c r="Y760" s="1160"/>
      <c r="Z760" s="1160"/>
      <c r="AA760" s="1160"/>
      <c r="AB760" s="1160"/>
      <c r="AC760" s="1160"/>
      <c r="AD760" s="1160"/>
      <c r="AE760" s="1160"/>
      <c r="AF760" s="1160"/>
      <c r="AG760" s="1160"/>
      <c r="AH760" s="1160"/>
      <c r="AI760" s="1160"/>
      <c r="AJ760" s="1160"/>
      <c r="AK760" s="1160"/>
      <c r="AL760" s="1160"/>
    </row>
    <row r="761" ht="15.0" customHeight="1">
      <c r="A761" s="1209"/>
      <c r="B761" s="1209"/>
      <c r="C761" s="1210"/>
      <c r="D761" s="1160"/>
      <c r="E761" s="1160"/>
      <c r="F761" s="1160"/>
      <c r="G761" s="1160"/>
      <c r="H761" s="1160"/>
      <c r="I761" s="1160"/>
      <c r="J761" s="1160"/>
      <c r="K761" s="1160"/>
      <c r="L761" s="1160"/>
      <c r="M761" s="1160"/>
      <c r="N761" s="1160"/>
      <c r="O761" s="1160"/>
      <c r="P761" s="1160"/>
      <c r="Q761" s="1160"/>
      <c r="R761" s="1160"/>
      <c r="S761" s="1160"/>
      <c r="T761" s="1160"/>
      <c r="U761" s="1160"/>
      <c r="V761" s="1160"/>
      <c r="W761" s="1160"/>
      <c r="X761" s="1160"/>
      <c r="Y761" s="1160"/>
      <c r="Z761" s="1160"/>
      <c r="AA761" s="1160"/>
      <c r="AB761" s="1160"/>
      <c r="AC761" s="1160"/>
      <c r="AD761" s="1160"/>
      <c r="AE761" s="1160"/>
      <c r="AF761" s="1160"/>
      <c r="AG761" s="1160"/>
      <c r="AH761" s="1160"/>
      <c r="AI761" s="1160"/>
      <c r="AJ761" s="1160"/>
      <c r="AK761" s="1160"/>
      <c r="AL761" s="1160"/>
    </row>
    <row r="762" ht="15.0" customHeight="1">
      <c r="A762" s="1209"/>
      <c r="B762" s="1209"/>
      <c r="C762" s="1210"/>
      <c r="D762" s="1160"/>
      <c r="E762" s="1160"/>
      <c r="F762" s="1160"/>
      <c r="G762" s="1160"/>
      <c r="H762" s="1160"/>
      <c r="I762" s="1160"/>
      <c r="J762" s="1160"/>
      <c r="K762" s="1160"/>
      <c r="L762" s="1160"/>
      <c r="M762" s="1160"/>
      <c r="N762" s="1160"/>
      <c r="O762" s="1160"/>
      <c r="P762" s="1160"/>
      <c r="Q762" s="1160"/>
      <c r="R762" s="1160"/>
      <c r="S762" s="1160"/>
      <c r="T762" s="1160"/>
      <c r="U762" s="1160"/>
      <c r="V762" s="1160"/>
      <c r="W762" s="1160"/>
      <c r="X762" s="1160"/>
      <c r="Y762" s="1160"/>
      <c r="Z762" s="1160"/>
      <c r="AA762" s="1160"/>
      <c r="AB762" s="1160"/>
      <c r="AC762" s="1160"/>
      <c r="AD762" s="1160"/>
      <c r="AE762" s="1160"/>
      <c r="AF762" s="1160"/>
      <c r="AG762" s="1160"/>
      <c r="AH762" s="1160"/>
      <c r="AI762" s="1160"/>
      <c r="AJ762" s="1160"/>
      <c r="AK762" s="1160"/>
      <c r="AL762" s="1160"/>
    </row>
    <row r="763" ht="15.0" customHeight="1">
      <c r="A763" s="1209"/>
      <c r="B763" s="1209"/>
      <c r="C763" s="1210"/>
      <c r="D763" s="1160"/>
      <c r="E763" s="1160"/>
      <c r="F763" s="1160"/>
      <c r="G763" s="1160"/>
      <c r="H763" s="1160"/>
      <c r="I763" s="1160"/>
      <c r="J763" s="1160"/>
      <c r="K763" s="1160"/>
      <c r="L763" s="1160"/>
      <c r="M763" s="1160"/>
      <c r="N763" s="1160"/>
      <c r="O763" s="1160"/>
      <c r="P763" s="1160"/>
      <c r="Q763" s="1160"/>
      <c r="R763" s="1160"/>
      <c r="S763" s="1160"/>
      <c r="T763" s="1160"/>
      <c r="U763" s="1160"/>
      <c r="V763" s="1160"/>
      <c r="W763" s="1160"/>
      <c r="X763" s="1160"/>
      <c r="Y763" s="1160"/>
      <c r="Z763" s="1160"/>
      <c r="AA763" s="1160"/>
      <c r="AB763" s="1160"/>
      <c r="AC763" s="1160"/>
      <c r="AD763" s="1160"/>
      <c r="AE763" s="1160"/>
      <c r="AF763" s="1160"/>
      <c r="AG763" s="1160"/>
      <c r="AH763" s="1160"/>
      <c r="AI763" s="1160"/>
      <c r="AJ763" s="1160"/>
      <c r="AK763" s="1160"/>
      <c r="AL763" s="1160"/>
    </row>
    <row r="764" ht="15.0" customHeight="1">
      <c r="A764" s="1209"/>
      <c r="B764" s="1209"/>
      <c r="C764" s="1210"/>
      <c r="D764" s="1160"/>
      <c r="E764" s="1160"/>
      <c r="F764" s="1160"/>
      <c r="G764" s="1160"/>
      <c r="H764" s="1160"/>
      <c r="I764" s="1160"/>
      <c r="J764" s="1160"/>
      <c r="K764" s="1160"/>
      <c r="L764" s="1160"/>
      <c r="M764" s="1160"/>
      <c r="N764" s="1160"/>
      <c r="O764" s="1160"/>
      <c r="P764" s="1160"/>
      <c r="Q764" s="1160"/>
      <c r="R764" s="1160"/>
      <c r="S764" s="1160"/>
      <c r="T764" s="1160"/>
      <c r="U764" s="1160"/>
      <c r="V764" s="1160"/>
      <c r="W764" s="1160"/>
      <c r="X764" s="1160"/>
      <c r="Y764" s="1160"/>
      <c r="Z764" s="1160"/>
      <c r="AA764" s="1160"/>
      <c r="AB764" s="1160"/>
      <c r="AC764" s="1160"/>
      <c r="AD764" s="1160"/>
      <c r="AE764" s="1160"/>
      <c r="AF764" s="1160"/>
      <c r="AG764" s="1160"/>
      <c r="AH764" s="1160"/>
      <c r="AI764" s="1160"/>
      <c r="AJ764" s="1160"/>
      <c r="AK764" s="1160"/>
      <c r="AL764" s="1160"/>
    </row>
    <row r="765" ht="15.0" customHeight="1">
      <c r="A765" s="1209"/>
      <c r="B765" s="1209"/>
      <c r="C765" s="1210"/>
      <c r="D765" s="1160"/>
      <c r="E765" s="1160"/>
      <c r="F765" s="1160"/>
      <c r="G765" s="1160"/>
      <c r="H765" s="1160"/>
      <c r="I765" s="1160"/>
      <c r="J765" s="1160"/>
      <c r="K765" s="1160"/>
      <c r="L765" s="1160"/>
      <c r="M765" s="1160"/>
      <c r="N765" s="1160"/>
      <c r="O765" s="1160"/>
      <c r="P765" s="1160"/>
      <c r="Q765" s="1160"/>
      <c r="R765" s="1160"/>
      <c r="S765" s="1160"/>
      <c r="T765" s="1160"/>
      <c r="U765" s="1160"/>
      <c r="V765" s="1160"/>
      <c r="W765" s="1160"/>
      <c r="X765" s="1160"/>
      <c r="Y765" s="1160"/>
      <c r="Z765" s="1160"/>
      <c r="AA765" s="1160"/>
      <c r="AB765" s="1160"/>
      <c r="AC765" s="1160"/>
      <c r="AD765" s="1160"/>
      <c r="AE765" s="1160"/>
      <c r="AF765" s="1160"/>
      <c r="AG765" s="1160"/>
      <c r="AH765" s="1160"/>
      <c r="AI765" s="1160"/>
      <c r="AJ765" s="1160"/>
      <c r="AK765" s="1160"/>
      <c r="AL765" s="1160"/>
    </row>
    <row r="766" ht="15.0" customHeight="1">
      <c r="A766" s="1209"/>
      <c r="B766" s="1209"/>
      <c r="C766" s="1210"/>
      <c r="D766" s="1160"/>
      <c r="E766" s="1160"/>
      <c r="F766" s="1160"/>
      <c r="G766" s="1160"/>
      <c r="H766" s="1160"/>
      <c r="I766" s="1160"/>
      <c r="J766" s="1160"/>
      <c r="K766" s="1160"/>
      <c r="L766" s="1160"/>
      <c r="M766" s="1160"/>
      <c r="N766" s="1160"/>
      <c r="O766" s="1160"/>
      <c r="P766" s="1160"/>
      <c r="Q766" s="1160"/>
      <c r="R766" s="1160"/>
      <c r="S766" s="1160"/>
      <c r="T766" s="1160"/>
      <c r="U766" s="1160"/>
      <c r="V766" s="1160"/>
      <c r="W766" s="1160"/>
      <c r="X766" s="1160"/>
      <c r="Y766" s="1160"/>
      <c r="Z766" s="1160"/>
      <c r="AA766" s="1160"/>
      <c r="AB766" s="1160"/>
      <c r="AC766" s="1160"/>
      <c r="AD766" s="1160"/>
      <c r="AE766" s="1160"/>
      <c r="AF766" s="1160"/>
      <c r="AG766" s="1160"/>
      <c r="AH766" s="1160"/>
      <c r="AI766" s="1160"/>
      <c r="AJ766" s="1160"/>
      <c r="AK766" s="1160"/>
      <c r="AL766" s="1160"/>
    </row>
    <row r="767" ht="15.0" customHeight="1">
      <c r="A767" s="1209"/>
      <c r="B767" s="1209"/>
      <c r="C767" s="1210"/>
      <c r="D767" s="1160"/>
      <c r="E767" s="1160"/>
      <c r="F767" s="1160"/>
      <c r="G767" s="1160"/>
      <c r="H767" s="1160"/>
      <c r="I767" s="1160"/>
      <c r="J767" s="1160"/>
      <c r="K767" s="1160"/>
      <c r="L767" s="1160"/>
      <c r="M767" s="1160"/>
      <c r="N767" s="1160"/>
      <c r="O767" s="1160"/>
      <c r="P767" s="1160"/>
      <c r="Q767" s="1160"/>
      <c r="R767" s="1160"/>
      <c r="S767" s="1160"/>
      <c r="T767" s="1160"/>
      <c r="U767" s="1160"/>
      <c r="V767" s="1160"/>
      <c r="W767" s="1160"/>
      <c r="X767" s="1160"/>
      <c r="Y767" s="1160"/>
      <c r="Z767" s="1160"/>
      <c r="AA767" s="1160"/>
      <c r="AB767" s="1160"/>
      <c r="AC767" s="1160"/>
      <c r="AD767" s="1160"/>
      <c r="AE767" s="1160"/>
      <c r="AF767" s="1160"/>
      <c r="AG767" s="1160"/>
      <c r="AH767" s="1160"/>
      <c r="AI767" s="1160"/>
      <c r="AJ767" s="1160"/>
      <c r="AK767" s="1160"/>
      <c r="AL767" s="1160"/>
    </row>
    <row r="768" ht="15.0" customHeight="1">
      <c r="A768" s="1209"/>
      <c r="B768" s="1209"/>
      <c r="C768" s="1210"/>
      <c r="D768" s="1160"/>
      <c r="E768" s="1160"/>
      <c r="F768" s="1160"/>
      <c r="G768" s="1160"/>
      <c r="H768" s="1160"/>
      <c r="I768" s="1160"/>
      <c r="J768" s="1160"/>
      <c r="K768" s="1160"/>
      <c r="L768" s="1160"/>
      <c r="M768" s="1160"/>
      <c r="N768" s="1160"/>
      <c r="O768" s="1160"/>
      <c r="P768" s="1160"/>
      <c r="Q768" s="1160"/>
      <c r="R768" s="1160"/>
      <c r="S768" s="1160"/>
      <c r="T768" s="1160"/>
      <c r="U768" s="1160"/>
      <c r="V768" s="1160"/>
      <c r="W768" s="1160"/>
      <c r="X768" s="1160"/>
      <c r="Y768" s="1160"/>
      <c r="Z768" s="1160"/>
      <c r="AA768" s="1160"/>
      <c r="AB768" s="1160"/>
      <c r="AC768" s="1160"/>
      <c r="AD768" s="1160"/>
      <c r="AE768" s="1160"/>
      <c r="AF768" s="1160"/>
      <c r="AG768" s="1160"/>
      <c r="AH768" s="1160"/>
      <c r="AI768" s="1160"/>
      <c r="AJ768" s="1160"/>
      <c r="AK768" s="1160"/>
      <c r="AL768" s="1160"/>
    </row>
    <row r="769" ht="15.0" customHeight="1">
      <c r="A769" s="1209"/>
      <c r="B769" s="1209"/>
      <c r="C769" s="1210"/>
      <c r="D769" s="1160"/>
      <c r="E769" s="1160"/>
      <c r="F769" s="1160"/>
      <c r="G769" s="1160"/>
      <c r="H769" s="1160"/>
      <c r="I769" s="1160"/>
      <c r="J769" s="1160"/>
      <c r="K769" s="1160"/>
      <c r="L769" s="1160"/>
      <c r="M769" s="1160"/>
      <c r="N769" s="1160"/>
      <c r="O769" s="1160"/>
      <c r="P769" s="1160"/>
      <c r="Q769" s="1160"/>
      <c r="R769" s="1160"/>
      <c r="S769" s="1160"/>
      <c r="T769" s="1160"/>
      <c r="U769" s="1160"/>
      <c r="V769" s="1160"/>
      <c r="W769" s="1160"/>
      <c r="X769" s="1160"/>
      <c r="Y769" s="1160"/>
      <c r="Z769" s="1160"/>
      <c r="AA769" s="1160"/>
      <c r="AB769" s="1160"/>
      <c r="AC769" s="1160"/>
      <c r="AD769" s="1160"/>
      <c r="AE769" s="1160"/>
      <c r="AF769" s="1160"/>
      <c r="AG769" s="1160"/>
      <c r="AH769" s="1160"/>
      <c r="AI769" s="1160"/>
      <c r="AJ769" s="1160"/>
      <c r="AK769" s="1160"/>
      <c r="AL769" s="1160"/>
    </row>
    <row r="770" ht="15.0" customHeight="1">
      <c r="A770" s="1209"/>
      <c r="B770" s="1209"/>
      <c r="C770" s="1210"/>
      <c r="D770" s="1160"/>
      <c r="E770" s="1160"/>
      <c r="F770" s="1160"/>
      <c r="G770" s="1160"/>
      <c r="H770" s="1160"/>
      <c r="I770" s="1160"/>
      <c r="J770" s="1160"/>
      <c r="K770" s="1160"/>
      <c r="L770" s="1160"/>
      <c r="M770" s="1160"/>
      <c r="N770" s="1160"/>
      <c r="O770" s="1160"/>
      <c r="P770" s="1160"/>
      <c r="Q770" s="1160"/>
      <c r="R770" s="1160"/>
      <c r="S770" s="1160"/>
      <c r="T770" s="1160"/>
      <c r="U770" s="1160"/>
      <c r="V770" s="1160"/>
      <c r="W770" s="1160"/>
      <c r="X770" s="1160"/>
      <c r="Y770" s="1160"/>
      <c r="Z770" s="1160"/>
      <c r="AA770" s="1160"/>
      <c r="AB770" s="1160"/>
      <c r="AC770" s="1160"/>
      <c r="AD770" s="1160"/>
      <c r="AE770" s="1160"/>
      <c r="AF770" s="1160"/>
      <c r="AG770" s="1160"/>
      <c r="AH770" s="1160"/>
      <c r="AI770" s="1160"/>
      <c r="AJ770" s="1160"/>
      <c r="AK770" s="1160"/>
      <c r="AL770" s="1160"/>
    </row>
    <row r="771" ht="15.0" customHeight="1">
      <c r="A771" s="1209"/>
      <c r="B771" s="1209"/>
      <c r="C771" s="1210"/>
      <c r="D771" s="1160"/>
      <c r="E771" s="1160"/>
      <c r="F771" s="1160"/>
      <c r="G771" s="1160"/>
      <c r="H771" s="1160"/>
      <c r="I771" s="1160"/>
      <c r="J771" s="1160"/>
      <c r="K771" s="1160"/>
      <c r="L771" s="1160"/>
      <c r="M771" s="1160"/>
      <c r="N771" s="1160"/>
      <c r="O771" s="1160"/>
      <c r="P771" s="1160"/>
      <c r="Q771" s="1160"/>
      <c r="R771" s="1160"/>
      <c r="S771" s="1160"/>
      <c r="T771" s="1160"/>
      <c r="U771" s="1160"/>
      <c r="V771" s="1160"/>
      <c r="W771" s="1160"/>
      <c r="X771" s="1160"/>
      <c r="Y771" s="1160"/>
      <c r="Z771" s="1160"/>
      <c r="AA771" s="1160"/>
      <c r="AB771" s="1160"/>
      <c r="AC771" s="1160"/>
      <c r="AD771" s="1160"/>
      <c r="AE771" s="1160"/>
      <c r="AF771" s="1160"/>
      <c r="AG771" s="1160"/>
      <c r="AH771" s="1160"/>
      <c r="AI771" s="1160"/>
      <c r="AJ771" s="1160"/>
      <c r="AK771" s="1160"/>
      <c r="AL771" s="1160"/>
    </row>
    <row r="772" ht="15.0" customHeight="1">
      <c r="A772" s="1209"/>
      <c r="B772" s="1209"/>
      <c r="C772" s="1210"/>
      <c r="D772" s="1160"/>
      <c r="E772" s="1160"/>
      <c r="F772" s="1160"/>
      <c r="G772" s="1160"/>
      <c r="H772" s="1160"/>
      <c r="I772" s="1160"/>
      <c r="J772" s="1160"/>
      <c r="K772" s="1160"/>
      <c r="L772" s="1160"/>
      <c r="M772" s="1160"/>
      <c r="N772" s="1160"/>
      <c r="O772" s="1160"/>
      <c r="P772" s="1160"/>
      <c r="Q772" s="1160"/>
      <c r="R772" s="1160"/>
      <c r="S772" s="1160"/>
      <c r="T772" s="1160"/>
      <c r="U772" s="1160"/>
      <c r="V772" s="1160"/>
      <c r="W772" s="1160"/>
      <c r="X772" s="1160"/>
      <c r="Y772" s="1160"/>
      <c r="Z772" s="1160"/>
      <c r="AA772" s="1160"/>
      <c r="AB772" s="1160"/>
      <c r="AC772" s="1160"/>
      <c r="AD772" s="1160"/>
      <c r="AE772" s="1160"/>
      <c r="AF772" s="1160"/>
      <c r="AG772" s="1160"/>
      <c r="AH772" s="1160"/>
      <c r="AI772" s="1160"/>
      <c r="AJ772" s="1160"/>
      <c r="AK772" s="1160"/>
      <c r="AL772" s="1160"/>
    </row>
    <row r="773" ht="15.0" customHeight="1">
      <c r="A773" s="1209"/>
      <c r="B773" s="1209"/>
      <c r="C773" s="1210"/>
      <c r="D773" s="1160"/>
      <c r="E773" s="1160"/>
      <c r="F773" s="1160"/>
      <c r="G773" s="1160"/>
      <c r="H773" s="1160"/>
      <c r="I773" s="1160"/>
      <c r="J773" s="1160"/>
      <c r="K773" s="1160"/>
      <c r="L773" s="1160"/>
      <c r="M773" s="1160"/>
      <c r="N773" s="1160"/>
      <c r="O773" s="1160"/>
      <c r="P773" s="1160"/>
      <c r="Q773" s="1160"/>
      <c r="R773" s="1160"/>
      <c r="S773" s="1160"/>
      <c r="T773" s="1160"/>
      <c r="U773" s="1160"/>
      <c r="V773" s="1160"/>
      <c r="W773" s="1160"/>
      <c r="X773" s="1160"/>
      <c r="Y773" s="1160"/>
      <c r="Z773" s="1160"/>
      <c r="AA773" s="1160"/>
      <c r="AB773" s="1160"/>
      <c r="AC773" s="1160"/>
      <c r="AD773" s="1160"/>
      <c r="AE773" s="1160"/>
      <c r="AF773" s="1160"/>
      <c r="AG773" s="1160"/>
      <c r="AH773" s="1160"/>
      <c r="AI773" s="1160"/>
      <c r="AJ773" s="1160"/>
      <c r="AK773" s="1160"/>
      <c r="AL773" s="1160"/>
    </row>
    <row r="774" ht="15.0" customHeight="1">
      <c r="A774" s="1209"/>
      <c r="B774" s="1209"/>
      <c r="C774" s="1210"/>
      <c r="D774" s="1160"/>
      <c r="E774" s="1160"/>
      <c r="F774" s="1160"/>
      <c r="G774" s="1160"/>
      <c r="H774" s="1160"/>
      <c r="I774" s="1160"/>
      <c r="J774" s="1160"/>
      <c r="K774" s="1160"/>
      <c r="L774" s="1160"/>
      <c r="M774" s="1160"/>
      <c r="N774" s="1160"/>
      <c r="O774" s="1160"/>
      <c r="P774" s="1160"/>
      <c r="Q774" s="1160"/>
      <c r="R774" s="1160"/>
      <c r="S774" s="1160"/>
      <c r="T774" s="1160"/>
      <c r="U774" s="1160"/>
      <c r="V774" s="1160"/>
      <c r="W774" s="1160"/>
      <c r="X774" s="1160"/>
      <c r="Y774" s="1160"/>
      <c r="Z774" s="1160"/>
      <c r="AA774" s="1160"/>
      <c r="AB774" s="1160"/>
      <c r="AC774" s="1160"/>
      <c r="AD774" s="1160"/>
      <c r="AE774" s="1160"/>
      <c r="AF774" s="1160"/>
      <c r="AG774" s="1160"/>
      <c r="AH774" s="1160"/>
      <c r="AI774" s="1160"/>
      <c r="AJ774" s="1160"/>
      <c r="AK774" s="1160"/>
      <c r="AL774" s="1160"/>
    </row>
    <row r="775" ht="15.0" customHeight="1">
      <c r="A775" s="1209"/>
      <c r="B775" s="1209"/>
      <c r="C775" s="1210"/>
      <c r="D775" s="1160"/>
      <c r="E775" s="1160"/>
      <c r="F775" s="1160"/>
      <c r="G775" s="1160"/>
      <c r="H775" s="1160"/>
      <c r="I775" s="1160"/>
      <c r="J775" s="1160"/>
      <c r="K775" s="1160"/>
      <c r="L775" s="1160"/>
      <c r="M775" s="1160"/>
      <c r="N775" s="1160"/>
      <c r="O775" s="1160"/>
      <c r="P775" s="1160"/>
      <c r="Q775" s="1160"/>
      <c r="R775" s="1160"/>
      <c r="S775" s="1160"/>
      <c r="T775" s="1160"/>
      <c r="U775" s="1160"/>
      <c r="V775" s="1160"/>
      <c r="W775" s="1160"/>
      <c r="X775" s="1160"/>
      <c r="Y775" s="1160"/>
      <c r="Z775" s="1160"/>
      <c r="AA775" s="1160"/>
      <c r="AB775" s="1160"/>
      <c r="AC775" s="1160"/>
      <c r="AD775" s="1160"/>
      <c r="AE775" s="1160"/>
      <c r="AF775" s="1160"/>
      <c r="AG775" s="1160"/>
      <c r="AH775" s="1160"/>
      <c r="AI775" s="1160"/>
      <c r="AJ775" s="1160"/>
      <c r="AK775" s="1160"/>
      <c r="AL775" s="1160"/>
    </row>
    <row r="776" ht="15.0" customHeight="1">
      <c r="A776" s="1209"/>
      <c r="B776" s="1209"/>
      <c r="C776" s="1210"/>
      <c r="D776" s="1160"/>
      <c r="E776" s="1160"/>
      <c r="F776" s="1160"/>
      <c r="G776" s="1160"/>
      <c r="H776" s="1160"/>
      <c r="I776" s="1160"/>
      <c r="J776" s="1160"/>
      <c r="K776" s="1160"/>
      <c r="L776" s="1160"/>
      <c r="M776" s="1160"/>
      <c r="N776" s="1160"/>
      <c r="O776" s="1160"/>
      <c r="P776" s="1160"/>
      <c r="Q776" s="1160"/>
      <c r="R776" s="1160"/>
      <c r="S776" s="1160"/>
      <c r="T776" s="1160"/>
      <c r="U776" s="1160"/>
      <c r="V776" s="1160"/>
      <c r="W776" s="1160"/>
      <c r="X776" s="1160"/>
      <c r="Y776" s="1160"/>
      <c r="Z776" s="1160"/>
      <c r="AA776" s="1160"/>
      <c r="AB776" s="1160"/>
      <c r="AC776" s="1160"/>
      <c r="AD776" s="1160"/>
      <c r="AE776" s="1160"/>
      <c r="AF776" s="1160"/>
      <c r="AG776" s="1160"/>
      <c r="AH776" s="1160"/>
      <c r="AI776" s="1160"/>
      <c r="AJ776" s="1160"/>
      <c r="AK776" s="1160"/>
      <c r="AL776" s="1160"/>
    </row>
    <row r="777" ht="15.0" customHeight="1">
      <c r="A777" s="1209"/>
      <c r="B777" s="1209"/>
      <c r="C777" s="1210"/>
      <c r="D777" s="1160"/>
      <c r="E777" s="1160"/>
      <c r="F777" s="1160"/>
      <c r="G777" s="1160"/>
      <c r="H777" s="1160"/>
      <c r="I777" s="1160"/>
      <c r="J777" s="1160"/>
      <c r="K777" s="1160"/>
      <c r="L777" s="1160"/>
      <c r="M777" s="1160"/>
      <c r="N777" s="1160"/>
      <c r="O777" s="1160"/>
      <c r="P777" s="1160"/>
      <c r="Q777" s="1160"/>
      <c r="R777" s="1160"/>
      <c r="S777" s="1160"/>
      <c r="T777" s="1160"/>
      <c r="U777" s="1160"/>
      <c r="V777" s="1160"/>
      <c r="W777" s="1160"/>
      <c r="X777" s="1160"/>
      <c r="Y777" s="1160"/>
      <c r="Z777" s="1160"/>
      <c r="AA777" s="1160"/>
      <c r="AB777" s="1160"/>
      <c r="AC777" s="1160"/>
      <c r="AD777" s="1160"/>
      <c r="AE777" s="1160"/>
      <c r="AF777" s="1160"/>
      <c r="AG777" s="1160"/>
      <c r="AH777" s="1160"/>
      <c r="AI777" s="1160"/>
      <c r="AJ777" s="1160"/>
      <c r="AK777" s="1160"/>
      <c r="AL777" s="1160"/>
    </row>
    <row r="778" ht="15.0" customHeight="1">
      <c r="A778" s="1209"/>
      <c r="B778" s="1209"/>
      <c r="C778" s="1210"/>
      <c r="D778" s="1160"/>
      <c r="E778" s="1160"/>
      <c r="F778" s="1160"/>
      <c r="G778" s="1160"/>
      <c r="H778" s="1160"/>
      <c r="I778" s="1160"/>
      <c r="J778" s="1160"/>
      <c r="K778" s="1160"/>
      <c r="L778" s="1160"/>
      <c r="M778" s="1160"/>
      <c r="N778" s="1160"/>
      <c r="O778" s="1160"/>
      <c r="P778" s="1160"/>
      <c r="Q778" s="1160"/>
      <c r="R778" s="1160"/>
      <c r="S778" s="1160"/>
      <c r="T778" s="1160"/>
      <c r="U778" s="1160"/>
      <c r="V778" s="1160"/>
      <c r="W778" s="1160"/>
      <c r="X778" s="1160"/>
      <c r="Y778" s="1160"/>
      <c r="Z778" s="1160"/>
      <c r="AA778" s="1160"/>
      <c r="AB778" s="1160"/>
      <c r="AC778" s="1160"/>
      <c r="AD778" s="1160"/>
      <c r="AE778" s="1160"/>
      <c r="AF778" s="1160"/>
      <c r="AG778" s="1160"/>
      <c r="AH778" s="1160"/>
      <c r="AI778" s="1160"/>
      <c r="AJ778" s="1160"/>
      <c r="AK778" s="1160"/>
      <c r="AL778" s="1160"/>
    </row>
    <row r="779" ht="15.0" customHeight="1">
      <c r="A779" s="1209"/>
      <c r="B779" s="1209"/>
      <c r="C779" s="1210"/>
      <c r="D779" s="1160"/>
      <c r="E779" s="1160"/>
      <c r="F779" s="1160"/>
      <c r="G779" s="1160"/>
      <c r="H779" s="1160"/>
      <c r="I779" s="1160"/>
      <c r="J779" s="1160"/>
      <c r="K779" s="1160"/>
      <c r="L779" s="1160"/>
      <c r="M779" s="1160"/>
      <c r="N779" s="1160"/>
      <c r="O779" s="1160"/>
      <c r="P779" s="1160"/>
      <c r="Q779" s="1160"/>
      <c r="R779" s="1160"/>
      <c r="S779" s="1160"/>
      <c r="T779" s="1160"/>
      <c r="U779" s="1160"/>
      <c r="V779" s="1160"/>
      <c r="W779" s="1160"/>
      <c r="X779" s="1160"/>
      <c r="Y779" s="1160"/>
      <c r="Z779" s="1160"/>
      <c r="AA779" s="1160"/>
      <c r="AB779" s="1160"/>
      <c r="AC779" s="1160"/>
      <c r="AD779" s="1160"/>
      <c r="AE779" s="1160"/>
      <c r="AF779" s="1160"/>
      <c r="AG779" s="1160"/>
      <c r="AH779" s="1160"/>
      <c r="AI779" s="1160"/>
      <c r="AJ779" s="1160"/>
      <c r="AK779" s="1160"/>
      <c r="AL779" s="1160"/>
    </row>
    <row r="780" ht="15.0" customHeight="1">
      <c r="A780" s="1209"/>
      <c r="B780" s="1209"/>
      <c r="C780" s="1210"/>
      <c r="D780" s="1160"/>
      <c r="E780" s="1160"/>
      <c r="F780" s="1160"/>
      <c r="G780" s="1160"/>
      <c r="H780" s="1160"/>
      <c r="I780" s="1160"/>
      <c r="J780" s="1160"/>
      <c r="K780" s="1160"/>
      <c r="L780" s="1160"/>
      <c r="M780" s="1160"/>
      <c r="N780" s="1160"/>
      <c r="O780" s="1160"/>
      <c r="P780" s="1160"/>
      <c r="Q780" s="1160"/>
      <c r="R780" s="1160"/>
      <c r="S780" s="1160"/>
      <c r="T780" s="1160"/>
      <c r="U780" s="1160"/>
      <c r="V780" s="1160"/>
      <c r="W780" s="1160"/>
      <c r="X780" s="1160"/>
      <c r="Y780" s="1160"/>
      <c r="Z780" s="1160"/>
      <c r="AA780" s="1160"/>
      <c r="AB780" s="1160"/>
      <c r="AC780" s="1160"/>
      <c r="AD780" s="1160"/>
      <c r="AE780" s="1160"/>
      <c r="AF780" s="1160"/>
      <c r="AG780" s="1160"/>
      <c r="AH780" s="1160"/>
      <c r="AI780" s="1160"/>
      <c r="AJ780" s="1160"/>
      <c r="AK780" s="1160"/>
      <c r="AL780" s="1160"/>
    </row>
    <row r="781" ht="15.0" customHeight="1">
      <c r="A781" s="1209"/>
      <c r="B781" s="1209"/>
      <c r="C781" s="1210"/>
      <c r="D781" s="1160"/>
      <c r="E781" s="1160"/>
      <c r="F781" s="1160"/>
      <c r="G781" s="1160"/>
      <c r="H781" s="1160"/>
      <c r="I781" s="1160"/>
      <c r="J781" s="1160"/>
      <c r="K781" s="1160"/>
      <c r="L781" s="1160"/>
      <c r="M781" s="1160"/>
      <c r="N781" s="1160"/>
      <c r="O781" s="1160"/>
      <c r="P781" s="1160"/>
      <c r="Q781" s="1160"/>
      <c r="R781" s="1160"/>
      <c r="S781" s="1160"/>
      <c r="T781" s="1160"/>
      <c r="U781" s="1160"/>
      <c r="V781" s="1160"/>
      <c r="W781" s="1160"/>
      <c r="X781" s="1160"/>
      <c r="Y781" s="1160"/>
      <c r="Z781" s="1160"/>
      <c r="AA781" s="1160"/>
      <c r="AB781" s="1160"/>
      <c r="AC781" s="1160"/>
      <c r="AD781" s="1160"/>
      <c r="AE781" s="1160"/>
      <c r="AF781" s="1160"/>
      <c r="AG781" s="1160"/>
      <c r="AH781" s="1160"/>
      <c r="AI781" s="1160"/>
      <c r="AJ781" s="1160"/>
      <c r="AK781" s="1160"/>
      <c r="AL781" s="1160"/>
    </row>
    <row r="782" ht="15.0" customHeight="1">
      <c r="A782" s="1209"/>
      <c r="B782" s="1209"/>
      <c r="C782" s="1210"/>
      <c r="D782" s="1160"/>
      <c r="E782" s="1160"/>
      <c r="F782" s="1160"/>
      <c r="G782" s="1160"/>
      <c r="H782" s="1160"/>
      <c r="I782" s="1160"/>
      <c r="J782" s="1160"/>
      <c r="K782" s="1160"/>
      <c r="L782" s="1160"/>
      <c r="M782" s="1160"/>
      <c r="N782" s="1160"/>
      <c r="O782" s="1160"/>
      <c r="P782" s="1160"/>
      <c r="Q782" s="1160"/>
      <c r="R782" s="1160"/>
      <c r="S782" s="1160"/>
      <c r="T782" s="1160"/>
      <c r="U782" s="1160"/>
      <c r="V782" s="1160"/>
      <c r="W782" s="1160"/>
      <c r="X782" s="1160"/>
      <c r="Y782" s="1160"/>
      <c r="Z782" s="1160"/>
      <c r="AA782" s="1160"/>
      <c r="AB782" s="1160"/>
      <c r="AC782" s="1160"/>
      <c r="AD782" s="1160"/>
      <c r="AE782" s="1160"/>
      <c r="AF782" s="1160"/>
      <c r="AG782" s="1160"/>
      <c r="AH782" s="1160"/>
      <c r="AI782" s="1160"/>
      <c r="AJ782" s="1160"/>
      <c r="AK782" s="1160"/>
      <c r="AL782" s="1160"/>
    </row>
    <row r="783" ht="15.0" customHeight="1">
      <c r="A783" s="1209"/>
      <c r="B783" s="1209"/>
      <c r="C783" s="1210"/>
      <c r="D783" s="1160"/>
      <c r="E783" s="1160"/>
      <c r="F783" s="1160"/>
      <c r="G783" s="1160"/>
      <c r="H783" s="1160"/>
      <c r="I783" s="1160"/>
      <c r="J783" s="1160"/>
      <c r="K783" s="1160"/>
      <c r="L783" s="1160"/>
      <c r="M783" s="1160"/>
      <c r="N783" s="1160"/>
      <c r="O783" s="1160"/>
      <c r="P783" s="1160"/>
      <c r="Q783" s="1160"/>
      <c r="R783" s="1160"/>
      <c r="S783" s="1160"/>
      <c r="T783" s="1160"/>
      <c r="U783" s="1160"/>
      <c r="V783" s="1160"/>
      <c r="W783" s="1160"/>
      <c r="X783" s="1160"/>
      <c r="Y783" s="1160"/>
      <c r="Z783" s="1160"/>
      <c r="AA783" s="1160"/>
      <c r="AB783" s="1160"/>
      <c r="AC783" s="1160"/>
      <c r="AD783" s="1160"/>
      <c r="AE783" s="1160"/>
      <c r="AF783" s="1160"/>
      <c r="AG783" s="1160"/>
      <c r="AH783" s="1160"/>
      <c r="AI783" s="1160"/>
      <c r="AJ783" s="1160"/>
      <c r="AK783" s="1160"/>
      <c r="AL783" s="1160"/>
    </row>
    <row r="784" ht="15.0" customHeight="1">
      <c r="A784" s="1209"/>
      <c r="B784" s="1209"/>
      <c r="C784" s="1210"/>
      <c r="D784" s="1160"/>
      <c r="E784" s="1160"/>
      <c r="F784" s="1160"/>
      <c r="G784" s="1160"/>
      <c r="H784" s="1160"/>
      <c r="I784" s="1160"/>
      <c r="J784" s="1160"/>
      <c r="K784" s="1160"/>
      <c r="L784" s="1160"/>
      <c r="M784" s="1160"/>
      <c r="N784" s="1160"/>
      <c r="O784" s="1160"/>
      <c r="P784" s="1160"/>
      <c r="Q784" s="1160"/>
      <c r="R784" s="1160"/>
      <c r="S784" s="1160"/>
      <c r="T784" s="1160"/>
      <c r="U784" s="1160"/>
      <c r="V784" s="1160"/>
      <c r="W784" s="1160"/>
      <c r="X784" s="1160"/>
      <c r="Y784" s="1160"/>
      <c r="Z784" s="1160"/>
      <c r="AA784" s="1160"/>
      <c r="AB784" s="1160"/>
      <c r="AC784" s="1160"/>
      <c r="AD784" s="1160"/>
      <c r="AE784" s="1160"/>
      <c r="AF784" s="1160"/>
      <c r="AG784" s="1160"/>
      <c r="AH784" s="1160"/>
      <c r="AI784" s="1160"/>
      <c r="AJ784" s="1160"/>
      <c r="AK784" s="1160"/>
      <c r="AL784" s="1160"/>
    </row>
    <row r="785" ht="15.0" customHeight="1">
      <c r="A785" s="1209"/>
      <c r="B785" s="1209"/>
      <c r="C785" s="1210"/>
      <c r="D785" s="1160"/>
      <c r="E785" s="1160"/>
      <c r="F785" s="1160"/>
      <c r="G785" s="1160"/>
      <c r="H785" s="1160"/>
      <c r="I785" s="1160"/>
      <c r="J785" s="1160"/>
      <c r="K785" s="1160"/>
      <c r="L785" s="1160"/>
      <c r="M785" s="1160"/>
      <c r="N785" s="1160"/>
      <c r="O785" s="1160"/>
      <c r="P785" s="1160"/>
      <c r="Q785" s="1160"/>
      <c r="R785" s="1160"/>
      <c r="S785" s="1160"/>
      <c r="T785" s="1160"/>
      <c r="U785" s="1160"/>
      <c r="V785" s="1160"/>
      <c r="W785" s="1160"/>
      <c r="X785" s="1160"/>
      <c r="Y785" s="1160"/>
      <c r="Z785" s="1160"/>
      <c r="AA785" s="1160"/>
      <c r="AB785" s="1160"/>
      <c r="AC785" s="1160"/>
      <c r="AD785" s="1160"/>
      <c r="AE785" s="1160"/>
      <c r="AF785" s="1160"/>
      <c r="AG785" s="1160"/>
      <c r="AH785" s="1160"/>
      <c r="AI785" s="1160"/>
      <c r="AJ785" s="1160"/>
      <c r="AK785" s="1160"/>
      <c r="AL785" s="1160"/>
    </row>
    <row r="786" ht="15.0" customHeight="1">
      <c r="A786" s="1209"/>
      <c r="B786" s="1209"/>
      <c r="C786" s="1210"/>
      <c r="D786" s="1160"/>
      <c r="E786" s="1160"/>
      <c r="F786" s="1160"/>
      <c r="G786" s="1160"/>
      <c r="H786" s="1160"/>
      <c r="I786" s="1160"/>
      <c r="J786" s="1160"/>
      <c r="K786" s="1160"/>
      <c r="L786" s="1160"/>
      <c r="M786" s="1160"/>
      <c r="N786" s="1160"/>
      <c r="O786" s="1160"/>
      <c r="P786" s="1160"/>
      <c r="Q786" s="1160"/>
      <c r="R786" s="1160"/>
      <c r="S786" s="1160"/>
      <c r="T786" s="1160"/>
      <c r="U786" s="1160"/>
      <c r="V786" s="1160"/>
      <c r="W786" s="1160"/>
      <c r="X786" s="1160"/>
      <c r="Y786" s="1160"/>
      <c r="Z786" s="1160"/>
      <c r="AA786" s="1160"/>
      <c r="AB786" s="1160"/>
      <c r="AC786" s="1160"/>
      <c r="AD786" s="1160"/>
      <c r="AE786" s="1160"/>
      <c r="AF786" s="1160"/>
      <c r="AG786" s="1160"/>
      <c r="AH786" s="1160"/>
      <c r="AI786" s="1160"/>
      <c r="AJ786" s="1160"/>
      <c r="AK786" s="1160"/>
      <c r="AL786" s="1160"/>
    </row>
    <row r="787" ht="15.0" customHeight="1">
      <c r="A787" s="1209"/>
      <c r="B787" s="1209"/>
      <c r="C787" s="1210"/>
      <c r="D787" s="1160"/>
      <c r="E787" s="1160"/>
      <c r="F787" s="1160"/>
      <c r="G787" s="1160"/>
      <c r="H787" s="1160"/>
      <c r="I787" s="1160"/>
      <c r="J787" s="1160"/>
      <c r="K787" s="1160"/>
      <c r="L787" s="1160"/>
      <c r="M787" s="1160"/>
      <c r="N787" s="1160"/>
      <c r="O787" s="1160"/>
      <c r="P787" s="1160"/>
      <c r="Q787" s="1160"/>
      <c r="R787" s="1160"/>
      <c r="S787" s="1160"/>
      <c r="T787" s="1160"/>
      <c r="U787" s="1160"/>
      <c r="V787" s="1160"/>
      <c r="W787" s="1160"/>
      <c r="X787" s="1160"/>
      <c r="Y787" s="1160"/>
      <c r="Z787" s="1160"/>
      <c r="AA787" s="1160"/>
      <c r="AB787" s="1160"/>
      <c r="AC787" s="1160"/>
      <c r="AD787" s="1160"/>
      <c r="AE787" s="1160"/>
      <c r="AF787" s="1160"/>
      <c r="AG787" s="1160"/>
      <c r="AH787" s="1160"/>
      <c r="AI787" s="1160"/>
      <c r="AJ787" s="1160"/>
      <c r="AK787" s="1160"/>
      <c r="AL787" s="1160"/>
    </row>
    <row r="788" ht="15.0" customHeight="1">
      <c r="A788" s="1209"/>
      <c r="B788" s="1209"/>
      <c r="C788" s="1210"/>
      <c r="D788" s="1160"/>
      <c r="E788" s="1160"/>
      <c r="F788" s="1160"/>
      <c r="G788" s="1160"/>
      <c r="H788" s="1160"/>
      <c r="I788" s="1160"/>
      <c r="J788" s="1160"/>
      <c r="K788" s="1160"/>
      <c r="L788" s="1160"/>
      <c r="M788" s="1160"/>
      <c r="N788" s="1160"/>
      <c r="O788" s="1160"/>
      <c r="P788" s="1160"/>
      <c r="Q788" s="1160"/>
      <c r="R788" s="1160"/>
      <c r="S788" s="1160"/>
      <c r="T788" s="1160"/>
      <c r="U788" s="1160"/>
      <c r="V788" s="1160"/>
      <c r="W788" s="1160"/>
      <c r="X788" s="1160"/>
      <c r="Y788" s="1160"/>
      <c r="Z788" s="1160"/>
      <c r="AA788" s="1160"/>
      <c r="AB788" s="1160"/>
      <c r="AC788" s="1160"/>
      <c r="AD788" s="1160"/>
      <c r="AE788" s="1160"/>
      <c r="AF788" s="1160"/>
      <c r="AG788" s="1160"/>
      <c r="AH788" s="1160"/>
      <c r="AI788" s="1160"/>
      <c r="AJ788" s="1160"/>
      <c r="AK788" s="1160"/>
      <c r="AL788" s="1160"/>
    </row>
    <row r="789" ht="15.0" customHeight="1">
      <c r="A789" s="1209"/>
      <c r="B789" s="1209"/>
      <c r="C789" s="1210"/>
      <c r="D789" s="1160"/>
      <c r="E789" s="1160"/>
      <c r="F789" s="1160"/>
      <c r="G789" s="1160"/>
      <c r="H789" s="1160"/>
      <c r="I789" s="1160"/>
      <c r="J789" s="1160"/>
      <c r="K789" s="1160"/>
      <c r="L789" s="1160"/>
      <c r="M789" s="1160"/>
      <c r="N789" s="1160"/>
      <c r="O789" s="1160"/>
      <c r="P789" s="1160"/>
      <c r="Q789" s="1160"/>
      <c r="R789" s="1160"/>
      <c r="S789" s="1160"/>
      <c r="T789" s="1160"/>
      <c r="U789" s="1160"/>
      <c r="V789" s="1160"/>
      <c r="W789" s="1160"/>
      <c r="X789" s="1160"/>
      <c r="Y789" s="1160"/>
      <c r="Z789" s="1160"/>
      <c r="AA789" s="1160"/>
      <c r="AB789" s="1160"/>
      <c r="AC789" s="1160"/>
      <c r="AD789" s="1160"/>
      <c r="AE789" s="1160"/>
      <c r="AF789" s="1160"/>
      <c r="AG789" s="1160"/>
      <c r="AH789" s="1160"/>
      <c r="AI789" s="1160"/>
      <c r="AJ789" s="1160"/>
      <c r="AK789" s="1160"/>
      <c r="AL789" s="1160"/>
    </row>
    <row r="790" ht="15.0" customHeight="1">
      <c r="A790" s="1209"/>
      <c r="B790" s="1209"/>
      <c r="C790" s="1210"/>
      <c r="D790" s="1160"/>
      <c r="E790" s="1160"/>
      <c r="F790" s="1160"/>
      <c r="G790" s="1160"/>
      <c r="H790" s="1160"/>
      <c r="I790" s="1160"/>
      <c r="J790" s="1160"/>
      <c r="K790" s="1160"/>
      <c r="L790" s="1160"/>
      <c r="M790" s="1160"/>
      <c r="N790" s="1160"/>
      <c r="O790" s="1160"/>
      <c r="P790" s="1160"/>
      <c r="Q790" s="1160"/>
      <c r="R790" s="1160"/>
      <c r="S790" s="1160"/>
      <c r="T790" s="1160"/>
      <c r="U790" s="1160"/>
      <c r="V790" s="1160"/>
      <c r="W790" s="1160"/>
      <c r="X790" s="1160"/>
      <c r="Y790" s="1160"/>
      <c r="Z790" s="1160"/>
      <c r="AA790" s="1160"/>
      <c r="AB790" s="1160"/>
      <c r="AC790" s="1160"/>
      <c r="AD790" s="1160"/>
      <c r="AE790" s="1160"/>
      <c r="AF790" s="1160"/>
      <c r="AG790" s="1160"/>
      <c r="AH790" s="1160"/>
      <c r="AI790" s="1160"/>
      <c r="AJ790" s="1160"/>
      <c r="AK790" s="1160"/>
      <c r="AL790" s="1160"/>
    </row>
    <row r="791" ht="15.0" customHeight="1">
      <c r="A791" s="1209"/>
      <c r="B791" s="1209"/>
      <c r="C791" s="1210"/>
      <c r="D791" s="1160"/>
      <c r="E791" s="1160"/>
      <c r="F791" s="1160"/>
      <c r="G791" s="1160"/>
      <c r="H791" s="1160"/>
      <c r="I791" s="1160"/>
      <c r="J791" s="1160"/>
      <c r="K791" s="1160"/>
      <c r="L791" s="1160"/>
      <c r="M791" s="1160"/>
      <c r="N791" s="1160"/>
      <c r="O791" s="1160"/>
      <c r="P791" s="1160"/>
      <c r="Q791" s="1160"/>
      <c r="R791" s="1160"/>
      <c r="S791" s="1160"/>
      <c r="T791" s="1160"/>
      <c r="U791" s="1160"/>
      <c r="V791" s="1160"/>
      <c r="W791" s="1160"/>
      <c r="X791" s="1160"/>
      <c r="Y791" s="1160"/>
      <c r="Z791" s="1160"/>
      <c r="AA791" s="1160"/>
      <c r="AB791" s="1160"/>
      <c r="AC791" s="1160"/>
      <c r="AD791" s="1160"/>
      <c r="AE791" s="1160"/>
      <c r="AF791" s="1160"/>
      <c r="AG791" s="1160"/>
      <c r="AH791" s="1160"/>
      <c r="AI791" s="1160"/>
      <c r="AJ791" s="1160"/>
      <c r="AK791" s="1160"/>
      <c r="AL791" s="1160"/>
    </row>
    <row r="792" ht="15.0" customHeight="1">
      <c r="A792" s="1209"/>
      <c r="B792" s="1209"/>
      <c r="C792" s="1210"/>
      <c r="D792" s="1160"/>
      <c r="E792" s="1160"/>
      <c r="F792" s="1160"/>
      <c r="G792" s="1160"/>
      <c r="H792" s="1160"/>
      <c r="I792" s="1160"/>
      <c r="J792" s="1160"/>
      <c r="K792" s="1160"/>
      <c r="L792" s="1160"/>
      <c r="M792" s="1160"/>
      <c r="N792" s="1160"/>
      <c r="O792" s="1160"/>
      <c r="P792" s="1160"/>
      <c r="Q792" s="1160"/>
      <c r="R792" s="1160"/>
      <c r="S792" s="1160"/>
      <c r="T792" s="1160"/>
      <c r="U792" s="1160"/>
      <c r="V792" s="1160"/>
      <c r="W792" s="1160"/>
      <c r="X792" s="1160"/>
      <c r="Y792" s="1160"/>
      <c r="Z792" s="1160"/>
      <c r="AA792" s="1160"/>
      <c r="AB792" s="1160"/>
      <c r="AC792" s="1160"/>
      <c r="AD792" s="1160"/>
      <c r="AE792" s="1160"/>
      <c r="AF792" s="1160"/>
      <c r="AG792" s="1160"/>
      <c r="AH792" s="1160"/>
      <c r="AI792" s="1160"/>
      <c r="AJ792" s="1160"/>
      <c r="AK792" s="1160"/>
      <c r="AL792" s="1160"/>
    </row>
    <row r="793" ht="15.0" customHeight="1">
      <c r="A793" s="1209"/>
      <c r="B793" s="1209"/>
      <c r="C793" s="1210"/>
      <c r="D793" s="1160"/>
      <c r="E793" s="1160"/>
      <c r="F793" s="1160"/>
      <c r="G793" s="1160"/>
      <c r="H793" s="1160"/>
      <c r="I793" s="1160"/>
      <c r="J793" s="1160"/>
      <c r="K793" s="1160"/>
      <c r="L793" s="1160"/>
      <c r="M793" s="1160"/>
      <c r="N793" s="1160"/>
      <c r="O793" s="1160"/>
      <c r="P793" s="1160"/>
      <c r="Q793" s="1160"/>
      <c r="R793" s="1160"/>
      <c r="S793" s="1160"/>
      <c r="T793" s="1160"/>
      <c r="U793" s="1160"/>
      <c r="V793" s="1160"/>
      <c r="W793" s="1160"/>
      <c r="X793" s="1160"/>
      <c r="Y793" s="1160"/>
      <c r="Z793" s="1160"/>
      <c r="AA793" s="1160"/>
      <c r="AB793" s="1160"/>
      <c r="AC793" s="1160"/>
      <c r="AD793" s="1160"/>
      <c r="AE793" s="1160"/>
      <c r="AF793" s="1160"/>
      <c r="AG793" s="1160"/>
      <c r="AH793" s="1160"/>
      <c r="AI793" s="1160"/>
      <c r="AJ793" s="1160"/>
      <c r="AK793" s="1160"/>
      <c r="AL793" s="1160"/>
    </row>
    <row r="794" ht="15.0" customHeight="1">
      <c r="A794" s="1209"/>
      <c r="B794" s="1209"/>
      <c r="C794" s="1210"/>
      <c r="D794" s="1160"/>
      <c r="E794" s="1160"/>
      <c r="F794" s="1160"/>
      <c r="G794" s="1160"/>
      <c r="H794" s="1160"/>
      <c r="I794" s="1160"/>
      <c r="J794" s="1160"/>
      <c r="K794" s="1160"/>
      <c r="L794" s="1160"/>
      <c r="M794" s="1160"/>
      <c r="N794" s="1160"/>
      <c r="O794" s="1160"/>
      <c r="P794" s="1160"/>
      <c r="Q794" s="1160"/>
      <c r="R794" s="1160"/>
      <c r="S794" s="1160"/>
      <c r="T794" s="1160"/>
      <c r="U794" s="1160"/>
      <c r="V794" s="1160"/>
      <c r="W794" s="1160"/>
      <c r="X794" s="1160"/>
      <c r="Y794" s="1160"/>
      <c r="Z794" s="1160"/>
      <c r="AA794" s="1160"/>
      <c r="AB794" s="1160"/>
      <c r="AC794" s="1160"/>
      <c r="AD794" s="1160"/>
      <c r="AE794" s="1160"/>
      <c r="AF794" s="1160"/>
      <c r="AG794" s="1160"/>
      <c r="AH794" s="1160"/>
      <c r="AI794" s="1160"/>
      <c r="AJ794" s="1160"/>
      <c r="AK794" s="1160"/>
      <c r="AL794" s="1160"/>
    </row>
    <row r="795" ht="15.0" customHeight="1">
      <c r="A795" s="1209"/>
      <c r="B795" s="1209"/>
      <c r="C795" s="1210"/>
      <c r="D795" s="1160"/>
      <c r="E795" s="1160"/>
      <c r="F795" s="1160"/>
      <c r="G795" s="1160"/>
      <c r="H795" s="1160"/>
      <c r="I795" s="1160"/>
      <c r="J795" s="1160"/>
      <c r="K795" s="1160"/>
      <c r="L795" s="1160"/>
      <c r="M795" s="1160"/>
      <c r="N795" s="1160"/>
      <c r="O795" s="1160"/>
      <c r="P795" s="1160"/>
      <c r="Q795" s="1160"/>
      <c r="R795" s="1160"/>
      <c r="S795" s="1160"/>
      <c r="T795" s="1160"/>
      <c r="U795" s="1160"/>
      <c r="V795" s="1160"/>
      <c r="W795" s="1160"/>
      <c r="X795" s="1160"/>
      <c r="Y795" s="1160"/>
      <c r="Z795" s="1160"/>
      <c r="AA795" s="1160"/>
      <c r="AB795" s="1160"/>
      <c r="AC795" s="1160"/>
      <c r="AD795" s="1160"/>
      <c r="AE795" s="1160"/>
      <c r="AF795" s="1160"/>
      <c r="AG795" s="1160"/>
      <c r="AH795" s="1160"/>
      <c r="AI795" s="1160"/>
      <c r="AJ795" s="1160"/>
      <c r="AK795" s="1160"/>
      <c r="AL795" s="1160"/>
    </row>
    <row r="796" ht="15.0" customHeight="1">
      <c r="A796" s="1209"/>
      <c r="B796" s="1209"/>
      <c r="C796" s="1210"/>
      <c r="D796" s="1160"/>
      <c r="E796" s="1160"/>
      <c r="F796" s="1160"/>
      <c r="G796" s="1160"/>
      <c r="H796" s="1160"/>
      <c r="I796" s="1160"/>
      <c r="J796" s="1160"/>
      <c r="K796" s="1160"/>
      <c r="L796" s="1160"/>
      <c r="M796" s="1160"/>
      <c r="N796" s="1160"/>
      <c r="O796" s="1160"/>
      <c r="P796" s="1160"/>
      <c r="Q796" s="1160"/>
      <c r="R796" s="1160"/>
      <c r="S796" s="1160"/>
      <c r="T796" s="1160"/>
      <c r="U796" s="1160"/>
      <c r="V796" s="1160"/>
      <c r="W796" s="1160"/>
      <c r="X796" s="1160"/>
      <c r="Y796" s="1160"/>
      <c r="Z796" s="1160"/>
      <c r="AA796" s="1160"/>
      <c r="AB796" s="1160"/>
      <c r="AC796" s="1160"/>
      <c r="AD796" s="1160"/>
      <c r="AE796" s="1160"/>
      <c r="AF796" s="1160"/>
      <c r="AG796" s="1160"/>
      <c r="AH796" s="1160"/>
      <c r="AI796" s="1160"/>
      <c r="AJ796" s="1160"/>
      <c r="AK796" s="1160"/>
      <c r="AL796" s="1160"/>
    </row>
    <row r="797" ht="15.0" customHeight="1">
      <c r="A797" s="1209"/>
      <c r="B797" s="1209"/>
      <c r="C797" s="1210"/>
      <c r="D797" s="1160"/>
      <c r="E797" s="1160"/>
      <c r="F797" s="1160"/>
      <c r="G797" s="1160"/>
      <c r="H797" s="1160"/>
      <c r="I797" s="1160"/>
      <c r="J797" s="1160"/>
      <c r="K797" s="1160"/>
      <c r="L797" s="1160"/>
      <c r="M797" s="1160"/>
      <c r="N797" s="1160"/>
      <c r="O797" s="1160"/>
      <c r="P797" s="1160"/>
      <c r="Q797" s="1160"/>
      <c r="R797" s="1160"/>
      <c r="S797" s="1160"/>
      <c r="T797" s="1160"/>
      <c r="U797" s="1160"/>
      <c r="V797" s="1160"/>
      <c r="W797" s="1160"/>
      <c r="X797" s="1160"/>
      <c r="Y797" s="1160"/>
      <c r="Z797" s="1160"/>
      <c r="AA797" s="1160"/>
      <c r="AB797" s="1160"/>
      <c r="AC797" s="1160"/>
      <c r="AD797" s="1160"/>
      <c r="AE797" s="1160"/>
      <c r="AF797" s="1160"/>
      <c r="AG797" s="1160"/>
      <c r="AH797" s="1160"/>
      <c r="AI797" s="1160"/>
      <c r="AJ797" s="1160"/>
      <c r="AK797" s="1160"/>
      <c r="AL797" s="1160"/>
    </row>
    <row r="798" ht="15.0" customHeight="1">
      <c r="A798" s="1209"/>
      <c r="B798" s="1209"/>
      <c r="C798" s="1210"/>
      <c r="D798" s="1160"/>
      <c r="E798" s="1160"/>
      <c r="F798" s="1160"/>
      <c r="G798" s="1160"/>
      <c r="H798" s="1160"/>
      <c r="I798" s="1160"/>
      <c r="J798" s="1160"/>
      <c r="K798" s="1160"/>
      <c r="L798" s="1160"/>
      <c r="M798" s="1160"/>
      <c r="N798" s="1160"/>
      <c r="O798" s="1160"/>
      <c r="P798" s="1160"/>
      <c r="Q798" s="1160"/>
      <c r="R798" s="1160"/>
      <c r="S798" s="1160"/>
      <c r="T798" s="1160"/>
      <c r="U798" s="1160"/>
      <c r="V798" s="1160"/>
      <c r="W798" s="1160"/>
      <c r="X798" s="1160"/>
      <c r="Y798" s="1160"/>
      <c r="Z798" s="1160"/>
      <c r="AA798" s="1160"/>
      <c r="AB798" s="1160"/>
      <c r="AC798" s="1160"/>
      <c r="AD798" s="1160"/>
      <c r="AE798" s="1160"/>
      <c r="AF798" s="1160"/>
      <c r="AG798" s="1160"/>
      <c r="AH798" s="1160"/>
      <c r="AI798" s="1160"/>
      <c r="AJ798" s="1160"/>
      <c r="AK798" s="1160"/>
      <c r="AL798" s="1160"/>
    </row>
    <row r="799" ht="15.0" customHeight="1">
      <c r="A799" s="1209"/>
      <c r="B799" s="1209"/>
      <c r="C799" s="1210"/>
      <c r="D799" s="1160"/>
      <c r="E799" s="1160"/>
      <c r="F799" s="1160"/>
      <c r="G799" s="1160"/>
      <c r="H799" s="1160"/>
      <c r="I799" s="1160"/>
      <c r="J799" s="1160"/>
      <c r="K799" s="1160"/>
      <c r="L799" s="1160"/>
      <c r="M799" s="1160"/>
      <c r="N799" s="1160"/>
      <c r="O799" s="1160"/>
      <c r="P799" s="1160"/>
      <c r="Q799" s="1160"/>
      <c r="R799" s="1160"/>
      <c r="S799" s="1160"/>
      <c r="T799" s="1160"/>
      <c r="U799" s="1160"/>
      <c r="V799" s="1160"/>
      <c r="W799" s="1160"/>
      <c r="X799" s="1160"/>
      <c r="Y799" s="1160"/>
      <c r="Z799" s="1160"/>
      <c r="AA799" s="1160"/>
      <c r="AB799" s="1160"/>
      <c r="AC799" s="1160"/>
      <c r="AD799" s="1160"/>
      <c r="AE799" s="1160"/>
      <c r="AF799" s="1160"/>
      <c r="AG799" s="1160"/>
      <c r="AH799" s="1160"/>
      <c r="AI799" s="1160"/>
      <c r="AJ799" s="1160"/>
      <c r="AK799" s="1160"/>
      <c r="AL799" s="1160"/>
    </row>
    <row r="800" ht="15.0" customHeight="1">
      <c r="A800" s="1209"/>
      <c r="B800" s="1209"/>
      <c r="C800" s="1210"/>
      <c r="D800" s="1160"/>
      <c r="E800" s="1160"/>
      <c r="F800" s="1160"/>
      <c r="G800" s="1160"/>
      <c r="H800" s="1160"/>
      <c r="I800" s="1160"/>
      <c r="J800" s="1160"/>
      <c r="K800" s="1160"/>
      <c r="L800" s="1160"/>
      <c r="M800" s="1160"/>
      <c r="N800" s="1160"/>
      <c r="O800" s="1160"/>
      <c r="P800" s="1160"/>
      <c r="Q800" s="1160"/>
      <c r="R800" s="1160"/>
      <c r="S800" s="1160"/>
      <c r="T800" s="1160"/>
      <c r="U800" s="1160"/>
      <c r="V800" s="1160"/>
      <c r="W800" s="1160"/>
      <c r="X800" s="1160"/>
      <c r="Y800" s="1160"/>
      <c r="Z800" s="1160"/>
      <c r="AA800" s="1160"/>
      <c r="AB800" s="1160"/>
      <c r="AC800" s="1160"/>
      <c r="AD800" s="1160"/>
      <c r="AE800" s="1160"/>
      <c r="AF800" s="1160"/>
      <c r="AG800" s="1160"/>
      <c r="AH800" s="1160"/>
      <c r="AI800" s="1160"/>
      <c r="AJ800" s="1160"/>
      <c r="AK800" s="1160"/>
      <c r="AL800" s="1160"/>
    </row>
    <row r="801" ht="15.0" customHeight="1">
      <c r="A801" s="1209"/>
      <c r="B801" s="1209"/>
      <c r="C801" s="1210"/>
      <c r="D801" s="1160"/>
      <c r="E801" s="1160"/>
      <c r="F801" s="1160"/>
      <c r="G801" s="1160"/>
      <c r="H801" s="1160"/>
      <c r="I801" s="1160"/>
      <c r="J801" s="1160"/>
      <c r="K801" s="1160"/>
      <c r="L801" s="1160"/>
      <c r="M801" s="1160"/>
      <c r="N801" s="1160"/>
      <c r="O801" s="1160"/>
      <c r="P801" s="1160"/>
      <c r="Q801" s="1160"/>
      <c r="R801" s="1160"/>
      <c r="S801" s="1160"/>
      <c r="T801" s="1160"/>
      <c r="U801" s="1160"/>
      <c r="V801" s="1160"/>
      <c r="W801" s="1160"/>
      <c r="X801" s="1160"/>
      <c r="Y801" s="1160"/>
      <c r="Z801" s="1160"/>
      <c r="AA801" s="1160"/>
      <c r="AB801" s="1160"/>
      <c r="AC801" s="1160"/>
      <c r="AD801" s="1160"/>
      <c r="AE801" s="1160"/>
      <c r="AF801" s="1160"/>
      <c r="AG801" s="1160"/>
      <c r="AH801" s="1160"/>
      <c r="AI801" s="1160"/>
      <c r="AJ801" s="1160"/>
      <c r="AK801" s="1160"/>
      <c r="AL801" s="1160"/>
    </row>
    <row r="802" ht="15.0" customHeight="1">
      <c r="A802" s="1209"/>
      <c r="B802" s="1209"/>
      <c r="C802" s="1210"/>
      <c r="D802" s="1160"/>
      <c r="E802" s="1160"/>
      <c r="F802" s="1160"/>
      <c r="G802" s="1160"/>
      <c r="H802" s="1160"/>
      <c r="I802" s="1160"/>
      <c r="J802" s="1160"/>
      <c r="K802" s="1160"/>
      <c r="L802" s="1160"/>
      <c r="M802" s="1160"/>
      <c r="N802" s="1160"/>
      <c r="O802" s="1160"/>
      <c r="P802" s="1160"/>
      <c r="Q802" s="1160"/>
      <c r="R802" s="1160"/>
      <c r="S802" s="1160"/>
      <c r="T802" s="1160"/>
      <c r="U802" s="1160"/>
      <c r="V802" s="1160"/>
      <c r="W802" s="1160"/>
      <c r="X802" s="1160"/>
      <c r="Y802" s="1160"/>
      <c r="Z802" s="1160"/>
      <c r="AA802" s="1160"/>
      <c r="AB802" s="1160"/>
      <c r="AC802" s="1160"/>
      <c r="AD802" s="1160"/>
      <c r="AE802" s="1160"/>
      <c r="AF802" s="1160"/>
      <c r="AG802" s="1160"/>
      <c r="AH802" s="1160"/>
      <c r="AI802" s="1160"/>
      <c r="AJ802" s="1160"/>
      <c r="AK802" s="1160"/>
      <c r="AL802" s="1160"/>
    </row>
    <row r="803" ht="15.0" customHeight="1">
      <c r="A803" s="1209"/>
      <c r="B803" s="1209"/>
      <c r="C803" s="1210"/>
      <c r="D803" s="1160"/>
      <c r="E803" s="1160"/>
      <c r="F803" s="1160"/>
      <c r="G803" s="1160"/>
      <c r="H803" s="1160"/>
      <c r="I803" s="1160"/>
      <c r="J803" s="1160"/>
      <c r="K803" s="1160"/>
      <c r="L803" s="1160"/>
      <c r="M803" s="1160"/>
      <c r="N803" s="1160"/>
      <c r="O803" s="1160"/>
      <c r="P803" s="1160"/>
      <c r="Q803" s="1160"/>
      <c r="R803" s="1160"/>
      <c r="S803" s="1160"/>
      <c r="T803" s="1160"/>
      <c r="U803" s="1160"/>
      <c r="V803" s="1160"/>
      <c r="W803" s="1160"/>
      <c r="X803" s="1160"/>
      <c r="Y803" s="1160"/>
      <c r="Z803" s="1160"/>
      <c r="AA803" s="1160"/>
      <c r="AB803" s="1160"/>
      <c r="AC803" s="1160"/>
      <c r="AD803" s="1160"/>
      <c r="AE803" s="1160"/>
      <c r="AF803" s="1160"/>
      <c r="AG803" s="1160"/>
      <c r="AH803" s="1160"/>
      <c r="AI803" s="1160"/>
      <c r="AJ803" s="1160"/>
      <c r="AK803" s="1160"/>
      <c r="AL803" s="1160"/>
    </row>
    <row r="804" ht="15.0" customHeight="1">
      <c r="A804" s="1209"/>
      <c r="B804" s="1209"/>
      <c r="C804" s="1210"/>
      <c r="D804" s="1160"/>
      <c r="E804" s="1160"/>
      <c r="F804" s="1160"/>
      <c r="G804" s="1160"/>
      <c r="H804" s="1160"/>
      <c r="I804" s="1160"/>
      <c r="J804" s="1160"/>
      <c r="K804" s="1160"/>
      <c r="L804" s="1160"/>
      <c r="M804" s="1160"/>
      <c r="N804" s="1160"/>
      <c r="O804" s="1160"/>
      <c r="P804" s="1160"/>
      <c r="Q804" s="1160"/>
      <c r="R804" s="1160"/>
      <c r="S804" s="1160"/>
      <c r="T804" s="1160"/>
      <c r="U804" s="1160"/>
      <c r="V804" s="1160"/>
      <c r="W804" s="1160"/>
      <c r="X804" s="1160"/>
      <c r="Y804" s="1160"/>
      <c r="Z804" s="1160"/>
      <c r="AA804" s="1160"/>
      <c r="AB804" s="1160"/>
      <c r="AC804" s="1160"/>
      <c r="AD804" s="1160"/>
      <c r="AE804" s="1160"/>
      <c r="AF804" s="1160"/>
      <c r="AG804" s="1160"/>
      <c r="AH804" s="1160"/>
      <c r="AI804" s="1160"/>
      <c r="AJ804" s="1160"/>
      <c r="AK804" s="1160"/>
      <c r="AL804" s="1160"/>
    </row>
    <row r="805" ht="15.0" customHeight="1">
      <c r="A805" s="1209"/>
      <c r="B805" s="1209"/>
      <c r="C805" s="1210"/>
      <c r="D805" s="1160"/>
      <c r="E805" s="1160"/>
      <c r="F805" s="1160"/>
      <c r="G805" s="1160"/>
      <c r="H805" s="1160"/>
      <c r="I805" s="1160"/>
      <c r="J805" s="1160"/>
      <c r="K805" s="1160"/>
      <c r="L805" s="1160"/>
      <c r="M805" s="1160"/>
      <c r="N805" s="1160"/>
      <c r="O805" s="1160"/>
      <c r="P805" s="1160"/>
      <c r="Q805" s="1160"/>
      <c r="R805" s="1160"/>
      <c r="S805" s="1160"/>
      <c r="T805" s="1160"/>
      <c r="U805" s="1160"/>
      <c r="V805" s="1160"/>
      <c r="W805" s="1160"/>
      <c r="X805" s="1160"/>
      <c r="Y805" s="1160"/>
      <c r="Z805" s="1160"/>
      <c r="AA805" s="1160"/>
      <c r="AB805" s="1160"/>
      <c r="AC805" s="1160"/>
      <c r="AD805" s="1160"/>
      <c r="AE805" s="1160"/>
      <c r="AF805" s="1160"/>
      <c r="AG805" s="1160"/>
      <c r="AH805" s="1160"/>
      <c r="AI805" s="1160"/>
      <c r="AJ805" s="1160"/>
      <c r="AK805" s="1160"/>
      <c r="AL805" s="1160"/>
    </row>
    <row r="806" ht="15.0" customHeight="1">
      <c r="A806" s="1209"/>
      <c r="B806" s="1209"/>
      <c r="C806" s="1210"/>
      <c r="D806" s="1160"/>
      <c r="E806" s="1160"/>
      <c r="F806" s="1160"/>
      <c r="G806" s="1160"/>
      <c r="H806" s="1160"/>
      <c r="I806" s="1160"/>
      <c r="J806" s="1160"/>
      <c r="K806" s="1160"/>
      <c r="L806" s="1160"/>
      <c r="M806" s="1160"/>
      <c r="N806" s="1160"/>
      <c r="O806" s="1160"/>
      <c r="P806" s="1160"/>
      <c r="Q806" s="1160"/>
      <c r="R806" s="1160"/>
      <c r="S806" s="1160"/>
      <c r="T806" s="1160"/>
      <c r="U806" s="1160"/>
      <c r="V806" s="1160"/>
      <c r="W806" s="1160"/>
      <c r="X806" s="1160"/>
      <c r="Y806" s="1160"/>
      <c r="Z806" s="1160"/>
      <c r="AA806" s="1160"/>
      <c r="AB806" s="1160"/>
      <c r="AC806" s="1160"/>
      <c r="AD806" s="1160"/>
      <c r="AE806" s="1160"/>
      <c r="AF806" s="1160"/>
      <c r="AG806" s="1160"/>
      <c r="AH806" s="1160"/>
      <c r="AI806" s="1160"/>
      <c r="AJ806" s="1160"/>
      <c r="AK806" s="1160"/>
      <c r="AL806" s="1160"/>
    </row>
    <row r="807" ht="15.0" customHeight="1">
      <c r="A807" s="1209"/>
      <c r="B807" s="1209"/>
      <c r="C807" s="1210"/>
      <c r="D807" s="1160"/>
      <c r="E807" s="1160"/>
      <c r="F807" s="1160"/>
      <c r="G807" s="1160"/>
      <c r="H807" s="1160"/>
      <c r="I807" s="1160"/>
      <c r="J807" s="1160"/>
      <c r="K807" s="1160"/>
      <c r="L807" s="1160"/>
      <c r="M807" s="1160"/>
      <c r="N807" s="1160"/>
      <c r="O807" s="1160"/>
      <c r="P807" s="1160"/>
      <c r="Q807" s="1160"/>
      <c r="R807" s="1160"/>
      <c r="S807" s="1160"/>
      <c r="T807" s="1160"/>
      <c r="U807" s="1160"/>
      <c r="V807" s="1160"/>
      <c r="W807" s="1160"/>
      <c r="X807" s="1160"/>
      <c r="Y807" s="1160"/>
      <c r="Z807" s="1160"/>
      <c r="AA807" s="1160"/>
      <c r="AB807" s="1160"/>
      <c r="AC807" s="1160"/>
      <c r="AD807" s="1160"/>
      <c r="AE807" s="1160"/>
      <c r="AF807" s="1160"/>
      <c r="AG807" s="1160"/>
      <c r="AH807" s="1160"/>
      <c r="AI807" s="1160"/>
      <c r="AJ807" s="1160"/>
      <c r="AK807" s="1160"/>
      <c r="AL807" s="1160"/>
    </row>
    <row r="808" ht="15.0" customHeight="1">
      <c r="A808" s="1209"/>
      <c r="B808" s="1209"/>
      <c r="C808" s="1210"/>
      <c r="D808" s="1160"/>
      <c r="E808" s="1160"/>
      <c r="F808" s="1160"/>
      <c r="G808" s="1160"/>
      <c r="H808" s="1160"/>
      <c r="I808" s="1160"/>
      <c r="J808" s="1160"/>
      <c r="K808" s="1160"/>
      <c r="L808" s="1160"/>
      <c r="M808" s="1160"/>
      <c r="N808" s="1160"/>
      <c r="O808" s="1160"/>
      <c r="P808" s="1160"/>
      <c r="Q808" s="1160"/>
      <c r="R808" s="1160"/>
      <c r="S808" s="1160"/>
      <c r="T808" s="1160"/>
      <c r="U808" s="1160"/>
      <c r="V808" s="1160"/>
      <c r="W808" s="1160"/>
      <c r="X808" s="1160"/>
      <c r="Y808" s="1160"/>
      <c r="Z808" s="1160"/>
      <c r="AA808" s="1160"/>
      <c r="AB808" s="1160"/>
      <c r="AC808" s="1160"/>
      <c r="AD808" s="1160"/>
      <c r="AE808" s="1160"/>
      <c r="AF808" s="1160"/>
      <c r="AG808" s="1160"/>
      <c r="AH808" s="1160"/>
      <c r="AI808" s="1160"/>
      <c r="AJ808" s="1160"/>
      <c r="AK808" s="1160"/>
      <c r="AL808" s="1160"/>
    </row>
    <row r="809" ht="15.0" customHeight="1">
      <c r="A809" s="1209"/>
      <c r="B809" s="1209"/>
      <c r="C809" s="1210"/>
      <c r="D809" s="1160"/>
      <c r="E809" s="1160"/>
      <c r="F809" s="1160"/>
      <c r="G809" s="1160"/>
      <c r="H809" s="1160"/>
      <c r="I809" s="1160"/>
      <c r="J809" s="1160"/>
      <c r="K809" s="1160"/>
      <c r="L809" s="1160"/>
      <c r="M809" s="1160"/>
      <c r="N809" s="1160"/>
      <c r="O809" s="1160"/>
      <c r="P809" s="1160"/>
      <c r="Q809" s="1160"/>
      <c r="R809" s="1160"/>
      <c r="S809" s="1160"/>
      <c r="T809" s="1160"/>
      <c r="U809" s="1160"/>
      <c r="V809" s="1160"/>
      <c r="W809" s="1160"/>
      <c r="X809" s="1160"/>
      <c r="Y809" s="1160"/>
      <c r="Z809" s="1160"/>
      <c r="AA809" s="1160"/>
      <c r="AB809" s="1160"/>
      <c r="AC809" s="1160"/>
      <c r="AD809" s="1160"/>
      <c r="AE809" s="1160"/>
      <c r="AF809" s="1160"/>
      <c r="AG809" s="1160"/>
      <c r="AH809" s="1160"/>
      <c r="AI809" s="1160"/>
      <c r="AJ809" s="1160"/>
      <c r="AK809" s="1160"/>
      <c r="AL809" s="1160"/>
    </row>
    <row r="810" ht="15.0" customHeight="1">
      <c r="A810" s="1209"/>
      <c r="B810" s="1209"/>
      <c r="C810" s="1210"/>
      <c r="D810" s="1160"/>
      <c r="E810" s="1160"/>
      <c r="F810" s="1160"/>
      <c r="G810" s="1160"/>
      <c r="H810" s="1160"/>
      <c r="I810" s="1160"/>
      <c r="J810" s="1160"/>
      <c r="K810" s="1160"/>
      <c r="L810" s="1160"/>
      <c r="M810" s="1160"/>
      <c r="N810" s="1160"/>
      <c r="O810" s="1160"/>
      <c r="P810" s="1160"/>
      <c r="Q810" s="1160"/>
      <c r="R810" s="1160"/>
      <c r="S810" s="1160"/>
      <c r="T810" s="1160"/>
      <c r="U810" s="1160"/>
      <c r="V810" s="1160"/>
      <c r="W810" s="1160"/>
      <c r="X810" s="1160"/>
      <c r="Y810" s="1160"/>
      <c r="Z810" s="1160"/>
      <c r="AA810" s="1160"/>
      <c r="AB810" s="1160"/>
      <c r="AC810" s="1160"/>
      <c r="AD810" s="1160"/>
      <c r="AE810" s="1160"/>
      <c r="AF810" s="1160"/>
      <c r="AG810" s="1160"/>
      <c r="AH810" s="1160"/>
      <c r="AI810" s="1160"/>
      <c r="AJ810" s="1160"/>
      <c r="AK810" s="1160"/>
      <c r="AL810" s="1160"/>
    </row>
    <row r="811" ht="15.0" customHeight="1">
      <c r="A811" s="1209"/>
      <c r="B811" s="1209"/>
      <c r="C811" s="1210"/>
      <c r="D811" s="1160"/>
      <c r="E811" s="1160"/>
      <c r="F811" s="1160"/>
      <c r="G811" s="1160"/>
      <c r="H811" s="1160"/>
      <c r="I811" s="1160"/>
      <c r="J811" s="1160"/>
      <c r="K811" s="1160"/>
      <c r="L811" s="1160"/>
      <c r="M811" s="1160"/>
      <c r="N811" s="1160"/>
      <c r="O811" s="1160"/>
      <c r="P811" s="1160"/>
      <c r="Q811" s="1160"/>
      <c r="R811" s="1160"/>
      <c r="S811" s="1160"/>
      <c r="T811" s="1160"/>
      <c r="U811" s="1160"/>
      <c r="V811" s="1160"/>
      <c r="W811" s="1160"/>
      <c r="X811" s="1160"/>
      <c r="Y811" s="1160"/>
      <c r="Z811" s="1160"/>
      <c r="AA811" s="1160"/>
      <c r="AB811" s="1160"/>
      <c r="AC811" s="1160"/>
      <c r="AD811" s="1160"/>
      <c r="AE811" s="1160"/>
      <c r="AF811" s="1160"/>
      <c r="AG811" s="1160"/>
      <c r="AH811" s="1160"/>
      <c r="AI811" s="1160"/>
      <c r="AJ811" s="1160"/>
      <c r="AK811" s="1160"/>
      <c r="AL811" s="1160"/>
    </row>
    <row r="812" ht="15.0" customHeight="1">
      <c r="A812" s="1209"/>
      <c r="B812" s="1209"/>
      <c r="C812" s="1210"/>
      <c r="D812" s="1160"/>
      <c r="E812" s="1160"/>
      <c r="F812" s="1160"/>
      <c r="G812" s="1160"/>
      <c r="H812" s="1160"/>
      <c r="I812" s="1160"/>
      <c r="J812" s="1160"/>
      <c r="K812" s="1160"/>
      <c r="L812" s="1160"/>
      <c r="M812" s="1160"/>
      <c r="N812" s="1160"/>
      <c r="O812" s="1160"/>
      <c r="P812" s="1160"/>
      <c r="Q812" s="1160"/>
      <c r="R812" s="1160"/>
      <c r="S812" s="1160"/>
      <c r="T812" s="1160"/>
      <c r="U812" s="1160"/>
      <c r="V812" s="1160"/>
      <c r="W812" s="1160"/>
      <c r="X812" s="1160"/>
      <c r="Y812" s="1160"/>
      <c r="Z812" s="1160"/>
      <c r="AA812" s="1160"/>
      <c r="AB812" s="1160"/>
      <c r="AC812" s="1160"/>
      <c r="AD812" s="1160"/>
      <c r="AE812" s="1160"/>
      <c r="AF812" s="1160"/>
      <c r="AG812" s="1160"/>
      <c r="AH812" s="1160"/>
      <c r="AI812" s="1160"/>
      <c r="AJ812" s="1160"/>
      <c r="AK812" s="1160"/>
      <c r="AL812" s="1160"/>
    </row>
    <row r="813" ht="15.0" customHeight="1">
      <c r="A813" s="1209"/>
      <c r="B813" s="1209"/>
      <c r="C813" s="1210"/>
      <c r="D813" s="1160"/>
      <c r="E813" s="1160"/>
      <c r="F813" s="1160"/>
      <c r="G813" s="1160"/>
      <c r="H813" s="1160"/>
      <c r="I813" s="1160"/>
      <c r="J813" s="1160"/>
      <c r="K813" s="1160"/>
      <c r="L813" s="1160"/>
      <c r="M813" s="1160"/>
      <c r="N813" s="1160"/>
      <c r="O813" s="1160"/>
      <c r="P813" s="1160"/>
      <c r="Q813" s="1160"/>
      <c r="R813" s="1160"/>
      <c r="S813" s="1160"/>
      <c r="T813" s="1160"/>
      <c r="U813" s="1160"/>
      <c r="V813" s="1160"/>
      <c r="W813" s="1160"/>
      <c r="X813" s="1160"/>
      <c r="Y813" s="1160"/>
      <c r="Z813" s="1160"/>
      <c r="AA813" s="1160"/>
      <c r="AB813" s="1160"/>
      <c r="AC813" s="1160"/>
      <c r="AD813" s="1160"/>
      <c r="AE813" s="1160"/>
      <c r="AF813" s="1160"/>
      <c r="AG813" s="1160"/>
      <c r="AH813" s="1160"/>
      <c r="AI813" s="1160"/>
      <c r="AJ813" s="1160"/>
      <c r="AK813" s="1160"/>
      <c r="AL813" s="1160"/>
    </row>
    <row r="814" ht="15.0" customHeight="1">
      <c r="A814" s="1209"/>
      <c r="B814" s="1209"/>
      <c r="C814" s="1210"/>
      <c r="D814" s="1160"/>
      <c r="E814" s="1160"/>
      <c r="F814" s="1160"/>
      <c r="G814" s="1160"/>
      <c r="H814" s="1160"/>
      <c r="I814" s="1160"/>
      <c r="J814" s="1160"/>
      <c r="K814" s="1160"/>
      <c r="L814" s="1160"/>
      <c r="M814" s="1160"/>
      <c r="N814" s="1160"/>
      <c r="O814" s="1160"/>
      <c r="P814" s="1160"/>
      <c r="Q814" s="1160"/>
      <c r="R814" s="1160"/>
      <c r="S814" s="1160"/>
      <c r="T814" s="1160"/>
      <c r="U814" s="1160"/>
      <c r="V814" s="1160"/>
      <c r="W814" s="1160"/>
      <c r="X814" s="1160"/>
      <c r="Y814" s="1160"/>
      <c r="Z814" s="1160"/>
      <c r="AA814" s="1160"/>
      <c r="AB814" s="1160"/>
      <c r="AC814" s="1160"/>
      <c r="AD814" s="1160"/>
      <c r="AE814" s="1160"/>
      <c r="AF814" s="1160"/>
      <c r="AG814" s="1160"/>
      <c r="AH814" s="1160"/>
      <c r="AI814" s="1160"/>
      <c r="AJ814" s="1160"/>
      <c r="AK814" s="1160"/>
      <c r="AL814" s="1160"/>
    </row>
    <row r="815" ht="15.0" customHeight="1">
      <c r="A815" s="1209"/>
      <c r="B815" s="1209"/>
      <c r="C815" s="1210"/>
      <c r="D815" s="1160"/>
      <c r="E815" s="1160"/>
      <c r="F815" s="1160"/>
      <c r="G815" s="1160"/>
      <c r="H815" s="1160"/>
      <c r="I815" s="1160"/>
      <c r="J815" s="1160"/>
      <c r="K815" s="1160"/>
      <c r="L815" s="1160"/>
      <c r="M815" s="1160"/>
      <c r="N815" s="1160"/>
      <c r="O815" s="1160"/>
      <c r="P815" s="1160"/>
      <c r="Q815" s="1160"/>
      <c r="R815" s="1160"/>
      <c r="S815" s="1160"/>
      <c r="T815" s="1160"/>
      <c r="U815" s="1160"/>
      <c r="V815" s="1160"/>
      <c r="W815" s="1160"/>
      <c r="X815" s="1160"/>
      <c r="Y815" s="1160"/>
      <c r="Z815" s="1160"/>
      <c r="AA815" s="1160"/>
      <c r="AB815" s="1160"/>
      <c r="AC815" s="1160"/>
      <c r="AD815" s="1160"/>
      <c r="AE815" s="1160"/>
      <c r="AF815" s="1160"/>
      <c r="AG815" s="1160"/>
      <c r="AH815" s="1160"/>
      <c r="AI815" s="1160"/>
      <c r="AJ815" s="1160"/>
      <c r="AK815" s="1160"/>
      <c r="AL815" s="1160"/>
    </row>
    <row r="816" ht="15.0" customHeight="1">
      <c r="A816" s="1209"/>
      <c r="B816" s="1209"/>
      <c r="C816" s="1210"/>
      <c r="D816" s="1160"/>
      <c r="E816" s="1160"/>
      <c r="F816" s="1160"/>
      <c r="G816" s="1160"/>
      <c r="H816" s="1160"/>
      <c r="I816" s="1160"/>
      <c r="J816" s="1160"/>
      <c r="K816" s="1160"/>
      <c r="L816" s="1160"/>
      <c r="M816" s="1160"/>
      <c r="N816" s="1160"/>
      <c r="O816" s="1160"/>
      <c r="P816" s="1160"/>
      <c r="Q816" s="1160"/>
      <c r="R816" s="1160"/>
      <c r="S816" s="1160"/>
      <c r="T816" s="1160"/>
      <c r="U816" s="1160"/>
      <c r="V816" s="1160"/>
      <c r="W816" s="1160"/>
      <c r="X816" s="1160"/>
      <c r="Y816" s="1160"/>
      <c r="Z816" s="1160"/>
      <c r="AA816" s="1160"/>
      <c r="AB816" s="1160"/>
      <c r="AC816" s="1160"/>
      <c r="AD816" s="1160"/>
      <c r="AE816" s="1160"/>
      <c r="AF816" s="1160"/>
      <c r="AG816" s="1160"/>
      <c r="AH816" s="1160"/>
      <c r="AI816" s="1160"/>
      <c r="AJ816" s="1160"/>
      <c r="AK816" s="1160"/>
      <c r="AL816" s="1160"/>
    </row>
    <row r="817" ht="15.0" customHeight="1">
      <c r="A817" s="1209"/>
      <c r="B817" s="1209"/>
      <c r="C817" s="1210"/>
      <c r="D817" s="1160"/>
      <c r="E817" s="1160"/>
      <c r="F817" s="1160"/>
      <c r="G817" s="1160"/>
      <c r="H817" s="1160"/>
      <c r="I817" s="1160"/>
      <c r="J817" s="1160"/>
      <c r="K817" s="1160"/>
      <c r="L817" s="1160"/>
      <c r="M817" s="1160"/>
      <c r="N817" s="1160"/>
      <c r="O817" s="1160"/>
      <c r="P817" s="1160"/>
      <c r="Q817" s="1160"/>
      <c r="R817" s="1160"/>
      <c r="S817" s="1160"/>
      <c r="T817" s="1160"/>
      <c r="U817" s="1160"/>
      <c r="V817" s="1160"/>
      <c r="W817" s="1160"/>
      <c r="X817" s="1160"/>
      <c r="Y817" s="1160"/>
      <c r="Z817" s="1160"/>
      <c r="AA817" s="1160"/>
      <c r="AB817" s="1160"/>
      <c r="AC817" s="1160"/>
      <c r="AD817" s="1160"/>
      <c r="AE817" s="1160"/>
      <c r="AF817" s="1160"/>
      <c r="AG817" s="1160"/>
      <c r="AH817" s="1160"/>
      <c r="AI817" s="1160"/>
      <c r="AJ817" s="1160"/>
      <c r="AK817" s="1160"/>
      <c r="AL817" s="1160"/>
    </row>
    <row r="818" ht="15.0" customHeight="1">
      <c r="A818" s="1209"/>
      <c r="B818" s="1209"/>
      <c r="C818" s="1210"/>
      <c r="D818" s="1160"/>
      <c r="E818" s="1160"/>
      <c r="F818" s="1160"/>
      <c r="G818" s="1160"/>
      <c r="H818" s="1160"/>
      <c r="I818" s="1160"/>
      <c r="J818" s="1160"/>
      <c r="K818" s="1160"/>
      <c r="L818" s="1160"/>
      <c r="M818" s="1160"/>
      <c r="N818" s="1160"/>
      <c r="O818" s="1160"/>
      <c r="P818" s="1160"/>
      <c r="Q818" s="1160"/>
      <c r="R818" s="1160"/>
      <c r="S818" s="1160"/>
      <c r="T818" s="1160"/>
      <c r="U818" s="1160"/>
      <c r="V818" s="1160"/>
      <c r="W818" s="1160"/>
      <c r="X818" s="1160"/>
      <c r="Y818" s="1160"/>
      <c r="Z818" s="1160"/>
      <c r="AA818" s="1160"/>
      <c r="AB818" s="1160"/>
      <c r="AC818" s="1160"/>
      <c r="AD818" s="1160"/>
      <c r="AE818" s="1160"/>
      <c r="AF818" s="1160"/>
      <c r="AG818" s="1160"/>
      <c r="AH818" s="1160"/>
      <c r="AI818" s="1160"/>
      <c r="AJ818" s="1160"/>
      <c r="AK818" s="1160"/>
      <c r="AL818" s="1160"/>
    </row>
    <row r="819" ht="15.0" customHeight="1">
      <c r="A819" s="1209"/>
      <c r="B819" s="1209"/>
      <c r="C819" s="1210"/>
      <c r="D819" s="1160"/>
      <c r="E819" s="1160"/>
      <c r="F819" s="1160"/>
      <c r="G819" s="1160"/>
      <c r="H819" s="1160"/>
      <c r="I819" s="1160"/>
      <c r="J819" s="1160"/>
      <c r="K819" s="1160"/>
      <c r="L819" s="1160"/>
      <c r="M819" s="1160"/>
      <c r="N819" s="1160"/>
      <c r="O819" s="1160"/>
      <c r="P819" s="1160"/>
      <c r="Q819" s="1160"/>
      <c r="R819" s="1160"/>
      <c r="S819" s="1160"/>
      <c r="T819" s="1160"/>
      <c r="U819" s="1160"/>
      <c r="V819" s="1160"/>
      <c r="W819" s="1160"/>
      <c r="X819" s="1160"/>
      <c r="Y819" s="1160"/>
      <c r="Z819" s="1160"/>
      <c r="AA819" s="1160"/>
      <c r="AB819" s="1160"/>
      <c r="AC819" s="1160"/>
      <c r="AD819" s="1160"/>
      <c r="AE819" s="1160"/>
      <c r="AF819" s="1160"/>
      <c r="AG819" s="1160"/>
      <c r="AH819" s="1160"/>
      <c r="AI819" s="1160"/>
      <c r="AJ819" s="1160"/>
      <c r="AK819" s="1160"/>
      <c r="AL819" s="1160"/>
    </row>
    <row r="820" ht="15.0" customHeight="1">
      <c r="A820" s="1209"/>
      <c r="B820" s="1209"/>
      <c r="C820" s="1210"/>
      <c r="D820" s="1160"/>
      <c r="E820" s="1160"/>
      <c r="F820" s="1160"/>
      <c r="G820" s="1160"/>
      <c r="H820" s="1160"/>
      <c r="I820" s="1160"/>
      <c r="J820" s="1160"/>
      <c r="K820" s="1160"/>
      <c r="L820" s="1160"/>
      <c r="M820" s="1160"/>
      <c r="N820" s="1160"/>
      <c r="O820" s="1160"/>
      <c r="P820" s="1160"/>
      <c r="Q820" s="1160"/>
      <c r="R820" s="1160"/>
      <c r="S820" s="1160"/>
      <c r="T820" s="1160"/>
      <c r="U820" s="1160"/>
      <c r="V820" s="1160"/>
      <c r="W820" s="1160"/>
      <c r="X820" s="1160"/>
      <c r="Y820" s="1160"/>
      <c r="Z820" s="1160"/>
      <c r="AA820" s="1160"/>
      <c r="AB820" s="1160"/>
      <c r="AC820" s="1160"/>
      <c r="AD820" s="1160"/>
      <c r="AE820" s="1160"/>
      <c r="AF820" s="1160"/>
      <c r="AG820" s="1160"/>
      <c r="AH820" s="1160"/>
      <c r="AI820" s="1160"/>
      <c r="AJ820" s="1160"/>
      <c r="AK820" s="1160"/>
      <c r="AL820" s="1160"/>
    </row>
    <row r="821" ht="15.0" customHeight="1">
      <c r="A821" s="1209"/>
      <c r="B821" s="1209"/>
      <c r="C821" s="1210"/>
      <c r="D821" s="1160"/>
      <c r="E821" s="1160"/>
      <c r="F821" s="1160"/>
      <c r="G821" s="1160"/>
      <c r="H821" s="1160"/>
      <c r="I821" s="1160"/>
      <c r="J821" s="1160"/>
      <c r="K821" s="1160"/>
      <c r="L821" s="1160"/>
      <c r="M821" s="1160"/>
      <c r="N821" s="1160"/>
      <c r="O821" s="1160"/>
      <c r="P821" s="1160"/>
      <c r="Q821" s="1160"/>
      <c r="R821" s="1160"/>
      <c r="S821" s="1160"/>
      <c r="T821" s="1160"/>
      <c r="U821" s="1160"/>
      <c r="V821" s="1160"/>
      <c r="W821" s="1160"/>
      <c r="X821" s="1160"/>
      <c r="Y821" s="1160"/>
      <c r="Z821" s="1160"/>
      <c r="AA821" s="1160"/>
      <c r="AB821" s="1160"/>
      <c r="AC821" s="1160"/>
      <c r="AD821" s="1160"/>
      <c r="AE821" s="1160"/>
      <c r="AF821" s="1160"/>
      <c r="AG821" s="1160"/>
      <c r="AH821" s="1160"/>
      <c r="AI821" s="1160"/>
      <c r="AJ821" s="1160"/>
      <c r="AK821" s="1160"/>
      <c r="AL821" s="1160"/>
    </row>
    <row r="822" ht="15.0" customHeight="1">
      <c r="A822" s="1209"/>
      <c r="B822" s="1209"/>
      <c r="C822" s="1210"/>
      <c r="D822" s="1160"/>
      <c r="E822" s="1160"/>
      <c r="F822" s="1160"/>
      <c r="G822" s="1160"/>
      <c r="H822" s="1160"/>
      <c r="I822" s="1160"/>
      <c r="J822" s="1160"/>
      <c r="K822" s="1160"/>
      <c r="L822" s="1160"/>
      <c r="M822" s="1160"/>
      <c r="N822" s="1160"/>
      <c r="O822" s="1160"/>
      <c r="P822" s="1160"/>
      <c r="Q822" s="1160"/>
      <c r="R822" s="1160"/>
      <c r="S822" s="1160"/>
      <c r="T822" s="1160"/>
      <c r="U822" s="1160"/>
      <c r="V822" s="1160"/>
      <c r="W822" s="1160"/>
      <c r="X822" s="1160"/>
      <c r="Y822" s="1160"/>
      <c r="Z822" s="1160"/>
      <c r="AA822" s="1160"/>
      <c r="AB822" s="1160"/>
      <c r="AC822" s="1160"/>
      <c r="AD822" s="1160"/>
      <c r="AE822" s="1160"/>
      <c r="AF822" s="1160"/>
      <c r="AG822" s="1160"/>
      <c r="AH822" s="1160"/>
      <c r="AI822" s="1160"/>
      <c r="AJ822" s="1160"/>
      <c r="AK822" s="1160"/>
      <c r="AL822" s="1160"/>
    </row>
    <row r="823" ht="15.0" customHeight="1">
      <c r="A823" s="1209"/>
      <c r="B823" s="1209"/>
      <c r="C823" s="1210"/>
      <c r="D823" s="1160"/>
      <c r="E823" s="1160"/>
      <c r="F823" s="1160"/>
      <c r="G823" s="1160"/>
      <c r="H823" s="1160"/>
      <c r="I823" s="1160"/>
      <c r="J823" s="1160"/>
      <c r="K823" s="1160"/>
      <c r="L823" s="1160"/>
      <c r="M823" s="1160"/>
      <c r="N823" s="1160"/>
      <c r="O823" s="1160"/>
      <c r="P823" s="1160"/>
      <c r="Q823" s="1160"/>
      <c r="R823" s="1160"/>
      <c r="S823" s="1160"/>
      <c r="T823" s="1160"/>
      <c r="U823" s="1160"/>
      <c r="V823" s="1160"/>
      <c r="W823" s="1160"/>
      <c r="X823" s="1160"/>
      <c r="Y823" s="1160"/>
      <c r="Z823" s="1160"/>
      <c r="AA823" s="1160"/>
      <c r="AB823" s="1160"/>
      <c r="AC823" s="1160"/>
      <c r="AD823" s="1160"/>
      <c r="AE823" s="1160"/>
      <c r="AF823" s="1160"/>
      <c r="AG823" s="1160"/>
      <c r="AH823" s="1160"/>
      <c r="AI823" s="1160"/>
      <c r="AJ823" s="1160"/>
      <c r="AK823" s="1160"/>
      <c r="AL823" s="1160"/>
    </row>
    <row r="824" ht="15.0" customHeight="1">
      <c r="A824" s="1209"/>
      <c r="B824" s="1209"/>
      <c r="C824" s="1210"/>
      <c r="D824" s="1160"/>
      <c r="E824" s="1160"/>
      <c r="F824" s="1160"/>
      <c r="G824" s="1160"/>
      <c r="H824" s="1160"/>
      <c r="I824" s="1160"/>
      <c r="J824" s="1160"/>
      <c r="K824" s="1160"/>
      <c r="L824" s="1160"/>
      <c r="M824" s="1160"/>
      <c r="N824" s="1160"/>
      <c r="O824" s="1160"/>
      <c r="P824" s="1160"/>
      <c r="Q824" s="1160"/>
      <c r="R824" s="1160"/>
      <c r="S824" s="1160"/>
      <c r="T824" s="1160"/>
      <c r="U824" s="1160"/>
      <c r="V824" s="1160"/>
      <c r="W824" s="1160"/>
      <c r="X824" s="1160"/>
      <c r="Y824" s="1160"/>
      <c r="Z824" s="1160"/>
      <c r="AA824" s="1160"/>
      <c r="AB824" s="1160"/>
      <c r="AC824" s="1160"/>
      <c r="AD824" s="1160"/>
      <c r="AE824" s="1160"/>
      <c r="AF824" s="1160"/>
      <c r="AG824" s="1160"/>
      <c r="AH824" s="1160"/>
      <c r="AI824" s="1160"/>
      <c r="AJ824" s="1160"/>
      <c r="AK824" s="1160"/>
      <c r="AL824" s="1160"/>
    </row>
    <row r="825" ht="15.0" customHeight="1">
      <c r="A825" s="1209"/>
      <c r="B825" s="1209"/>
      <c r="C825" s="1210"/>
      <c r="D825" s="1160"/>
      <c r="E825" s="1160"/>
      <c r="F825" s="1160"/>
      <c r="G825" s="1160"/>
      <c r="H825" s="1160"/>
      <c r="I825" s="1160"/>
      <c r="J825" s="1160"/>
      <c r="K825" s="1160"/>
      <c r="L825" s="1160"/>
      <c r="M825" s="1160"/>
      <c r="N825" s="1160"/>
      <c r="O825" s="1160"/>
      <c r="P825" s="1160"/>
      <c r="Q825" s="1160"/>
      <c r="R825" s="1160"/>
      <c r="S825" s="1160"/>
      <c r="T825" s="1160"/>
      <c r="U825" s="1160"/>
      <c r="V825" s="1160"/>
      <c r="W825" s="1160"/>
      <c r="X825" s="1160"/>
      <c r="Y825" s="1160"/>
      <c r="Z825" s="1160"/>
      <c r="AA825" s="1160"/>
      <c r="AB825" s="1160"/>
      <c r="AC825" s="1160"/>
      <c r="AD825" s="1160"/>
      <c r="AE825" s="1160"/>
      <c r="AF825" s="1160"/>
      <c r="AG825" s="1160"/>
      <c r="AH825" s="1160"/>
      <c r="AI825" s="1160"/>
      <c r="AJ825" s="1160"/>
      <c r="AK825" s="1160"/>
      <c r="AL825" s="1160"/>
    </row>
    <row r="826" ht="15.0" customHeight="1">
      <c r="A826" s="1209"/>
      <c r="B826" s="1209"/>
      <c r="C826" s="1210"/>
      <c r="D826" s="1160"/>
      <c r="E826" s="1160"/>
      <c r="F826" s="1160"/>
      <c r="G826" s="1160"/>
      <c r="H826" s="1160"/>
      <c r="I826" s="1160"/>
      <c r="J826" s="1160"/>
      <c r="K826" s="1160"/>
      <c r="L826" s="1160"/>
      <c r="M826" s="1160"/>
      <c r="N826" s="1160"/>
      <c r="O826" s="1160"/>
      <c r="P826" s="1160"/>
      <c r="Q826" s="1160"/>
      <c r="R826" s="1160"/>
      <c r="S826" s="1160"/>
      <c r="T826" s="1160"/>
      <c r="U826" s="1160"/>
      <c r="V826" s="1160"/>
      <c r="W826" s="1160"/>
      <c r="X826" s="1160"/>
      <c r="Y826" s="1160"/>
      <c r="Z826" s="1160"/>
      <c r="AA826" s="1160"/>
      <c r="AB826" s="1160"/>
      <c r="AC826" s="1160"/>
      <c r="AD826" s="1160"/>
      <c r="AE826" s="1160"/>
      <c r="AF826" s="1160"/>
      <c r="AG826" s="1160"/>
      <c r="AH826" s="1160"/>
      <c r="AI826" s="1160"/>
      <c r="AJ826" s="1160"/>
      <c r="AK826" s="1160"/>
      <c r="AL826" s="1160"/>
    </row>
    <row r="827" ht="15.0" customHeight="1">
      <c r="A827" s="1209"/>
      <c r="B827" s="1209"/>
      <c r="C827" s="1210"/>
      <c r="D827" s="1160"/>
      <c r="E827" s="1160"/>
      <c r="F827" s="1160"/>
      <c r="G827" s="1160"/>
      <c r="H827" s="1160"/>
      <c r="I827" s="1160"/>
      <c r="J827" s="1160"/>
      <c r="K827" s="1160"/>
      <c r="L827" s="1160"/>
      <c r="M827" s="1160"/>
      <c r="N827" s="1160"/>
      <c r="O827" s="1160"/>
      <c r="P827" s="1160"/>
      <c r="Q827" s="1160"/>
      <c r="R827" s="1160"/>
      <c r="S827" s="1160"/>
      <c r="T827" s="1160"/>
      <c r="U827" s="1160"/>
      <c r="V827" s="1160"/>
      <c r="W827" s="1160"/>
      <c r="X827" s="1160"/>
      <c r="Y827" s="1160"/>
      <c r="Z827" s="1160"/>
      <c r="AA827" s="1160"/>
      <c r="AB827" s="1160"/>
      <c r="AC827" s="1160"/>
      <c r="AD827" s="1160"/>
      <c r="AE827" s="1160"/>
      <c r="AF827" s="1160"/>
      <c r="AG827" s="1160"/>
      <c r="AH827" s="1160"/>
      <c r="AI827" s="1160"/>
      <c r="AJ827" s="1160"/>
      <c r="AK827" s="1160"/>
      <c r="AL827" s="1160"/>
    </row>
    <row r="828" ht="15.0" customHeight="1">
      <c r="A828" s="1209"/>
      <c r="B828" s="1209"/>
      <c r="C828" s="1210"/>
      <c r="D828" s="1160"/>
      <c r="E828" s="1160"/>
      <c r="F828" s="1160"/>
      <c r="G828" s="1160"/>
      <c r="H828" s="1160"/>
      <c r="I828" s="1160"/>
      <c r="J828" s="1160"/>
      <c r="K828" s="1160"/>
      <c r="L828" s="1160"/>
      <c r="M828" s="1160"/>
      <c r="N828" s="1160"/>
      <c r="O828" s="1160"/>
      <c r="P828" s="1160"/>
      <c r="Q828" s="1160"/>
      <c r="R828" s="1160"/>
      <c r="S828" s="1160"/>
      <c r="T828" s="1160"/>
      <c r="U828" s="1160"/>
      <c r="V828" s="1160"/>
      <c r="W828" s="1160"/>
      <c r="X828" s="1160"/>
      <c r="Y828" s="1160"/>
      <c r="Z828" s="1160"/>
      <c r="AA828" s="1160"/>
      <c r="AB828" s="1160"/>
      <c r="AC828" s="1160"/>
      <c r="AD828" s="1160"/>
      <c r="AE828" s="1160"/>
      <c r="AF828" s="1160"/>
      <c r="AG828" s="1160"/>
      <c r="AH828" s="1160"/>
      <c r="AI828" s="1160"/>
      <c r="AJ828" s="1160"/>
      <c r="AK828" s="1160"/>
      <c r="AL828" s="1160"/>
    </row>
    <row r="829" ht="15.0" customHeight="1">
      <c r="A829" s="1209"/>
      <c r="B829" s="1209"/>
      <c r="C829" s="1210"/>
      <c r="D829" s="1160"/>
      <c r="E829" s="1160"/>
      <c r="F829" s="1160"/>
      <c r="G829" s="1160"/>
      <c r="H829" s="1160"/>
      <c r="I829" s="1160"/>
      <c r="J829" s="1160"/>
      <c r="K829" s="1160"/>
      <c r="L829" s="1160"/>
      <c r="M829" s="1160"/>
      <c r="N829" s="1160"/>
      <c r="O829" s="1160"/>
      <c r="P829" s="1160"/>
      <c r="Q829" s="1160"/>
      <c r="R829" s="1160"/>
      <c r="S829" s="1160"/>
      <c r="T829" s="1160"/>
      <c r="U829" s="1160"/>
      <c r="V829" s="1160"/>
      <c r="W829" s="1160"/>
      <c r="X829" s="1160"/>
      <c r="Y829" s="1160"/>
      <c r="Z829" s="1160"/>
      <c r="AA829" s="1160"/>
      <c r="AB829" s="1160"/>
      <c r="AC829" s="1160"/>
      <c r="AD829" s="1160"/>
      <c r="AE829" s="1160"/>
      <c r="AF829" s="1160"/>
      <c r="AG829" s="1160"/>
      <c r="AH829" s="1160"/>
      <c r="AI829" s="1160"/>
      <c r="AJ829" s="1160"/>
      <c r="AK829" s="1160"/>
      <c r="AL829" s="1160"/>
    </row>
    <row r="830" ht="15.0" customHeight="1">
      <c r="A830" s="1209"/>
      <c r="B830" s="1209"/>
      <c r="C830" s="1210"/>
      <c r="D830" s="1160"/>
      <c r="E830" s="1160"/>
      <c r="F830" s="1160"/>
      <c r="G830" s="1160"/>
      <c r="H830" s="1160"/>
      <c r="I830" s="1160"/>
      <c r="J830" s="1160"/>
      <c r="K830" s="1160"/>
      <c r="L830" s="1160"/>
      <c r="M830" s="1160"/>
      <c r="N830" s="1160"/>
      <c r="O830" s="1160"/>
      <c r="P830" s="1160"/>
      <c r="Q830" s="1160"/>
      <c r="R830" s="1160"/>
      <c r="S830" s="1160"/>
      <c r="T830" s="1160"/>
      <c r="U830" s="1160"/>
      <c r="V830" s="1160"/>
      <c r="W830" s="1160"/>
      <c r="X830" s="1160"/>
      <c r="Y830" s="1160"/>
      <c r="Z830" s="1160"/>
      <c r="AA830" s="1160"/>
      <c r="AB830" s="1160"/>
      <c r="AC830" s="1160"/>
      <c r="AD830" s="1160"/>
      <c r="AE830" s="1160"/>
      <c r="AF830" s="1160"/>
      <c r="AG830" s="1160"/>
      <c r="AH830" s="1160"/>
      <c r="AI830" s="1160"/>
      <c r="AJ830" s="1160"/>
      <c r="AK830" s="1160"/>
      <c r="AL830" s="1160"/>
    </row>
    <row r="831" ht="15.0" customHeight="1">
      <c r="A831" s="1209"/>
      <c r="B831" s="1209"/>
      <c r="C831" s="1210"/>
      <c r="D831" s="1160"/>
      <c r="E831" s="1160"/>
      <c r="F831" s="1160"/>
      <c r="G831" s="1160"/>
      <c r="H831" s="1160"/>
      <c r="I831" s="1160"/>
      <c r="J831" s="1160"/>
      <c r="K831" s="1160"/>
      <c r="L831" s="1160"/>
      <c r="M831" s="1160"/>
      <c r="N831" s="1160"/>
      <c r="O831" s="1160"/>
      <c r="P831" s="1160"/>
      <c r="Q831" s="1160"/>
      <c r="R831" s="1160"/>
      <c r="S831" s="1160"/>
      <c r="T831" s="1160"/>
      <c r="U831" s="1160"/>
      <c r="V831" s="1160"/>
      <c r="W831" s="1160"/>
      <c r="X831" s="1160"/>
      <c r="Y831" s="1160"/>
      <c r="Z831" s="1160"/>
      <c r="AA831" s="1160"/>
      <c r="AB831" s="1160"/>
      <c r="AC831" s="1160"/>
      <c r="AD831" s="1160"/>
      <c r="AE831" s="1160"/>
      <c r="AF831" s="1160"/>
      <c r="AG831" s="1160"/>
      <c r="AH831" s="1160"/>
      <c r="AI831" s="1160"/>
      <c r="AJ831" s="1160"/>
      <c r="AK831" s="1160"/>
      <c r="AL831" s="1160"/>
    </row>
    <row r="832" ht="15.0" customHeight="1">
      <c r="A832" s="1209"/>
      <c r="B832" s="1209"/>
      <c r="C832" s="1210"/>
      <c r="D832" s="1160"/>
      <c r="E832" s="1160"/>
      <c r="F832" s="1160"/>
      <c r="G832" s="1160"/>
      <c r="H832" s="1160"/>
      <c r="I832" s="1160"/>
      <c r="J832" s="1160"/>
      <c r="K832" s="1160"/>
      <c r="L832" s="1160"/>
      <c r="M832" s="1160"/>
      <c r="N832" s="1160"/>
      <c r="O832" s="1160"/>
      <c r="P832" s="1160"/>
      <c r="Q832" s="1160"/>
      <c r="R832" s="1160"/>
      <c r="S832" s="1160"/>
      <c r="T832" s="1160"/>
      <c r="U832" s="1160"/>
      <c r="V832" s="1160"/>
      <c r="W832" s="1160"/>
      <c r="X832" s="1160"/>
      <c r="Y832" s="1160"/>
      <c r="Z832" s="1160"/>
      <c r="AA832" s="1160"/>
      <c r="AB832" s="1160"/>
      <c r="AC832" s="1160"/>
      <c r="AD832" s="1160"/>
      <c r="AE832" s="1160"/>
      <c r="AF832" s="1160"/>
      <c r="AG832" s="1160"/>
      <c r="AH832" s="1160"/>
      <c r="AI832" s="1160"/>
      <c r="AJ832" s="1160"/>
      <c r="AK832" s="1160"/>
      <c r="AL832" s="1160"/>
    </row>
    <row r="833" ht="15.0" customHeight="1">
      <c r="A833" s="1209"/>
      <c r="B833" s="1209"/>
      <c r="C833" s="1210"/>
      <c r="D833" s="1160"/>
      <c r="E833" s="1160"/>
      <c r="F833" s="1160"/>
      <c r="G833" s="1160"/>
      <c r="H833" s="1160"/>
      <c r="I833" s="1160"/>
      <c r="J833" s="1160"/>
      <c r="K833" s="1160"/>
      <c r="L833" s="1160"/>
      <c r="M833" s="1160"/>
      <c r="N833" s="1160"/>
      <c r="O833" s="1160"/>
      <c r="P833" s="1160"/>
      <c r="Q833" s="1160"/>
      <c r="R833" s="1160"/>
      <c r="S833" s="1160"/>
      <c r="T833" s="1160"/>
      <c r="U833" s="1160"/>
      <c r="V833" s="1160"/>
      <c r="W833" s="1160"/>
      <c r="X833" s="1160"/>
      <c r="Y833" s="1160"/>
      <c r="Z833" s="1160"/>
      <c r="AA833" s="1160"/>
      <c r="AB833" s="1160"/>
      <c r="AC833" s="1160"/>
      <c r="AD833" s="1160"/>
      <c r="AE833" s="1160"/>
      <c r="AF833" s="1160"/>
      <c r="AG833" s="1160"/>
      <c r="AH833" s="1160"/>
      <c r="AI833" s="1160"/>
      <c r="AJ833" s="1160"/>
      <c r="AK833" s="1160"/>
      <c r="AL833" s="1160"/>
    </row>
    <row r="834" ht="15.0" customHeight="1">
      <c r="A834" s="1209"/>
      <c r="B834" s="1209"/>
      <c r="C834" s="1210"/>
      <c r="D834" s="1160"/>
      <c r="E834" s="1160"/>
      <c r="F834" s="1160"/>
      <c r="G834" s="1160"/>
      <c r="H834" s="1160"/>
      <c r="I834" s="1160"/>
      <c r="J834" s="1160"/>
      <c r="K834" s="1160"/>
      <c r="L834" s="1160"/>
      <c r="M834" s="1160"/>
      <c r="N834" s="1160"/>
      <c r="O834" s="1160"/>
      <c r="P834" s="1160"/>
      <c r="Q834" s="1160"/>
      <c r="R834" s="1160"/>
      <c r="S834" s="1160"/>
      <c r="T834" s="1160"/>
      <c r="U834" s="1160"/>
      <c r="V834" s="1160"/>
      <c r="W834" s="1160"/>
      <c r="X834" s="1160"/>
      <c r="Y834" s="1160"/>
      <c r="Z834" s="1160"/>
      <c r="AA834" s="1160"/>
      <c r="AB834" s="1160"/>
      <c r="AC834" s="1160"/>
      <c r="AD834" s="1160"/>
      <c r="AE834" s="1160"/>
      <c r="AF834" s="1160"/>
      <c r="AG834" s="1160"/>
      <c r="AH834" s="1160"/>
      <c r="AI834" s="1160"/>
      <c r="AJ834" s="1160"/>
      <c r="AK834" s="1160"/>
      <c r="AL834" s="1160"/>
    </row>
    <row r="835" ht="15.0" customHeight="1">
      <c r="A835" s="1209"/>
      <c r="B835" s="1209"/>
      <c r="C835" s="1210"/>
      <c r="D835" s="1160"/>
      <c r="E835" s="1160"/>
      <c r="F835" s="1160"/>
      <c r="G835" s="1160"/>
      <c r="H835" s="1160"/>
      <c r="I835" s="1160"/>
      <c r="J835" s="1160"/>
      <c r="K835" s="1160"/>
      <c r="L835" s="1160"/>
      <c r="M835" s="1160"/>
      <c r="N835" s="1160"/>
      <c r="O835" s="1160"/>
      <c r="P835" s="1160"/>
      <c r="Q835" s="1160"/>
      <c r="R835" s="1160"/>
      <c r="S835" s="1160"/>
      <c r="T835" s="1160"/>
      <c r="U835" s="1160"/>
      <c r="V835" s="1160"/>
      <c r="W835" s="1160"/>
      <c r="X835" s="1160"/>
      <c r="Y835" s="1160"/>
      <c r="Z835" s="1160"/>
      <c r="AA835" s="1160"/>
      <c r="AB835" s="1160"/>
      <c r="AC835" s="1160"/>
      <c r="AD835" s="1160"/>
      <c r="AE835" s="1160"/>
      <c r="AF835" s="1160"/>
      <c r="AG835" s="1160"/>
      <c r="AH835" s="1160"/>
      <c r="AI835" s="1160"/>
      <c r="AJ835" s="1160"/>
      <c r="AK835" s="1160"/>
      <c r="AL835" s="1160"/>
    </row>
    <row r="836" ht="15.0" customHeight="1">
      <c r="A836" s="1209"/>
      <c r="B836" s="1209"/>
      <c r="C836" s="1210"/>
      <c r="D836" s="1160"/>
      <c r="E836" s="1160"/>
      <c r="F836" s="1160"/>
      <c r="G836" s="1160"/>
      <c r="H836" s="1160"/>
      <c r="I836" s="1160"/>
      <c r="J836" s="1160"/>
      <c r="K836" s="1160"/>
      <c r="L836" s="1160"/>
      <c r="M836" s="1160"/>
      <c r="N836" s="1160"/>
      <c r="O836" s="1160"/>
      <c r="P836" s="1160"/>
      <c r="Q836" s="1160"/>
      <c r="R836" s="1160"/>
      <c r="S836" s="1160"/>
      <c r="T836" s="1160"/>
      <c r="U836" s="1160"/>
      <c r="V836" s="1160"/>
      <c r="W836" s="1160"/>
      <c r="X836" s="1160"/>
      <c r="Y836" s="1160"/>
      <c r="Z836" s="1160"/>
      <c r="AA836" s="1160"/>
      <c r="AB836" s="1160"/>
      <c r="AC836" s="1160"/>
      <c r="AD836" s="1160"/>
      <c r="AE836" s="1160"/>
      <c r="AF836" s="1160"/>
      <c r="AG836" s="1160"/>
      <c r="AH836" s="1160"/>
      <c r="AI836" s="1160"/>
      <c r="AJ836" s="1160"/>
      <c r="AK836" s="1160"/>
      <c r="AL836" s="1160"/>
    </row>
    <row r="837" ht="15.0" customHeight="1">
      <c r="A837" s="1209"/>
      <c r="B837" s="1209"/>
      <c r="C837" s="1210"/>
      <c r="D837" s="1160"/>
      <c r="E837" s="1160"/>
      <c r="F837" s="1160"/>
      <c r="G837" s="1160"/>
      <c r="H837" s="1160"/>
      <c r="I837" s="1160"/>
      <c r="J837" s="1160"/>
      <c r="K837" s="1160"/>
      <c r="L837" s="1160"/>
      <c r="M837" s="1160"/>
      <c r="N837" s="1160"/>
      <c r="O837" s="1160"/>
      <c r="P837" s="1160"/>
      <c r="Q837" s="1160"/>
      <c r="R837" s="1160"/>
      <c r="S837" s="1160"/>
      <c r="T837" s="1160"/>
      <c r="U837" s="1160"/>
      <c r="V837" s="1160"/>
      <c r="W837" s="1160"/>
      <c r="X837" s="1160"/>
      <c r="Y837" s="1160"/>
      <c r="Z837" s="1160"/>
      <c r="AA837" s="1160"/>
      <c r="AB837" s="1160"/>
      <c r="AC837" s="1160"/>
      <c r="AD837" s="1160"/>
      <c r="AE837" s="1160"/>
      <c r="AF837" s="1160"/>
      <c r="AG837" s="1160"/>
      <c r="AH837" s="1160"/>
      <c r="AI837" s="1160"/>
      <c r="AJ837" s="1160"/>
      <c r="AK837" s="1160"/>
      <c r="AL837" s="1160"/>
    </row>
    <row r="838" ht="15.0" customHeight="1">
      <c r="A838" s="1209"/>
      <c r="B838" s="1209"/>
      <c r="C838" s="1210"/>
      <c r="D838" s="1160"/>
      <c r="E838" s="1160"/>
      <c r="F838" s="1160"/>
      <c r="G838" s="1160"/>
      <c r="H838" s="1160"/>
      <c r="I838" s="1160"/>
      <c r="J838" s="1160"/>
      <c r="K838" s="1160"/>
      <c r="L838" s="1160"/>
      <c r="M838" s="1160"/>
      <c r="N838" s="1160"/>
      <c r="O838" s="1160"/>
      <c r="P838" s="1160"/>
      <c r="Q838" s="1160"/>
      <c r="R838" s="1160"/>
      <c r="S838" s="1160"/>
      <c r="T838" s="1160"/>
      <c r="U838" s="1160"/>
      <c r="V838" s="1160"/>
      <c r="W838" s="1160"/>
      <c r="X838" s="1160"/>
      <c r="Y838" s="1160"/>
      <c r="Z838" s="1160"/>
      <c r="AA838" s="1160"/>
      <c r="AB838" s="1160"/>
      <c r="AC838" s="1160"/>
      <c r="AD838" s="1160"/>
      <c r="AE838" s="1160"/>
      <c r="AF838" s="1160"/>
      <c r="AG838" s="1160"/>
      <c r="AH838" s="1160"/>
      <c r="AI838" s="1160"/>
      <c r="AJ838" s="1160"/>
      <c r="AK838" s="1160"/>
      <c r="AL838" s="1160"/>
    </row>
    <row r="839" ht="15.0" customHeight="1">
      <c r="A839" s="1209"/>
      <c r="B839" s="1209"/>
      <c r="C839" s="1210"/>
      <c r="D839" s="1160"/>
      <c r="E839" s="1160"/>
      <c r="F839" s="1160"/>
      <c r="G839" s="1160"/>
      <c r="H839" s="1160"/>
      <c r="I839" s="1160"/>
      <c r="J839" s="1160"/>
      <c r="K839" s="1160"/>
      <c r="L839" s="1160"/>
      <c r="M839" s="1160"/>
      <c r="N839" s="1160"/>
      <c r="O839" s="1160"/>
      <c r="P839" s="1160"/>
      <c r="Q839" s="1160"/>
      <c r="R839" s="1160"/>
      <c r="S839" s="1160"/>
      <c r="T839" s="1160"/>
      <c r="U839" s="1160"/>
      <c r="V839" s="1160"/>
      <c r="W839" s="1160"/>
      <c r="X839" s="1160"/>
      <c r="Y839" s="1160"/>
      <c r="Z839" s="1160"/>
      <c r="AA839" s="1160"/>
      <c r="AB839" s="1160"/>
      <c r="AC839" s="1160"/>
      <c r="AD839" s="1160"/>
      <c r="AE839" s="1160"/>
      <c r="AF839" s="1160"/>
      <c r="AG839" s="1160"/>
      <c r="AH839" s="1160"/>
      <c r="AI839" s="1160"/>
      <c r="AJ839" s="1160"/>
      <c r="AK839" s="1160"/>
      <c r="AL839" s="1160"/>
    </row>
    <row r="840" ht="15.0" customHeight="1">
      <c r="A840" s="1209"/>
      <c r="B840" s="1209"/>
      <c r="C840" s="1210"/>
      <c r="D840" s="1160"/>
      <c r="E840" s="1160"/>
      <c r="F840" s="1160"/>
      <c r="G840" s="1160"/>
      <c r="H840" s="1160"/>
      <c r="I840" s="1160"/>
      <c r="J840" s="1160"/>
      <c r="K840" s="1160"/>
      <c r="L840" s="1160"/>
      <c r="M840" s="1160"/>
      <c r="N840" s="1160"/>
      <c r="O840" s="1160"/>
      <c r="P840" s="1160"/>
      <c r="Q840" s="1160"/>
      <c r="R840" s="1160"/>
      <c r="S840" s="1160"/>
      <c r="T840" s="1160"/>
      <c r="U840" s="1160"/>
      <c r="V840" s="1160"/>
      <c r="W840" s="1160"/>
      <c r="X840" s="1160"/>
      <c r="Y840" s="1160"/>
      <c r="Z840" s="1160"/>
      <c r="AA840" s="1160"/>
      <c r="AB840" s="1160"/>
      <c r="AC840" s="1160"/>
      <c r="AD840" s="1160"/>
      <c r="AE840" s="1160"/>
      <c r="AF840" s="1160"/>
      <c r="AG840" s="1160"/>
      <c r="AH840" s="1160"/>
      <c r="AI840" s="1160"/>
      <c r="AJ840" s="1160"/>
      <c r="AK840" s="1160"/>
      <c r="AL840" s="1160"/>
    </row>
    <row r="841" ht="15.0" customHeight="1">
      <c r="A841" s="1209"/>
      <c r="B841" s="1209"/>
      <c r="C841" s="1210"/>
      <c r="D841" s="1160"/>
      <c r="E841" s="1160"/>
      <c r="F841" s="1160"/>
      <c r="G841" s="1160"/>
      <c r="H841" s="1160"/>
      <c r="I841" s="1160"/>
      <c r="J841" s="1160"/>
      <c r="K841" s="1160"/>
      <c r="L841" s="1160"/>
      <c r="M841" s="1160"/>
      <c r="N841" s="1160"/>
      <c r="O841" s="1160"/>
      <c r="P841" s="1160"/>
      <c r="Q841" s="1160"/>
      <c r="R841" s="1160"/>
      <c r="S841" s="1160"/>
      <c r="T841" s="1160"/>
      <c r="U841" s="1160"/>
      <c r="V841" s="1160"/>
      <c r="W841" s="1160"/>
      <c r="X841" s="1160"/>
      <c r="Y841" s="1160"/>
      <c r="Z841" s="1160"/>
      <c r="AA841" s="1160"/>
      <c r="AB841" s="1160"/>
      <c r="AC841" s="1160"/>
      <c r="AD841" s="1160"/>
      <c r="AE841" s="1160"/>
      <c r="AF841" s="1160"/>
      <c r="AG841" s="1160"/>
      <c r="AH841" s="1160"/>
      <c r="AI841" s="1160"/>
      <c r="AJ841" s="1160"/>
      <c r="AK841" s="1160"/>
      <c r="AL841" s="1160"/>
    </row>
    <row r="842" ht="15.0" customHeight="1">
      <c r="A842" s="1209"/>
      <c r="B842" s="1209"/>
      <c r="C842" s="1210"/>
      <c r="D842" s="1160"/>
      <c r="E842" s="1160"/>
      <c r="F842" s="1160"/>
      <c r="G842" s="1160"/>
      <c r="H842" s="1160"/>
      <c r="I842" s="1160"/>
      <c r="J842" s="1160"/>
      <c r="K842" s="1160"/>
      <c r="L842" s="1160"/>
      <c r="M842" s="1160"/>
      <c r="N842" s="1160"/>
      <c r="O842" s="1160"/>
      <c r="P842" s="1160"/>
      <c r="Q842" s="1160"/>
      <c r="R842" s="1160"/>
      <c r="S842" s="1160"/>
      <c r="T842" s="1160"/>
      <c r="U842" s="1160"/>
      <c r="V842" s="1160"/>
      <c r="W842" s="1160"/>
      <c r="X842" s="1160"/>
      <c r="Y842" s="1160"/>
      <c r="Z842" s="1160"/>
      <c r="AA842" s="1160"/>
      <c r="AB842" s="1160"/>
      <c r="AC842" s="1160"/>
      <c r="AD842" s="1160"/>
      <c r="AE842" s="1160"/>
      <c r="AF842" s="1160"/>
      <c r="AG842" s="1160"/>
      <c r="AH842" s="1160"/>
      <c r="AI842" s="1160"/>
      <c r="AJ842" s="1160"/>
      <c r="AK842" s="1160"/>
      <c r="AL842" s="1160"/>
    </row>
    <row r="843" ht="15.0" customHeight="1">
      <c r="A843" s="1209"/>
      <c r="B843" s="1209"/>
      <c r="C843" s="1210"/>
      <c r="D843" s="1160"/>
      <c r="E843" s="1160"/>
      <c r="F843" s="1160"/>
      <c r="G843" s="1160"/>
      <c r="H843" s="1160"/>
      <c r="I843" s="1160"/>
      <c r="J843" s="1160"/>
      <c r="K843" s="1160"/>
      <c r="L843" s="1160"/>
      <c r="M843" s="1160"/>
      <c r="N843" s="1160"/>
      <c r="O843" s="1160"/>
      <c r="P843" s="1160"/>
      <c r="Q843" s="1160"/>
      <c r="R843" s="1160"/>
      <c r="S843" s="1160"/>
      <c r="T843" s="1160"/>
      <c r="U843" s="1160"/>
      <c r="V843" s="1160"/>
      <c r="W843" s="1160"/>
      <c r="X843" s="1160"/>
      <c r="Y843" s="1160"/>
      <c r="Z843" s="1160"/>
      <c r="AA843" s="1160"/>
      <c r="AB843" s="1160"/>
      <c r="AC843" s="1160"/>
      <c r="AD843" s="1160"/>
      <c r="AE843" s="1160"/>
      <c r="AF843" s="1160"/>
      <c r="AG843" s="1160"/>
      <c r="AH843" s="1160"/>
      <c r="AI843" s="1160"/>
      <c r="AJ843" s="1160"/>
      <c r="AK843" s="1160"/>
      <c r="AL843" s="1160"/>
    </row>
    <row r="844" ht="15.0" customHeight="1">
      <c r="A844" s="1209"/>
      <c r="B844" s="1209"/>
      <c r="C844" s="1210"/>
      <c r="D844" s="1160"/>
      <c r="E844" s="1160"/>
      <c r="F844" s="1160"/>
      <c r="G844" s="1160"/>
      <c r="H844" s="1160"/>
      <c r="I844" s="1160"/>
      <c r="J844" s="1160"/>
      <c r="K844" s="1160"/>
      <c r="L844" s="1160"/>
      <c r="M844" s="1160"/>
      <c r="N844" s="1160"/>
      <c r="O844" s="1160"/>
      <c r="P844" s="1160"/>
      <c r="Q844" s="1160"/>
      <c r="R844" s="1160"/>
      <c r="S844" s="1160"/>
      <c r="T844" s="1160"/>
      <c r="U844" s="1160"/>
      <c r="V844" s="1160"/>
      <c r="W844" s="1160"/>
      <c r="X844" s="1160"/>
      <c r="Y844" s="1160"/>
      <c r="Z844" s="1160"/>
      <c r="AA844" s="1160"/>
      <c r="AB844" s="1160"/>
      <c r="AC844" s="1160"/>
      <c r="AD844" s="1160"/>
      <c r="AE844" s="1160"/>
      <c r="AF844" s="1160"/>
      <c r="AG844" s="1160"/>
      <c r="AH844" s="1160"/>
      <c r="AI844" s="1160"/>
      <c r="AJ844" s="1160"/>
      <c r="AK844" s="1160"/>
      <c r="AL844" s="1160"/>
    </row>
    <row r="845" ht="15.0" customHeight="1">
      <c r="A845" s="1209"/>
      <c r="B845" s="1209"/>
      <c r="C845" s="1210"/>
      <c r="D845" s="1160"/>
      <c r="E845" s="1160"/>
      <c r="F845" s="1160"/>
      <c r="G845" s="1160"/>
      <c r="H845" s="1160"/>
      <c r="I845" s="1160"/>
      <c r="J845" s="1160"/>
      <c r="K845" s="1160"/>
      <c r="L845" s="1160"/>
      <c r="M845" s="1160"/>
      <c r="N845" s="1160"/>
      <c r="O845" s="1160"/>
      <c r="P845" s="1160"/>
      <c r="Q845" s="1160"/>
      <c r="R845" s="1160"/>
      <c r="S845" s="1160"/>
      <c r="T845" s="1160"/>
      <c r="U845" s="1160"/>
      <c r="V845" s="1160"/>
      <c r="W845" s="1160"/>
      <c r="X845" s="1160"/>
      <c r="Y845" s="1160"/>
      <c r="Z845" s="1160"/>
      <c r="AA845" s="1160"/>
      <c r="AB845" s="1160"/>
      <c r="AC845" s="1160"/>
      <c r="AD845" s="1160"/>
      <c r="AE845" s="1160"/>
      <c r="AF845" s="1160"/>
      <c r="AG845" s="1160"/>
      <c r="AH845" s="1160"/>
      <c r="AI845" s="1160"/>
      <c r="AJ845" s="1160"/>
      <c r="AK845" s="1160"/>
      <c r="AL845" s="1160"/>
    </row>
    <row r="846" ht="15.0" customHeight="1">
      <c r="A846" s="1209"/>
      <c r="B846" s="1209"/>
      <c r="C846" s="1210"/>
      <c r="D846" s="1160"/>
      <c r="E846" s="1160"/>
      <c r="F846" s="1160"/>
      <c r="G846" s="1160"/>
      <c r="H846" s="1160"/>
      <c r="I846" s="1160"/>
      <c r="J846" s="1160"/>
      <c r="K846" s="1160"/>
      <c r="L846" s="1160"/>
      <c r="M846" s="1160"/>
      <c r="N846" s="1160"/>
      <c r="O846" s="1160"/>
      <c r="P846" s="1160"/>
      <c r="Q846" s="1160"/>
      <c r="R846" s="1160"/>
      <c r="S846" s="1160"/>
      <c r="T846" s="1160"/>
      <c r="U846" s="1160"/>
      <c r="V846" s="1160"/>
      <c r="W846" s="1160"/>
      <c r="X846" s="1160"/>
      <c r="Y846" s="1160"/>
      <c r="Z846" s="1160"/>
      <c r="AA846" s="1160"/>
      <c r="AB846" s="1160"/>
      <c r="AC846" s="1160"/>
      <c r="AD846" s="1160"/>
      <c r="AE846" s="1160"/>
      <c r="AF846" s="1160"/>
      <c r="AG846" s="1160"/>
      <c r="AH846" s="1160"/>
      <c r="AI846" s="1160"/>
      <c r="AJ846" s="1160"/>
      <c r="AK846" s="1160"/>
      <c r="AL846" s="1160"/>
    </row>
    <row r="847" ht="15.0" customHeight="1">
      <c r="A847" s="1209"/>
      <c r="B847" s="1209"/>
      <c r="C847" s="1210"/>
      <c r="D847" s="1160"/>
      <c r="E847" s="1160"/>
      <c r="F847" s="1160"/>
      <c r="G847" s="1160"/>
      <c r="H847" s="1160"/>
      <c r="I847" s="1160"/>
      <c r="J847" s="1160"/>
      <c r="K847" s="1160"/>
      <c r="L847" s="1160"/>
      <c r="M847" s="1160"/>
      <c r="N847" s="1160"/>
      <c r="O847" s="1160"/>
      <c r="P847" s="1160"/>
      <c r="Q847" s="1160"/>
      <c r="R847" s="1160"/>
      <c r="S847" s="1160"/>
      <c r="T847" s="1160"/>
      <c r="U847" s="1160"/>
      <c r="V847" s="1160"/>
      <c r="W847" s="1160"/>
      <c r="X847" s="1160"/>
      <c r="Y847" s="1160"/>
      <c r="Z847" s="1160"/>
      <c r="AA847" s="1160"/>
      <c r="AB847" s="1160"/>
      <c r="AC847" s="1160"/>
      <c r="AD847" s="1160"/>
      <c r="AE847" s="1160"/>
      <c r="AF847" s="1160"/>
      <c r="AG847" s="1160"/>
      <c r="AH847" s="1160"/>
      <c r="AI847" s="1160"/>
      <c r="AJ847" s="1160"/>
      <c r="AK847" s="1160"/>
      <c r="AL847" s="1160"/>
    </row>
    <row r="848" ht="15.0" customHeight="1">
      <c r="A848" s="1209"/>
      <c r="B848" s="1209"/>
      <c r="C848" s="1210"/>
      <c r="D848" s="1160"/>
      <c r="E848" s="1160"/>
      <c r="F848" s="1160"/>
      <c r="G848" s="1160"/>
      <c r="H848" s="1160"/>
      <c r="I848" s="1160"/>
      <c r="J848" s="1160"/>
      <c r="K848" s="1160"/>
      <c r="L848" s="1160"/>
      <c r="M848" s="1160"/>
      <c r="N848" s="1160"/>
      <c r="O848" s="1160"/>
      <c r="P848" s="1160"/>
      <c r="Q848" s="1160"/>
      <c r="R848" s="1160"/>
      <c r="S848" s="1160"/>
      <c r="T848" s="1160"/>
      <c r="U848" s="1160"/>
      <c r="V848" s="1160"/>
      <c r="W848" s="1160"/>
      <c r="X848" s="1160"/>
      <c r="Y848" s="1160"/>
      <c r="Z848" s="1160"/>
      <c r="AA848" s="1160"/>
      <c r="AB848" s="1160"/>
      <c r="AC848" s="1160"/>
      <c r="AD848" s="1160"/>
      <c r="AE848" s="1160"/>
      <c r="AF848" s="1160"/>
      <c r="AG848" s="1160"/>
      <c r="AH848" s="1160"/>
      <c r="AI848" s="1160"/>
      <c r="AJ848" s="1160"/>
      <c r="AK848" s="1160"/>
      <c r="AL848" s="1160"/>
    </row>
    <row r="849" ht="15.0" customHeight="1">
      <c r="A849" s="1209"/>
      <c r="B849" s="1209"/>
      <c r="C849" s="1210"/>
      <c r="D849" s="1160"/>
      <c r="E849" s="1160"/>
      <c r="F849" s="1160"/>
      <c r="G849" s="1160"/>
      <c r="H849" s="1160"/>
      <c r="I849" s="1160"/>
      <c r="J849" s="1160"/>
      <c r="K849" s="1160"/>
      <c r="L849" s="1160"/>
      <c r="M849" s="1160"/>
      <c r="N849" s="1160"/>
      <c r="O849" s="1160"/>
      <c r="P849" s="1160"/>
      <c r="Q849" s="1160"/>
      <c r="R849" s="1160"/>
      <c r="S849" s="1160"/>
      <c r="T849" s="1160"/>
      <c r="U849" s="1160"/>
      <c r="V849" s="1160"/>
      <c r="W849" s="1160"/>
      <c r="X849" s="1160"/>
      <c r="Y849" s="1160"/>
      <c r="Z849" s="1160"/>
      <c r="AA849" s="1160"/>
      <c r="AB849" s="1160"/>
      <c r="AC849" s="1160"/>
      <c r="AD849" s="1160"/>
      <c r="AE849" s="1160"/>
      <c r="AF849" s="1160"/>
      <c r="AG849" s="1160"/>
      <c r="AH849" s="1160"/>
      <c r="AI849" s="1160"/>
      <c r="AJ849" s="1160"/>
      <c r="AK849" s="1160"/>
      <c r="AL849" s="1160"/>
    </row>
    <row r="850" ht="15.0" customHeight="1">
      <c r="A850" s="1209"/>
      <c r="B850" s="1209"/>
      <c r="C850" s="1210"/>
      <c r="D850" s="1160"/>
      <c r="E850" s="1160"/>
      <c r="F850" s="1160"/>
      <c r="G850" s="1160"/>
      <c r="H850" s="1160"/>
      <c r="I850" s="1160"/>
      <c r="J850" s="1160"/>
      <c r="K850" s="1160"/>
      <c r="L850" s="1160"/>
      <c r="M850" s="1160"/>
      <c r="N850" s="1160"/>
      <c r="O850" s="1160"/>
      <c r="P850" s="1160"/>
      <c r="Q850" s="1160"/>
      <c r="R850" s="1160"/>
      <c r="S850" s="1160"/>
      <c r="T850" s="1160"/>
      <c r="U850" s="1160"/>
      <c r="V850" s="1160"/>
      <c r="W850" s="1160"/>
      <c r="X850" s="1160"/>
      <c r="Y850" s="1160"/>
      <c r="Z850" s="1160"/>
      <c r="AA850" s="1160"/>
      <c r="AB850" s="1160"/>
      <c r="AC850" s="1160"/>
      <c r="AD850" s="1160"/>
      <c r="AE850" s="1160"/>
      <c r="AF850" s="1160"/>
      <c r="AG850" s="1160"/>
      <c r="AH850" s="1160"/>
      <c r="AI850" s="1160"/>
      <c r="AJ850" s="1160"/>
      <c r="AK850" s="1160"/>
      <c r="AL850" s="1160"/>
    </row>
    <row r="851" ht="15.0" customHeight="1">
      <c r="A851" s="1209"/>
      <c r="B851" s="1209"/>
      <c r="C851" s="1210"/>
      <c r="D851" s="1160"/>
      <c r="E851" s="1160"/>
      <c r="F851" s="1160"/>
      <c r="G851" s="1160"/>
      <c r="H851" s="1160"/>
      <c r="I851" s="1160"/>
      <c r="J851" s="1160"/>
      <c r="K851" s="1160"/>
      <c r="L851" s="1160"/>
      <c r="M851" s="1160"/>
      <c r="N851" s="1160"/>
      <c r="O851" s="1160"/>
      <c r="P851" s="1160"/>
      <c r="Q851" s="1160"/>
      <c r="R851" s="1160"/>
      <c r="S851" s="1160"/>
      <c r="T851" s="1160"/>
      <c r="U851" s="1160"/>
      <c r="V851" s="1160"/>
      <c r="W851" s="1160"/>
      <c r="X851" s="1160"/>
      <c r="Y851" s="1160"/>
      <c r="Z851" s="1160"/>
      <c r="AA851" s="1160"/>
      <c r="AB851" s="1160"/>
      <c r="AC851" s="1160"/>
      <c r="AD851" s="1160"/>
      <c r="AE851" s="1160"/>
      <c r="AF851" s="1160"/>
      <c r="AG851" s="1160"/>
      <c r="AH851" s="1160"/>
      <c r="AI851" s="1160"/>
      <c r="AJ851" s="1160"/>
      <c r="AK851" s="1160"/>
      <c r="AL851" s="1160"/>
    </row>
    <row r="852" ht="15.0" customHeight="1">
      <c r="A852" s="1209"/>
      <c r="B852" s="1209"/>
      <c r="C852" s="1210"/>
      <c r="D852" s="1160"/>
      <c r="E852" s="1160"/>
      <c r="F852" s="1160"/>
      <c r="G852" s="1160"/>
      <c r="H852" s="1160"/>
      <c r="I852" s="1160"/>
      <c r="J852" s="1160"/>
      <c r="K852" s="1160"/>
      <c r="L852" s="1160"/>
      <c r="M852" s="1160"/>
      <c r="N852" s="1160"/>
      <c r="O852" s="1160"/>
      <c r="P852" s="1160"/>
      <c r="Q852" s="1160"/>
      <c r="R852" s="1160"/>
      <c r="S852" s="1160"/>
      <c r="T852" s="1160"/>
      <c r="U852" s="1160"/>
      <c r="V852" s="1160"/>
      <c r="W852" s="1160"/>
      <c r="X852" s="1160"/>
      <c r="Y852" s="1160"/>
      <c r="Z852" s="1160"/>
      <c r="AA852" s="1160"/>
      <c r="AB852" s="1160"/>
      <c r="AC852" s="1160"/>
      <c r="AD852" s="1160"/>
      <c r="AE852" s="1160"/>
      <c r="AF852" s="1160"/>
      <c r="AG852" s="1160"/>
      <c r="AH852" s="1160"/>
      <c r="AI852" s="1160"/>
      <c r="AJ852" s="1160"/>
      <c r="AK852" s="1160"/>
      <c r="AL852" s="1160"/>
    </row>
    <row r="853" ht="15.0" customHeight="1">
      <c r="A853" s="1209"/>
      <c r="B853" s="1209"/>
      <c r="C853" s="1210"/>
      <c r="D853" s="1160"/>
      <c r="E853" s="1160"/>
      <c r="F853" s="1160"/>
      <c r="G853" s="1160"/>
      <c r="H853" s="1160"/>
      <c r="I853" s="1160"/>
      <c r="J853" s="1160"/>
      <c r="K853" s="1160"/>
      <c r="L853" s="1160"/>
      <c r="M853" s="1160"/>
      <c r="N853" s="1160"/>
      <c r="O853" s="1160"/>
      <c r="P853" s="1160"/>
      <c r="Q853" s="1160"/>
      <c r="R853" s="1160"/>
      <c r="S853" s="1160"/>
      <c r="T853" s="1160"/>
      <c r="U853" s="1160"/>
      <c r="V853" s="1160"/>
      <c r="W853" s="1160"/>
      <c r="X853" s="1160"/>
      <c r="Y853" s="1160"/>
      <c r="Z853" s="1160"/>
      <c r="AA853" s="1160"/>
      <c r="AB853" s="1160"/>
      <c r="AC853" s="1160"/>
      <c r="AD853" s="1160"/>
      <c r="AE853" s="1160"/>
      <c r="AF853" s="1160"/>
      <c r="AG853" s="1160"/>
      <c r="AH853" s="1160"/>
      <c r="AI853" s="1160"/>
      <c r="AJ853" s="1160"/>
      <c r="AK853" s="1160"/>
      <c r="AL853" s="1160"/>
    </row>
    <row r="854" ht="15.0" customHeight="1">
      <c r="A854" s="1209"/>
      <c r="B854" s="1209"/>
      <c r="C854" s="1210"/>
      <c r="D854" s="1160"/>
      <c r="E854" s="1160"/>
      <c r="F854" s="1160"/>
      <c r="G854" s="1160"/>
      <c r="H854" s="1160"/>
      <c r="I854" s="1160"/>
      <c r="J854" s="1160"/>
      <c r="K854" s="1160"/>
      <c r="L854" s="1160"/>
      <c r="M854" s="1160"/>
      <c r="N854" s="1160"/>
      <c r="O854" s="1160"/>
      <c r="P854" s="1160"/>
      <c r="Q854" s="1160"/>
      <c r="R854" s="1160"/>
      <c r="S854" s="1160"/>
      <c r="T854" s="1160"/>
      <c r="U854" s="1160"/>
      <c r="V854" s="1160"/>
      <c r="W854" s="1160"/>
      <c r="X854" s="1160"/>
      <c r="Y854" s="1160"/>
      <c r="Z854" s="1160"/>
      <c r="AA854" s="1160"/>
      <c r="AB854" s="1160"/>
      <c r="AC854" s="1160"/>
      <c r="AD854" s="1160"/>
      <c r="AE854" s="1160"/>
      <c r="AF854" s="1160"/>
      <c r="AG854" s="1160"/>
      <c r="AH854" s="1160"/>
      <c r="AI854" s="1160"/>
      <c r="AJ854" s="1160"/>
      <c r="AK854" s="1160"/>
      <c r="AL854" s="1160"/>
    </row>
    <row r="855" ht="15.0" customHeight="1">
      <c r="A855" s="1209"/>
      <c r="B855" s="1209"/>
      <c r="C855" s="1210"/>
      <c r="D855" s="1160"/>
      <c r="E855" s="1160"/>
      <c r="F855" s="1160"/>
      <c r="G855" s="1160"/>
      <c r="H855" s="1160"/>
      <c r="I855" s="1160"/>
      <c r="J855" s="1160"/>
      <c r="K855" s="1160"/>
      <c r="L855" s="1160"/>
      <c r="M855" s="1160"/>
      <c r="N855" s="1160"/>
      <c r="O855" s="1160"/>
      <c r="P855" s="1160"/>
      <c r="Q855" s="1160"/>
      <c r="R855" s="1160"/>
      <c r="S855" s="1160"/>
      <c r="T855" s="1160"/>
      <c r="U855" s="1160"/>
      <c r="V855" s="1160"/>
      <c r="W855" s="1160"/>
      <c r="X855" s="1160"/>
      <c r="Y855" s="1160"/>
      <c r="Z855" s="1160"/>
      <c r="AA855" s="1160"/>
      <c r="AB855" s="1160"/>
      <c r="AC855" s="1160"/>
      <c r="AD855" s="1160"/>
      <c r="AE855" s="1160"/>
      <c r="AF855" s="1160"/>
      <c r="AG855" s="1160"/>
      <c r="AH855" s="1160"/>
      <c r="AI855" s="1160"/>
      <c r="AJ855" s="1160"/>
      <c r="AK855" s="1160"/>
      <c r="AL855" s="1160"/>
    </row>
    <row r="856" ht="15.0" customHeight="1">
      <c r="A856" s="1209"/>
      <c r="B856" s="1209"/>
      <c r="C856" s="1210"/>
      <c r="D856" s="1160"/>
      <c r="E856" s="1160"/>
      <c r="F856" s="1160"/>
      <c r="G856" s="1160"/>
      <c r="H856" s="1160"/>
      <c r="I856" s="1160"/>
      <c r="J856" s="1160"/>
      <c r="K856" s="1160"/>
      <c r="L856" s="1160"/>
      <c r="M856" s="1160"/>
      <c r="N856" s="1160"/>
      <c r="O856" s="1160"/>
      <c r="P856" s="1160"/>
      <c r="Q856" s="1160"/>
      <c r="R856" s="1160"/>
      <c r="S856" s="1160"/>
      <c r="T856" s="1160"/>
      <c r="U856" s="1160"/>
      <c r="V856" s="1160"/>
      <c r="W856" s="1160"/>
      <c r="X856" s="1160"/>
      <c r="Y856" s="1160"/>
      <c r="Z856" s="1160"/>
      <c r="AA856" s="1160"/>
      <c r="AB856" s="1160"/>
      <c r="AC856" s="1160"/>
      <c r="AD856" s="1160"/>
      <c r="AE856" s="1160"/>
      <c r="AF856" s="1160"/>
      <c r="AG856" s="1160"/>
      <c r="AH856" s="1160"/>
      <c r="AI856" s="1160"/>
      <c r="AJ856" s="1160"/>
      <c r="AK856" s="1160"/>
      <c r="AL856" s="1160"/>
    </row>
    <row r="857" ht="15.0" customHeight="1">
      <c r="A857" s="1209"/>
      <c r="B857" s="1209"/>
      <c r="C857" s="1210"/>
      <c r="D857" s="1160"/>
      <c r="E857" s="1160"/>
      <c r="F857" s="1160"/>
      <c r="G857" s="1160"/>
      <c r="H857" s="1160"/>
      <c r="I857" s="1160"/>
      <c r="J857" s="1160"/>
      <c r="K857" s="1160"/>
      <c r="L857" s="1160"/>
      <c r="M857" s="1160"/>
      <c r="N857" s="1160"/>
      <c r="O857" s="1160"/>
      <c r="P857" s="1160"/>
      <c r="Q857" s="1160"/>
      <c r="R857" s="1160"/>
      <c r="S857" s="1160"/>
      <c r="T857" s="1160"/>
      <c r="U857" s="1160"/>
      <c r="V857" s="1160"/>
      <c r="W857" s="1160"/>
      <c r="X857" s="1160"/>
      <c r="Y857" s="1160"/>
      <c r="Z857" s="1160"/>
      <c r="AA857" s="1160"/>
      <c r="AB857" s="1160"/>
      <c r="AC857" s="1160"/>
      <c r="AD857" s="1160"/>
      <c r="AE857" s="1160"/>
      <c r="AF857" s="1160"/>
      <c r="AG857" s="1160"/>
      <c r="AH857" s="1160"/>
      <c r="AI857" s="1160"/>
      <c r="AJ857" s="1160"/>
      <c r="AK857" s="1160"/>
      <c r="AL857" s="1160"/>
    </row>
    <row r="858" ht="15.0" customHeight="1">
      <c r="A858" s="1209"/>
      <c r="B858" s="1209"/>
      <c r="C858" s="1210"/>
      <c r="D858" s="1160"/>
      <c r="E858" s="1160"/>
      <c r="F858" s="1160"/>
      <c r="G858" s="1160"/>
      <c r="H858" s="1160"/>
      <c r="I858" s="1160"/>
      <c r="J858" s="1160"/>
      <c r="K858" s="1160"/>
      <c r="L858" s="1160"/>
      <c r="M858" s="1160"/>
      <c r="N858" s="1160"/>
      <c r="O858" s="1160"/>
      <c r="P858" s="1160"/>
      <c r="Q858" s="1160"/>
      <c r="R858" s="1160"/>
      <c r="S858" s="1160"/>
      <c r="T858" s="1160"/>
      <c r="U858" s="1160"/>
      <c r="V858" s="1160"/>
      <c r="W858" s="1160"/>
      <c r="X858" s="1160"/>
      <c r="Y858" s="1160"/>
      <c r="Z858" s="1160"/>
      <c r="AA858" s="1160"/>
      <c r="AB858" s="1160"/>
      <c r="AC858" s="1160"/>
      <c r="AD858" s="1160"/>
      <c r="AE858" s="1160"/>
      <c r="AF858" s="1160"/>
      <c r="AG858" s="1160"/>
      <c r="AH858" s="1160"/>
      <c r="AI858" s="1160"/>
      <c r="AJ858" s="1160"/>
      <c r="AK858" s="1160"/>
      <c r="AL858" s="1160"/>
    </row>
    <row r="859" ht="15.0" customHeight="1">
      <c r="A859" s="1209"/>
      <c r="B859" s="1209"/>
      <c r="C859" s="1210"/>
      <c r="D859" s="1160"/>
      <c r="E859" s="1160"/>
      <c r="F859" s="1160"/>
      <c r="G859" s="1160"/>
      <c r="H859" s="1160"/>
      <c r="I859" s="1160"/>
      <c r="J859" s="1160"/>
      <c r="K859" s="1160"/>
      <c r="L859" s="1160"/>
      <c r="M859" s="1160"/>
      <c r="N859" s="1160"/>
      <c r="O859" s="1160"/>
      <c r="P859" s="1160"/>
      <c r="Q859" s="1160"/>
      <c r="R859" s="1160"/>
      <c r="S859" s="1160"/>
      <c r="T859" s="1160"/>
      <c r="U859" s="1160"/>
      <c r="V859" s="1160"/>
      <c r="W859" s="1160"/>
      <c r="X859" s="1160"/>
      <c r="Y859" s="1160"/>
      <c r="Z859" s="1160"/>
      <c r="AA859" s="1160"/>
      <c r="AB859" s="1160"/>
      <c r="AC859" s="1160"/>
      <c r="AD859" s="1160"/>
      <c r="AE859" s="1160"/>
      <c r="AF859" s="1160"/>
      <c r="AG859" s="1160"/>
      <c r="AH859" s="1160"/>
      <c r="AI859" s="1160"/>
      <c r="AJ859" s="1160"/>
      <c r="AK859" s="1160"/>
      <c r="AL859" s="1160"/>
    </row>
    <row r="860" ht="15.0" customHeight="1">
      <c r="A860" s="1209"/>
      <c r="B860" s="1209"/>
      <c r="C860" s="1210"/>
      <c r="D860" s="1160"/>
      <c r="E860" s="1160"/>
      <c r="F860" s="1160"/>
      <c r="G860" s="1160"/>
      <c r="H860" s="1160"/>
      <c r="I860" s="1160"/>
      <c r="J860" s="1160"/>
      <c r="K860" s="1160"/>
      <c r="L860" s="1160"/>
      <c r="M860" s="1160"/>
      <c r="N860" s="1160"/>
      <c r="O860" s="1160"/>
      <c r="P860" s="1160"/>
      <c r="Q860" s="1160"/>
      <c r="R860" s="1160"/>
      <c r="S860" s="1160"/>
      <c r="T860" s="1160"/>
      <c r="U860" s="1160"/>
      <c r="V860" s="1160"/>
      <c r="W860" s="1160"/>
      <c r="X860" s="1160"/>
      <c r="Y860" s="1160"/>
      <c r="Z860" s="1160"/>
      <c r="AA860" s="1160"/>
      <c r="AB860" s="1160"/>
      <c r="AC860" s="1160"/>
      <c r="AD860" s="1160"/>
      <c r="AE860" s="1160"/>
      <c r="AF860" s="1160"/>
      <c r="AG860" s="1160"/>
      <c r="AH860" s="1160"/>
      <c r="AI860" s="1160"/>
      <c r="AJ860" s="1160"/>
      <c r="AK860" s="1160"/>
      <c r="AL860" s="1160"/>
    </row>
    <row r="861" ht="15.0" customHeight="1">
      <c r="A861" s="1209"/>
      <c r="B861" s="1209"/>
      <c r="C861" s="1210"/>
      <c r="D861" s="1160"/>
      <c r="E861" s="1160"/>
      <c r="F861" s="1160"/>
      <c r="G861" s="1160"/>
      <c r="H861" s="1160"/>
      <c r="I861" s="1160"/>
      <c r="J861" s="1160"/>
      <c r="K861" s="1160"/>
      <c r="L861" s="1160"/>
      <c r="M861" s="1160"/>
      <c r="N861" s="1160"/>
      <c r="O861" s="1160"/>
      <c r="P861" s="1160"/>
      <c r="Q861" s="1160"/>
      <c r="R861" s="1160"/>
      <c r="S861" s="1160"/>
      <c r="T861" s="1160"/>
      <c r="U861" s="1160"/>
      <c r="V861" s="1160"/>
      <c r="W861" s="1160"/>
      <c r="X861" s="1160"/>
      <c r="Y861" s="1160"/>
      <c r="Z861" s="1160"/>
      <c r="AA861" s="1160"/>
      <c r="AB861" s="1160"/>
      <c r="AC861" s="1160"/>
      <c r="AD861" s="1160"/>
      <c r="AE861" s="1160"/>
      <c r="AF861" s="1160"/>
      <c r="AG861" s="1160"/>
      <c r="AH861" s="1160"/>
      <c r="AI861" s="1160"/>
      <c r="AJ861" s="1160"/>
      <c r="AK861" s="1160"/>
      <c r="AL861" s="1160"/>
    </row>
    <row r="862" ht="15.0" customHeight="1">
      <c r="A862" s="1209"/>
      <c r="B862" s="1209"/>
      <c r="C862" s="1210"/>
      <c r="D862" s="1160"/>
      <c r="E862" s="1160"/>
      <c r="F862" s="1160"/>
      <c r="G862" s="1160"/>
      <c r="H862" s="1160"/>
      <c r="I862" s="1160"/>
      <c r="J862" s="1160"/>
      <c r="K862" s="1160"/>
      <c r="L862" s="1160"/>
      <c r="M862" s="1160"/>
      <c r="N862" s="1160"/>
      <c r="O862" s="1160"/>
      <c r="P862" s="1160"/>
      <c r="Q862" s="1160"/>
      <c r="R862" s="1160"/>
      <c r="S862" s="1160"/>
      <c r="T862" s="1160"/>
      <c r="U862" s="1160"/>
      <c r="V862" s="1160"/>
      <c r="W862" s="1160"/>
      <c r="X862" s="1160"/>
      <c r="Y862" s="1160"/>
      <c r="Z862" s="1160"/>
      <c r="AA862" s="1160"/>
      <c r="AB862" s="1160"/>
      <c r="AC862" s="1160"/>
      <c r="AD862" s="1160"/>
      <c r="AE862" s="1160"/>
      <c r="AF862" s="1160"/>
      <c r="AG862" s="1160"/>
      <c r="AH862" s="1160"/>
      <c r="AI862" s="1160"/>
      <c r="AJ862" s="1160"/>
      <c r="AK862" s="1160"/>
      <c r="AL862" s="1160"/>
    </row>
    <row r="863" ht="15.0" customHeight="1">
      <c r="A863" s="1209"/>
      <c r="B863" s="1209"/>
      <c r="C863" s="1210"/>
      <c r="D863" s="1160"/>
      <c r="E863" s="1160"/>
      <c r="F863" s="1160"/>
      <c r="G863" s="1160"/>
      <c r="H863" s="1160"/>
      <c r="I863" s="1160"/>
      <c r="J863" s="1160"/>
      <c r="K863" s="1160"/>
      <c r="L863" s="1160"/>
      <c r="M863" s="1160"/>
      <c r="N863" s="1160"/>
      <c r="O863" s="1160"/>
      <c r="P863" s="1160"/>
      <c r="Q863" s="1160"/>
      <c r="R863" s="1160"/>
      <c r="S863" s="1160"/>
      <c r="T863" s="1160"/>
      <c r="U863" s="1160"/>
      <c r="V863" s="1160"/>
      <c r="W863" s="1160"/>
      <c r="X863" s="1160"/>
      <c r="Y863" s="1160"/>
      <c r="Z863" s="1160"/>
      <c r="AA863" s="1160"/>
      <c r="AB863" s="1160"/>
      <c r="AC863" s="1160"/>
      <c r="AD863" s="1160"/>
      <c r="AE863" s="1160"/>
      <c r="AF863" s="1160"/>
      <c r="AG863" s="1160"/>
      <c r="AH863" s="1160"/>
      <c r="AI863" s="1160"/>
      <c r="AJ863" s="1160"/>
      <c r="AK863" s="1160"/>
      <c r="AL863" s="1160"/>
    </row>
    <row r="864" ht="15.0" customHeight="1">
      <c r="A864" s="1209"/>
      <c r="B864" s="1209"/>
      <c r="C864" s="1210"/>
      <c r="D864" s="1160"/>
      <c r="E864" s="1160"/>
      <c r="F864" s="1160"/>
      <c r="G864" s="1160"/>
      <c r="H864" s="1160"/>
      <c r="I864" s="1160"/>
      <c r="J864" s="1160"/>
      <c r="K864" s="1160"/>
      <c r="L864" s="1160"/>
      <c r="M864" s="1160"/>
      <c r="N864" s="1160"/>
      <c r="O864" s="1160"/>
      <c r="P864" s="1160"/>
      <c r="Q864" s="1160"/>
      <c r="R864" s="1160"/>
      <c r="S864" s="1160"/>
      <c r="T864" s="1160"/>
      <c r="U864" s="1160"/>
      <c r="V864" s="1160"/>
      <c r="W864" s="1160"/>
      <c r="X864" s="1160"/>
      <c r="Y864" s="1160"/>
      <c r="Z864" s="1160"/>
      <c r="AA864" s="1160"/>
      <c r="AB864" s="1160"/>
      <c r="AC864" s="1160"/>
      <c r="AD864" s="1160"/>
      <c r="AE864" s="1160"/>
      <c r="AF864" s="1160"/>
      <c r="AG864" s="1160"/>
      <c r="AH864" s="1160"/>
      <c r="AI864" s="1160"/>
      <c r="AJ864" s="1160"/>
      <c r="AK864" s="1160"/>
      <c r="AL864" s="1160"/>
    </row>
    <row r="865" ht="15.0" customHeight="1">
      <c r="A865" s="1209"/>
      <c r="B865" s="1209"/>
      <c r="C865" s="1210"/>
      <c r="D865" s="1160"/>
      <c r="E865" s="1160"/>
      <c r="F865" s="1160"/>
      <c r="G865" s="1160"/>
      <c r="H865" s="1160"/>
      <c r="I865" s="1160"/>
      <c r="J865" s="1160"/>
      <c r="K865" s="1160"/>
      <c r="L865" s="1160"/>
      <c r="M865" s="1160"/>
      <c r="N865" s="1160"/>
      <c r="O865" s="1160"/>
      <c r="P865" s="1160"/>
      <c r="Q865" s="1160"/>
      <c r="R865" s="1160"/>
      <c r="S865" s="1160"/>
      <c r="T865" s="1160"/>
      <c r="U865" s="1160"/>
      <c r="V865" s="1160"/>
      <c r="W865" s="1160"/>
      <c r="X865" s="1160"/>
      <c r="Y865" s="1160"/>
      <c r="Z865" s="1160"/>
      <c r="AA865" s="1160"/>
      <c r="AB865" s="1160"/>
      <c r="AC865" s="1160"/>
      <c r="AD865" s="1160"/>
      <c r="AE865" s="1160"/>
      <c r="AF865" s="1160"/>
      <c r="AG865" s="1160"/>
      <c r="AH865" s="1160"/>
      <c r="AI865" s="1160"/>
      <c r="AJ865" s="1160"/>
      <c r="AK865" s="1160"/>
      <c r="AL865" s="1160"/>
    </row>
    <row r="866" ht="15.0" customHeight="1">
      <c r="A866" s="1209"/>
      <c r="B866" s="1209"/>
      <c r="C866" s="1210"/>
      <c r="D866" s="1160"/>
      <c r="E866" s="1160"/>
      <c r="F866" s="1160"/>
      <c r="G866" s="1160"/>
      <c r="H866" s="1160"/>
      <c r="I866" s="1160"/>
      <c r="J866" s="1160"/>
      <c r="K866" s="1160"/>
      <c r="L866" s="1160"/>
      <c r="M866" s="1160"/>
      <c r="N866" s="1160"/>
      <c r="O866" s="1160"/>
      <c r="P866" s="1160"/>
      <c r="Q866" s="1160"/>
      <c r="R866" s="1160"/>
      <c r="S866" s="1160"/>
      <c r="T866" s="1160"/>
      <c r="U866" s="1160"/>
      <c r="V866" s="1160"/>
      <c r="W866" s="1160"/>
      <c r="X866" s="1160"/>
      <c r="Y866" s="1160"/>
      <c r="Z866" s="1160"/>
      <c r="AA866" s="1160"/>
      <c r="AB866" s="1160"/>
      <c r="AC866" s="1160"/>
      <c r="AD866" s="1160"/>
      <c r="AE866" s="1160"/>
      <c r="AF866" s="1160"/>
      <c r="AG866" s="1160"/>
      <c r="AH866" s="1160"/>
      <c r="AI866" s="1160"/>
      <c r="AJ866" s="1160"/>
      <c r="AK866" s="1160"/>
      <c r="AL866" s="1160"/>
    </row>
    <row r="867" ht="15.0" customHeight="1">
      <c r="A867" s="1209"/>
      <c r="B867" s="1209"/>
      <c r="C867" s="1210"/>
      <c r="D867" s="1160"/>
      <c r="E867" s="1160"/>
      <c r="F867" s="1160"/>
      <c r="G867" s="1160"/>
      <c r="H867" s="1160"/>
      <c r="I867" s="1160"/>
      <c r="J867" s="1160"/>
      <c r="K867" s="1160"/>
      <c r="L867" s="1160"/>
      <c r="M867" s="1160"/>
      <c r="N867" s="1160"/>
      <c r="O867" s="1160"/>
      <c r="P867" s="1160"/>
      <c r="Q867" s="1160"/>
      <c r="R867" s="1160"/>
      <c r="S867" s="1160"/>
      <c r="T867" s="1160"/>
      <c r="U867" s="1160"/>
      <c r="V867" s="1160"/>
      <c r="W867" s="1160"/>
      <c r="X867" s="1160"/>
      <c r="Y867" s="1160"/>
      <c r="Z867" s="1160"/>
      <c r="AA867" s="1160"/>
      <c r="AB867" s="1160"/>
      <c r="AC867" s="1160"/>
      <c r="AD867" s="1160"/>
      <c r="AE867" s="1160"/>
      <c r="AF867" s="1160"/>
      <c r="AG867" s="1160"/>
      <c r="AH867" s="1160"/>
      <c r="AI867" s="1160"/>
      <c r="AJ867" s="1160"/>
      <c r="AK867" s="1160"/>
      <c r="AL867" s="1160"/>
    </row>
    <row r="868" ht="15.0" customHeight="1">
      <c r="A868" s="1209"/>
      <c r="B868" s="1209"/>
      <c r="C868" s="1210"/>
      <c r="D868" s="1160"/>
      <c r="E868" s="1160"/>
      <c r="F868" s="1160"/>
      <c r="G868" s="1160"/>
      <c r="H868" s="1160"/>
      <c r="I868" s="1160"/>
      <c r="J868" s="1160"/>
      <c r="K868" s="1160"/>
      <c r="L868" s="1160"/>
      <c r="M868" s="1160"/>
      <c r="N868" s="1160"/>
      <c r="O868" s="1160"/>
      <c r="P868" s="1160"/>
      <c r="Q868" s="1160"/>
      <c r="R868" s="1160"/>
      <c r="S868" s="1160"/>
      <c r="T868" s="1160"/>
      <c r="U868" s="1160"/>
      <c r="V868" s="1160"/>
      <c r="W868" s="1160"/>
      <c r="X868" s="1160"/>
      <c r="Y868" s="1160"/>
      <c r="Z868" s="1160"/>
      <c r="AA868" s="1160"/>
      <c r="AB868" s="1160"/>
      <c r="AC868" s="1160"/>
      <c r="AD868" s="1160"/>
      <c r="AE868" s="1160"/>
      <c r="AF868" s="1160"/>
      <c r="AG868" s="1160"/>
      <c r="AH868" s="1160"/>
      <c r="AI868" s="1160"/>
      <c r="AJ868" s="1160"/>
      <c r="AK868" s="1160"/>
      <c r="AL868" s="1160"/>
    </row>
    <row r="869" ht="15.0" customHeight="1">
      <c r="A869" s="1209"/>
      <c r="B869" s="1209"/>
      <c r="C869" s="1210"/>
      <c r="D869" s="1160"/>
      <c r="E869" s="1160"/>
      <c r="F869" s="1160"/>
      <c r="G869" s="1160"/>
      <c r="H869" s="1160"/>
      <c r="I869" s="1160"/>
      <c r="J869" s="1160"/>
      <c r="K869" s="1160"/>
      <c r="L869" s="1160"/>
      <c r="M869" s="1160"/>
      <c r="N869" s="1160"/>
      <c r="O869" s="1160"/>
      <c r="P869" s="1160"/>
      <c r="Q869" s="1160"/>
      <c r="R869" s="1160"/>
      <c r="S869" s="1160"/>
      <c r="T869" s="1160"/>
      <c r="U869" s="1160"/>
      <c r="V869" s="1160"/>
      <c r="W869" s="1160"/>
      <c r="X869" s="1160"/>
      <c r="Y869" s="1160"/>
      <c r="Z869" s="1160"/>
      <c r="AA869" s="1160"/>
      <c r="AB869" s="1160"/>
      <c r="AC869" s="1160"/>
      <c r="AD869" s="1160"/>
      <c r="AE869" s="1160"/>
      <c r="AF869" s="1160"/>
      <c r="AG869" s="1160"/>
      <c r="AH869" s="1160"/>
      <c r="AI869" s="1160"/>
      <c r="AJ869" s="1160"/>
      <c r="AK869" s="1160"/>
      <c r="AL869" s="1160"/>
    </row>
    <row r="870" ht="15.0" customHeight="1">
      <c r="A870" s="1209"/>
      <c r="B870" s="1209"/>
      <c r="C870" s="1210"/>
      <c r="D870" s="1160"/>
      <c r="E870" s="1160"/>
      <c r="F870" s="1160"/>
      <c r="G870" s="1160"/>
      <c r="H870" s="1160"/>
      <c r="I870" s="1160"/>
      <c r="J870" s="1160"/>
      <c r="K870" s="1160"/>
      <c r="L870" s="1160"/>
      <c r="M870" s="1160"/>
      <c r="N870" s="1160"/>
      <c r="O870" s="1160"/>
      <c r="P870" s="1160"/>
      <c r="Q870" s="1160"/>
      <c r="R870" s="1160"/>
      <c r="S870" s="1160"/>
      <c r="T870" s="1160"/>
      <c r="U870" s="1160"/>
      <c r="V870" s="1160"/>
      <c r="W870" s="1160"/>
      <c r="X870" s="1160"/>
      <c r="Y870" s="1160"/>
      <c r="Z870" s="1160"/>
      <c r="AA870" s="1160"/>
      <c r="AB870" s="1160"/>
      <c r="AC870" s="1160"/>
      <c r="AD870" s="1160"/>
      <c r="AE870" s="1160"/>
      <c r="AF870" s="1160"/>
      <c r="AG870" s="1160"/>
      <c r="AH870" s="1160"/>
      <c r="AI870" s="1160"/>
      <c r="AJ870" s="1160"/>
      <c r="AK870" s="1160"/>
      <c r="AL870" s="1160"/>
    </row>
    <row r="871" ht="15.0" customHeight="1">
      <c r="A871" s="1209"/>
      <c r="B871" s="1209"/>
      <c r="C871" s="1210"/>
      <c r="D871" s="1160"/>
      <c r="E871" s="1160"/>
      <c r="F871" s="1160"/>
      <c r="G871" s="1160"/>
      <c r="H871" s="1160"/>
      <c r="I871" s="1160"/>
      <c r="J871" s="1160"/>
      <c r="K871" s="1160"/>
      <c r="L871" s="1160"/>
      <c r="M871" s="1160"/>
      <c r="N871" s="1160"/>
      <c r="O871" s="1160"/>
      <c r="P871" s="1160"/>
      <c r="Q871" s="1160"/>
      <c r="R871" s="1160"/>
      <c r="S871" s="1160"/>
      <c r="T871" s="1160"/>
      <c r="U871" s="1160"/>
      <c r="V871" s="1160"/>
      <c r="W871" s="1160"/>
      <c r="X871" s="1160"/>
      <c r="Y871" s="1160"/>
      <c r="Z871" s="1160"/>
      <c r="AA871" s="1160"/>
      <c r="AB871" s="1160"/>
      <c r="AC871" s="1160"/>
      <c r="AD871" s="1160"/>
      <c r="AE871" s="1160"/>
      <c r="AF871" s="1160"/>
      <c r="AG871" s="1160"/>
      <c r="AH871" s="1160"/>
      <c r="AI871" s="1160"/>
      <c r="AJ871" s="1160"/>
      <c r="AK871" s="1160"/>
      <c r="AL871" s="1160"/>
    </row>
    <row r="872" ht="15.0" customHeight="1">
      <c r="A872" s="1209"/>
      <c r="B872" s="1209"/>
      <c r="C872" s="1210"/>
      <c r="D872" s="1160"/>
      <c r="E872" s="1160"/>
      <c r="F872" s="1160"/>
      <c r="G872" s="1160"/>
      <c r="H872" s="1160"/>
      <c r="I872" s="1160"/>
      <c r="J872" s="1160"/>
      <c r="K872" s="1160"/>
      <c r="L872" s="1160"/>
      <c r="M872" s="1160"/>
      <c r="N872" s="1160"/>
      <c r="O872" s="1160"/>
      <c r="P872" s="1160"/>
      <c r="Q872" s="1160"/>
      <c r="R872" s="1160"/>
      <c r="S872" s="1160"/>
      <c r="T872" s="1160"/>
      <c r="U872" s="1160"/>
      <c r="V872" s="1160"/>
      <c r="W872" s="1160"/>
      <c r="X872" s="1160"/>
      <c r="Y872" s="1160"/>
      <c r="Z872" s="1160"/>
      <c r="AA872" s="1160"/>
      <c r="AB872" s="1160"/>
      <c r="AC872" s="1160"/>
      <c r="AD872" s="1160"/>
      <c r="AE872" s="1160"/>
      <c r="AF872" s="1160"/>
      <c r="AG872" s="1160"/>
      <c r="AH872" s="1160"/>
      <c r="AI872" s="1160"/>
      <c r="AJ872" s="1160"/>
      <c r="AK872" s="1160"/>
      <c r="AL872" s="1160"/>
    </row>
    <row r="873" ht="15.0" customHeight="1">
      <c r="A873" s="1209"/>
      <c r="B873" s="1209"/>
      <c r="C873" s="1210"/>
      <c r="D873" s="1160"/>
      <c r="E873" s="1160"/>
      <c r="F873" s="1160"/>
      <c r="G873" s="1160"/>
      <c r="H873" s="1160"/>
      <c r="I873" s="1160"/>
      <c r="J873" s="1160"/>
      <c r="K873" s="1160"/>
      <c r="L873" s="1160"/>
      <c r="M873" s="1160"/>
      <c r="N873" s="1160"/>
      <c r="O873" s="1160"/>
      <c r="P873" s="1160"/>
      <c r="Q873" s="1160"/>
      <c r="R873" s="1160"/>
      <c r="S873" s="1160"/>
      <c r="T873" s="1160"/>
      <c r="U873" s="1160"/>
      <c r="V873" s="1160"/>
      <c r="W873" s="1160"/>
      <c r="X873" s="1160"/>
      <c r="Y873" s="1160"/>
      <c r="Z873" s="1160"/>
      <c r="AA873" s="1160"/>
      <c r="AB873" s="1160"/>
      <c r="AC873" s="1160"/>
      <c r="AD873" s="1160"/>
      <c r="AE873" s="1160"/>
      <c r="AF873" s="1160"/>
      <c r="AG873" s="1160"/>
      <c r="AH873" s="1160"/>
      <c r="AI873" s="1160"/>
      <c r="AJ873" s="1160"/>
      <c r="AK873" s="1160"/>
      <c r="AL873" s="1160"/>
    </row>
    <row r="874" ht="15.0" customHeight="1">
      <c r="A874" s="1209"/>
      <c r="B874" s="1209"/>
      <c r="C874" s="1210"/>
      <c r="D874" s="1160"/>
      <c r="E874" s="1160"/>
      <c r="F874" s="1160"/>
      <c r="G874" s="1160"/>
      <c r="H874" s="1160"/>
      <c r="I874" s="1160"/>
      <c r="J874" s="1160"/>
      <c r="K874" s="1160"/>
      <c r="L874" s="1160"/>
      <c r="M874" s="1160"/>
      <c r="N874" s="1160"/>
      <c r="O874" s="1160"/>
      <c r="P874" s="1160"/>
      <c r="Q874" s="1160"/>
      <c r="R874" s="1160"/>
      <c r="S874" s="1160"/>
      <c r="T874" s="1160"/>
      <c r="U874" s="1160"/>
      <c r="V874" s="1160"/>
      <c r="W874" s="1160"/>
      <c r="X874" s="1160"/>
      <c r="Y874" s="1160"/>
      <c r="Z874" s="1160"/>
      <c r="AA874" s="1160"/>
      <c r="AB874" s="1160"/>
      <c r="AC874" s="1160"/>
      <c r="AD874" s="1160"/>
      <c r="AE874" s="1160"/>
      <c r="AF874" s="1160"/>
      <c r="AG874" s="1160"/>
      <c r="AH874" s="1160"/>
      <c r="AI874" s="1160"/>
      <c r="AJ874" s="1160"/>
      <c r="AK874" s="1160"/>
      <c r="AL874" s="1160"/>
    </row>
    <row r="875" ht="15.0" customHeight="1">
      <c r="A875" s="1209"/>
      <c r="B875" s="1209"/>
      <c r="C875" s="1210"/>
      <c r="D875" s="1160"/>
      <c r="E875" s="1160"/>
      <c r="F875" s="1160"/>
      <c r="G875" s="1160"/>
      <c r="H875" s="1160"/>
      <c r="I875" s="1160"/>
      <c r="J875" s="1160"/>
      <c r="K875" s="1160"/>
      <c r="L875" s="1160"/>
      <c r="M875" s="1160"/>
      <c r="N875" s="1160"/>
      <c r="O875" s="1160"/>
      <c r="P875" s="1160"/>
      <c r="Q875" s="1160"/>
      <c r="R875" s="1160"/>
      <c r="S875" s="1160"/>
      <c r="T875" s="1160"/>
      <c r="U875" s="1160"/>
      <c r="V875" s="1160"/>
      <c r="W875" s="1160"/>
      <c r="X875" s="1160"/>
      <c r="Y875" s="1160"/>
      <c r="Z875" s="1160"/>
      <c r="AA875" s="1160"/>
      <c r="AB875" s="1160"/>
      <c r="AC875" s="1160"/>
      <c r="AD875" s="1160"/>
      <c r="AE875" s="1160"/>
      <c r="AF875" s="1160"/>
      <c r="AG875" s="1160"/>
      <c r="AH875" s="1160"/>
      <c r="AI875" s="1160"/>
      <c r="AJ875" s="1160"/>
      <c r="AK875" s="1160"/>
      <c r="AL875" s="1160"/>
    </row>
    <row r="876" ht="15.0" customHeight="1">
      <c r="A876" s="1209"/>
      <c r="B876" s="1209"/>
      <c r="C876" s="1210"/>
      <c r="D876" s="1160"/>
      <c r="E876" s="1160"/>
      <c r="F876" s="1160"/>
      <c r="G876" s="1160"/>
      <c r="H876" s="1160"/>
      <c r="I876" s="1160"/>
      <c r="J876" s="1160"/>
      <c r="K876" s="1160"/>
      <c r="L876" s="1160"/>
      <c r="M876" s="1160"/>
      <c r="N876" s="1160"/>
      <c r="O876" s="1160"/>
      <c r="P876" s="1160"/>
      <c r="Q876" s="1160"/>
      <c r="R876" s="1160"/>
      <c r="S876" s="1160"/>
      <c r="T876" s="1160"/>
      <c r="U876" s="1160"/>
      <c r="V876" s="1160"/>
      <c r="W876" s="1160"/>
      <c r="X876" s="1160"/>
      <c r="Y876" s="1160"/>
      <c r="Z876" s="1160"/>
      <c r="AA876" s="1160"/>
      <c r="AB876" s="1160"/>
      <c r="AC876" s="1160"/>
      <c r="AD876" s="1160"/>
      <c r="AE876" s="1160"/>
      <c r="AF876" s="1160"/>
      <c r="AG876" s="1160"/>
      <c r="AH876" s="1160"/>
      <c r="AI876" s="1160"/>
      <c r="AJ876" s="1160"/>
      <c r="AK876" s="1160"/>
      <c r="AL876" s="1160"/>
    </row>
    <row r="877" ht="15.0" customHeight="1">
      <c r="A877" s="1209"/>
      <c r="B877" s="1209"/>
      <c r="C877" s="1210"/>
      <c r="D877" s="1160"/>
      <c r="E877" s="1160"/>
      <c r="F877" s="1160"/>
      <c r="G877" s="1160"/>
      <c r="H877" s="1160"/>
      <c r="I877" s="1160"/>
      <c r="J877" s="1160"/>
      <c r="K877" s="1160"/>
      <c r="L877" s="1160"/>
      <c r="M877" s="1160"/>
      <c r="N877" s="1160"/>
      <c r="O877" s="1160"/>
      <c r="P877" s="1160"/>
      <c r="Q877" s="1160"/>
      <c r="R877" s="1160"/>
      <c r="S877" s="1160"/>
      <c r="T877" s="1160"/>
      <c r="U877" s="1160"/>
      <c r="V877" s="1160"/>
      <c r="W877" s="1160"/>
      <c r="X877" s="1160"/>
      <c r="Y877" s="1160"/>
      <c r="Z877" s="1160"/>
      <c r="AA877" s="1160"/>
      <c r="AB877" s="1160"/>
      <c r="AC877" s="1160"/>
      <c r="AD877" s="1160"/>
      <c r="AE877" s="1160"/>
      <c r="AF877" s="1160"/>
      <c r="AG877" s="1160"/>
      <c r="AH877" s="1160"/>
      <c r="AI877" s="1160"/>
      <c r="AJ877" s="1160"/>
      <c r="AK877" s="1160"/>
      <c r="AL877" s="1160"/>
    </row>
    <row r="878" ht="15.0" customHeight="1">
      <c r="A878" s="1209"/>
      <c r="B878" s="1209"/>
      <c r="C878" s="1210"/>
      <c r="D878" s="1160"/>
      <c r="E878" s="1160"/>
      <c r="F878" s="1160"/>
      <c r="G878" s="1160"/>
      <c r="H878" s="1160"/>
      <c r="I878" s="1160"/>
      <c r="J878" s="1160"/>
      <c r="K878" s="1160"/>
      <c r="L878" s="1160"/>
      <c r="M878" s="1160"/>
      <c r="N878" s="1160"/>
      <c r="O878" s="1160"/>
      <c r="P878" s="1160"/>
      <c r="Q878" s="1160"/>
      <c r="R878" s="1160"/>
      <c r="S878" s="1160"/>
      <c r="T878" s="1160"/>
      <c r="U878" s="1160"/>
      <c r="V878" s="1160"/>
      <c r="W878" s="1160"/>
      <c r="X878" s="1160"/>
      <c r="Y878" s="1160"/>
      <c r="Z878" s="1160"/>
      <c r="AA878" s="1160"/>
      <c r="AB878" s="1160"/>
      <c r="AC878" s="1160"/>
      <c r="AD878" s="1160"/>
      <c r="AE878" s="1160"/>
      <c r="AF878" s="1160"/>
      <c r="AG878" s="1160"/>
      <c r="AH878" s="1160"/>
      <c r="AI878" s="1160"/>
      <c r="AJ878" s="1160"/>
      <c r="AK878" s="1160"/>
      <c r="AL878" s="1160"/>
    </row>
    <row r="879" ht="15.0" customHeight="1">
      <c r="A879" s="1209"/>
      <c r="B879" s="1209"/>
      <c r="C879" s="1210"/>
      <c r="D879" s="1160"/>
      <c r="E879" s="1160"/>
      <c r="F879" s="1160"/>
      <c r="G879" s="1160"/>
      <c r="H879" s="1160"/>
      <c r="I879" s="1160"/>
      <c r="J879" s="1160"/>
      <c r="K879" s="1160"/>
      <c r="L879" s="1160"/>
      <c r="M879" s="1160"/>
      <c r="N879" s="1160"/>
      <c r="O879" s="1160"/>
      <c r="P879" s="1160"/>
      <c r="Q879" s="1160"/>
      <c r="R879" s="1160"/>
      <c r="S879" s="1160"/>
      <c r="T879" s="1160"/>
      <c r="U879" s="1160"/>
      <c r="V879" s="1160"/>
      <c r="W879" s="1160"/>
      <c r="X879" s="1160"/>
      <c r="Y879" s="1160"/>
      <c r="Z879" s="1160"/>
      <c r="AA879" s="1160"/>
      <c r="AB879" s="1160"/>
      <c r="AC879" s="1160"/>
      <c r="AD879" s="1160"/>
      <c r="AE879" s="1160"/>
      <c r="AF879" s="1160"/>
      <c r="AG879" s="1160"/>
      <c r="AH879" s="1160"/>
      <c r="AI879" s="1160"/>
      <c r="AJ879" s="1160"/>
      <c r="AK879" s="1160"/>
      <c r="AL879" s="1160"/>
    </row>
    <row r="880" ht="15.0" customHeight="1">
      <c r="A880" s="1209"/>
      <c r="B880" s="1209"/>
      <c r="C880" s="1210"/>
      <c r="D880" s="1160"/>
      <c r="E880" s="1160"/>
      <c r="F880" s="1160"/>
      <c r="G880" s="1160"/>
      <c r="H880" s="1160"/>
      <c r="I880" s="1160"/>
      <c r="J880" s="1160"/>
      <c r="K880" s="1160"/>
      <c r="L880" s="1160"/>
      <c r="M880" s="1160"/>
      <c r="N880" s="1160"/>
      <c r="O880" s="1160"/>
      <c r="P880" s="1160"/>
      <c r="Q880" s="1160"/>
      <c r="R880" s="1160"/>
      <c r="S880" s="1160"/>
      <c r="T880" s="1160"/>
      <c r="U880" s="1160"/>
      <c r="V880" s="1160"/>
      <c r="W880" s="1160"/>
      <c r="X880" s="1160"/>
      <c r="Y880" s="1160"/>
      <c r="Z880" s="1160"/>
      <c r="AA880" s="1160"/>
      <c r="AB880" s="1160"/>
      <c r="AC880" s="1160"/>
      <c r="AD880" s="1160"/>
      <c r="AE880" s="1160"/>
      <c r="AF880" s="1160"/>
      <c r="AG880" s="1160"/>
      <c r="AH880" s="1160"/>
      <c r="AI880" s="1160"/>
      <c r="AJ880" s="1160"/>
      <c r="AK880" s="1160"/>
      <c r="AL880" s="1160"/>
    </row>
    <row r="881" ht="15.0" customHeight="1">
      <c r="A881" s="1209"/>
      <c r="B881" s="1209"/>
      <c r="C881" s="1210"/>
      <c r="D881" s="1160"/>
      <c r="E881" s="1160"/>
      <c r="F881" s="1160"/>
      <c r="G881" s="1160"/>
      <c r="H881" s="1160"/>
      <c r="I881" s="1160"/>
      <c r="J881" s="1160"/>
      <c r="K881" s="1160"/>
      <c r="L881" s="1160"/>
      <c r="M881" s="1160"/>
      <c r="N881" s="1160"/>
      <c r="O881" s="1160"/>
      <c r="P881" s="1160"/>
      <c r="Q881" s="1160"/>
      <c r="R881" s="1160"/>
      <c r="S881" s="1160"/>
      <c r="T881" s="1160"/>
      <c r="U881" s="1160"/>
      <c r="V881" s="1160"/>
      <c r="W881" s="1160"/>
      <c r="X881" s="1160"/>
      <c r="Y881" s="1160"/>
      <c r="Z881" s="1160"/>
      <c r="AA881" s="1160"/>
      <c r="AB881" s="1160"/>
      <c r="AC881" s="1160"/>
      <c r="AD881" s="1160"/>
      <c r="AE881" s="1160"/>
      <c r="AF881" s="1160"/>
      <c r="AG881" s="1160"/>
      <c r="AH881" s="1160"/>
      <c r="AI881" s="1160"/>
      <c r="AJ881" s="1160"/>
      <c r="AK881" s="1160"/>
      <c r="AL881" s="1160"/>
    </row>
    <row r="882" ht="15.0" customHeight="1">
      <c r="A882" s="1209"/>
      <c r="B882" s="1209"/>
      <c r="C882" s="1210"/>
      <c r="D882" s="1160"/>
      <c r="E882" s="1160"/>
      <c r="F882" s="1160"/>
      <c r="G882" s="1160"/>
      <c r="H882" s="1160"/>
      <c r="I882" s="1160"/>
      <c r="J882" s="1160"/>
      <c r="K882" s="1160"/>
      <c r="L882" s="1160"/>
      <c r="M882" s="1160"/>
      <c r="N882" s="1160"/>
      <c r="O882" s="1160"/>
      <c r="P882" s="1160"/>
      <c r="Q882" s="1160"/>
      <c r="R882" s="1160"/>
      <c r="S882" s="1160"/>
      <c r="T882" s="1160"/>
      <c r="U882" s="1160"/>
      <c r="V882" s="1160"/>
      <c r="W882" s="1160"/>
      <c r="X882" s="1160"/>
      <c r="Y882" s="1160"/>
      <c r="Z882" s="1160"/>
      <c r="AA882" s="1160"/>
      <c r="AB882" s="1160"/>
      <c r="AC882" s="1160"/>
      <c r="AD882" s="1160"/>
      <c r="AE882" s="1160"/>
      <c r="AF882" s="1160"/>
      <c r="AG882" s="1160"/>
      <c r="AH882" s="1160"/>
      <c r="AI882" s="1160"/>
      <c r="AJ882" s="1160"/>
      <c r="AK882" s="1160"/>
      <c r="AL882" s="1160"/>
    </row>
    <row r="883" ht="15.0" customHeight="1">
      <c r="A883" s="1209"/>
      <c r="B883" s="1209"/>
      <c r="C883" s="1210"/>
      <c r="D883" s="1160"/>
      <c r="E883" s="1160"/>
      <c r="F883" s="1160"/>
      <c r="G883" s="1160"/>
      <c r="H883" s="1160"/>
      <c r="I883" s="1160"/>
      <c r="J883" s="1160"/>
      <c r="K883" s="1160"/>
      <c r="L883" s="1160"/>
      <c r="M883" s="1160"/>
      <c r="N883" s="1160"/>
      <c r="O883" s="1160"/>
      <c r="P883" s="1160"/>
      <c r="Q883" s="1160"/>
      <c r="R883" s="1160"/>
      <c r="S883" s="1160"/>
      <c r="T883" s="1160"/>
      <c r="U883" s="1160"/>
      <c r="V883" s="1160"/>
      <c r="W883" s="1160"/>
      <c r="X883" s="1160"/>
      <c r="Y883" s="1160"/>
      <c r="Z883" s="1160"/>
      <c r="AA883" s="1160"/>
      <c r="AB883" s="1160"/>
      <c r="AC883" s="1160"/>
      <c r="AD883" s="1160"/>
      <c r="AE883" s="1160"/>
      <c r="AF883" s="1160"/>
      <c r="AG883" s="1160"/>
      <c r="AH883" s="1160"/>
      <c r="AI883" s="1160"/>
      <c r="AJ883" s="1160"/>
      <c r="AK883" s="1160"/>
      <c r="AL883" s="1160"/>
    </row>
    <row r="884" ht="15.0" customHeight="1">
      <c r="A884" s="1209"/>
      <c r="B884" s="1209"/>
      <c r="C884" s="1210"/>
      <c r="D884" s="1160"/>
      <c r="E884" s="1160"/>
      <c r="F884" s="1160"/>
      <c r="G884" s="1160"/>
      <c r="H884" s="1160"/>
      <c r="I884" s="1160"/>
      <c r="J884" s="1160"/>
      <c r="K884" s="1160"/>
      <c r="L884" s="1160"/>
      <c r="M884" s="1160"/>
      <c r="N884" s="1160"/>
      <c r="O884" s="1160"/>
      <c r="P884" s="1160"/>
      <c r="Q884" s="1160"/>
      <c r="R884" s="1160"/>
      <c r="S884" s="1160"/>
      <c r="T884" s="1160"/>
      <c r="U884" s="1160"/>
      <c r="V884" s="1160"/>
      <c r="W884" s="1160"/>
      <c r="X884" s="1160"/>
      <c r="Y884" s="1160"/>
      <c r="Z884" s="1160"/>
      <c r="AA884" s="1160"/>
      <c r="AB884" s="1160"/>
      <c r="AC884" s="1160"/>
      <c r="AD884" s="1160"/>
      <c r="AE884" s="1160"/>
      <c r="AF884" s="1160"/>
      <c r="AG884" s="1160"/>
      <c r="AH884" s="1160"/>
      <c r="AI884" s="1160"/>
      <c r="AJ884" s="1160"/>
      <c r="AK884" s="1160"/>
      <c r="AL884" s="1160"/>
    </row>
    <row r="885" ht="15.0" customHeight="1">
      <c r="A885" s="1209"/>
      <c r="B885" s="1209"/>
      <c r="C885" s="1210"/>
      <c r="D885" s="1160"/>
      <c r="E885" s="1160"/>
      <c r="F885" s="1160"/>
      <c r="G885" s="1160"/>
      <c r="H885" s="1160"/>
      <c r="I885" s="1160"/>
      <c r="J885" s="1160"/>
      <c r="K885" s="1160"/>
      <c r="L885" s="1160"/>
      <c r="M885" s="1160"/>
      <c r="N885" s="1160"/>
      <c r="O885" s="1160"/>
      <c r="P885" s="1160"/>
      <c r="Q885" s="1160"/>
      <c r="R885" s="1160"/>
      <c r="S885" s="1160"/>
      <c r="T885" s="1160"/>
      <c r="U885" s="1160"/>
      <c r="V885" s="1160"/>
      <c r="W885" s="1160"/>
      <c r="X885" s="1160"/>
      <c r="Y885" s="1160"/>
      <c r="Z885" s="1160"/>
      <c r="AA885" s="1160"/>
      <c r="AB885" s="1160"/>
      <c r="AC885" s="1160"/>
      <c r="AD885" s="1160"/>
      <c r="AE885" s="1160"/>
      <c r="AF885" s="1160"/>
      <c r="AG885" s="1160"/>
      <c r="AH885" s="1160"/>
      <c r="AI885" s="1160"/>
      <c r="AJ885" s="1160"/>
      <c r="AK885" s="1160"/>
      <c r="AL885" s="1160"/>
    </row>
    <row r="886" ht="15.0" customHeight="1">
      <c r="A886" s="1209"/>
      <c r="B886" s="1209"/>
      <c r="C886" s="1210"/>
      <c r="D886" s="1160"/>
      <c r="E886" s="1160"/>
      <c r="F886" s="1160"/>
      <c r="G886" s="1160"/>
      <c r="H886" s="1160"/>
      <c r="I886" s="1160"/>
      <c r="J886" s="1160"/>
      <c r="K886" s="1160"/>
      <c r="L886" s="1160"/>
      <c r="M886" s="1160"/>
      <c r="N886" s="1160"/>
      <c r="O886" s="1160"/>
      <c r="P886" s="1160"/>
      <c r="Q886" s="1160"/>
      <c r="R886" s="1160"/>
      <c r="S886" s="1160"/>
      <c r="T886" s="1160"/>
      <c r="U886" s="1160"/>
      <c r="V886" s="1160"/>
      <c r="W886" s="1160"/>
      <c r="X886" s="1160"/>
      <c r="Y886" s="1160"/>
      <c r="Z886" s="1160"/>
      <c r="AA886" s="1160"/>
      <c r="AB886" s="1160"/>
      <c r="AC886" s="1160"/>
      <c r="AD886" s="1160"/>
      <c r="AE886" s="1160"/>
      <c r="AF886" s="1160"/>
      <c r="AG886" s="1160"/>
      <c r="AH886" s="1160"/>
      <c r="AI886" s="1160"/>
      <c r="AJ886" s="1160"/>
      <c r="AK886" s="1160"/>
      <c r="AL886" s="1160"/>
    </row>
    <row r="887" ht="15.0" customHeight="1">
      <c r="A887" s="1209"/>
      <c r="B887" s="1209"/>
      <c r="C887" s="1210"/>
      <c r="D887" s="1160"/>
      <c r="E887" s="1160"/>
      <c r="F887" s="1160"/>
      <c r="G887" s="1160"/>
      <c r="H887" s="1160"/>
      <c r="I887" s="1160"/>
      <c r="J887" s="1160"/>
      <c r="K887" s="1160"/>
      <c r="L887" s="1160"/>
      <c r="M887" s="1160"/>
      <c r="N887" s="1160"/>
      <c r="O887" s="1160"/>
      <c r="P887" s="1160"/>
      <c r="Q887" s="1160"/>
      <c r="R887" s="1160"/>
      <c r="S887" s="1160"/>
      <c r="T887" s="1160"/>
      <c r="U887" s="1160"/>
      <c r="V887" s="1160"/>
      <c r="W887" s="1160"/>
      <c r="X887" s="1160"/>
      <c r="Y887" s="1160"/>
      <c r="Z887" s="1160"/>
      <c r="AA887" s="1160"/>
      <c r="AB887" s="1160"/>
      <c r="AC887" s="1160"/>
      <c r="AD887" s="1160"/>
      <c r="AE887" s="1160"/>
      <c r="AF887" s="1160"/>
      <c r="AG887" s="1160"/>
      <c r="AH887" s="1160"/>
      <c r="AI887" s="1160"/>
      <c r="AJ887" s="1160"/>
      <c r="AK887" s="1160"/>
      <c r="AL887" s="1160"/>
    </row>
    <row r="888" ht="15.0" customHeight="1">
      <c r="A888" s="1209"/>
      <c r="B888" s="1209"/>
      <c r="C888" s="1210"/>
      <c r="D888" s="1160"/>
      <c r="E888" s="1160"/>
      <c r="F888" s="1160"/>
      <c r="G888" s="1160"/>
      <c r="H888" s="1160"/>
      <c r="I888" s="1160"/>
      <c r="J888" s="1160"/>
      <c r="K888" s="1160"/>
      <c r="L888" s="1160"/>
      <c r="M888" s="1160"/>
      <c r="N888" s="1160"/>
      <c r="O888" s="1160"/>
      <c r="P888" s="1160"/>
      <c r="Q888" s="1160"/>
      <c r="R888" s="1160"/>
      <c r="S888" s="1160"/>
      <c r="T888" s="1160"/>
      <c r="U888" s="1160"/>
      <c r="V888" s="1160"/>
      <c r="W888" s="1160"/>
      <c r="X888" s="1160"/>
      <c r="Y888" s="1160"/>
      <c r="Z888" s="1160"/>
      <c r="AA888" s="1160"/>
      <c r="AB888" s="1160"/>
      <c r="AC888" s="1160"/>
      <c r="AD888" s="1160"/>
      <c r="AE888" s="1160"/>
      <c r="AF888" s="1160"/>
      <c r="AG888" s="1160"/>
      <c r="AH888" s="1160"/>
      <c r="AI888" s="1160"/>
      <c r="AJ888" s="1160"/>
      <c r="AK888" s="1160"/>
      <c r="AL888" s="1160"/>
    </row>
    <row r="889" ht="15.0" customHeight="1">
      <c r="A889" s="1209"/>
      <c r="B889" s="1209"/>
      <c r="C889" s="1210"/>
      <c r="D889" s="1160"/>
      <c r="E889" s="1160"/>
      <c r="F889" s="1160"/>
      <c r="G889" s="1160"/>
      <c r="H889" s="1160"/>
      <c r="I889" s="1160"/>
      <c r="J889" s="1160"/>
      <c r="K889" s="1160"/>
      <c r="L889" s="1160"/>
      <c r="M889" s="1160"/>
      <c r="N889" s="1160"/>
      <c r="O889" s="1160"/>
      <c r="P889" s="1160"/>
      <c r="Q889" s="1160"/>
      <c r="R889" s="1160"/>
      <c r="S889" s="1160"/>
      <c r="T889" s="1160"/>
      <c r="U889" s="1160"/>
      <c r="V889" s="1160"/>
      <c r="W889" s="1160"/>
      <c r="X889" s="1160"/>
      <c r="Y889" s="1160"/>
      <c r="Z889" s="1160"/>
      <c r="AA889" s="1160"/>
      <c r="AB889" s="1160"/>
      <c r="AC889" s="1160"/>
      <c r="AD889" s="1160"/>
      <c r="AE889" s="1160"/>
      <c r="AF889" s="1160"/>
      <c r="AG889" s="1160"/>
      <c r="AH889" s="1160"/>
      <c r="AI889" s="1160"/>
      <c r="AJ889" s="1160"/>
      <c r="AK889" s="1160"/>
      <c r="AL889" s="1160"/>
    </row>
    <row r="890" ht="15.0" customHeight="1">
      <c r="A890" s="1209"/>
      <c r="B890" s="1209"/>
      <c r="C890" s="1210"/>
      <c r="D890" s="1160"/>
      <c r="E890" s="1160"/>
      <c r="F890" s="1160"/>
      <c r="G890" s="1160"/>
      <c r="H890" s="1160"/>
      <c r="I890" s="1160"/>
      <c r="J890" s="1160"/>
      <c r="K890" s="1160"/>
      <c r="L890" s="1160"/>
      <c r="M890" s="1160"/>
      <c r="N890" s="1160"/>
      <c r="O890" s="1160"/>
      <c r="P890" s="1160"/>
      <c r="Q890" s="1160"/>
      <c r="R890" s="1160"/>
      <c r="S890" s="1160"/>
      <c r="T890" s="1160"/>
      <c r="U890" s="1160"/>
      <c r="V890" s="1160"/>
      <c r="W890" s="1160"/>
      <c r="X890" s="1160"/>
      <c r="Y890" s="1160"/>
      <c r="Z890" s="1160"/>
      <c r="AA890" s="1160"/>
      <c r="AB890" s="1160"/>
      <c r="AC890" s="1160"/>
      <c r="AD890" s="1160"/>
      <c r="AE890" s="1160"/>
      <c r="AF890" s="1160"/>
      <c r="AG890" s="1160"/>
      <c r="AH890" s="1160"/>
      <c r="AI890" s="1160"/>
      <c r="AJ890" s="1160"/>
      <c r="AK890" s="1160"/>
      <c r="AL890" s="1160"/>
    </row>
    <row r="891" ht="15.0" customHeight="1">
      <c r="A891" s="1209"/>
      <c r="B891" s="1209"/>
      <c r="C891" s="1210"/>
      <c r="D891" s="1160"/>
      <c r="E891" s="1160"/>
      <c r="F891" s="1160"/>
      <c r="G891" s="1160"/>
      <c r="H891" s="1160"/>
      <c r="I891" s="1160"/>
      <c r="J891" s="1160"/>
      <c r="K891" s="1160"/>
      <c r="L891" s="1160"/>
      <c r="M891" s="1160"/>
      <c r="N891" s="1160"/>
      <c r="O891" s="1160"/>
      <c r="P891" s="1160"/>
      <c r="Q891" s="1160"/>
      <c r="R891" s="1160"/>
      <c r="S891" s="1160"/>
      <c r="T891" s="1160"/>
      <c r="U891" s="1160"/>
      <c r="V891" s="1160"/>
      <c r="W891" s="1160"/>
      <c r="X891" s="1160"/>
      <c r="Y891" s="1160"/>
      <c r="Z891" s="1160"/>
      <c r="AA891" s="1160"/>
      <c r="AB891" s="1160"/>
      <c r="AC891" s="1160"/>
      <c r="AD891" s="1160"/>
      <c r="AE891" s="1160"/>
      <c r="AF891" s="1160"/>
      <c r="AG891" s="1160"/>
      <c r="AH891" s="1160"/>
      <c r="AI891" s="1160"/>
      <c r="AJ891" s="1160"/>
      <c r="AK891" s="1160"/>
      <c r="AL891" s="1160"/>
    </row>
    <row r="892" ht="15.0" customHeight="1">
      <c r="A892" s="1209"/>
      <c r="B892" s="1209"/>
      <c r="C892" s="1210"/>
      <c r="D892" s="1160"/>
      <c r="E892" s="1160"/>
      <c r="F892" s="1160"/>
      <c r="G892" s="1160"/>
      <c r="H892" s="1160"/>
      <c r="I892" s="1160"/>
      <c r="J892" s="1160"/>
      <c r="K892" s="1160"/>
      <c r="L892" s="1160"/>
      <c r="M892" s="1160"/>
      <c r="N892" s="1160"/>
      <c r="O892" s="1160"/>
      <c r="P892" s="1160"/>
      <c r="Q892" s="1160"/>
      <c r="R892" s="1160"/>
      <c r="S892" s="1160"/>
      <c r="T892" s="1160"/>
      <c r="U892" s="1160"/>
      <c r="V892" s="1160"/>
      <c r="W892" s="1160"/>
      <c r="X892" s="1160"/>
      <c r="Y892" s="1160"/>
      <c r="Z892" s="1160"/>
      <c r="AA892" s="1160"/>
      <c r="AB892" s="1160"/>
      <c r="AC892" s="1160"/>
      <c r="AD892" s="1160"/>
      <c r="AE892" s="1160"/>
      <c r="AF892" s="1160"/>
      <c r="AG892" s="1160"/>
      <c r="AH892" s="1160"/>
      <c r="AI892" s="1160"/>
      <c r="AJ892" s="1160"/>
      <c r="AK892" s="1160"/>
      <c r="AL892" s="1160"/>
    </row>
    <row r="893" ht="15.0" customHeight="1">
      <c r="A893" s="1209"/>
      <c r="B893" s="1209"/>
      <c r="C893" s="1210"/>
      <c r="D893" s="1160"/>
      <c r="E893" s="1160"/>
      <c r="F893" s="1160"/>
      <c r="G893" s="1160"/>
      <c r="H893" s="1160"/>
      <c r="I893" s="1160"/>
      <c r="J893" s="1160"/>
      <c r="K893" s="1160"/>
      <c r="L893" s="1160"/>
      <c r="M893" s="1160"/>
      <c r="N893" s="1160"/>
      <c r="O893" s="1160"/>
      <c r="P893" s="1160"/>
      <c r="Q893" s="1160"/>
      <c r="R893" s="1160"/>
      <c r="S893" s="1160"/>
      <c r="T893" s="1160"/>
      <c r="U893" s="1160"/>
      <c r="V893" s="1160"/>
      <c r="W893" s="1160"/>
      <c r="X893" s="1160"/>
      <c r="Y893" s="1160"/>
      <c r="Z893" s="1160"/>
      <c r="AA893" s="1160"/>
      <c r="AB893" s="1160"/>
      <c r="AC893" s="1160"/>
      <c r="AD893" s="1160"/>
      <c r="AE893" s="1160"/>
      <c r="AF893" s="1160"/>
      <c r="AG893" s="1160"/>
      <c r="AH893" s="1160"/>
      <c r="AI893" s="1160"/>
      <c r="AJ893" s="1160"/>
      <c r="AK893" s="1160"/>
      <c r="AL893" s="1160"/>
    </row>
    <row r="894" ht="15.0" customHeight="1">
      <c r="A894" s="1209"/>
      <c r="B894" s="1209"/>
      <c r="C894" s="1210"/>
      <c r="D894" s="1160"/>
      <c r="E894" s="1160"/>
      <c r="F894" s="1160"/>
      <c r="G894" s="1160"/>
      <c r="H894" s="1160"/>
      <c r="I894" s="1160"/>
      <c r="J894" s="1160"/>
      <c r="K894" s="1160"/>
      <c r="L894" s="1160"/>
      <c r="M894" s="1160"/>
      <c r="N894" s="1160"/>
      <c r="O894" s="1160"/>
      <c r="P894" s="1160"/>
      <c r="Q894" s="1160"/>
      <c r="R894" s="1160"/>
      <c r="S894" s="1160"/>
      <c r="T894" s="1160"/>
      <c r="U894" s="1160"/>
      <c r="V894" s="1160"/>
      <c r="W894" s="1160"/>
      <c r="X894" s="1160"/>
      <c r="Y894" s="1160"/>
      <c r="Z894" s="1160"/>
      <c r="AA894" s="1160"/>
      <c r="AB894" s="1160"/>
      <c r="AC894" s="1160"/>
      <c r="AD894" s="1160"/>
      <c r="AE894" s="1160"/>
      <c r="AF894" s="1160"/>
      <c r="AG894" s="1160"/>
      <c r="AH894" s="1160"/>
      <c r="AI894" s="1160"/>
      <c r="AJ894" s="1160"/>
      <c r="AK894" s="1160"/>
      <c r="AL894" s="1160"/>
    </row>
    <row r="895" ht="15.0" customHeight="1">
      <c r="A895" s="1209"/>
      <c r="B895" s="1209"/>
      <c r="C895" s="1210"/>
      <c r="D895" s="1160"/>
      <c r="E895" s="1160"/>
      <c r="F895" s="1160"/>
      <c r="G895" s="1160"/>
      <c r="H895" s="1160"/>
      <c r="I895" s="1160"/>
      <c r="J895" s="1160"/>
      <c r="K895" s="1160"/>
      <c r="L895" s="1160"/>
      <c r="M895" s="1160"/>
      <c r="N895" s="1160"/>
      <c r="O895" s="1160"/>
      <c r="P895" s="1160"/>
      <c r="Q895" s="1160"/>
      <c r="R895" s="1160"/>
      <c r="S895" s="1160"/>
      <c r="T895" s="1160"/>
      <c r="U895" s="1160"/>
      <c r="V895" s="1160"/>
      <c r="W895" s="1160"/>
      <c r="X895" s="1160"/>
      <c r="Y895" s="1160"/>
      <c r="Z895" s="1160"/>
      <c r="AA895" s="1160"/>
      <c r="AB895" s="1160"/>
      <c r="AC895" s="1160"/>
      <c r="AD895" s="1160"/>
      <c r="AE895" s="1160"/>
      <c r="AF895" s="1160"/>
      <c r="AG895" s="1160"/>
      <c r="AH895" s="1160"/>
      <c r="AI895" s="1160"/>
      <c r="AJ895" s="1160"/>
      <c r="AK895" s="1160"/>
      <c r="AL895" s="1160"/>
    </row>
    <row r="896" ht="15.0" customHeight="1">
      <c r="A896" s="1209"/>
      <c r="B896" s="1209"/>
      <c r="C896" s="1210"/>
      <c r="D896" s="1160"/>
      <c r="E896" s="1160"/>
      <c r="F896" s="1160"/>
      <c r="G896" s="1160"/>
      <c r="H896" s="1160"/>
      <c r="I896" s="1160"/>
      <c r="J896" s="1160"/>
      <c r="K896" s="1160"/>
      <c r="L896" s="1160"/>
      <c r="M896" s="1160"/>
      <c r="N896" s="1160"/>
      <c r="O896" s="1160"/>
      <c r="P896" s="1160"/>
      <c r="Q896" s="1160"/>
      <c r="R896" s="1160"/>
      <c r="S896" s="1160"/>
      <c r="T896" s="1160"/>
      <c r="U896" s="1160"/>
      <c r="V896" s="1160"/>
      <c r="W896" s="1160"/>
      <c r="X896" s="1160"/>
      <c r="Y896" s="1160"/>
      <c r="Z896" s="1160"/>
      <c r="AA896" s="1160"/>
      <c r="AB896" s="1160"/>
      <c r="AC896" s="1160"/>
      <c r="AD896" s="1160"/>
      <c r="AE896" s="1160"/>
      <c r="AF896" s="1160"/>
      <c r="AG896" s="1160"/>
      <c r="AH896" s="1160"/>
      <c r="AI896" s="1160"/>
      <c r="AJ896" s="1160"/>
      <c r="AK896" s="1160"/>
      <c r="AL896" s="1160"/>
    </row>
    <row r="897" ht="15.0" customHeight="1">
      <c r="A897" s="1209"/>
      <c r="B897" s="1209"/>
      <c r="C897" s="1210"/>
      <c r="D897" s="1160"/>
      <c r="E897" s="1160"/>
      <c r="F897" s="1160"/>
      <c r="G897" s="1160"/>
      <c r="H897" s="1160"/>
      <c r="I897" s="1160"/>
      <c r="J897" s="1160"/>
      <c r="K897" s="1160"/>
      <c r="L897" s="1160"/>
      <c r="M897" s="1160"/>
      <c r="N897" s="1160"/>
      <c r="O897" s="1160"/>
      <c r="P897" s="1160"/>
      <c r="Q897" s="1160"/>
      <c r="R897" s="1160"/>
      <c r="S897" s="1160"/>
      <c r="T897" s="1160"/>
      <c r="U897" s="1160"/>
      <c r="V897" s="1160"/>
      <c r="W897" s="1160"/>
      <c r="X897" s="1160"/>
      <c r="Y897" s="1160"/>
      <c r="Z897" s="1160"/>
      <c r="AA897" s="1160"/>
      <c r="AB897" s="1160"/>
      <c r="AC897" s="1160"/>
      <c r="AD897" s="1160"/>
      <c r="AE897" s="1160"/>
      <c r="AF897" s="1160"/>
      <c r="AG897" s="1160"/>
      <c r="AH897" s="1160"/>
      <c r="AI897" s="1160"/>
      <c r="AJ897" s="1160"/>
      <c r="AK897" s="1160"/>
      <c r="AL897" s="1160"/>
    </row>
    <row r="898" ht="15.0" customHeight="1">
      <c r="A898" s="1209"/>
      <c r="B898" s="1209"/>
      <c r="C898" s="1210"/>
      <c r="D898" s="1160"/>
      <c r="E898" s="1160"/>
      <c r="F898" s="1160"/>
      <c r="G898" s="1160"/>
      <c r="H898" s="1160"/>
      <c r="I898" s="1160"/>
      <c r="J898" s="1160"/>
      <c r="K898" s="1160"/>
      <c r="L898" s="1160"/>
      <c r="M898" s="1160"/>
      <c r="N898" s="1160"/>
      <c r="O898" s="1160"/>
      <c r="P898" s="1160"/>
      <c r="Q898" s="1160"/>
      <c r="R898" s="1160"/>
      <c r="S898" s="1160"/>
      <c r="T898" s="1160"/>
      <c r="U898" s="1160"/>
      <c r="V898" s="1160"/>
      <c r="W898" s="1160"/>
      <c r="X898" s="1160"/>
      <c r="Y898" s="1160"/>
      <c r="Z898" s="1160"/>
      <c r="AA898" s="1160"/>
      <c r="AB898" s="1160"/>
      <c r="AC898" s="1160"/>
      <c r="AD898" s="1160"/>
      <c r="AE898" s="1160"/>
      <c r="AF898" s="1160"/>
      <c r="AG898" s="1160"/>
      <c r="AH898" s="1160"/>
      <c r="AI898" s="1160"/>
      <c r="AJ898" s="1160"/>
      <c r="AK898" s="1160"/>
      <c r="AL898" s="1160"/>
    </row>
    <row r="899" ht="15.0" customHeight="1">
      <c r="A899" s="1209"/>
      <c r="B899" s="1209"/>
      <c r="C899" s="1210"/>
      <c r="D899" s="1160"/>
      <c r="E899" s="1160"/>
      <c r="F899" s="1160"/>
      <c r="G899" s="1160"/>
      <c r="H899" s="1160"/>
      <c r="I899" s="1160"/>
      <c r="J899" s="1160"/>
      <c r="K899" s="1160"/>
      <c r="L899" s="1160"/>
      <c r="M899" s="1160"/>
      <c r="N899" s="1160"/>
      <c r="O899" s="1160"/>
      <c r="P899" s="1160"/>
      <c r="Q899" s="1160"/>
      <c r="R899" s="1160"/>
      <c r="S899" s="1160"/>
      <c r="T899" s="1160"/>
      <c r="U899" s="1160"/>
      <c r="V899" s="1160"/>
      <c r="W899" s="1160"/>
      <c r="X899" s="1160"/>
      <c r="Y899" s="1160"/>
      <c r="Z899" s="1160"/>
      <c r="AA899" s="1160"/>
      <c r="AB899" s="1160"/>
      <c r="AC899" s="1160"/>
      <c r="AD899" s="1160"/>
      <c r="AE899" s="1160"/>
      <c r="AF899" s="1160"/>
      <c r="AG899" s="1160"/>
      <c r="AH899" s="1160"/>
      <c r="AI899" s="1160"/>
      <c r="AJ899" s="1160"/>
      <c r="AK899" s="1160"/>
      <c r="AL899" s="1160"/>
    </row>
    <row r="900" ht="15.0" customHeight="1">
      <c r="A900" s="1209"/>
      <c r="B900" s="1209"/>
      <c r="C900" s="1210"/>
      <c r="D900" s="1160"/>
      <c r="E900" s="1160"/>
      <c r="F900" s="1160"/>
      <c r="G900" s="1160"/>
      <c r="H900" s="1160"/>
      <c r="I900" s="1160"/>
      <c r="J900" s="1160"/>
      <c r="K900" s="1160"/>
      <c r="L900" s="1160"/>
      <c r="M900" s="1160"/>
      <c r="N900" s="1160"/>
      <c r="O900" s="1160"/>
      <c r="P900" s="1160"/>
      <c r="Q900" s="1160"/>
      <c r="R900" s="1160"/>
      <c r="S900" s="1160"/>
      <c r="T900" s="1160"/>
      <c r="U900" s="1160"/>
      <c r="V900" s="1160"/>
      <c r="W900" s="1160"/>
      <c r="X900" s="1160"/>
      <c r="Y900" s="1160"/>
      <c r="Z900" s="1160"/>
      <c r="AA900" s="1160"/>
      <c r="AB900" s="1160"/>
      <c r="AC900" s="1160"/>
      <c r="AD900" s="1160"/>
      <c r="AE900" s="1160"/>
      <c r="AF900" s="1160"/>
      <c r="AG900" s="1160"/>
      <c r="AH900" s="1160"/>
      <c r="AI900" s="1160"/>
      <c r="AJ900" s="1160"/>
      <c r="AK900" s="1160"/>
      <c r="AL900" s="1160"/>
    </row>
    <row r="901" ht="15.0" customHeight="1">
      <c r="A901" s="1209"/>
      <c r="B901" s="1209"/>
      <c r="C901" s="1210"/>
      <c r="D901" s="1160"/>
      <c r="E901" s="1160"/>
      <c r="F901" s="1160"/>
      <c r="G901" s="1160"/>
      <c r="H901" s="1160"/>
      <c r="I901" s="1160"/>
      <c r="J901" s="1160"/>
      <c r="K901" s="1160"/>
      <c r="L901" s="1160"/>
      <c r="M901" s="1160"/>
      <c r="N901" s="1160"/>
      <c r="O901" s="1160"/>
      <c r="P901" s="1160"/>
      <c r="Q901" s="1160"/>
      <c r="R901" s="1160"/>
      <c r="S901" s="1160"/>
      <c r="T901" s="1160"/>
      <c r="U901" s="1160"/>
      <c r="V901" s="1160"/>
      <c r="W901" s="1160"/>
      <c r="X901" s="1160"/>
      <c r="Y901" s="1160"/>
      <c r="Z901" s="1160"/>
      <c r="AA901" s="1160"/>
      <c r="AB901" s="1160"/>
      <c r="AC901" s="1160"/>
      <c r="AD901" s="1160"/>
      <c r="AE901" s="1160"/>
      <c r="AF901" s="1160"/>
      <c r="AG901" s="1160"/>
      <c r="AH901" s="1160"/>
      <c r="AI901" s="1160"/>
      <c r="AJ901" s="1160"/>
      <c r="AK901" s="1160"/>
      <c r="AL901" s="1160"/>
    </row>
    <row r="902" ht="15.0" customHeight="1">
      <c r="A902" s="1209"/>
      <c r="B902" s="1209"/>
      <c r="C902" s="1210"/>
      <c r="D902" s="1160"/>
      <c r="E902" s="1160"/>
      <c r="F902" s="1160"/>
      <c r="G902" s="1160"/>
      <c r="H902" s="1160"/>
      <c r="I902" s="1160"/>
      <c r="J902" s="1160"/>
      <c r="K902" s="1160"/>
      <c r="L902" s="1160"/>
      <c r="M902" s="1160"/>
      <c r="N902" s="1160"/>
      <c r="O902" s="1160"/>
      <c r="P902" s="1160"/>
      <c r="Q902" s="1160"/>
      <c r="R902" s="1160"/>
      <c r="S902" s="1160"/>
      <c r="T902" s="1160"/>
      <c r="U902" s="1160"/>
      <c r="V902" s="1160"/>
      <c r="W902" s="1160"/>
      <c r="X902" s="1160"/>
      <c r="Y902" s="1160"/>
      <c r="Z902" s="1160"/>
      <c r="AA902" s="1160"/>
      <c r="AB902" s="1160"/>
      <c r="AC902" s="1160"/>
      <c r="AD902" s="1160"/>
      <c r="AE902" s="1160"/>
      <c r="AF902" s="1160"/>
      <c r="AG902" s="1160"/>
      <c r="AH902" s="1160"/>
      <c r="AI902" s="1160"/>
      <c r="AJ902" s="1160"/>
      <c r="AK902" s="1160"/>
      <c r="AL902" s="1160"/>
    </row>
    <row r="903" ht="15.0" customHeight="1">
      <c r="A903" s="1209"/>
      <c r="B903" s="1209"/>
      <c r="C903" s="1210"/>
      <c r="D903" s="1160"/>
      <c r="E903" s="1160"/>
      <c r="F903" s="1160"/>
      <c r="G903" s="1160"/>
      <c r="H903" s="1160"/>
      <c r="I903" s="1160"/>
      <c r="J903" s="1160"/>
      <c r="K903" s="1160"/>
      <c r="L903" s="1160"/>
      <c r="M903" s="1160"/>
      <c r="N903" s="1160"/>
      <c r="O903" s="1160"/>
      <c r="P903" s="1160"/>
      <c r="Q903" s="1160"/>
      <c r="R903" s="1160"/>
      <c r="S903" s="1160"/>
      <c r="T903" s="1160"/>
      <c r="U903" s="1160"/>
      <c r="V903" s="1160"/>
      <c r="W903" s="1160"/>
      <c r="X903" s="1160"/>
      <c r="Y903" s="1160"/>
      <c r="Z903" s="1160"/>
      <c r="AA903" s="1160"/>
      <c r="AB903" s="1160"/>
      <c r="AC903" s="1160"/>
      <c r="AD903" s="1160"/>
      <c r="AE903" s="1160"/>
      <c r="AF903" s="1160"/>
      <c r="AG903" s="1160"/>
      <c r="AH903" s="1160"/>
      <c r="AI903" s="1160"/>
      <c r="AJ903" s="1160"/>
      <c r="AK903" s="1160"/>
      <c r="AL903" s="1160"/>
    </row>
    <row r="904" ht="15.0" customHeight="1">
      <c r="A904" s="1209"/>
      <c r="B904" s="1209"/>
      <c r="C904" s="1210"/>
      <c r="D904" s="1160"/>
      <c r="E904" s="1160"/>
      <c r="F904" s="1160"/>
      <c r="G904" s="1160"/>
      <c r="H904" s="1160"/>
      <c r="I904" s="1160"/>
      <c r="J904" s="1160"/>
      <c r="K904" s="1160"/>
      <c r="L904" s="1160"/>
      <c r="M904" s="1160"/>
      <c r="N904" s="1160"/>
      <c r="O904" s="1160"/>
      <c r="P904" s="1160"/>
      <c r="Q904" s="1160"/>
      <c r="R904" s="1160"/>
      <c r="S904" s="1160"/>
      <c r="T904" s="1160"/>
      <c r="U904" s="1160"/>
      <c r="V904" s="1160"/>
      <c r="W904" s="1160"/>
      <c r="X904" s="1160"/>
      <c r="Y904" s="1160"/>
      <c r="Z904" s="1160"/>
      <c r="AA904" s="1160"/>
      <c r="AB904" s="1160"/>
      <c r="AC904" s="1160"/>
      <c r="AD904" s="1160"/>
      <c r="AE904" s="1160"/>
      <c r="AF904" s="1160"/>
      <c r="AG904" s="1160"/>
      <c r="AH904" s="1160"/>
      <c r="AI904" s="1160"/>
      <c r="AJ904" s="1160"/>
      <c r="AK904" s="1160"/>
      <c r="AL904" s="1160"/>
    </row>
    <row r="905" ht="15.0" customHeight="1">
      <c r="A905" s="1209"/>
      <c r="B905" s="1209"/>
      <c r="C905" s="1210"/>
      <c r="D905" s="1160"/>
      <c r="E905" s="1160"/>
      <c r="F905" s="1160"/>
      <c r="G905" s="1160"/>
      <c r="H905" s="1160"/>
      <c r="I905" s="1160"/>
      <c r="J905" s="1160"/>
      <c r="K905" s="1160"/>
      <c r="L905" s="1160"/>
      <c r="M905" s="1160"/>
      <c r="N905" s="1160"/>
      <c r="O905" s="1160"/>
      <c r="P905" s="1160"/>
      <c r="Q905" s="1160"/>
      <c r="R905" s="1160"/>
      <c r="S905" s="1160"/>
      <c r="T905" s="1160"/>
      <c r="U905" s="1160"/>
      <c r="V905" s="1160"/>
      <c r="W905" s="1160"/>
      <c r="X905" s="1160"/>
      <c r="Y905" s="1160"/>
      <c r="Z905" s="1160"/>
      <c r="AA905" s="1160"/>
      <c r="AB905" s="1160"/>
      <c r="AC905" s="1160"/>
      <c r="AD905" s="1160"/>
      <c r="AE905" s="1160"/>
      <c r="AF905" s="1160"/>
      <c r="AG905" s="1160"/>
      <c r="AH905" s="1160"/>
      <c r="AI905" s="1160"/>
      <c r="AJ905" s="1160"/>
      <c r="AK905" s="1160"/>
      <c r="AL905" s="1160"/>
    </row>
    <row r="906" ht="15.0" customHeight="1">
      <c r="A906" s="1209"/>
      <c r="B906" s="1209"/>
      <c r="C906" s="1210"/>
      <c r="D906" s="1160"/>
      <c r="E906" s="1160"/>
      <c r="F906" s="1160"/>
      <c r="G906" s="1160"/>
      <c r="H906" s="1160"/>
      <c r="I906" s="1160"/>
      <c r="J906" s="1160"/>
      <c r="K906" s="1160"/>
      <c r="L906" s="1160"/>
      <c r="M906" s="1160"/>
      <c r="N906" s="1160"/>
      <c r="O906" s="1160"/>
      <c r="P906" s="1160"/>
      <c r="Q906" s="1160"/>
      <c r="R906" s="1160"/>
      <c r="S906" s="1160"/>
      <c r="T906" s="1160"/>
      <c r="U906" s="1160"/>
      <c r="V906" s="1160"/>
      <c r="W906" s="1160"/>
      <c r="X906" s="1160"/>
      <c r="Y906" s="1160"/>
      <c r="Z906" s="1160"/>
      <c r="AA906" s="1160"/>
      <c r="AB906" s="1160"/>
      <c r="AC906" s="1160"/>
      <c r="AD906" s="1160"/>
      <c r="AE906" s="1160"/>
      <c r="AF906" s="1160"/>
      <c r="AG906" s="1160"/>
      <c r="AH906" s="1160"/>
      <c r="AI906" s="1160"/>
      <c r="AJ906" s="1160"/>
      <c r="AK906" s="1160"/>
      <c r="AL906" s="1160"/>
    </row>
    <row r="907" ht="15.0" customHeight="1">
      <c r="A907" s="1209"/>
      <c r="B907" s="1209"/>
      <c r="C907" s="1210"/>
      <c r="D907" s="1160"/>
      <c r="E907" s="1160"/>
      <c r="F907" s="1160"/>
      <c r="G907" s="1160"/>
      <c r="H907" s="1160"/>
      <c r="I907" s="1160"/>
      <c r="J907" s="1160"/>
      <c r="K907" s="1160"/>
      <c r="L907" s="1160"/>
      <c r="M907" s="1160"/>
      <c r="N907" s="1160"/>
      <c r="O907" s="1160"/>
      <c r="P907" s="1160"/>
      <c r="Q907" s="1160"/>
      <c r="R907" s="1160"/>
      <c r="S907" s="1160"/>
      <c r="T907" s="1160"/>
      <c r="U907" s="1160"/>
      <c r="V907" s="1160"/>
      <c r="W907" s="1160"/>
      <c r="X907" s="1160"/>
      <c r="Y907" s="1160"/>
      <c r="Z907" s="1160"/>
      <c r="AA907" s="1160"/>
      <c r="AB907" s="1160"/>
      <c r="AC907" s="1160"/>
      <c r="AD907" s="1160"/>
      <c r="AE907" s="1160"/>
      <c r="AF907" s="1160"/>
      <c r="AG907" s="1160"/>
      <c r="AH907" s="1160"/>
      <c r="AI907" s="1160"/>
      <c r="AJ907" s="1160"/>
      <c r="AK907" s="1160"/>
      <c r="AL907" s="1160"/>
    </row>
    <row r="908" ht="15.0" customHeight="1">
      <c r="A908" s="1209"/>
      <c r="B908" s="1209"/>
      <c r="C908" s="1210"/>
      <c r="D908" s="1160"/>
      <c r="E908" s="1160"/>
      <c r="F908" s="1160"/>
      <c r="G908" s="1160"/>
      <c r="H908" s="1160"/>
      <c r="I908" s="1160"/>
      <c r="J908" s="1160"/>
      <c r="K908" s="1160"/>
      <c r="L908" s="1160"/>
      <c r="M908" s="1160"/>
      <c r="N908" s="1160"/>
      <c r="O908" s="1160"/>
      <c r="P908" s="1160"/>
      <c r="Q908" s="1160"/>
      <c r="R908" s="1160"/>
      <c r="S908" s="1160"/>
      <c r="T908" s="1160"/>
      <c r="U908" s="1160"/>
      <c r="V908" s="1160"/>
      <c r="W908" s="1160"/>
      <c r="X908" s="1160"/>
      <c r="Y908" s="1160"/>
      <c r="Z908" s="1160"/>
      <c r="AA908" s="1160"/>
      <c r="AB908" s="1160"/>
      <c r="AC908" s="1160"/>
      <c r="AD908" s="1160"/>
      <c r="AE908" s="1160"/>
      <c r="AF908" s="1160"/>
      <c r="AG908" s="1160"/>
      <c r="AH908" s="1160"/>
      <c r="AI908" s="1160"/>
      <c r="AJ908" s="1160"/>
      <c r="AK908" s="1160"/>
      <c r="AL908" s="1160"/>
    </row>
    <row r="909" ht="15.0" customHeight="1">
      <c r="A909" s="1209"/>
      <c r="B909" s="1209"/>
      <c r="C909" s="1210"/>
      <c r="D909" s="1160"/>
      <c r="E909" s="1160"/>
      <c r="F909" s="1160"/>
      <c r="G909" s="1160"/>
      <c r="H909" s="1160"/>
      <c r="I909" s="1160"/>
      <c r="J909" s="1160"/>
      <c r="K909" s="1160"/>
      <c r="L909" s="1160"/>
      <c r="M909" s="1160"/>
      <c r="N909" s="1160"/>
      <c r="O909" s="1160"/>
      <c r="P909" s="1160"/>
      <c r="Q909" s="1160"/>
      <c r="R909" s="1160"/>
      <c r="S909" s="1160"/>
      <c r="T909" s="1160"/>
      <c r="U909" s="1160"/>
      <c r="V909" s="1160"/>
      <c r="W909" s="1160"/>
      <c r="X909" s="1160"/>
      <c r="Y909" s="1160"/>
      <c r="Z909" s="1160"/>
      <c r="AA909" s="1160"/>
      <c r="AB909" s="1160"/>
      <c r="AC909" s="1160"/>
      <c r="AD909" s="1160"/>
      <c r="AE909" s="1160"/>
      <c r="AF909" s="1160"/>
      <c r="AG909" s="1160"/>
      <c r="AH909" s="1160"/>
      <c r="AI909" s="1160"/>
      <c r="AJ909" s="1160"/>
      <c r="AK909" s="1160"/>
      <c r="AL909" s="1160"/>
    </row>
    <row r="910" ht="15.0" customHeight="1">
      <c r="A910" s="1209"/>
      <c r="B910" s="1209"/>
      <c r="C910" s="1210"/>
      <c r="D910" s="1160"/>
      <c r="E910" s="1160"/>
      <c r="F910" s="1160"/>
      <c r="G910" s="1160"/>
      <c r="H910" s="1160"/>
      <c r="I910" s="1160"/>
      <c r="J910" s="1160"/>
      <c r="K910" s="1160"/>
      <c r="L910" s="1160"/>
      <c r="M910" s="1160"/>
      <c r="N910" s="1160"/>
      <c r="O910" s="1160"/>
      <c r="P910" s="1160"/>
      <c r="Q910" s="1160"/>
      <c r="R910" s="1160"/>
      <c r="S910" s="1160"/>
      <c r="T910" s="1160"/>
      <c r="U910" s="1160"/>
      <c r="V910" s="1160"/>
      <c r="W910" s="1160"/>
      <c r="X910" s="1160"/>
      <c r="Y910" s="1160"/>
      <c r="Z910" s="1160"/>
      <c r="AA910" s="1160"/>
      <c r="AB910" s="1160"/>
      <c r="AC910" s="1160"/>
      <c r="AD910" s="1160"/>
      <c r="AE910" s="1160"/>
      <c r="AF910" s="1160"/>
      <c r="AG910" s="1160"/>
      <c r="AH910" s="1160"/>
      <c r="AI910" s="1160"/>
      <c r="AJ910" s="1160"/>
      <c r="AK910" s="1160"/>
      <c r="AL910" s="1160"/>
    </row>
    <row r="911" ht="15.0" customHeight="1">
      <c r="A911" s="1209"/>
      <c r="B911" s="1209"/>
      <c r="C911" s="1210"/>
      <c r="D911" s="1160"/>
      <c r="E911" s="1160"/>
      <c r="F911" s="1160"/>
      <c r="G911" s="1160"/>
      <c r="H911" s="1160"/>
      <c r="I911" s="1160"/>
      <c r="J911" s="1160"/>
      <c r="K911" s="1160"/>
      <c r="L911" s="1160"/>
      <c r="M911" s="1160"/>
      <c r="N911" s="1160"/>
      <c r="O911" s="1160"/>
      <c r="P911" s="1160"/>
      <c r="Q911" s="1160"/>
      <c r="R911" s="1160"/>
      <c r="S911" s="1160"/>
      <c r="T911" s="1160"/>
      <c r="U911" s="1160"/>
      <c r="V911" s="1160"/>
      <c r="W911" s="1160"/>
      <c r="X911" s="1160"/>
      <c r="Y911" s="1160"/>
      <c r="Z911" s="1160"/>
      <c r="AA911" s="1160"/>
      <c r="AB911" s="1160"/>
      <c r="AC911" s="1160"/>
      <c r="AD911" s="1160"/>
      <c r="AE911" s="1160"/>
      <c r="AF911" s="1160"/>
      <c r="AG911" s="1160"/>
      <c r="AH911" s="1160"/>
      <c r="AI911" s="1160"/>
      <c r="AJ911" s="1160"/>
      <c r="AK911" s="1160"/>
      <c r="AL911" s="1160"/>
    </row>
    <row r="912" ht="15.0" customHeight="1">
      <c r="A912" s="1209"/>
      <c r="B912" s="1209"/>
      <c r="C912" s="1210"/>
      <c r="D912" s="1160"/>
      <c r="E912" s="1160"/>
      <c r="F912" s="1160"/>
      <c r="G912" s="1160"/>
      <c r="H912" s="1160"/>
      <c r="I912" s="1160"/>
      <c r="J912" s="1160"/>
      <c r="K912" s="1160"/>
      <c r="L912" s="1160"/>
      <c r="M912" s="1160"/>
      <c r="N912" s="1160"/>
      <c r="O912" s="1160"/>
      <c r="P912" s="1160"/>
      <c r="Q912" s="1160"/>
      <c r="R912" s="1160"/>
      <c r="S912" s="1160"/>
      <c r="T912" s="1160"/>
      <c r="U912" s="1160"/>
      <c r="V912" s="1160"/>
      <c r="W912" s="1160"/>
      <c r="X912" s="1160"/>
      <c r="Y912" s="1160"/>
      <c r="Z912" s="1160"/>
      <c r="AA912" s="1160"/>
      <c r="AB912" s="1160"/>
      <c r="AC912" s="1160"/>
      <c r="AD912" s="1160"/>
      <c r="AE912" s="1160"/>
      <c r="AF912" s="1160"/>
      <c r="AG912" s="1160"/>
      <c r="AH912" s="1160"/>
      <c r="AI912" s="1160"/>
      <c r="AJ912" s="1160"/>
      <c r="AK912" s="1160"/>
      <c r="AL912" s="1160"/>
    </row>
    <row r="913" ht="15.0" customHeight="1">
      <c r="A913" s="1209"/>
      <c r="B913" s="1209"/>
      <c r="C913" s="1210"/>
      <c r="D913" s="1160"/>
      <c r="E913" s="1160"/>
      <c r="F913" s="1160"/>
      <c r="G913" s="1160"/>
      <c r="H913" s="1160"/>
      <c r="I913" s="1160"/>
      <c r="J913" s="1160"/>
      <c r="K913" s="1160"/>
      <c r="L913" s="1160"/>
      <c r="M913" s="1160"/>
      <c r="N913" s="1160"/>
      <c r="O913" s="1160"/>
      <c r="P913" s="1160"/>
      <c r="Q913" s="1160"/>
      <c r="R913" s="1160"/>
      <c r="S913" s="1160"/>
      <c r="T913" s="1160"/>
      <c r="U913" s="1160"/>
      <c r="V913" s="1160"/>
      <c r="W913" s="1160"/>
      <c r="X913" s="1160"/>
      <c r="Y913" s="1160"/>
      <c r="Z913" s="1160"/>
      <c r="AA913" s="1160"/>
      <c r="AB913" s="1160"/>
      <c r="AC913" s="1160"/>
      <c r="AD913" s="1160"/>
      <c r="AE913" s="1160"/>
      <c r="AF913" s="1160"/>
      <c r="AG913" s="1160"/>
      <c r="AH913" s="1160"/>
      <c r="AI913" s="1160"/>
      <c r="AJ913" s="1160"/>
      <c r="AK913" s="1160"/>
      <c r="AL913" s="1160"/>
    </row>
    <row r="914" ht="15.0" customHeight="1">
      <c r="A914" s="1209"/>
      <c r="B914" s="1209"/>
      <c r="C914" s="1210"/>
      <c r="D914" s="1160"/>
      <c r="E914" s="1160"/>
      <c r="F914" s="1160"/>
      <c r="G914" s="1160"/>
      <c r="H914" s="1160"/>
      <c r="I914" s="1160"/>
      <c r="J914" s="1160"/>
      <c r="K914" s="1160"/>
      <c r="L914" s="1160"/>
      <c r="M914" s="1160"/>
      <c r="N914" s="1160"/>
      <c r="O914" s="1160"/>
      <c r="P914" s="1160"/>
      <c r="Q914" s="1160"/>
      <c r="R914" s="1160"/>
      <c r="S914" s="1160"/>
      <c r="T914" s="1160"/>
      <c r="U914" s="1160"/>
      <c r="V914" s="1160"/>
      <c r="W914" s="1160"/>
      <c r="X914" s="1160"/>
      <c r="Y914" s="1160"/>
      <c r="Z914" s="1160"/>
      <c r="AA914" s="1160"/>
      <c r="AB914" s="1160"/>
      <c r="AC914" s="1160"/>
      <c r="AD914" s="1160"/>
      <c r="AE914" s="1160"/>
      <c r="AF914" s="1160"/>
      <c r="AG914" s="1160"/>
      <c r="AH914" s="1160"/>
      <c r="AI914" s="1160"/>
      <c r="AJ914" s="1160"/>
      <c r="AK914" s="1160"/>
      <c r="AL914" s="1160"/>
    </row>
    <row r="915" ht="15.0" customHeight="1">
      <c r="A915" s="1209"/>
      <c r="B915" s="1209"/>
      <c r="C915" s="1210"/>
      <c r="D915" s="1160"/>
      <c r="E915" s="1160"/>
      <c r="F915" s="1160"/>
      <c r="G915" s="1160"/>
      <c r="H915" s="1160"/>
      <c r="I915" s="1160"/>
      <c r="J915" s="1160"/>
      <c r="K915" s="1160"/>
      <c r="L915" s="1160"/>
      <c r="M915" s="1160"/>
      <c r="N915" s="1160"/>
      <c r="O915" s="1160"/>
      <c r="P915" s="1160"/>
      <c r="Q915" s="1160"/>
      <c r="R915" s="1160"/>
      <c r="S915" s="1160"/>
      <c r="T915" s="1160"/>
      <c r="U915" s="1160"/>
      <c r="V915" s="1160"/>
      <c r="W915" s="1160"/>
      <c r="X915" s="1160"/>
      <c r="Y915" s="1160"/>
      <c r="Z915" s="1160"/>
      <c r="AA915" s="1160"/>
      <c r="AB915" s="1160"/>
      <c r="AC915" s="1160"/>
      <c r="AD915" s="1160"/>
      <c r="AE915" s="1160"/>
      <c r="AF915" s="1160"/>
      <c r="AG915" s="1160"/>
      <c r="AH915" s="1160"/>
      <c r="AI915" s="1160"/>
      <c r="AJ915" s="1160"/>
      <c r="AK915" s="1160"/>
      <c r="AL915" s="1160"/>
    </row>
    <row r="916" ht="15.0" customHeight="1">
      <c r="A916" s="1209"/>
      <c r="B916" s="1209"/>
      <c r="C916" s="1210"/>
      <c r="D916" s="1160"/>
      <c r="E916" s="1160"/>
      <c r="F916" s="1160"/>
      <c r="G916" s="1160"/>
      <c r="H916" s="1160"/>
      <c r="I916" s="1160"/>
      <c r="J916" s="1160"/>
      <c r="K916" s="1160"/>
      <c r="L916" s="1160"/>
      <c r="M916" s="1160"/>
      <c r="N916" s="1160"/>
      <c r="O916" s="1160"/>
      <c r="P916" s="1160"/>
      <c r="Q916" s="1160"/>
      <c r="R916" s="1160"/>
      <c r="S916" s="1160"/>
      <c r="T916" s="1160"/>
      <c r="U916" s="1160"/>
      <c r="V916" s="1160"/>
      <c r="W916" s="1160"/>
      <c r="X916" s="1160"/>
      <c r="Y916" s="1160"/>
      <c r="Z916" s="1160"/>
      <c r="AA916" s="1160"/>
      <c r="AB916" s="1160"/>
      <c r="AC916" s="1160"/>
      <c r="AD916" s="1160"/>
      <c r="AE916" s="1160"/>
      <c r="AF916" s="1160"/>
      <c r="AG916" s="1160"/>
      <c r="AH916" s="1160"/>
      <c r="AI916" s="1160"/>
      <c r="AJ916" s="1160"/>
      <c r="AK916" s="1160"/>
      <c r="AL916" s="1160"/>
    </row>
    <row r="917" ht="15.0" customHeight="1">
      <c r="A917" s="1209"/>
      <c r="B917" s="1209"/>
      <c r="C917" s="1210"/>
      <c r="D917" s="1160"/>
      <c r="E917" s="1160"/>
      <c r="F917" s="1160"/>
      <c r="G917" s="1160"/>
      <c r="H917" s="1160"/>
      <c r="I917" s="1160"/>
      <c r="J917" s="1160"/>
      <c r="K917" s="1160"/>
      <c r="L917" s="1160"/>
      <c r="M917" s="1160"/>
      <c r="N917" s="1160"/>
      <c r="O917" s="1160"/>
      <c r="P917" s="1160"/>
      <c r="Q917" s="1160"/>
      <c r="R917" s="1160"/>
      <c r="S917" s="1160"/>
      <c r="T917" s="1160"/>
      <c r="U917" s="1160"/>
      <c r="V917" s="1160"/>
      <c r="W917" s="1160"/>
      <c r="X917" s="1160"/>
      <c r="Y917" s="1160"/>
      <c r="Z917" s="1160"/>
      <c r="AA917" s="1160"/>
      <c r="AB917" s="1160"/>
      <c r="AC917" s="1160"/>
      <c r="AD917" s="1160"/>
      <c r="AE917" s="1160"/>
      <c r="AF917" s="1160"/>
      <c r="AG917" s="1160"/>
      <c r="AH917" s="1160"/>
      <c r="AI917" s="1160"/>
      <c r="AJ917" s="1160"/>
      <c r="AK917" s="1160"/>
      <c r="AL917" s="1160"/>
    </row>
    <row r="918" ht="15.0" customHeight="1">
      <c r="A918" s="1209"/>
      <c r="B918" s="1209"/>
      <c r="C918" s="1210"/>
      <c r="D918" s="1160"/>
      <c r="E918" s="1160"/>
      <c r="F918" s="1160"/>
      <c r="G918" s="1160"/>
      <c r="H918" s="1160"/>
      <c r="I918" s="1160"/>
      <c r="J918" s="1160"/>
      <c r="K918" s="1160"/>
      <c r="L918" s="1160"/>
      <c r="M918" s="1160"/>
      <c r="N918" s="1160"/>
      <c r="O918" s="1160"/>
      <c r="P918" s="1160"/>
      <c r="Q918" s="1160"/>
      <c r="R918" s="1160"/>
      <c r="S918" s="1160"/>
      <c r="T918" s="1160"/>
      <c r="U918" s="1160"/>
      <c r="V918" s="1160"/>
      <c r="W918" s="1160"/>
      <c r="X918" s="1160"/>
      <c r="Y918" s="1160"/>
      <c r="Z918" s="1160"/>
      <c r="AA918" s="1160"/>
      <c r="AB918" s="1160"/>
      <c r="AC918" s="1160"/>
      <c r="AD918" s="1160"/>
      <c r="AE918" s="1160"/>
      <c r="AF918" s="1160"/>
      <c r="AG918" s="1160"/>
      <c r="AH918" s="1160"/>
      <c r="AI918" s="1160"/>
      <c r="AJ918" s="1160"/>
      <c r="AK918" s="1160"/>
      <c r="AL918" s="1160"/>
    </row>
    <row r="919" ht="15.0" customHeight="1">
      <c r="A919" s="1209"/>
      <c r="B919" s="1209"/>
      <c r="C919" s="1210"/>
      <c r="D919" s="1160"/>
      <c r="E919" s="1160"/>
      <c r="F919" s="1160"/>
      <c r="G919" s="1160"/>
      <c r="H919" s="1160"/>
      <c r="I919" s="1160"/>
      <c r="J919" s="1160"/>
      <c r="K919" s="1160"/>
      <c r="L919" s="1160"/>
      <c r="M919" s="1160"/>
      <c r="N919" s="1160"/>
      <c r="O919" s="1160"/>
      <c r="P919" s="1160"/>
      <c r="Q919" s="1160"/>
      <c r="R919" s="1160"/>
      <c r="S919" s="1160"/>
      <c r="T919" s="1160"/>
      <c r="U919" s="1160"/>
      <c r="V919" s="1160"/>
      <c r="W919" s="1160"/>
      <c r="X919" s="1160"/>
      <c r="Y919" s="1160"/>
      <c r="Z919" s="1160"/>
      <c r="AA919" s="1160"/>
      <c r="AB919" s="1160"/>
      <c r="AC919" s="1160"/>
      <c r="AD919" s="1160"/>
      <c r="AE919" s="1160"/>
      <c r="AF919" s="1160"/>
      <c r="AG919" s="1160"/>
      <c r="AH919" s="1160"/>
      <c r="AI919" s="1160"/>
      <c r="AJ919" s="1160"/>
      <c r="AK919" s="1160"/>
      <c r="AL919" s="1160"/>
    </row>
    <row r="920" ht="15.0" customHeight="1">
      <c r="A920" s="1209"/>
      <c r="B920" s="1209"/>
      <c r="C920" s="1210"/>
      <c r="D920" s="1160"/>
      <c r="E920" s="1160"/>
      <c r="F920" s="1160"/>
      <c r="G920" s="1160"/>
      <c r="H920" s="1160"/>
      <c r="I920" s="1160"/>
      <c r="J920" s="1160"/>
      <c r="K920" s="1160"/>
      <c r="L920" s="1160"/>
      <c r="M920" s="1160"/>
      <c r="N920" s="1160"/>
      <c r="O920" s="1160"/>
      <c r="P920" s="1160"/>
      <c r="Q920" s="1160"/>
      <c r="R920" s="1160"/>
      <c r="S920" s="1160"/>
      <c r="T920" s="1160"/>
      <c r="U920" s="1160"/>
      <c r="V920" s="1160"/>
      <c r="W920" s="1160"/>
      <c r="X920" s="1160"/>
      <c r="Y920" s="1160"/>
      <c r="Z920" s="1160"/>
      <c r="AA920" s="1160"/>
      <c r="AB920" s="1160"/>
      <c r="AC920" s="1160"/>
      <c r="AD920" s="1160"/>
      <c r="AE920" s="1160"/>
      <c r="AF920" s="1160"/>
      <c r="AG920" s="1160"/>
      <c r="AH920" s="1160"/>
      <c r="AI920" s="1160"/>
      <c r="AJ920" s="1160"/>
      <c r="AK920" s="1160"/>
      <c r="AL920" s="1160"/>
    </row>
    <row r="921" ht="15.0" customHeight="1">
      <c r="A921" s="1209"/>
      <c r="B921" s="1209"/>
      <c r="C921" s="1210"/>
      <c r="D921" s="1160"/>
      <c r="E921" s="1160"/>
      <c r="F921" s="1160"/>
      <c r="G921" s="1160"/>
      <c r="H921" s="1160"/>
      <c r="I921" s="1160"/>
      <c r="J921" s="1160"/>
      <c r="K921" s="1160"/>
      <c r="L921" s="1160"/>
      <c r="M921" s="1160"/>
      <c r="N921" s="1160"/>
      <c r="O921" s="1160"/>
      <c r="P921" s="1160"/>
      <c r="Q921" s="1160"/>
      <c r="R921" s="1160"/>
      <c r="S921" s="1160"/>
      <c r="T921" s="1160"/>
      <c r="U921" s="1160"/>
      <c r="V921" s="1160"/>
      <c r="W921" s="1160"/>
      <c r="X921" s="1160"/>
      <c r="Y921" s="1160"/>
      <c r="Z921" s="1160"/>
      <c r="AA921" s="1160"/>
      <c r="AB921" s="1160"/>
      <c r="AC921" s="1160"/>
      <c r="AD921" s="1160"/>
      <c r="AE921" s="1160"/>
      <c r="AF921" s="1160"/>
      <c r="AG921" s="1160"/>
      <c r="AH921" s="1160"/>
      <c r="AI921" s="1160"/>
      <c r="AJ921" s="1160"/>
      <c r="AK921" s="1160"/>
      <c r="AL921" s="1160"/>
    </row>
    <row r="922" ht="15.0" customHeight="1">
      <c r="A922" s="1209"/>
      <c r="B922" s="1209"/>
      <c r="C922" s="1210"/>
      <c r="D922" s="1160"/>
      <c r="E922" s="1160"/>
      <c r="F922" s="1160"/>
      <c r="G922" s="1160"/>
      <c r="H922" s="1160"/>
      <c r="I922" s="1160"/>
      <c r="J922" s="1160"/>
      <c r="K922" s="1160"/>
      <c r="L922" s="1160"/>
      <c r="M922" s="1160"/>
      <c r="N922" s="1160"/>
      <c r="O922" s="1160"/>
      <c r="P922" s="1160"/>
      <c r="Q922" s="1160"/>
      <c r="R922" s="1160"/>
      <c r="S922" s="1160"/>
      <c r="T922" s="1160"/>
      <c r="U922" s="1160"/>
      <c r="V922" s="1160"/>
      <c r="W922" s="1160"/>
      <c r="X922" s="1160"/>
      <c r="Y922" s="1160"/>
      <c r="Z922" s="1160"/>
      <c r="AA922" s="1160"/>
      <c r="AB922" s="1160"/>
      <c r="AC922" s="1160"/>
      <c r="AD922" s="1160"/>
      <c r="AE922" s="1160"/>
      <c r="AF922" s="1160"/>
      <c r="AG922" s="1160"/>
      <c r="AH922" s="1160"/>
      <c r="AI922" s="1160"/>
      <c r="AJ922" s="1160"/>
      <c r="AK922" s="1160"/>
      <c r="AL922" s="1160"/>
    </row>
    <row r="923" ht="15.0" customHeight="1">
      <c r="A923" s="1209"/>
      <c r="B923" s="1209"/>
      <c r="C923" s="1210"/>
      <c r="D923" s="1160"/>
      <c r="E923" s="1160"/>
      <c r="F923" s="1160"/>
      <c r="G923" s="1160"/>
      <c r="H923" s="1160"/>
      <c r="I923" s="1160"/>
      <c r="J923" s="1160"/>
      <c r="K923" s="1160"/>
      <c r="L923" s="1160"/>
      <c r="M923" s="1160"/>
      <c r="N923" s="1160"/>
      <c r="O923" s="1160"/>
      <c r="P923" s="1160"/>
      <c r="Q923" s="1160"/>
      <c r="R923" s="1160"/>
      <c r="S923" s="1160"/>
      <c r="T923" s="1160"/>
      <c r="U923" s="1160"/>
      <c r="V923" s="1160"/>
      <c r="W923" s="1160"/>
      <c r="X923" s="1160"/>
      <c r="Y923" s="1160"/>
      <c r="Z923" s="1160"/>
      <c r="AA923" s="1160"/>
      <c r="AB923" s="1160"/>
      <c r="AC923" s="1160"/>
      <c r="AD923" s="1160"/>
      <c r="AE923" s="1160"/>
      <c r="AF923" s="1160"/>
      <c r="AG923" s="1160"/>
      <c r="AH923" s="1160"/>
      <c r="AI923" s="1160"/>
      <c r="AJ923" s="1160"/>
      <c r="AK923" s="1160"/>
      <c r="AL923" s="1160"/>
    </row>
    <row r="924" ht="15.0" customHeight="1">
      <c r="A924" s="1209"/>
      <c r="B924" s="1209"/>
      <c r="C924" s="1210"/>
      <c r="D924" s="1160"/>
      <c r="E924" s="1160"/>
      <c r="F924" s="1160"/>
      <c r="G924" s="1160"/>
      <c r="H924" s="1160"/>
      <c r="I924" s="1160"/>
      <c r="J924" s="1160"/>
      <c r="K924" s="1160"/>
      <c r="L924" s="1160"/>
      <c r="M924" s="1160"/>
      <c r="N924" s="1160"/>
      <c r="O924" s="1160"/>
      <c r="P924" s="1160"/>
      <c r="Q924" s="1160"/>
      <c r="R924" s="1160"/>
      <c r="S924" s="1160"/>
      <c r="T924" s="1160"/>
      <c r="U924" s="1160"/>
      <c r="V924" s="1160"/>
      <c r="W924" s="1160"/>
      <c r="X924" s="1160"/>
      <c r="Y924" s="1160"/>
      <c r="Z924" s="1160"/>
      <c r="AA924" s="1160"/>
      <c r="AB924" s="1160"/>
      <c r="AC924" s="1160"/>
      <c r="AD924" s="1160"/>
      <c r="AE924" s="1160"/>
      <c r="AF924" s="1160"/>
      <c r="AG924" s="1160"/>
      <c r="AH924" s="1160"/>
      <c r="AI924" s="1160"/>
      <c r="AJ924" s="1160"/>
      <c r="AK924" s="1160"/>
      <c r="AL924" s="1160"/>
    </row>
    <row r="925" ht="15.0" customHeight="1">
      <c r="A925" s="1209"/>
      <c r="B925" s="1209"/>
      <c r="C925" s="1210"/>
      <c r="D925" s="1160"/>
      <c r="E925" s="1160"/>
      <c r="F925" s="1160"/>
      <c r="G925" s="1160"/>
      <c r="H925" s="1160"/>
      <c r="I925" s="1160"/>
      <c r="J925" s="1160"/>
      <c r="K925" s="1160"/>
      <c r="L925" s="1160"/>
      <c r="M925" s="1160"/>
      <c r="N925" s="1160"/>
      <c r="O925" s="1160"/>
      <c r="P925" s="1160"/>
      <c r="Q925" s="1160"/>
      <c r="R925" s="1160"/>
      <c r="S925" s="1160"/>
      <c r="T925" s="1160"/>
      <c r="U925" s="1160"/>
      <c r="V925" s="1160"/>
      <c r="W925" s="1160"/>
      <c r="X925" s="1160"/>
      <c r="Y925" s="1160"/>
      <c r="Z925" s="1160"/>
      <c r="AA925" s="1160"/>
      <c r="AB925" s="1160"/>
      <c r="AC925" s="1160"/>
      <c r="AD925" s="1160"/>
      <c r="AE925" s="1160"/>
      <c r="AF925" s="1160"/>
      <c r="AG925" s="1160"/>
      <c r="AH925" s="1160"/>
      <c r="AI925" s="1160"/>
      <c r="AJ925" s="1160"/>
      <c r="AK925" s="1160"/>
      <c r="AL925" s="1160"/>
    </row>
    <row r="926" ht="15.0" customHeight="1">
      <c r="A926" s="1209"/>
      <c r="B926" s="1209"/>
      <c r="C926" s="1210"/>
      <c r="D926" s="1160"/>
      <c r="E926" s="1160"/>
      <c r="F926" s="1160"/>
      <c r="G926" s="1160"/>
      <c r="H926" s="1160"/>
      <c r="I926" s="1160"/>
      <c r="J926" s="1160"/>
      <c r="K926" s="1160"/>
      <c r="L926" s="1160"/>
      <c r="M926" s="1160"/>
      <c r="N926" s="1160"/>
      <c r="O926" s="1160"/>
      <c r="P926" s="1160"/>
      <c r="Q926" s="1160"/>
      <c r="R926" s="1160"/>
      <c r="S926" s="1160"/>
      <c r="T926" s="1160"/>
      <c r="U926" s="1160"/>
      <c r="V926" s="1160"/>
      <c r="W926" s="1160"/>
      <c r="X926" s="1160"/>
      <c r="Y926" s="1160"/>
      <c r="Z926" s="1160"/>
      <c r="AA926" s="1160"/>
      <c r="AB926" s="1160"/>
      <c r="AC926" s="1160"/>
      <c r="AD926" s="1160"/>
      <c r="AE926" s="1160"/>
      <c r="AF926" s="1160"/>
      <c r="AG926" s="1160"/>
      <c r="AH926" s="1160"/>
      <c r="AI926" s="1160"/>
      <c r="AJ926" s="1160"/>
      <c r="AK926" s="1160"/>
      <c r="AL926" s="1160"/>
    </row>
    <row r="927" ht="15.0" customHeight="1">
      <c r="A927" s="1209"/>
      <c r="B927" s="1209"/>
      <c r="C927" s="1210"/>
      <c r="D927" s="1160"/>
      <c r="E927" s="1160"/>
      <c r="F927" s="1160"/>
      <c r="G927" s="1160"/>
      <c r="H927" s="1160"/>
      <c r="I927" s="1160"/>
      <c r="J927" s="1160"/>
      <c r="K927" s="1160"/>
      <c r="L927" s="1160"/>
      <c r="M927" s="1160"/>
      <c r="N927" s="1160"/>
      <c r="O927" s="1160"/>
      <c r="P927" s="1160"/>
      <c r="Q927" s="1160"/>
      <c r="R927" s="1160"/>
      <c r="S927" s="1160"/>
      <c r="T927" s="1160"/>
      <c r="U927" s="1160"/>
      <c r="V927" s="1160"/>
      <c r="W927" s="1160"/>
      <c r="X927" s="1160"/>
      <c r="Y927" s="1160"/>
      <c r="Z927" s="1160"/>
      <c r="AA927" s="1160"/>
      <c r="AB927" s="1160"/>
      <c r="AC927" s="1160"/>
      <c r="AD927" s="1160"/>
      <c r="AE927" s="1160"/>
      <c r="AF927" s="1160"/>
      <c r="AG927" s="1160"/>
      <c r="AH927" s="1160"/>
      <c r="AI927" s="1160"/>
      <c r="AJ927" s="1160"/>
      <c r="AK927" s="1160"/>
      <c r="AL927" s="1160"/>
    </row>
    <row r="928" ht="15.0" customHeight="1">
      <c r="A928" s="1209"/>
      <c r="B928" s="1209"/>
      <c r="C928" s="1210"/>
      <c r="D928" s="1160"/>
      <c r="E928" s="1160"/>
      <c r="F928" s="1160"/>
      <c r="G928" s="1160"/>
      <c r="H928" s="1160"/>
      <c r="I928" s="1160"/>
      <c r="J928" s="1160"/>
      <c r="K928" s="1160"/>
      <c r="L928" s="1160"/>
      <c r="M928" s="1160"/>
      <c r="N928" s="1160"/>
      <c r="O928" s="1160"/>
      <c r="P928" s="1160"/>
      <c r="Q928" s="1160"/>
      <c r="R928" s="1160"/>
      <c r="S928" s="1160"/>
      <c r="T928" s="1160"/>
      <c r="U928" s="1160"/>
      <c r="V928" s="1160"/>
      <c r="W928" s="1160"/>
      <c r="X928" s="1160"/>
      <c r="Y928" s="1160"/>
      <c r="Z928" s="1160"/>
      <c r="AA928" s="1160"/>
      <c r="AB928" s="1160"/>
      <c r="AC928" s="1160"/>
      <c r="AD928" s="1160"/>
      <c r="AE928" s="1160"/>
      <c r="AF928" s="1160"/>
      <c r="AG928" s="1160"/>
      <c r="AH928" s="1160"/>
      <c r="AI928" s="1160"/>
      <c r="AJ928" s="1160"/>
      <c r="AK928" s="1160"/>
      <c r="AL928" s="1160"/>
    </row>
    <row r="929" ht="15.0" customHeight="1">
      <c r="A929" s="1209"/>
      <c r="B929" s="1209"/>
      <c r="C929" s="1210"/>
      <c r="D929" s="1160"/>
      <c r="E929" s="1160"/>
      <c r="F929" s="1160"/>
      <c r="G929" s="1160"/>
      <c r="H929" s="1160"/>
      <c r="I929" s="1160"/>
      <c r="J929" s="1160"/>
      <c r="K929" s="1160"/>
      <c r="L929" s="1160"/>
      <c r="M929" s="1160"/>
      <c r="N929" s="1160"/>
      <c r="O929" s="1160"/>
      <c r="P929" s="1160"/>
      <c r="Q929" s="1160"/>
      <c r="R929" s="1160"/>
      <c r="S929" s="1160"/>
      <c r="T929" s="1160"/>
      <c r="U929" s="1160"/>
      <c r="V929" s="1160"/>
      <c r="W929" s="1160"/>
      <c r="X929" s="1160"/>
      <c r="Y929" s="1160"/>
      <c r="Z929" s="1160"/>
      <c r="AA929" s="1160"/>
      <c r="AB929" s="1160"/>
      <c r="AC929" s="1160"/>
      <c r="AD929" s="1160"/>
      <c r="AE929" s="1160"/>
      <c r="AF929" s="1160"/>
      <c r="AG929" s="1160"/>
      <c r="AH929" s="1160"/>
      <c r="AI929" s="1160"/>
      <c r="AJ929" s="1160"/>
      <c r="AK929" s="1160"/>
      <c r="AL929" s="1160"/>
    </row>
    <row r="930" ht="15.0" customHeight="1">
      <c r="A930" s="1209"/>
      <c r="B930" s="1209"/>
      <c r="C930" s="1210"/>
      <c r="D930" s="1160"/>
      <c r="E930" s="1160"/>
      <c r="F930" s="1160"/>
      <c r="G930" s="1160"/>
      <c r="H930" s="1160"/>
      <c r="I930" s="1160"/>
      <c r="J930" s="1160"/>
      <c r="K930" s="1160"/>
      <c r="L930" s="1160"/>
      <c r="M930" s="1160"/>
      <c r="N930" s="1160"/>
      <c r="O930" s="1160"/>
      <c r="P930" s="1160"/>
      <c r="Q930" s="1160"/>
      <c r="R930" s="1160"/>
      <c r="S930" s="1160"/>
      <c r="T930" s="1160"/>
      <c r="U930" s="1160"/>
      <c r="V930" s="1160"/>
      <c r="W930" s="1160"/>
      <c r="X930" s="1160"/>
      <c r="Y930" s="1160"/>
      <c r="Z930" s="1160"/>
      <c r="AA930" s="1160"/>
      <c r="AB930" s="1160"/>
      <c r="AC930" s="1160"/>
      <c r="AD930" s="1160"/>
      <c r="AE930" s="1160"/>
      <c r="AF930" s="1160"/>
      <c r="AG930" s="1160"/>
      <c r="AH930" s="1160"/>
      <c r="AI930" s="1160"/>
      <c r="AJ930" s="1160"/>
      <c r="AK930" s="1160"/>
      <c r="AL930" s="1160"/>
    </row>
    <row r="931" ht="15.0" customHeight="1">
      <c r="A931" s="1209"/>
      <c r="B931" s="1209"/>
      <c r="C931" s="1210"/>
      <c r="D931" s="1160"/>
      <c r="E931" s="1160"/>
      <c r="F931" s="1160"/>
      <c r="G931" s="1160"/>
      <c r="H931" s="1160"/>
      <c r="I931" s="1160"/>
      <c r="J931" s="1160"/>
      <c r="K931" s="1160"/>
      <c r="L931" s="1160"/>
      <c r="M931" s="1160"/>
      <c r="N931" s="1160"/>
      <c r="O931" s="1160"/>
      <c r="P931" s="1160"/>
      <c r="Q931" s="1160"/>
      <c r="R931" s="1160"/>
      <c r="S931" s="1160"/>
      <c r="T931" s="1160"/>
      <c r="U931" s="1160"/>
      <c r="V931" s="1160"/>
      <c r="W931" s="1160"/>
      <c r="X931" s="1160"/>
      <c r="Y931" s="1160"/>
      <c r="Z931" s="1160"/>
      <c r="AA931" s="1160"/>
      <c r="AB931" s="1160"/>
      <c r="AC931" s="1160"/>
      <c r="AD931" s="1160"/>
      <c r="AE931" s="1160"/>
      <c r="AF931" s="1160"/>
      <c r="AG931" s="1160"/>
      <c r="AH931" s="1160"/>
      <c r="AI931" s="1160"/>
      <c r="AJ931" s="1160"/>
      <c r="AK931" s="1160"/>
      <c r="AL931" s="1160"/>
    </row>
    <row r="932" ht="15.0" customHeight="1">
      <c r="A932" s="1209"/>
      <c r="B932" s="1209"/>
      <c r="C932" s="1210"/>
      <c r="D932" s="1160"/>
      <c r="E932" s="1160"/>
      <c r="F932" s="1160"/>
      <c r="G932" s="1160"/>
      <c r="H932" s="1160"/>
      <c r="I932" s="1160"/>
      <c r="J932" s="1160"/>
      <c r="K932" s="1160"/>
      <c r="L932" s="1160"/>
      <c r="M932" s="1160"/>
      <c r="N932" s="1160"/>
      <c r="O932" s="1160"/>
      <c r="P932" s="1160"/>
      <c r="Q932" s="1160"/>
      <c r="R932" s="1160"/>
      <c r="S932" s="1160"/>
      <c r="T932" s="1160"/>
      <c r="U932" s="1160"/>
      <c r="V932" s="1160"/>
      <c r="W932" s="1160"/>
      <c r="X932" s="1160"/>
      <c r="Y932" s="1160"/>
      <c r="Z932" s="1160"/>
      <c r="AA932" s="1160"/>
      <c r="AB932" s="1160"/>
      <c r="AC932" s="1160"/>
      <c r="AD932" s="1160"/>
      <c r="AE932" s="1160"/>
      <c r="AF932" s="1160"/>
      <c r="AG932" s="1160"/>
      <c r="AH932" s="1160"/>
      <c r="AI932" s="1160"/>
      <c r="AJ932" s="1160"/>
      <c r="AK932" s="1160"/>
      <c r="AL932" s="1160"/>
    </row>
    <row r="933" ht="15.0" customHeight="1">
      <c r="A933" s="1209"/>
      <c r="B933" s="1209"/>
      <c r="C933" s="1210"/>
      <c r="D933" s="1160"/>
      <c r="E933" s="1160"/>
      <c r="F933" s="1160"/>
      <c r="G933" s="1160"/>
      <c r="H933" s="1160"/>
      <c r="I933" s="1160"/>
      <c r="J933" s="1160"/>
      <c r="K933" s="1160"/>
      <c r="L933" s="1160"/>
      <c r="M933" s="1160"/>
      <c r="N933" s="1160"/>
      <c r="O933" s="1160"/>
      <c r="P933" s="1160"/>
      <c r="Q933" s="1160"/>
      <c r="R933" s="1160"/>
      <c r="S933" s="1160"/>
      <c r="T933" s="1160"/>
      <c r="U933" s="1160"/>
      <c r="V933" s="1160"/>
      <c r="W933" s="1160"/>
      <c r="X933" s="1160"/>
      <c r="Y933" s="1160"/>
      <c r="Z933" s="1160"/>
      <c r="AA933" s="1160"/>
      <c r="AB933" s="1160"/>
      <c r="AC933" s="1160"/>
      <c r="AD933" s="1160"/>
      <c r="AE933" s="1160"/>
      <c r="AF933" s="1160"/>
      <c r="AG933" s="1160"/>
      <c r="AH933" s="1160"/>
      <c r="AI933" s="1160"/>
      <c r="AJ933" s="1160"/>
      <c r="AK933" s="1160"/>
      <c r="AL933" s="1160"/>
    </row>
    <row r="934" ht="15.0" customHeight="1">
      <c r="A934" s="1209"/>
      <c r="B934" s="1209"/>
      <c r="C934" s="1210"/>
      <c r="D934" s="1160"/>
      <c r="E934" s="1160"/>
      <c r="F934" s="1160"/>
      <c r="G934" s="1160"/>
      <c r="H934" s="1160"/>
      <c r="I934" s="1160"/>
      <c r="J934" s="1160"/>
      <c r="K934" s="1160"/>
      <c r="L934" s="1160"/>
      <c r="M934" s="1160"/>
      <c r="N934" s="1160"/>
      <c r="O934" s="1160"/>
      <c r="P934" s="1160"/>
      <c r="Q934" s="1160"/>
      <c r="R934" s="1160"/>
      <c r="S934" s="1160"/>
      <c r="T934" s="1160"/>
      <c r="U934" s="1160"/>
      <c r="V934" s="1160"/>
      <c r="W934" s="1160"/>
      <c r="X934" s="1160"/>
      <c r="Y934" s="1160"/>
      <c r="Z934" s="1160"/>
      <c r="AA934" s="1160"/>
      <c r="AB934" s="1160"/>
      <c r="AC934" s="1160"/>
      <c r="AD934" s="1160"/>
      <c r="AE934" s="1160"/>
      <c r="AF934" s="1160"/>
      <c r="AG934" s="1160"/>
      <c r="AH934" s="1160"/>
      <c r="AI934" s="1160"/>
      <c r="AJ934" s="1160"/>
      <c r="AK934" s="1160"/>
      <c r="AL934" s="1160"/>
    </row>
    <row r="935" ht="15.0" customHeight="1">
      <c r="A935" s="1209"/>
      <c r="B935" s="1209"/>
      <c r="C935" s="1210"/>
      <c r="D935" s="1160"/>
      <c r="E935" s="1160"/>
      <c r="F935" s="1160"/>
      <c r="G935" s="1160"/>
      <c r="H935" s="1160"/>
      <c r="I935" s="1160"/>
      <c r="J935" s="1160"/>
      <c r="K935" s="1160"/>
      <c r="L935" s="1160"/>
      <c r="M935" s="1160"/>
      <c r="N935" s="1160"/>
      <c r="O935" s="1160"/>
      <c r="P935" s="1160"/>
      <c r="Q935" s="1160"/>
      <c r="R935" s="1160"/>
      <c r="S935" s="1160"/>
      <c r="T935" s="1160"/>
      <c r="U935" s="1160"/>
      <c r="V935" s="1160"/>
      <c r="W935" s="1160"/>
      <c r="X935" s="1160"/>
      <c r="Y935" s="1160"/>
      <c r="Z935" s="1160"/>
      <c r="AA935" s="1160"/>
      <c r="AB935" s="1160"/>
      <c r="AC935" s="1160"/>
      <c r="AD935" s="1160"/>
      <c r="AE935" s="1160"/>
      <c r="AF935" s="1160"/>
      <c r="AG935" s="1160"/>
      <c r="AH935" s="1160"/>
      <c r="AI935" s="1160"/>
      <c r="AJ935" s="1160"/>
      <c r="AK935" s="1160"/>
      <c r="AL935" s="1160"/>
    </row>
    <row r="936" ht="15.0" customHeight="1">
      <c r="A936" s="1209"/>
      <c r="B936" s="1209"/>
      <c r="C936" s="1210"/>
      <c r="D936" s="1160"/>
      <c r="E936" s="1160"/>
      <c r="F936" s="1160"/>
      <c r="G936" s="1160"/>
      <c r="H936" s="1160"/>
      <c r="I936" s="1160"/>
      <c r="J936" s="1160"/>
      <c r="K936" s="1160"/>
      <c r="L936" s="1160"/>
      <c r="M936" s="1160"/>
      <c r="N936" s="1160"/>
      <c r="O936" s="1160"/>
      <c r="P936" s="1160"/>
      <c r="Q936" s="1160"/>
      <c r="R936" s="1160"/>
      <c r="S936" s="1160"/>
      <c r="T936" s="1160"/>
      <c r="U936" s="1160"/>
      <c r="V936" s="1160"/>
      <c r="W936" s="1160"/>
      <c r="X936" s="1160"/>
      <c r="Y936" s="1160"/>
      <c r="Z936" s="1160"/>
      <c r="AA936" s="1160"/>
      <c r="AB936" s="1160"/>
      <c r="AC936" s="1160"/>
      <c r="AD936" s="1160"/>
      <c r="AE936" s="1160"/>
      <c r="AF936" s="1160"/>
      <c r="AG936" s="1160"/>
      <c r="AH936" s="1160"/>
      <c r="AI936" s="1160"/>
      <c r="AJ936" s="1160"/>
      <c r="AK936" s="1160"/>
      <c r="AL936" s="1160"/>
    </row>
    <row r="937" ht="15.0" customHeight="1">
      <c r="A937" s="1209"/>
      <c r="B937" s="1209"/>
      <c r="C937" s="1210"/>
      <c r="D937" s="1160"/>
      <c r="E937" s="1160"/>
      <c r="F937" s="1160"/>
      <c r="G937" s="1160"/>
      <c r="H937" s="1160"/>
      <c r="I937" s="1160"/>
      <c r="J937" s="1160"/>
      <c r="K937" s="1160"/>
      <c r="L937" s="1160"/>
      <c r="M937" s="1160"/>
      <c r="N937" s="1160"/>
      <c r="O937" s="1160"/>
      <c r="P937" s="1160"/>
      <c r="Q937" s="1160"/>
      <c r="R937" s="1160"/>
      <c r="S937" s="1160"/>
      <c r="T937" s="1160"/>
      <c r="U937" s="1160"/>
      <c r="V937" s="1160"/>
      <c r="W937" s="1160"/>
      <c r="X937" s="1160"/>
      <c r="Y937" s="1160"/>
      <c r="Z937" s="1160"/>
      <c r="AA937" s="1160"/>
      <c r="AB937" s="1160"/>
      <c r="AC937" s="1160"/>
      <c r="AD937" s="1160"/>
      <c r="AE937" s="1160"/>
      <c r="AF937" s="1160"/>
      <c r="AG937" s="1160"/>
      <c r="AH937" s="1160"/>
      <c r="AI937" s="1160"/>
      <c r="AJ937" s="1160"/>
      <c r="AK937" s="1160"/>
      <c r="AL937" s="1160"/>
    </row>
    <row r="938" ht="15.0" customHeight="1">
      <c r="A938" s="1209"/>
      <c r="B938" s="1209"/>
      <c r="C938" s="1210"/>
      <c r="D938" s="1160"/>
      <c r="E938" s="1160"/>
      <c r="F938" s="1160"/>
      <c r="G938" s="1160"/>
      <c r="H938" s="1160"/>
      <c r="I938" s="1160"/>
      <c r="J938" s="1160"/>
      <c r="K938" s="1160"/>
      <c r="L938" s="1160"/>
      <c r="M938" s="1160"/>
      <c r="N938" s="1160"/>
      <c r="O938" s="1160"/>
      <c r="P938" s="1160"/>
      <c r="Q938" s="1160"/>
      <c r="R938" s="1160"/>
      <c r="S938" s="1160"/>
      <c r="T938" s="1160"/>
      <c r="U938" s="1160"/>
      <c r="V938" s="1160"/>
      <c r="W938" s="1160"/>
      <c r="X938" s="1160"/>
      <c r="Y938" s="1160"/>
      <c r="Z938" s="1160"/>
      <c r="AA938" s="1160"/>
      <c r="AB938" s="1160"/>
      <c r="AC938" s="1160"/>
      <c r="AD938" s="1160"/>
      <c r="AE938" s="1160"/>
      <c r="AF938" s="1160"/>
      <c r="AG938" s="1160"/>
      <c r="AH938" s="1160"/>
      <c r="AI938" s="1160"/>
      <c r="AJ938" s="1160"/>
      <c r="AK938" s="1160"/>
      <c r="AL938" s="1160"/>
    </row>
    <row r="939" ht="15.0" customHeight="1">
      <c r="A939" s="1209"/>
      <c r="B939" s="1209"/>
      <c r="C939" s="1210"/>
      <c r="D939" s="1160"/>
      <c r="E939" s="1160"/>
      <c r="F939" s="1160"/>
      <c r="G939" s="1160"/>
      <c r="H939" s="1160"/>
      <c r="I939" s="1160"/>
      <c r="J939" s="1160"/>
      <c r="K939" s="1160"/>
      <c r="L939" s="1160"/>
      <c r="M939" s="1160"/>
      <c r="N939" s="1160"/>
      <c r="O939" s="1160"/>
      <c r="P939" s="1160"/>
      <c r="Q939" s="1160"/>
      <c r="R939" s="1160"/>
      <c r="S939" s="1160"/>
      <c r="T939" s="1160"/>
      <c r="U939" s="1160"/>
      <c r="V939" s="1160"/>
      <c r="W939" s="1160"/>
      <c r="X939" s="1160"/>
      <c r="Y939" s="1160"/>
      <c r="Z939" s="1160"/>
      <c r="AA939" s="1160"/>
      <c r="AB939" s="1160"/>
      <c r="AC939" s="1160"/>
      <c r="AD939" s="1160"/>
      <c r="AE939" s="1160"/>
      <c r="AF939" s="1160"/>
      <c r="AG939" s="1160"/>
      <c r="AH939" s="1160"/>
      <c r="AI939" s="1160"/>
      <c r="AJ939" s="1160"/>
      <c r="AK939" s="1160"/>
      <c r="AL939" s="1160"/>
    </row>
    <row r="940" ht="15.0" customHeight="1">
      <c r="A940" s="1209"/>
      <c r="B940" s="1209"/>
      <c r="C940" s="1210"/>
      <c r="D940" s="1160"/>
      <c r="E940" s="1160"/>
      <c r="F940" s="1160"/>
      <c r="G940" s="1160"/>
      <c r="H940" s="1160"/>
      <c r="I940" s="1160"/>
      <c r="J940" s="1160"/>
      <c r="K940" s="1160"/>
      <c r="L940" s="1160"/>
      <c r="M940" s="1160"/>
      <c r="N940" s="1160"/>
      <c r="O940" s="1160"/>
      <c r="P940" s="1160"/>
      <c r="Q940" s="1160"/>
      <c r="R940" s="1160"/>
      <c r="S940" s="1160"/>
      <c r="T940" s="1160"/>
      <c r="U940" s="1160"/>
      <c r="V940" s="1160"/>
      <c r="W940" s="1160"/>
      <c r="X940" s="1160"/>
      <c r="Y940" s="1160"/>
      <c r="Z940" s="1160"/>
      <c r="AA940" s="1160"/>
      <c r="AB940" s="1160"/>
      <c r="AC940" s="1160"/>
      <c r="AD940" s="1160"/>
      <c r="AE940" s="1160"/>
      <c r="AF940" s="1160"/>
      <c r="AG940" s="1160"/>
      <c r="AH940" s="1160"/>
      <c r="AI940" s="1160"/>
      <c r="AJ940" s="1160"/>
      <c r="AK940" s="1160"/>
      <c r="AL940" s="1160"/>
    </row>
    <row r="941" ht="15.0" customHeight="1">
      <c r="A941" s="1209"/>
      <c r="B941" s="1209"/>
      <c r="C941" s="1210"/>
      <c r="D941" s="1160"/>
      <c r="E941" s="1160"/>
      <c r="F941" s="1160"/>
      <c r="G941" s="1160"/>
      <c r="H941" s="1160"/>
      <c r="I941" s="1160"/>
      <c r="J941" s="1160"/>
      <c r="K941" s="1160"/>
      <c r="L941" s="1160"/>
      <c r="M941" s="1160"/>
      <c r="N941" s="1160"/>
      <c r="O941" s="1160"/>
      <c r="P941" s="1160"/>
      <c r="Q941" s="1160"/>
      <c r="R941" s="1160"/>
      <c r="S941" s="1160"/>
      <c r="T941" s="1160"/>
      <c r="U941" s="1160"/>
      <c r="V941" s="1160"/>
      <c r="W941" s="1160"/>
      <c r="X941" s="1160"/>
      <c r="Y941" s="1160"/>
      <c r="Z941" s="1160"/>
      <c r="AA941" s="1160"/>
      <c r="AB941" s="1160"/>
      <c r="AC941" s="1160"/>
      <c r="AD941" s="1160"/>
      <c r="AE941" s="1160"/>
      <c r="AF941" s="1160"/>
      <c r="AG941" s="1160"/>
      <c r="AH941" s="1160"/>
      <c r="AI941" s="1160"/>
      <c r="AJ941" s="1160"/>
      <c r="AK941" s="1160"/>
      <c r="AL941" s="1160"/>
    </row>
    <row r="942" ht="15.0" customHeight="1">
      <c r="A942" s="1209"/>
      <c r="B942" s="1209"/>
      <c r="C942" s="1210"/>
      <c r="D942" s="1160"/>
      <c r="E942" s="1160"/>
      <c r="F942" s="1160"/>
      <c r="G942" s="1160"/>
      <c r="H942" s="1160"/>
      <c r="I942" s="1160"/>
      <c r="J942" s="1160"/>
      <c r="K942" s="1160"/>
      <c r="L942" s="1160"/>
      <c r="M942" s="1160"/>
      <c r="N942" s="1160"/>
      <c r="O942" s="1160"/>
      <c r="P942" s="1160"/>
      <c r="Q942" s="1160"/>
      <c r="R942" s="1160"/>
      <c r="S942" s="1160"/>
      <c r="T942" s="1160"/>
      <c r="U942" s="1160"/>
      <c r="V942" s="1160"/>
      <c r="W942" s="1160"/>
      <c r="X942" s="1160"/>
      <c r="Y942" s="1160"/>
      <c r="Z942" s="1160"/>
      <c r="AA942" s="1160"/>
      <c r="AB942" s="1160"/>
      <c r="AC942" s="1160"/>
      <c r="AD942" s="1160"/>
      <c r="AE942" s="1160"/>
      <c r="AF942" s="1160"/>
      <c r="AG942" s="1160"/>
      <c r="AH942" s="1160"/>
      <c r="AI942" s="1160"/>
      <c r="AJ942" s="1160"/>
      <c r="AK942" s="1160"/>
      <c r="AL942" s="1160"/>
    </row>
    <row r="943" ht="15.0" customHeight="1">
      <c r="A943" s="1209"/>
      <c r="B943" s="1209"/>
      <c r="C943" s="1210"/>
      <c r="D943" s="1160"/>
      <c r="E943" s="1160"/>
      <c r="F943" s="1160"/>
      <c r="G943" s="1160"/>
      <c r="H943" s="1160"/>
      <c r="I943" s="1160"/>
      <c r="J943" s="1160"/>
      <c r="K943" s="1160"/>
      <c r="L943" s="1160"/>
      <c r="M943" s="1160"/>
      <c r="N943" s="1160"/>
      <c r="O943" s="1160"/>
      <c r="P943" s="1160"/>
      <c r="Q943" s="1160"/>
      <c r="R943" s="1160"/>
      <c r="S943" s="1160"/>
      <c r="T943" s="1160"/>
      <c r="U943" s="1160"/>
      <c r="V943" s="1160"/>
      <c r="W943" s="1160"/>
      <c r="X943" s="1160"/>
      <c r="Y943" s="1160"/>
      <c r="Z943" s="1160"/>
      <c r="AA943" s="1160"/>
      <c r="AB943" s="1160"/>
      <c r="AC943" s="1160"/>
      <c r="AD943" s="1160"/>
      <c r="AE943" s="1160"/>
      <c r="AF943" s="1160"/>
      <c r="AG943" s="1160"/>
      <c r="AH943" s="1160"/>
      <c r="AI943" s="1160"/>
      <c r="AJ943" s="1160"/>
      <c r="AK943" s="1160"/>
      <c r="AL943" s="1160"/>
    </row>
    <row r="944" ht="15.0" customHeight="1">
      <c r="A944" s="1209"/>
      <c r="B944" s="1209"/>
      <c r="C944" s="1210"/>
      <c r="D944" s="1160"/>
      <c r="E944" s="1160"/>
      <c r="F944" s="1160"/>
      <c r="G944" s="1160"/>
      <c r="H944" s="1160"/>
      <c r="I944" s="1160"/>
      <c r="J944" s="1160"/>
      <c r="K944" s="1160"/>
      <c r="L944" s="1160"/>
      <c r="M944" s="1160"/>
      <c r="N944" s="1160"/>
      <c r="O944" s="1160"/>
      <c r="P944" s="1160"/>
      <c r="Q944" s="1160"/>
      <c r="R944" s="1160"/>
      <c r="S944" s="1160"/>
      <c r="T944" s="1160"/>
      <c r="U944" s="1160"/>
      <c r="V944" s="1160"/>
      <c r="W944" s="1160"/>
      <c r="X944" s="1160"/>
      <c r="Y944" s="1160"/>
      <c r="Z944" s="1160"/>
      <c r="AA944" s="1160"/>
      <c r="AB944" s="1160"/>
      <c r="AC944" s="1160"/>
      <c r="AD944" s="1160"/>
      <c r="AE944" s="1160"/>
      <c r="AF944" s="1160"/>
      <c r="AG944" s="1160"/>
      <c r="AH944" s="1160"/>
      <c r="AI944" s="1160"/>
      <c r="AJ944" s="1160"/>
      <c r="AK944" s="1160"/>
      <c r="AL944" s="1160"/>
    </row>
    <row r="945" ht="15.0" customHeight="1">
      <c r="A945" s="1209"/>
      <c r="B945" s="1209"/>
      <c r="C945" s="1210"/>
      <c r="D945" s="1160"/>
      <c r="E945" s="1160"/>
      <c r="F945" s="1160"/>
      <c r="G945" s="1160"/>
      <c r="H945" s="1160"/>
      <c r="I945" s="1160"/>
      <c r="J945" s="1160"/>
      <c r="K945" s="1160"/>
      <c r="L945" s="1160"/>
      <c r="M945" s="1160"/>
      <c r="N945" s="1160"/>
      <c r="O945" s="1160"/>
      <c r="P945" s="1160"/>
      <c r="Q945" s="1160"/>
      <c r="R945" s="1160"/>
      <c r="S945" s="1160"/>
      <c r="T945" s="1160"/>
      <c r="U945" s="1160"/>
      <c r="V945" s="1160"/>
      <c r="W945" s="1160"/>
      <c r="X945" s="1160"/>
      <c r="Y945" s="1160"/>
      <c r="Z945" s="1160"/>
      <c r="AA945" s="1160"/>
      <c r="AB945" s="1160"/>
      <c r="AC945" s="1160"/>
      <c r="AD945" s="1160"/>
      <c r="AE945" s="1160"/>
      <c r="AF945" s="1160"/>
      <c r="AG945" s="1160"/>
      <c r="AH945" s="1160"/>
      <c r="AI945" s="1160"/>
      <c r="AJ945" s="1160"/>
      <c r="AK945" s="1160"/>
      <c r="AL945" s="1160"/>
    </row>
    <row r="946" ht="15.0" customHeight="1">
      <c r="A946" s="1209"/>
      <c r="B946" s="1209"/>
      <c r="C946" s="1210"/>
      <c r="D946" s="1160"/>
      <c r="E946" s="1160"/>
      <c r="F946" s="1160"/>
      <c r="G946" s="1160"/>
      <c r="H946" s="1160"/>
      <c r="I946" s="1160"/>
      <c r="J946" s="1160"/>
      <c r="K946" s="1160"/>
      <c r="L946" s="1160"/>
      <c r="M946" s="1160"/>
      <c r="N946" s="1160"/>
      <c r="O946" s="1160"/>
      <c r="P946" s="1160"/>
      <c r="Q946" s="1160"/>
      <c r="R946" s="1160"/>
      <c r="S946" s="1160"/>
      <c r="T946" s="1160"/>
      <c r="U946" s="1160"/>
      <c r="V946" s="1160"/>
      <c r="W946" s="1160"/>
      <c r="X946" s="1160"/>
      <c r="Y946" s="1160"/>
      <c r="Z946" s="1160"/>
      <c r="AA946" s="1160"/>
      <c r="AB946" s="1160"/>
      <c r="AC946" s="1160"/>
      <c r="AD946" s="1160"/>
      <c r="AE946" s="1160"/>
      <c r="AF946" s="1160"/>
      <c r="AG946" s="1160"/>
      <c r="AH946" s="1160"/>
      <c r="AI946" s="1160"/>
      <c r="AJ946" s="1160"/>
      <c r="AK946" s="1160"/>
      <c r="AL946" s="1160"/>
    </row>
    <row r="947" ht="15.0" customHeight="1">
      <c r="A947" s="1209"/>
      <c r="B947" s="1209"/>
      <c r="C947" s="1210"/>
      <c r="D947" s="1160"/>
      <c r="E947" s="1160"/>
      <c r="F947" s="1160"/>
      <c r="G947" s="1160"/>
      <c r="H947" s="1160"/>
      <c r="I947" s="1160"/>
      <c r="J947" s="1160"/>
      <c r="K947" s="1160"/>
      <c r="L947" s="1160"/>
      <c r="M947" s="1160"/>
      <c r="N947" s="1160"/>
      <c r="O947" s="1160"/>
      <c r="P947" s="1160"/>
      <c r="Q947" s="1160"/>
      <c r="R947" s="1160"/>
      <c r="S947" s="1160"/>
      <c r="T947" s="1160"/>
      <c r="U947" s="1160"/>
      <c r="V947" s="1160"/>
      <c r="W947" s="1160"/>
      <c r="X947" s="1160"/>
      <c r="Y947" s="1160"/>
      <c r="Z947" s="1160"/>
      <c r="AA947" s="1160"/>
      <c r="AB947" s="1160"/>
      <c r="AC947" s="1160"/>
      <c r="AD947" s="1160"/>
      <c r="AE947" s="1160"/>
      <c r="AF947" s="1160"/>
      <c r="AG947" s="1160"/>
      <c r="AH947" s="1160"/>
      <c r="AI947" s="1160"/>
      <c r="AJ947" s="1160"/>
      <c r="AK947" s="1160"/>
      <c r="AL947" s="1160"/>
    </row>
    <row r="948" ht="15.0" customHeight="1">
      <c r="A948" s="1209"/>
      <c r="B948" s="1209"/>
      <c r="C948" s="1210"/>
      <c r="D948" s="1160"/>
      <c r="E948" s="1160"/>
      <c r="F948" s="1160"/>
      <c r="G948" s="1160"/>
      <c r="H948" s="1160"/>
      <c r="I948" s="1160"/>
      <c r="J948" s="1160"/>
      <c r="K948" s="1160"/>
      <c r="L948" s="1160"/>
      <c r="M948" s="1160"/>
      <c r="N948" s="1160"/>
      <c r="O948" s="1160"/>
      <c r="P948" s="1160"/>
      <c r="Q948" s="1160"/>
      <c r="R948" s="1160"/>
      <c r="S948" s="1160"/>
      <c r="T948" s="1160"/>
      <c r="U948" s="1160"/>
      <c r="V948" s="1160"/>
      <c r="W948" s="1160"/>
      <c r="X948" s="1160"/>
      <c r="Y948" s="1160"/>
      <c r="Z948" s="1160"/>
      <c r="AA948" s="1160"/>
      <c r="AB948" s="1160"/>
      <c r="AC948" s="1160"/>
      <c r="AD948" s="1160"/>
      <c r="AE948" s="1160"/>
      <c r="AF948" s="1160"/>
      <c r="AG948" s="1160"/>
      <c r="AH948" s="1160"/>
      <c r="AI948" s="1160"/>
      <c r="AJ948" s="1160"/>
      <c r="AK948" s="1160"/>
      <c r="AL948" s="1160"/>
    </row>
    <row r="949" ht="15.0" customHeight="1">
      <c r="A949" s="1209"/>
      <c r="B949" s="1209"/>
      <c r="C949" s="1210"/>
      <c r="D949" s="1160"/>
      <c r="E949" s="1160"/>
      <c r="F949" s="1160"/>
      <c r="G949" s="1160"/>
      <c r="H949" s="1160"/>
      <c r="I949" s="1160"/>
      <c r="J949" s="1160"/>
      <c r="K949" s="1160"/>
      <c r="L949" s="1160"/>
      <c r="M949" s="1160"/>
      <c r="N949" s="1160"/>
      <c r="O949" s="1160"/>
      <c r="P949" s="1160"/>
      <c r="Q949" s="1160"/>
      <c r="R949" s="1160"/>
      <c r="S949" s="1160"/>
      <c r="T949" s="1160"/>
      <c r="U949" s="1160"/>
      <c r="V949" s="1160"/>
      <c r="W949" s="1160"/>
      <c r="X949" s="1160"/>
      <c r="Y949" s="1160"/>
      <c r="Z949" s="1160"/>
      <c r="AA949" s="1160"/>
      <c r="AB949" s="1160"/>
      <c r="AC949" s="1160"/>
      <c r="AD949" s="1160"/>
      <c r="AE949" s="1160"/>
      <c r="AF949" s="1160"/>
      <c r="AG949" s="1160"/>
      <c r="AH949" s="1160"/>
      <c r="AI949" s="1160"/>
      <c r="AJ949" s="1160"/>
      <c r="AK949" s="1160"/>
      <c r="AL949" s="1160"/>
    </row>
    <row r="950" ht="15.0" customHeight="1">
      <c r="A950" s="1209"/>
      <c r="B950" s="1209"/>
      <c r="C950" s="1210"/>
      <c r="D950" s="1160"/>
      <c r="E950" s="1160"/>
      <c r="F950" s="1160"/>
      <c r="G950" s="1160"/>
      <c r="H950" s="1160"/>
      <c r="I950" s="1160"/>
      <c r="J950" s="1160"/>
      <c r="K950" s="1160"/>
      <c r="L950" s="1160"/>
      <c r="M950" s="1160"/>
      <c r="N950" s="1160"/>
      <c r="O950" s="1160"/>
      <c r="P950" s="1160"/>
      <c r="Q950" s="1160"/>
      <c r="R950" s="1160"/>
      <c r="S950" s="1160"/>
      <c r="T950" s="1160"/>
      <c r="U950" s="1160"/>
      <c r="V950" s="1160"/>
      <c r="W950" s="1160"/>
      <c r="X950" s="1160"/>
      <c r="Y950" s="1160"/>
      <c r="Z950" s="1160"/>
      <c r="AA950" s="1160"/>
      <c r="AB950" s="1160"/>
      <c r="AC950" s="1160"/>
      <c r="AD950" s="1160"/>
      <c r="AE950" s="1160"/>
      <c r="AF950" s="1160"/>
      <c r="AG950" s="1160"/>
      <c r="AH950" s="1160"/>
      <c r="AI950" s="1160"/>
      <c r="AJ950" s="1160"/>
      <c r="AK950" s="1160"/>
      <c r="AL950" s="1160"/>
    </row>
    <row r="951" ht="15.0" customHeight="1">
      <c r="A951" s="1209"/>
      <c r="B951" s="1209"/>
      <c r="C951" s="1210"/>
      <c r="D951" s="1160"/>
      <c r="E951" s="1160"/>
      <c r="F951" s="1160"/>
      <c r="G951" s="1160"/>
      <c r="H951" s="1160"/>
      <c r="I951" s="1160"/>
      <c r="J951" s="1160"/>
      <c r="K951" s="1160"/>
      <c r="L951" s="1160"/>
      <c r="M951" s="1160"/>
      <c r="N951" s="1160"/>
      <c r="O951" s="1160"/>
      <c r="P951" s="1160"/>
      <c r="Q951" s="1160"/>
      <c r="R951" s="1160"/>
      <c r="S951" s="1160"/>
      <c r="T951" s="1160"/>
      <c r="U951" s="1160"/>
      <c r="V951" s="1160"/>
      <c r="W951" s="1160"/>
      <c r="X951" s="1160"/>
      <c r="Y951" s="1160"/>
      <c r="Z951" s="1160"/>
      <c r="AA951" s="1160"/>
      <c r="AB951" s="1160"/>
      <c r="AC951" s="1160"/>
      <c r="AD951" s="1160"/>
      <c r="AE951" s="1160"/>
      <c r="AF951" s="1160"/>
      <c r="AG951" s="1160"/>
      <c r="AH951" s="1160"/>
      <c r="AI951" s="1160"/>
      <c r="AJ951" s="1160"/>
      <c r="AK951" s="1160"/>
      <c r="AL951" s="1160"/>
    </row>
    <row r="952" ht="15.0" customHeight="1">
      <c r="A952" s="1209"/>
      <c r="B952" s="1209"/>
      <c r="C952" s="1210"/>
      <c r="D952" s="1160"/>
      <c r="E952" s="1160"/>
      <c r="F952" s="1160"/>
      <c r="G952" s="1160"/>
      <c r="H952" s="1160"/>
      <c r="I952" s="1160"/>
      <c r="J952" s="1160"/>
      <c r="K952" s="1160"/>
      <c r="L952" s="1160"/>
      <c r="M952" s="1160"/>
      <c r="N952" s="1160"/>
      <c r="O952" s="1160"/>
      <c r="P952" s="1160"/>
      <c r="Q952" s="1160"/>
      <c r="R952" s="1160"/>
      <c r="S952" s="1160"/>
      <c r="T952" s="1160"/>
      <c r="U952" s="1160"/>
      <c r="V952" s="1160"/>
      <c r="W952" s="1160"/>
      <c r="X952" s="1160"/>
      <c r="Y952" s="1160"/>
      <c r="Z952" s="1160"/>
      <c r="AA952" s="1160"/>
      <c r="AB952" s="1160"/>
      <c r="AC952" s="1160"/>
      <c r="AD952" s="1160"/>
      <c r="AE952" s="1160"/>
      <c r="AF952" s="1160"/>
      <c r="AG952" s="1160"/>
      <c r="AH952" s="1160"/>
      <c r="AI952" s="1160"/>
      <c r="AJ952" s="1160"/>
      <c r="AK952" s="1160"/>
      <c r="AL952" s="1160"/>
    </row>
    <row r="953" ht="15.0" customHeight="1">
      <c r="A953" s="1209"/>
      <c r="B953" s="1209"/>
      <c r="C953" s="1210"/>
      <c r="D953" s="1160"/>
      <c r="E953" s="1160"/>
      <c r="F953" s="1160"/>
      <c r="G953" s="1160"/>
      <c r="H953" s="1160"/>
      <c r="I953" s="1160"/>
      <c r="J953" s="1160"/>
      <c r="K953" s="1160"/>
      <c r="L953" s="1160"/>
      <c r="M953" s="1160"/>
      <c r="N953" s="1160"/>
      <c r="O953" s="1160"/>
      <c r="P953" s="1160"/>
      <c r="Q953" s="1160"/>
      <c r="R953" s="1160"/>
      <c r="S953" s="1160"/>
      <c r="T953" s="1160"/>
      <c r="U953" s="1160"/>
      <c r="V953" s="1160"/>
      <c r="W953" s="1160"/>
      <c r="X953" s="1160"/>
      <c r="Y953" s="1160"/>
      <c r="Z953" s="1160"/>
      <c r="AA953" s="1160"/>
      <c r="AB953" s="1160"/>
      <c r="AC953" s="1160"/>
      <c r="AD953" s="1160"/>
      <c r="AE953" s="1160"/>
      <c r="AF953" s="1160"/>
      <c r="AG953" s="1160"/>
      <c r="AH953" s="1160"/>
      <c r="AI953" s="1160"/>
      <c r="AJ953" s="1160"/>
      <c r="AK953" s="1160"/>
      <c r="AL953" s="1160"/>
    </row>
    <row r="954" ht="15.0" customHeight="1">
      <c r="A954" s="1209"/>
      <c r="B954" s="1209"/>
      <c r="C954" s="1210"/>
      <c r="D954" s="1160"/>
      <c r="E954" s="1160"/>
      <c r="F954" s="1160"/>
      <c r="G954" s="1160"/>
      <c r="H954" s="1160"/>
      <c r="I954" s="1160"/>
      <c r="J954" s="1160"/>
      <c r="K954" s="1160"/>
      <c r="L954" s="1160"/>
      <c r="M954" s="1160"/>
      <c r="N954" s="1160"/>
      <c r="O954" s="1160"/>
      <c r="P954" s="1160"/>
      <c r="Q954" s="1160"/>
      <c r="R954" s="1160"/>
      <c r="S954" s="1160"/>
      <c r="T954" s="1160"/>
      <c r="U954" s="1160"/>
      <c r="V954" s="1160"/>
      <c r="W954" s="1160"/>
      <c r="X954" s="1160"/>
      <c r="Y954" s="1160"/>
      <c r="Z954" s="1160"/>
      <c r="AA954" s="1160"/>
      <c r="AB954" s="1160"/>
      <c r="AC954" s="1160"/>
      <c r="AD954" s="1160"/>
      <c r="AE954" s="1160"/>
      <c r="AF954" s="1160"/>
      <c r="AG954" s="1160"/>
      <c r="AH954" s="1160"/>
      <c r="AI954" s="1160"/>
      <c r="AJ954" s="1160"/>
      <c r="AK954" s="1160"/>
      <c r="AL954" s="1160"/>
    </row>
    <row r="955" ht="15.0" customHeight="1">
      <c r="A955" s="1209"/>
      <c r="B955" s="1209"/>
      <c r="C955" s="1210"/>
      <c r="D955" s="1160"/>
      <c r="E955" s="1160"/>
      <c r="F955" s="1160"/>
      <c r="G955" s="1160"/>
      <c r="H955" s="1160"/>
      <c r="I955" s="1160"/>
      <c r="J955" s="1160"/>
      <c r="K955" s="1160"/>
      <c r="L955" s="1160"/>
      <c r="M955" s="1160"/>
      <c r="N955" s="1160"/>
      <c r="O955" s="1160"/>
      <c r="P955" s="1160"/>
      <c r="Q955" s="1160"/>
      <c r="R955" s="1160"/>
      <c r="S955" s="1160"/>
      <c r="T955" s="1160"/>
      <c r="U955" s="1160"/>
      <c r="V955" s="1160"/>
      <c r="W955" s="1160"/>
      <c r="X955" s="1160"/>
      <c r="Y955" s="1160"/>
      <c r="Z955" s="1160"/>
      <c r="AA955" s="1160"/>
      <c r="AB955" s="1160"/>
      <c r="AC955" s="1160"/>
      <c r="AD955" s="1160"/>
      <c r="AE955" s="1160"/>
      <c r="AF955" s="1160"/>
      <c r="AG955" s="1160"/>
      <c r="AH955" s="1160"/>
      <c r="AI955" s="1160"/>
      <c r="AJ955" s="1160"/>
      <c r="AK955" s="1160"/>
      <c r="AL955" s="1160"/>
    </row>
    <row r="956" ht="15.0" customHeight="1">
      <c r="A956" s="1209"/>
      <c r="B956" s="1209"/>
      <c r="C956" s="1210"/>
      <c r="D956" s="1160"/>
      <c r="E956" s="1160"/>
      <c r="F956" s="1160"/>
      <c r="G956" s="1160"/>
      <c r="H956" s="1160"/>
      <c r="I956" s="1160"/>
      <c r="J956" s="1160"/>
      <c r="K956" s="1160"/>
      <c r="L956" s="1160"/>
      <c r="M956" s="1160"/>
      <c r="N956" s="1160"/>
      <c r="O956" s="1160"/>
      <c r="P956" s="1160"/>
      <c r="Q956" s="1160"/>
      <c r="R956" s="1160"/>
      <c r="S956" s="1160"/>
      <c r="T956" s="1160"/>
      <c r="U956" s="1160"/>
      <c r="V956" s="1160"/>
      <c r="W956" s="1160"/>
      <c r="X956" s="1160"/>
      <c r="Y956" s="1160"/>
      <c r="Z956" s="1160"/>
      <c r="AA956" s="1160"/>
      <c r="AB956" s="1160"/>
      <c r="AC956" s="1160"/>
      <c r="AD956" s="1160"/>
      <c r="AE956" s="1160"/>
      <c r="AF956" s="1160"/>
      <c r="AG956" s="1160"/>
      <c r="AH956" s="1160"/>
      <c r="AI956" s="1160"/>
      <c r="AJ956" s="1160"/>
      <c r="AK956" s="1160"/>
      <c r="AL956" s="1160"/>
    </row>
    <row r="957" ht="15.0" customHeight="1">
      <c r="A957" s="1209"/>
      <c r="B957" s="1209"/>
      <c r="C957" s="1210"/>
      <c r="D957" s="1160"/>
      <c r="E957" s="1160"/>
      <c r="F957" s="1160"/>
      <c r="G957" s="1160"/>
      <c r="H957" s="1160"/>
      <c r="I957" s="1160"/>
      <c r="J957" s="1160"/>
      <c r="K957" s="1160"/>
      <c r="L957" s="1160"/>
      <c r="M957" s="1160"/>
      <c r="N957" s="1160"/>
      <c r="O957" s="1160"/>
      <c r="P957" s="1160"/>
      <c r="Q957" s="1160"/>
      <c r="R957" s="1160"/>
      <c r="S957" s="1160"/>
      <c r="T957" s="1160"/>
      <c r="U957" s="1160"/>
      <c r="V957" s="1160"/>
      <c r="W957" s="1160"/>
      <c r="X957" s="1160"/>
      <c r="Y957" s="1160"/>
      <c r="Z957" s="1160"/>
      <c r="AA957" s="1160"/>
      <c r="AB957" s="1160"/>
      <c r="AC957" s="1160"/>
      <c r="AD957" s="1160"/>
      <c r="AE957" s="1160"/>
      <c r="AF957" s="1160"/>
      <c r="AG957" s="1160"/>
      <c r="AH957" s="1160"/>
      <c r="AI957" s="1160"/>
      <c r="AJ957" s="1160"/>
      <c r="AK957" s="1160"/>
      <c r="AL957" s="1160"/>
    </row>
    <row r="958" ht="15.0" customHeight="1">
      <c r="A958" s="1209"/>
      <c r="B958" s="1209"/>
      <c r="C958" s="1210"/>
      <c r="D958" s="1160"/>
      <c r="E958" s="1160"/>
      <c r="F958" s="1160"/>
      <c r="G958" s="1160"/>
      <c r="H958" s="1160"/>
      <c r="I958" s="1160"/>
      <c r="J958" s="1160"/>
      <c r="K958" s="1160"/>
      <c r="L958" s="1160"/>
      <c r="M958" s="1160"/>
      <c r="N958" s="1160"/>
      <c r="O958" s="1160"/>
      <c r="P958" s="1160"/>
      <c r="Q958" s="1160"/>
      <c r="R958" s="1160"/>
      <c r="S958" s="1160"/>
      <c r="T958" s="1160"/>
      <c r="U958" s="1160"/>
      <c r="V958" s="1160"/>
      <c r="W958" s="1160"/>
      <c r="X958" s="1160"/>
      <c r="Y958" s="1160"/>
      <c r="Z958" s="1160"/>
      <c r="AA958" s="1160"/>
      <c r="AB958" s="1160"/>
      <c r="AC958" s="1160"/>
      <c r="AD958" s="1160"/>
      <c r="AE958" s="1160"/>
      <c r="AF958" s="1160"/>
      <c r="AG958" s="1160"/>
      <c r="AH958" s="1160"/>
      <c r="AI958" s="1160"/>
      <c r="AJ958" s="1160"/>
      <c r="AK958" s="1160"/>
      <c r="AL958" s="1160"/>
    </row>
    <row r="959" ht="15.0" customHeight="1">
      <c r="A959" s="1209"/>
      <c r="B959" s="1209"/>
      <c r="C959" s="1210"/>
      <c r="D959" s="1160"/>
      <c r="E959" s="1160"/>
      <c r="F959" s="1160"/>
      <c r="G959" s="1160"/>
      <c r="H959" s="1160"/>
      <c r="I959" s="1160"/>
      <c r="J959" s="1160"/>
      <c r="K959" s="1160"/>
      <c r="L959" s="1160"/>
      <c r="M959" s="1160"/>
      <c r="N959" s="1160"/>
      <c r="O959" s="1160"/>
      <c r="P959" s="1160"/>
      <c r="Q959" s="1160"/>
      <c r="R959" s="1160"/>
      <c r="S959" s="1160"/>
      <c r="T959" s="1160"/>
      <c r="U959" s="1160"/>
      <c r="V959" s="1160"/>
      <c r="W959" s="1160"/>
      <c r="X959" s="1160"/>
      <c r="Y959" s="1160"/>
      <c r="Z959" s="1160"/>
      <c r="AA959" s="1160"/>
      <c r="AB959" s="1160"/>
      <c r="AC959" s="1160"/>
      <c r="AD959" s="1160"/>
      <c r="AE959" s="1160"/>
      <c r="AF959" s="1160"/>
      <c r="AG959" s="1160"/>
      <c r="AH959" s="1160"/>
      <c r="AI959" s="1160"/>
      <c r="AJ959" s="1160"/>
      <c r="AK959" s="1160"/>
      <c r="AL959" s="1160"/>
    </row>
    <row r="960" ht="15.0" customHeight="1">
      <c r="A960" s="1209"/>
      <c r="B960" s="1209"/>
      <c r="C960" s="1210"/>
      <c r="D960" s="1160"/>
      <c r="E960" s="1160"/>
      <c r="F960" s="1160"/>
      <c r="G960" s="1160"/>
      <c r="H960" s="1160"/>
      <c r="I960" s="1160"/>
      <c r="J960" s="1160"/>
      <c r="K960" s="1160"/>
      <c r="L960" s="1160"/>
      <c r="M960" s="1160"/>
      <c r="N960" s="1160"/>
      <c r="O960" s="1160"/>
      <c r="P960" s="1160"/>
      <c r="Q960" s="1160"/>
      <c r="R960" s="1160"/>
      <c r="S960" s="1160"/>
      <c r="T960" s="1160"/>
      <c r="U960" s="1160"/>
      <c r="V960" s="1160"/>
      <c r="W960" s="1160"/>
      <c r="X960" s="1160"/>
      <c r="Y960" s="1160"/>
      <c r="Z960" s="1160"/>
      <c r="AA960" s="1160"/>
      <c r="AB960" s="1160"/>
      <c r="AC960" s="1160"/>
      <c r="AD960" s="1160"/>
      <c r="AE960" s="1160"/>
      <c r="AF960" s="1160"/>
      <c r="AG960" s="1160"/>
      <c r="AH960" s="1160"/>
      <c r="AI960" s="1160"/>
      <c r="AJ960" s="1160"/>
      <c r="AK960" s="1160"/>
      <c r="AL960" s="1160"/>
    </row>
    <row r="961" ht="15.0" customHeight="1">
      <c r="A961" s="1209"/>
      <c r="B961" s="1209"/>
      <c r="C961" s="1210"/>
      <c r="D961" s="1160"/>
      <c r="E961" s="1160"/>
      <c r="F961" s="1160"/>
      <c r="G961" s="1160"/>
      <c r="H961" s="1160"/>
      <c r="I961" s="1160"/>
      <c r="J961" s="1160"/>
      <c r="K961" s="1160"/>
      <c r="L961" s="1160"/>
      <c r="M961" s="1160"/>
      <c r="N961" s="1160"/>
      <c r="O961" s="1160"/>
      <c r="P961" s="1160"/>
      <c r="Q961" s="1160"/>
      <c r="R961" s="1160"/>
      <c r="S961" s="1160"/>
      <c r="T961" s="1160"/>
      <c r="U961" s="1160"/>
      <c r="V961" s="1160"/>
      <c r="W961" s="1160"/>
      <c r="X961" s="1160"/>
      <c r="Y961" s="1160"/>
      <c r="Z961" s="1160"/>
      <c r="AA961" s="1160"/>
      <c r="AB961" s="1160"/>
      <c r="AC961" s="1160"/>
      <c r="AD961" s="1160"/>
      <c r="AE961" s="1160"/>
      <c r="AF961" s="1160"/>
      <c r="AG961" s="1160"/>
      <c r="AH961" s="1160"/>
      <c r="AI961" s="1160"/>
      <c r="AJ961" s="1160"/>
      <c r="AK961" s="1160"/>
      <c r="AL961" s="1160"/>
    </row>
    <row r="962" ht="15.0" customHeight="1">
      <c r="A962" s="1209"/>
      <c r="B962" s="1209"/>
      <c r="C962" s="1210"/>
      <c r="D962" s="1160"/>
      <c r="E962" s="1160"/>
      <c r="F962" s="1160"/>
      <c r="G962" s="1160"/>
      <c r="H962" s="1160"/>
      <c r="I962" s="1160"/>
      <c r="J962" s="1160"/>
      <c r="K962" s="1160"/>
      <c r="L962" s="1160"/>
      <c r="M962" s="1160"/>
      <c r="N962" s="1160"/>
      <c r="O962" s="1160"/>
      <c r="P962" s="1160"/>
      <c r="Q962" s="1160"/>
      <c r="R962" s="1160"/>
      <c r="S962" s="1160"/>
      <c r="T962" s="1160"/>
      <c r="U962" s="1160"/>
      <c r="V962" s="1160"/>
      <c r="W962" s="1160"/>
      <c r="X962" s="1160"/>
      <c r="Y962" s="1160"/>
      <c r="Z962" s="1160"/>
      <c r="AA962" s="1160"/>
      <c r="AB962" s="1160"/>
      <c r="AC962" s="1160"/>
      <c r="AD962" s="1160"/>
      <c r="AE962" s="1160"/>
      <c r="AF962" s="1160"/>
      <c r="AG962" s="1160"/>
      <c r="AH962" s="1160"/>
      <c r="AI962" s="1160"/>
      <c r="AJ962" s="1160"/>
      <c r="AK962" s="1160"/>
      <c r="AL962" s="1160"/>
    </row>
    <row r="963" ht="15.0" customHeight="1">
      <c r="A963" s="1209"/>
      <c r="B963" s="1209"/>
      <c r="C963" s="1210"/>
      <c r="D963" s="1160"/>
      <c r="E963" s="1160"/>
      <c r="F963" s="1160"/>
      <c r="G963" s="1160"/>
      <c r="H963" s="1160"/>
      <c r="I963" s="1160"/>
      <c r="J963" s="1160"/>
      <c r="K963" s="1160"/>
      <c r="L963" s="1160"/>
      <c r="M963" s="1160"/>
      <c r="N963" s="1160"/>
      <c r="O963" s="1160"/>
      <c r="P963" s="1160"/>
      <c r="Q963" s="1160"/>
      <c r="R963" s="1160"/>
      <c r="S963" s="1160"/>
      <c r="T963" s="1160"/>
      <c r="U963" s="1160"/>
      <c r="V963" s="1160"/>
      <c r="W963" s="1160"/>
      <c r="X963" s="1160"/>
      <c r="Y963" s="1160"/>
      <c r="Z963" s="1160"/>
      <c r="AA963" s="1160"/>
      <c r="AB963" s="1160"/>
      <c r="AC963" s="1160"/>
      <c r="AD963" s="1160"/>
      <c r="AE963" s="1160"/>
      <c r="AF963" s="1160"/>
      <c r="AG963" s="1160"/>
      <c r="AH963" s="1160"/>
      <c r="AI963" s="1160"/>
      <c r="AJ963" s="1160"/>
      <c r="AK963" s="1160"/>
      <c r="AL963" s="1160"/>
    </row>
    <row r="964" ht="15.0" customHeight="1">
      <c r="A964" s="1209"/>
      <c r="B964" s="1209"/>
      <c r="C964" s="1210"/>
      <c r="D964" s="1160"/>
      <c r="E964" s="1160"/>
      <c r="F964" s="1160"/>
      <c r="G964" s="1160"/>
      <c r="H964" s="1160"/>
      <c r="I964" s="1160"/>
      <c r="J964" s="1160"/>
      <c r="K964" s="1160"/>
      <c r="L964" s="1160"/>
      <c r="M964" s="1160"/>
      <c r="N964" s="1160"/>
      <c r="O964" s="1160"/>
      <c r="P964" s="1160"/>
      <c r="Q964" s="1160"/>
      <c r="R964" s="1160"/>
      <c r="S964" s="1160"/>
      <c r="T964" s="1160"/>
      <c r="U964" s="1160"/>
      <c r="V964" s="1160"/>
      <c r="W964" s="1160"/>
      <c r="X964" s="1160"/>
      <c r="Y964" s="1160"/>
      <c r="Z964" s="1160"/>
      <c r="AA964" s="1160"/>
      <c r="AB964" s="1160"/>
      <c r="AC964" s="1160"/>
      <c r="AD964" s="1160"/>
      <c r="AE964" s="1160"/>
      <c r="AF964" s="1160"/>
      <c r="AG964" s="1160"/>
      <c r="AH964" s="1160"/>
      <c r="AI964" s="1160"/>
      <c r="AJ964" s="1160"/>
      <c r="AK964" s="1160"/>
      <c r="AL964" s="1160"/>
    </row>
    <row r="965" ht="15.0" customHeight="1">
      <c r="A965" s="1209"/>
      <c r="B965" s="1209"/>
      <c r="C965" s="1210"/>
      <c r="D965" s="1160"/>
      <c r="E965" s="1160"/>
      <c r="F965" s="1160"/>
      <c r="G965" s="1160"/>
      <c r="H965" s="1160"/>
      <c r="I965" s="1160"/>
      <c r="J965" s="1160"/>
      <c r="K965" s="1160"/>
      <c r="L965" s="1160"/>
      <c r="M965" s="1160"/>
      <c r="N965" s="1160"/>
      <c r="O965" s="1160"/>
      <c r="P965" s="1160"/>
      <c r="Q965" s="1160"/>
      <c r="R965" s="1160"/>
      <c r="S965" s="1160"/>
      <c r="T965" s="1160"/>
      <c r="U965" s="1160"/>
      <c r="V965" s="1160"/>
      <c r="W965" s="1160"/>
      <c r="X965" s="1160"/>
      <c r="Y965" s="1160"/>
      <c r="Z965" s="1160"/>
      <c r="AA965" s="1160"/>
      <c r="AB965" s="1160"/>
      <c r="AC965" s="1160"/>
      <c r="AD965" s="1160"/>
      <c r="AE965" s="1160"/>
      <c r="AF965" s="1160"/>
      <c r="AG965" s="1160"/>
      <c r="AH965" s="1160"/>
      <c r="AI965" s="1160"/>
      <c r="AJ965" s="1160"/>
      <c r="AK965" s="1160"/>
      <c r="AL965" s="1160"/>
    </row>
    <row r="966" ht="15.0" customHeight="1">
      <c r="A966" s="1209"/>
      <c r="B966" s="1209"/>
      <c r="C966" s="1210"/>
      <c r="D966" s="1160"/>
      <c r="E966" s="1160"/>
      <c r="F966" s="1160"/>
      <c r="G966" s="1160"/>
      <c r="H966" s="1160"/>
      <c r="I966" s="1160"/>
      <c r="J966" s="1160"/>
      <c r="K966" s="1160"/>
      <c r="L966" s="1160"/>
      <c r="M966" s="1160"/>
      <c r="N966" s="1160"/>
      <c r="O966" s="1160"/>
      <c r="P966" s="1160"/>
      <c r="Q966" s="1160"/>
      <c r="R966" s="1160"/>
      <c r="S966" s="1160"/>
      <c r="T966" s="1160"/>
      <c r="U966" s="1160"/>
      <c r="V966" s="1160"/>
      <c r="W966" s="1160"/>
      <c r="X966" s="1160"/>
      <c r="Y966" s="1160"/>
      <c r="Z966" s="1160"/>
      <c r="AA966" s="1160"/>
      <c r="AB966" s="1160"/>
      <c r="AC966" s="1160"/>
      <c r="AD966" s="1160"/>
      <c r="AE966" s="1160"/>
      <c r="AF966" s="1160"/>
      <c r="AG966" s="1160"/>
      <c r="AH966" s="1160"/>
      <c r="AI966" s="1160"/>
      <c r="AJ966" s="1160"/>
      <c r="AK966" s="1160"/>
      <c r="AL966" s="1160"/>
    </row>
    <row r="967" ht="15.0" customHeight="1">
      <c r="A967" s="1209"/>
      <c r="B967" s="1209"/>
      <c r="C967" s="1210"/>
      <c r="D967" s="1160"/>
      <c r="E967" s="1160"/>
      <c r="F967" s="1160"/>
      <c r="G967" s="1160"/>
      <c r="H967" s="1160"/>
      <c r="I967" s="1160"/>
      <c r="J967" s="1160"/>
      <c r="K967" s="1160"/>
      <c r="L967" s="1160"/>
      <c r="M967" s="1160"/>
      <c r="N967" s="1160"/>
      <c r="O967" s="1160"/>
      <c r="P967" s="1160"/>
      <c r="Q967" s="1160"/>
      <c r="R967" s="1160"/>
      <c r="S967" s="1160"/>
      <c r="T967" s="1160"/>
      <c r="U967" s="1160"/>
      <c r="V967" s="1160"/>
      <c r="W967" s="1160"/>
      <c r="X967" s="1160"/>
      <c r="Y967" s="1160"/>
      <c r="Z967" s="1160"/>
      <c r="AA967" s="1160"/>
      <c r="AB967" s="1160"/>
      <c r="AC967" s="1160"/>
      <c r="AD967" s="1160"/>
      <c r="AE967" s="1160"/>
      <c r="AF967" s="1160"/>
      <c r="AG967" s="1160"/>
      <c r="AH967" s="1160"/>
      <c r="AI967" s="1160"/>
      <c r="AJ967" s="1160"/>
      <c r="AK967" s="1160"/>
      <c r="AL967" s="1160"/>
    </row>
    <row r="968" ht="15.0" customHeight="1">
      <c r="A968" s="1209"/>
      <c r="B968" s="1209"/>
      <c r="C968" s="1210"/>
      <c r="D968" s="1160"/>
      <c r="E968" s="1160"/>
      <c r="F968" s="1160"/>
      <c r="G968" s="1160"/>
      <c r="H968" s="1160"/>
      <c r="I968" s="1160"/>
      <c r="J968" s="1160"/>
      <c r="K968" s="1160"/>
      <c r="L968" s="1160"/>
      <c r="M968" s="1160"/>
      <c r="N968" s="1160"/>
      <c r="O968" s="1160"/>
      <c r="P968" s="1160"/>
      <c r="Q968" s="1160"/>
      <c r="R968" s="1160"/>
      <c r="S968" s="1160"/>
      <c r="T968" s="1160"/>
      <c r="U968" s="1160"/>
      <c r="V968" s="1160"/>
      <c r="W968" s="1160"/>
      <c r="X968" s="1160"/>
      <c r="Y968" s="1160"/>
      <c r="Z968" s="1160"/>
      <c r="AA968" s="1160"/>
      <c r="AB968" s="1160"/>
      <c r="AC968" s="1160"/>
      <c r="AD968" s="1160"/>
      <c r="AE968" s="1160"/>
      <c r="AF968" s="1160"/>
      <c r="AG968" s="1160"/>
      <c r="AH968" s="1160"/>
      <c r="AI968" s="1160"/>
      <c r="AJ968" s="1160"/>
      <c r="AK968" s="1160"/>
      <c r="AL968" s="1160"/>
    </row>
    <row r="969" ht="15.0" customHeight="1">
      <c r="A969" s="1209"/>
      <c r="B969" s="1209"/>
      <c r="C969" s="1210"/>
      <c r="D969" s="1160"/>
      <c r="E969" s="1160"/>
      <c r="F969" s="1160"/>
      <c r="G969" s="1160"/>
      <c r="H969" s="1160"/>
      <c r="I969" s="1160"/>
      <c r="J969" s="1160"/>
      <c r="K969" s="1160"/>
      <c r="L969" s="1160"/>
      <c r="M969" s="1160"/>
      <c r="N969" s="1160"/>
      <c r="O969" s="1160"/>
      <c r="P969" s="1160"/>
      <c r="Q969" s="1160"/>
      <c r="R969" s="1160"/>
      <c r="S969" s="1160"/>
      <c r="T969" s="1160"/>
      <c r="U969" s="1160"/>
      <c r="V969" s="1160"/>
      <c r="W969" s="1160"/>
      <c r="X969" s="1160"/>
      <c r="Y969" s="1160"/>
      <c r="Z969" s="1160"/>
      <c r="AA969" s="1160"/>
      <c r="AB969" s="1160"/>
      <c r="AC969" s="1160"/>
      <c r="AD969" s="1160"/>
      <c r="AE969" s="1160"/>
      <c r="AF969" s="1160"/>
      <c r="AG969" s="1160"/>
      <c r="AH969" s="1160"/>
      <c r="AI969" s="1160"/>
      <c r="AJ969" s="1160"/>
      <c r="AK969" s="1160"/>
      <c r="AL969" s="1160"/>
    </row>
    <row r="970" ht="15.0" customHeight="1">
      <c r="A970" s="1209"/>
      <c r="B970" s="1209"/>
      <c r="C970" s="1210"/>
      <c r="D970" s="1160"/>
      <c r="E970" s="1160"/>
      <c r="F970" s="1160"/>
      <c r="G970" s="1160"/>
      <c r="H970" s="1160"/>
      <c r="I970" s="1160"/>
      <c r="J970" s="1160"/>
      <c r="K970" s="1160"/>
      <c r="L970" s="1160"/>
      <c r="M970" s="1160"/>
      <c r="N970" s="1160"/>
      <c r="O970" s="1160"/>
      <c r="P970" s="1160"/>
      <c r="Q970" s="1160"/>
      <c r="R970" s="1160"/>
      <c r="S970" s="1160"/>
      <c r="T970" s="1160"/>
      <c r="U970" s="1160"/>
      <c r="V970" s="1160"/>
      <c r="W970" s="1160"/>
      <c r="X970" s="1160"/>
      <c r="Y970" s="1160"/>
      <c r="Z970" s="1160"/>
      <c r="AA970" s="1160"/>
      <c r="AB970" s="1160"/>
      <c r="AC970" s="1160"/>
      <c r="AD970" s="1160"/>
      <c r="AE970" s="1160"/>
      <c r="AF970" s="1160"/>
      <c r="AG970" s="1160"/>
      <c r="AH970" s="1160"/>
      <c r="AI970" s="1160"/>
      <c r="AJ970" s="1160"/>
      <c r="AK970" s="1160"/>
      <c r="AL970" s="1160"/>
    </row>
    <row r="971" ht="15.0" customHeight="1">
      <c r="A971" s="1209"/>
      <c r="B971" s="1209"/>
      <c r="C971" s="1210"/>
      <c r="D971" s="1160"/>
      <c r="E971" s="1160"/>
      <c r="F971" s="1160"/>
      <c r="G971" s="1160"/>
      <c r="H971" s="1160"/>
      <c r="I971" s="1160"/>
      <c r="J971" s="1160"/>
      <c r="K971" s="1160"/>
      <c r="L971" s="1160"/>
      <c r="M971" s="1160"/>
      <c r="N971" s="1160"/>
      <c r="O971" s="1160"/>
      <c r="P971" s="1160"/>
      <c r="Q971" s="1160"/>
      <c r="R971" s="1160"/>
      <c r="S971" s="1160"/>
      <c r="T971" s="1160"/>
      <c r="U971" s="1160"/>
      <c r="V971" s="1160"/>
      <c r="W971" s="1160"/>
      <c r="X971" s="1160"/>
      <c r="Y971" s="1160"/>
      <c r="Z971" s="1160"/>
      <c r="AA971" s="1160"/>
      <c r="AB971" s="1160"/>
      <c r="AC971" s="1160"/>
      <c r="AD971" s="1160"/>
      <c r="AE971" s="1160"/>
      <c r="AF971" s="1160"/>
      <c r="AG971" s="1160"/>
      <c r="AH971" s="1160"/>
      <c r="AI971" s="1160"/>
      <c r="AJ971" s="1160"/>
      <c r="AK971" s="1160"/>
      <c r="AL971" s="1160"/>
    </row>
    <row r="972" ht="15.0" customHeight="1">
      <c r="A972" s="1209"/>
      <c r="B972" s="1209"/>
      <c r="C972" s="1210"/>
      <c r="D972" s="1160"/>
      <c r="E972" s="1160"/>
      <c r="F972" s="1160"/>
      <c r="G972" s="1160"/>
      <c r="H972" s="1160"/>
      <c r="I972" s="1160"/>
      <c r="J972" s="1160"/>
      <c r="K972" s="1160"/>
      <c r="L972" s="1160"/>
      <c r="M972" s="1160"/>
      <c r="N972" s="1160"/>
      <c r="O972" s="1160"/>
      <c r="P972" s="1160"/>
      <c r="Q972" s="1160"/>
      <c r="R972" s="1160"/>
      <c r="S972" s="1160"/>
      <c r="T972" s="1160"/>
      <c r="U972" s="1160"/>
      <c r="V972" s="1160"/>
      <c r="W972" s="1160"/>
      <c r="X972" s="1160"/>
      <c r="Y972" s="1160"/>
      <c r="Z972" s="1160"/>
      <c r="AA972" s="1160"/>
      <c r="AB972" s="1160"/>
      <c r="AC972" s="1160"/>
      <c r="AD972" s="1160"/>
      <c r="AE972" s="1160"/>
      <c r="AF972" s="1160"/>
      <c r="AG972" s="1160"/>
      <c r="AH972" s="1160"/>
      <c r="AI972" s="1160"/>
      <c r="AJ972" s="1160"/>
      <c r="AK972" s="1160"/>
      <c r="AL972" s="1160"/>
    </row>
    <row r="973" ht="15.0" customHeight="1">
      <c r="A973" s="1209"/>
      <c r="B973" s="1209"/>
      <c r="C973" s="1210"/>
      <c r="D973" s="1160"/>
      <c r="E973" s="1160"/>
      <c r="F973" s="1160"/>
      <c r="G973" s="1160"/>
      <c r="H973" s="1160"/>
      <c r="I973" s="1160"/>
      <c r="J973" s="1160"/>
      <c r="K973" s="1160"/>
      <c r="L973" s="1160"/>
      <c r="M973" s="1160"/>
      <c r="N973" s="1160"/>
      <c r="O973" s="1160"/>
      <c r="P973" s="1160"/>
      <c r="Q973" s="1160"/>
      <c r="R973" s="1160"/>
      <c r="S973" s="1160"/>
      <c r="T973" s="1160"/>
      <c r="U973" s="1160"/>
      <c r="V973" s="1160"/>
      <c r="W973" s="1160"/>
      <c r="X973" s="1160"/>
      <c r="Y973" s="1160"/>
      <c r="Z973" s="1160"/>
      <c r="AA973" s="1160"/>
      <c r="AB973" s="1160"/>
      <c r="AC973" s="1160"/>
      <c r="AD973" s="1160"/>
      <c r="AE973" s="1160"/>
      <c r="AF973" s="1160"/>
      <c r="AG973" s="1160"/>
      <c r="AH973" s="1160"/>
      <c r="AI973" s="1160"/>
      <c r="AJ973" s="1160"/>
      <c r="AK973" s="1160"/>
      <c r="AL973" s="1160"/>
    </row>
    <row r="974" ht="15.0" customHeight="1">
      <c r="A974" s="1209"/>
      <c r="B974" s="1209"/>
      <c r="C974" s="1210"/>
      <c r="D974" s="1160"/>
      <c r="E974" s="1160"/>
      <c r="F974" s="1160"/>
      <c r="G974" s="1160"/>
      <c r="H974" s="1160"/>
      <c r="I974" s="1160"/>
      <c r="J974" s="1160"/>
      <c r="K974" s="1160"/>
      <c r="L974" s="1160"/>
      <c r="M974" s="1160"/>
      <c r="N974" s="1160"/>
      <c r="O974" s="1160"/>
      <c r="P974" s="1160"/>
      <c r="Q974" s="1160"/>
      <c r="R974" s="1160"/>
      <c r="S974" s="1160"/>
      <c r="T974" s="1160"/>
      <c r="U974" s="1160"/>
      <c r="V974" s="1160"/>
      <c r="W974" s="1160"/>
      <c r="X974" s="1160"/>
      <c r="Y974" s="1160"/>
      <c r="Z974" s="1160"/>
      <c r="AA974" s="1160"/>
      <c r="AB974" s="1160"/>
      <c r="AC974" s="1160"/>
      <c r="AD974" s="1160"/>
      <c r="AE974" s="1160"/>
      <c r="AF974" s="1160"/>
      <c r="AG974" s="1160"/>
      <c r="AH974" s="1160"/>
      <c r="AI974" s="1160"/>
      <c r="AJ974" s="1160"/>
      <c r="AK974" s="1160"/>
      <c r="AL974" s="1160"/>
    </row>
    <row r="975" ht="15.0" customHeight="1">
      <c r="A975" s="1209"/>
      <c r="B975" s="1209"/>
      <c r="C975" s="1210"/>
      <c r="D975" s="1160"/>
      <c r="E975" s="1160"/>
      <c r="F975" s="1160"/>
      <c r="G975" s="1160"/>
      <c r="H975" s="1160"/>
      <c r="I975" s="1160"/>
      <c r="J975" s="1160"/>
      <c r="K975" s="1160"/>
      <c r="L975" s="1160"/>
      <c r="M975" s="1160"/>
      <c r="N975" s="1160"/>
      <c r="O975" s="1160"/>
      <c r="P975" s="1160"/>
      <c r="Q975" s="1160"/>
      <c r="R975" s="1160"/>
      <c r="S975" s="1160"/>
      <c r="T975" s="1160"/>
      <c r="U975" s="1160"/>
      <c r="V975" s="1160"/>
      <c r="W975" s="1160"/>
      <c r="X975" s="1160"/>
      <c r="Y975" s="1160"/>
      <c r="Z975" s="1160"/>
      <c r="AA975" s="1160"/>
      <c r="AB975" s="1160"/>
      <c r="AC975" s="1160"/>
      <c r="AD975" s="1160"/>
      <c r="AE975" s="1160"/>
      <c r="AF975" s="1160"/>
      <c r="AG975" s="1160"/>
      <c r="AH975" s="1160"/>
      <c r="AI975" s="1160"/>
      <c r="AJ975" s="1160"/>
      <c r="AK975" s="1160"/>
      <c r="AL975" s="1160"/>
    </row>
    <row r="976" ht="15.0" customHeight="1">
      <c r="A976" s="1209"/>
      <c r="B976" s="1209"/>
      <c r="C976" s="1210"/>
      <c r="D976" s="1160"/>
      <c r="E976" s="1160"/>
      <c r="F976" s="1160"/>
      <c r="G976" s="1160"/>
      <c r="H976" s="1160"/>
      <c r="I976" s="1160"/>
      <c r="J976" s="1160"/>
      <c r="K976" s="1160"/>
      <c r="L976" s="1160"/>
      <c r="M976" s="1160"/>
      <c r="N976" s="1160"/>
      <c r="O976" s="1160"/>
      <c r="P976" s="1160"/>
      <c r="Q976" s="1160"/>
      <c r="R976" s="1160"/>
      <c r="S976" s="1160"/>
      <c r="T976" s="1160"/>
      <c r="U976" s="1160"/>
      <c r="V976" s="1160"/>
      <c r="W976" s="1160"/>
      <c r="X976" s="1160"/>
      <c r="Y976" s="1160"/>
      <c r="Z976" s="1160"/>
      <c r="AA976" s="1160"/>
      <c r="AB976" s="1160"/>
      <c r="AC976" s="1160"/>
      <c r="AD976" s="1160"/>
      <c r="AE976" s="1160"/>
      <c r="AF976" s="1160"/>
      <c r="AG976" s="1160"/>
      <c r="AH976" s="1160"/>
      <c r="AI976" s="1160"/>
      <c r="AJ976" s="1160"/>
      <c r="AK976" s="1160"/>
      <c r="AL976" s="1160"/>
    </row>
    <row r="977" ht="15.0" customHeight="1">
      <c r="A977" s="1209"/>
      <c r="B977" s="1209"/>
      <c r="C977" s="1210"/>
      <c r="D977" s="1160"/>
      <c r="E977" s="1160"/>
      <c r="F977" s="1160"/>
      <c r="G977" s="1160"/>
      <c r="H977" s="1160"/>
      <c r="I977" s="1160"/>
      <c r="J977" s="1160"/>
      <c r="K977" s="1160"/>
      <c r="L977" s="1160"/>
      <c r="M977" s="1160"/>
      <c r="N977" s="1160"/>
      <c r="O977" s="1160"/>
      <c r="P977" s="1160"/>
      <c r="Q977" s="1160"/>
      <c r="R977" s="1160"/>
      <c r="S977" s="1160"/>
      <c r="T977" s="1160"/>
      <c r="U977" s="1160"/>
      <c r="V977" s="1160"/>
      <c r="W977" s="1160"/>
      <c r="X977" s="1160"/>
      <c r="Y977" s="1160"/>
      <c r="Z977" s="1160"/>
      <c r="AA977" s="1160"/>
      <c r="AB977" s="1160"/>
      <c r="AC977" s="1160"/>
      <c r="AD977" s="1160"/>
      <c r="AE977" s="1160"/>
      <c r="AF977" s="1160"/>
      <c r="AG977" s="1160"/>
      <c r="AH977" s="1160"/>
      <c r="AI977" s="1160"/>
      <c r="AJ977" s="1160"/>
      <c r="AK977" s="1160"/>
      <c r="AL977" s="1160"/>
    </row>
    <row r="978" ht="15.0" customHeight="1">
      <c r="A978" s="1209"/>
      <c r="B978" s="1209"/>
      <c r="C978" s="1210"/>
      <c r="D978" s="1160"/>
      <c r="E978" s="1160"/>
      <c r="F978" s="1160"/>
      <c r="G978" s="1160"/>
      <c r="H978" s="1160"/>
      <c r="I978" s="1160"/>
      <c r="J978" s="1160"/>
      <c r="K978" s="1160"/>
      <c r="L978" s="1160"/>
      <c r="M978" s="1160"/>
      <c r="N978" s="1160"/>
      <c r="O978" s="1160"/>
      <c r="P978" s="1160"/>
      <c r="Q978" s="1160"/>
      <c r="R978" s="1160"/>
      <c r="S978" s="1160"/>
      <c r="T978" s="1160"/>
      <c r="U978" s="1160"/>
      <c r="V978" s="1160"/>
      <c r="W978" s="1160"/>
      <c r="X978" s="1160"/>
      <c r="Y978" s="1160"/>
      <c r="Z978" s="1160"/>
      <c r="AA978" s="1160"/>
      <c r="AB978" s="1160"/>
      <c r="AC978" s="1160"/>
      <c r="AD978" s="1160"/>
      <c r="AE978" s="1160"/>
      <c r="AF978" s="1160"/>
      <c r="AG978" s="1160"/>
      <c r="AH978" s="1160"/>
      <c r="AI978" s="1160"/>
      <c r="AJ978" s="1160"/>
      <c r="AK978" s="1160"/>
      <c r="AL978" s="1160"/>
    </row>
    <row r="979" ht="15.0" customHeight="1">
      <c r="A979" s="1209"/>
      <c r="B979" s="1209"/>
      <c r="C979" s="1210"/>
      <c r="D979" s="1160"/>
      <c r="E979" s="1160"/>
      <c r="F979" s="1160"/>
      <c r="G979" s="1160"/>
      <c r="H979" s="1160"/>
      <c r="I979" s="1160"/>
      <c r="J979" s="1160"/>
      <c r="K979" s="1160"/>
      <c r="L979" s="1160"/>
      <c r="M979" s="1160"/>
      <c r="N979" s="1160"/>
      <c r="O979" s="1160"/>
      <c r="P979" s="1160"/>
      <c r="Q979" s="1160"/>
      <c r="R979" s="1160"/>
      <c r="S979" s="1160"/>
      <c r="T979" s="1160"/>
      <c r="U979" s="1160"/>
      <c r="V979" s="1160"/>
      <c r="W979" s="1160"/>
      <c r="X979" s="1160"/>
      <c r="Y979" s="1160"/>
      <c r="Z979" s="1160"/>
      <c r="AA979" s="1160"/>
      <c r="AB979" s="1160"/>
      <c r="AC979" s="1160"/>
      <c r="AD979" s="1160"/>
      <c r="AE979" s="1160"/>
      <c r="AF979" s="1160"/>
      <c r="AG979" s="1160"/>
      <c r="AH979" s="1160"/>
      <c r="AI979" s="1160"/>
      <c r="AJ979" s="1160"/>
      <c r="AK979" s="1160"/>
      <c r="AL979" s="1160"/>
    </row>
    <row r="980" ht="15.0" customHeight="1">
      <c r="A980" s="1209"/>
      <c r="B980" s="1209"/>
      <c r="C980" s="1210"/>
      <c r="D980" s="1160"/>
      <c r="E980" s="1160"/>
      <c r="F980" s="1160"/>
      <c r="G980" s="1160"/>
      <c r="H980" s="1160"/>
      <c r="I980" s="1160"/>
      <c r="J980" s="1160"/>
      <c r="K980" s="1160"/>
      <c r="L980" s="1160"/>
      <c r="M980" s="1160"/>
      <c r="N980" s="1160"/>
      <c r="O980" s="1160"/>
      <c r="P980" s="1160"/>
      <c r="Q980" s="1160"/>
      <c r="R980" s="1160"/>
      <c r="S980" s="1160"/>
      <c r="T980" s="1160"/>
      <c r="U980" s="1160"/>
      <c r="V980" s="1160"/>
      <c r="W980" s="1160"/>
      <c r="X980" s="1160"/>
      <c r="Y980" s="1160"/>
      <c r="Z980" s="1160"/>
      <c r="AA980" s="1160"/>
      <c r="AB980" s="1160"/>
      <c r="AC980" s="1160"/>
      <c r="AD980" s="1160"/>
      <c r="AE980" s="1160"/>
      <c r="AF980" s="1160"/>
      <c r="AG980" s="1160"/>
      <c r="AH980" s="1160"/>
      <c r="AI980" s="1160"/>
      <c r="AJ980" s="1160"/>
      <c r="AK980" s="1160"/>
      <c r="AL980" s="1160"/>
    </row>
    <row r="981" ht="15.0" customHeight="1">
      <c r="A981" s="1209"/>
      <c r="B981" s="1209"/>
      <c r="C981" s="1210"/>
      <c r="D981" s="1160"/>
      <c r="E981" s="1160"/>
      <c r="F981" s="1160"/>
      <c r="G981" s="1160"/>
      <c r="H981" s="1160"/>
      <c r="I981" s="1160"/>
      <c r="J981" s="1160"/>
      <c r="K981" s="1160"/>
      <c r="L981" s="1160"/>
      <c r="M981" s="1160"/>
      <c r="N981" s="1160"/>
      <c r="O981" s="1160"/>
      <c r="P981" s="1160"/>
      <c r="Q981" s="1160"/>
      <c r="R981" s="1160"/>
      <c r="S981" s="1160"/>
      <c r="T981" s="1160"/>
      <c r="U981" s="1160"/>
      <c r="V981" s="1160"/>
      <c r="W981" s="1160"/>
      <c r="X981" s="1160"/>
      <c r="Y981" s="1160"/>
      <c r="Z981" s="1160"/>
      <c r="AA981" s="1160"/>
      <c r="AB981" s="1160"/>
      <c r="AC981" s="1160"/>
      <c r="AD981" s="1160"/>
      <c r="AE981" s="1160"/>
      <c r="AF981" s="1160"/>
      <c r="AG981" s="1160"/>
      <c r="AH981" s="1160"/>
      <c r="AI981" s="1160"/>
      <c r="AJ981" s="1160"/>
      <c r="AK981" s="1160"/>
      <c r="AL981" s="1160"/>
    </row>
    <row r="982" ht="15.0" customHeight="1">
      <c r="A982" s="1209"/>
      <c r="B982" s="1209"/>
      <c r="C982" s="1210"/>
      <c r="D982" s="1160"/>
      <c r="E982" s="1160"/>
      <c r="F982" s="1160"/>
      <c r="G982" s="1160"/>
      <c r="H982" s="1160"/>
      <c r="I982" s="1160"/>
      <c r="J982" s="1160"/>
      <c r="K982" s="1160"/>
      <c r="L982" s="1160"/>
      <c r="M982" s="1160"/>
      <c r="N982" s="1160"/>
      <c r="O982" s="1160"/>
      <c r="P982" s="1160"/>
      <c r="Q982" s="1160"/>
      <c r="R982" s="1160"/>
      <c r="S982" s="1160"/>
      <c r="T982" s="1160"/>
      <c r="U982" s="1160"/>
      <c r="V982" s="1160"/>
      <c r="W982" s="1160"/>
      <c r="X982" s="1160"/>
      <c r="Y982" s="1160"/>
      <c r="Z982" s="1160"/>
      <c r="AA982" s="1160"/>
      <c r="AB982" s="1160"/>
      <c r="AC982" s="1160"/>
      <c r="AD982" s="1160"/>
      <c r="AE982" s="1160"/>
      <c r="AF982" s="1160"/>
      <c r="AG982" s="1160"/>
      <c r="AH982" s="1160"/>
      <c r="AI982" s="1160"/>
      <c r="AJ982" s="1160"/>
      <c r="AK982" s="1160"/>
      <c r="AL982" s="1160"/>
    </row>
    <row r="983" ht="15.0" customHeight="1">
      <c r="A983" s="1209"/>
      <c r="B983" s="1209"/>
      <c r="C983" s="1210"/>
      <c r="D983" s="1160"/>
      <c r="E983" s="1160"/>
      <c r="F983" s="1160"/>
      <c r="G983" s="1160"/>
      <c r="H983" s="1160"/>
      <c r="I983" s="1160"/>
      <c r="J983" s="1160"/>
      <c r="K983" s="1160"/>
      <c r="L983" s="1160"/>
      <c r="M983" s="1160"/>
      <c r="N983" s="1160"/>
      <c r="O983" s="1160"/>
      <c r="P983" s="1160"/>
      <c r="Q983" s="1160"/>
      <c r="R983" s="1160"/>
      <c r="S983" s="1160"/>
      <c r="T983" s="1160"/>
      <c r="U983" s="1160"/>
      <c r="V983" s="1160"/>
      <c r="W983" s="1160"/>
      <c r="X983" s="1160"/>
      <c r="Y983" s="1160"/>
      <c r="Z983" s="1160"/>
      <c r="AA983" s="1160"/>
      <c r="AB983" s="1160"/>
      <c r="AC983" s="1160"/>
      <c r="AD983" s="1160"/>
      <c r="AE983" s="1160"/>
      <c r="AF983" s="1160"/>
      <c r="AG983" s="1160"/>
      <c r="AH983" s="1160"/>
      <c r="AI983" s="1160"/>
      <c r="AJ983" s="1160"/>
      <c r="AK983" s="1160"/>
      <c r="AL983" s="1160"/>
    </row>
    <row r="984" ht="15.0" customHeight="1">
      <c r="A984" s="1209"/>
      <c r="B984" s="1209"/>
      <c r="C984" s="1210"/>
      <c r="D984" s="1160"/>
      <c r="E984" s="1160"/>
      <c r="F984" s="1160"/>
      <c r="G984" s="1160"/>
      <c r="H984" s="1160"/>
      <c r="I984" s="1160"/>
      <c r="J984" s="1160"/>
      <c r="K984" s="1160"/>
      <c r="L984" s="1160"/>
      <c r="M984" s="1160"/>
      <c r="N984" s="1160"/>
      <c r="O984" s="1160"/>
      <c r="P984" s="1160"/>
      <c r="Q984" s="1160"/>
      <c r="R984" s="1160"/>
      <c r="S984" s="1160"/>
      <c r="T984" s="1160"/>
      <c r="U984" s="1160"/>
      <c r="V984" s="1160"/>
      <c r="W984" s="1160"/>
      <c r="X984" s="1160"/>
      <c r="Y984" s="1160"/>
      <c r="Z984" s="1160"/>
      <c r="AA984" s="1160"/>
      <c r="AB984" s="1160"/>
      <c r="AC984" s="1160"/>
      <c r="AD984" s="1160"/>
      <c r="AE984" s="1160"/>
      <c r="AF984" s="1160"/>
      <c r="AG984" s="1160"/>
      <c r="AH984" s="1160"/>
      <c r="AI984" s="1160"/>
      <c r="AJ984" s="1160"/>
      <c r="AK984" s="1160"/>
      <c r="AL984" s="1160"/>
    </row>
    <row r="985" ht="15.0" customHeight="1">
      <c r="A985" s="1209"/>
      <c r="B985" s="1209"/>
      <c r="C985" s="1210"/>
      <c r="D985" s="1160"/>
      <c r="E985" s="1160"/>
      <c r="F985" s="1160"/>
      <c r="G985" s="1160"/>
      <c r="H985" s="1160"/>
      <c r="I985" s="1160"/>
      <c r="J985" s="1160"/>
      <c r="K985" s="1160"/>
      <c r="L985" s="1160"/>
      <c r="M985" s="1160"/>
      <c r="N985" s="1160"/>
      <c r="O985" s="1160"/>
      <c r="P985" s="1160"/>
      <c r="Q985" s="1160"/>
      <c r="R985" s="1160"/>
      <c r="S985" s="1160"/>
      <c r="T985" s="1160"/>
      <c r="U985" s="1160"/>
      <c r="V985" s="1160"/>
      <c r="W985" s="1160"/>
      <c r="X985" s="1160"/>
      <c r="Y985" s="1160"/>
      <c r="Z985" s="1160"/>
      <c r="AA985" s="1160"/>
      <c r="AB985" s="1160"/>
      <c r="AC985" s="1160"/>
      <c r="AD985" s="1160"/>
      <c r="AE985" s="1160"/>
      <c r="AF985" s="1160"/>
      <c r="AG985" s="1160"/>
      <c r="AH985" s="1160"/>
      <c r="AI985" s="1160"/>
      <c r="AJ985" s="1160"/>
      <c r="AK985" s="1160"/>
      <c r="AL985" s="1160"/>
    </row>
    <row r="986" ht="15.0" customHeight="1">
      <c r="A986" s="1209"/>
      <c r="B986" s="1209"/>
      <c r="C986" s="1210"/>
      <c r="D986" s="1160"/>
      <c r="E986" s="1160"/>
      <c r="F986" s="1160"/>
      <c r="G986" s="1160"/>
      <c r="H986" s="1160"/>
      <c r="I986" s="1160"/>
      <c r="J986" s="1160"/>
      <c r="K986" s="1160"/>
      <c r="L986" s="1160"/>
      <c r="M986" s="1160"/>
      <c r="N986" s="1160"/>
      <c r="O986" s="1160"/>
      <c r="P986" s="1160"/>
      <c r="Q986" s="1160"/>
      <c r="R986" s="1160"/>
      <c r="S986" s="1160"/>
      <c r="T986" s="1160"/>
      <c r="U986" s="1160"/>
      <c r="V986" s="1160"/>
      <c r="W986" s="1160"/>
      <c r="X986" s="1160"/>
      <c r="Y986" s="1160"/>
      <c r="Z986" s="1160"/>
      <c r="AA986" s="1160"/>
      <c r="AB986" s="1160"/>
      <c r="AC986" s="1160"/>
      <c r="AD986" s="1160"/>
      <c r="AE986" s="1160"/>
      <c r="AF986" s="1160"/>
      <c r="AG986" s="1160"/>
      <c r="AH986" s="1160"/>
      <c r="AI986" s="1160"/>
      <c r="AJ986" s="1160"/>
      <c r="AK986" s="1160"/>
      <c r="AL986" s="1160"/>
    </row>
    <row r="987" ht="15.0" customHeight="1">
      <c r="A987" s="1209"/>
      <c r="B987" s="1209"/>
      <c r="C987" s="1210"/>
      <c r="D987" s="1160"/>
      <c r="E987" s="1160"/>
      <c r="F987" s="1160"/>
      <c r="G987" s="1160"/>
      <c r="H987" s="1160"/>
      <c r="I987" s="1160"/>
      <c r="J987" s="1160"/>
      <c r="K987" s="1160"/>
      <c r="L987" s="1160"/>
      <c r="M987" s="1160"/>
      <c r="N987" s="1160"/>
      <c r="O987" s="1160"/>
      <c r="P987" s="1160"/>
      <c r="Q987" s="1160"/>
      <c r="R987" s="1160"/>
      <c r="S987" s="1160"/>
      <c r="T987" s="1160"/>
      <c r="U987" s="1160"/>
      <c r="V987" s="1160"/>
      <c r="W987" s="1160"/>
      <c r="X987" s="1160"/>
      <c r="Y987" s="1160"/>
      <c r="Z987" s="1160"/>
      <c r="AA987" s="1160"/>
      <c r="AB987" s="1160"/>
      <c r="AC987" s="1160"/>
      <c r="AD987" s="1160"/>
      <c r="AE987" s="1160"/>
      <c r="AF987" s="1160"/>
      <c r="AG987" s="1160"/>
      <c r="AH987" s="1160"/>
      <c r="AI987" s="1160"/>
      <c r="AJ987" s="1160"/>
      <c r="AK987" s="1160"/>
      <c r="AL987" s="1160"/>
    </row>
    <row r="988" ht="15.0" customHeight="1">
      <c r="A988" s="1209"/>
      <c r="B988" s="1209"/>
      <c r="C988" s="1210"/>
      <c r="D988" s="1160"/>
      <c r="E988" s="1160"/>
      <c r="F988" s="1160"/>
      <c r="G988" s="1160"/>
      <c r="H988" s="1160"/>
      <c r="I988" s="1160"/>
      <c r="J988" s="1160"/>
      <c r="K988" s="1160"/>
      <c r="L988" s="1160"/>
      <c r="M988" s="1160"/>
      <c r="N988" s="1160"/>
      <c r="O988" s="1160"/>
      <c r="P988" s="1160"/>
      <c r="Q988" s="1160"/>
      <c r="R988" s="1160"/>
      <c r="S988" s="1160"/>
      <c r="T988" s="1160"/>
      <c r="U988" s="1160"/>
      <c r="V988" s="1160"/>
      <c r="W988" s="1160"/>
      <c r="X988" s="1160"/>
      <c r="Y988" s="1160"/>
      <c r="Z988" s="1160"/>
      <c r="AA988" s="1160"/>
      <c r="AB988" s="1160"/>
      <c r="AC988" s="1160"/>
      <c r="AD988" s="1160"/>
      <c r="AE988" s="1160"/>
      <c r="AF988" s="1160"/>
      <c r="AG988" s="1160"/>
      <c r="AH988" s="1160"/>
      <c r="AI988" s="1160"/>
      <c r="AJ988" s="1160"/>
      <c r="AK988" s="1160"/>
      <c r="AL988" s="1160"/>
    </row>
    <row r="989" ht="15.0" customHeight="1">
      <c r="A989" s="1209"/>
      <c r="B989" s="1209"/>
      <c r="C989" s="1210"/>
      <c r="D989" s="1160"/>
      <c r="E989" s="1160"/>
      <c r="F989" s="1160"/>
      <c r="G989" s="1160"/>
      <c r="H989" s="1160"/>
      <c r="I989" s="1160"/>
      <c r="J989" s="1160"/>
      <c r="K989" s="1160"/>
      <c r="L989" s="1160"/>
      <c r="M989" s="1160"/>
      <c r="N989" s="1160"/>
      <c r="O989" s="1160"/>
      <c r="P989" s="1160"/>
      <c r="Q989" s="1160"/>
      <c r="R989" s="1160"/>
      <c r="S989" s="1160"/>
      <c r="T989" s="1160"/>
      <c r="U989" s="1160"/>
      <c r="V989" s="1160"/>
      <c r="W989" s="1160"/>
      <c r="X989" s="1160"/>
      <c r="Y989" s="1160"/>
      <c r="Z989" s="1160"/>
      <c r="AA989" s="1160"/>
      <c r="AB989" s="1160"/>
      <c r="AC989" s="1160"/>
      <c r="AD989" s="1160"/>
      <c r="AE989" s="1160"/>
      <c r="AF989" s="1160"/>
      <c r="AG989" s="1160"/>
      <c r="AH989" s="1160"/>
      <c r="AI989" s="1160"/>
      <c r="AJ989" s="1160"/>
      <c r="AK989" s="1160"/>
      <c r="AL989" s="1160"/>
    </row>
    <row r="990" ht="15.0" customHeight="1">
      <c r="A990" s="1209"/>
      <c r="B990" s="1209"/>
      <c r="C990" s="1210"/>
      <c r="D990" s="1160"/>
      <c r="E990" s="1160"/>
      <c r="F990" s="1160"/>
      <c r="G990" s="1160"/>
      <c r="H990" s="1160"/>
      <c r="I990" s="1160"/>
      <c r="J990" s="1160"/>
      <c r="K990" s="1160"/>
      <c r="L990" s="1160"/>
      <c r="M990" s="1160"/>
      <c r="N990" s="1160"/>
      <c r="O990" s="1160"/>
      <c r="P990" s="1160"/>
      <c r="Q990" s="1160"/>
      <c r="R990" s="1160"/>
      <c r="S990" s="1160"/>
      <c r="T990" s="1160"/>
      <c r="U990" s="1160"/>
      <c r="V990" s="1160"/>
      <c r="W990" s="1160"/>
      <c r="X990" s="1160"/>
      <c r="Y990" s="1160"/>
      <c r="Z990" s="1160"/>
      <c r="AA990" s="1160"/>
      <c r="AB990" s="1160"/>
      <c r="AC990" s="1160"/>
      <c r="AD990" s="1160"/>
      <c r="AE990" s="1160"/>
      <c r="AF990" s="1160"/>
      <c r="AG990" s="1160"/>
      <c r="AH990" s="1160"/>
      <c r="AI990" s="1160"/>
      <c r="AJ990" s="1160"/>
      <c r="AK990" s="1160"/>
      <c r="AL990" s="1160"/>
    </row>
    <row r="991" ht="15.0" customHeight="1">
      <c r="A991" s="1209"/>
      <c r="B991" s="1209"/>
      <c r="C991" s="1210"/>
      <c r="D991" s="1160"/>
      <c r="E991" s="1160"/>
      <c r="F991" s="1160"/>
      <c r="G991" s="1160"/>
      <c r="H991" s="1160"/>
      <c r="I991" s="1160"/>
      <c r="J991" s="1160"/>
      <c r="K991" s="1160"/>
      <c r="L991" s="1160"/>
      <c r="M991" s="1160"/>
      <c r="N991" s="1160"/>
      <c r="O991" s="1160"/>
      <c r="P991" s="1160"/>
      <c r="Q991" s="1160"/>
      <c r="R991" s="1160"/>
      <c r="S991" s="1160"/>
      <c r="T991" s="1160"/>
      <c r="U991" s="1160"/>
      <c r="V991" s="1160"/>
      <c r="W991" s="1160"/>
      <c r="X991" s="1160"/>
      <c r="Y991" s="1160"/>
      <c r="Z991" s="1160"/>
      <c r="AA991" s="1160"/>
      <c r="AB991" s="1160"/>
      <c r="AC991" s="1160"/>
      <c r="AD991" s="1160"/>
      <c r="AE991" s="1160"/>
      <c r="AF991" s="1160"/>
      <c r="AG991" s="1160"/>
      <c r="AH991" s="1160"/>
      <c r="AI991" s="1160"/>
      <c r="AJ991" s="1160"/>
      <c r="AK991" s="1160"/>
      <c r="AL991" s="1160"/>
    </row>
    <row r="992" ht="15.0" customHeight="1">
      <c r="A992" s="1209"/>
      <c r="B992" s="1209"/>
      <c r="C992" s="1210"/>
      <c r="D992" s="1160"/>
      <c r="E992" s="1160"/>
      <c r="F992" s="1160"/>
      <c r="G992" s="1160"/>
      <c r="H992" s="1160"/>
      <c r="I992" s="1160"/>
      <c r="J992" s="1160"/>
      <c r="K992" s="1160"/>
      <c r="L992" s="1160"/>
      <c r="M992" s="1160"/>
      <c r="N992" s="1160"/>
      <c r="O992" s="1160"/>
      <c r="P992" s="1160"/>
      <c r="Q992" s="1160"/>
      <c r="R992" s="1160"/>
      <c r="S992" s="1160"/>
      <c r="T992" s="1160"/>
      <c r="U992" s="1160"/>
      <c r="V992" s="1160"/>
      <c r="W992" s="1160"/>
      <c r="X992" s="1160"/>
      <c r="Y992" s="1160"/>
      <c r="Z992" s="1160"/>
      <c r="AA992" s="1160"/>
      <c r="AB992" s="1160"/>
      <c r="AC992" s="1160"/>
      <c r="AD992" s="1160"/>
      <c r="AE992" s="1160"/>
      <c r="AF992" s="1160"/>
      <c r="AG992" s="1160"/>
      <c r="AH992" s="1160"/>
      <c r="AI992" s="1160"/>
      <c r="AJ992" s="1160"/>
      <c r="AK992" s="1160"/>
      <c r="AL992" s="1160"/>
    </row>
    <row r="993" ht="15.0" customHeight="1">
      <c r="A993" s="1209"/>
      <c r="B993" s="1209"/>
      <c r="C993" s="1210"/>
      <c r="D993" s="1160"/>
      <c r="E993" s="1160"/>
      <c r="F993" s="1160"/>
      <c r="G993" s="1160"/>
      <c r="H993" s="1160"/>
      <c r="I993" s="1160"/>
      <c r="J993" s="1160"/>
      <c r="K993" s="1160"/>
      <c r="L993" s="1160"/>
      <c r="M993" s="1160"/>
      <c r="N993" s="1160"/>
      <c r="O993" s="1160"/>
      <c r="P993" s="1160"/>
      <c r="Q993" s="1160"/>
      <c r="R993" s="1160"/>
      <c r="S993" s="1160"/>
      <c r="T993" s="1160"/>
      <c r="U993" s="1160"/>
      <c r="V993" s="1160"/>
      <c r="W993" s="1160"/>
      <c r="X993" s="1160"/>
      <c r="Y993" s="1160"/>
      <c r="Z993" s="1160"/>
      <c r="AA993" s="1160"/>
      <c r="AB993" s="1160"/>
      <c r="AC993" s="1160"/>
      <c r="AD993" s="1160"/>
      <c r="AE993" s="1160"/>
      <c r="AF993" s="1160"/>
      <c r="AG993" s="1160"/>
      <c r="AH993" s="1160"/>
      <c r="AI993" s="1160"/>
      <c r="AJ993" s="1160"/>
      <c r="AK993" s="1160"/>
      <c r="AL993" s="1160"/>
    </row>
    <row r="994" ht="15.0" customHeight="1">
      <c r="A994" s="1209"/>
      <c r="B994" s="1209"/>
      <c r="C994" s="1210"/>
      <c r="D994" s="1160"/>
      <c r="E994" s="1160"/>
      <c r="F994" s="1160"/>
      <c r="G994" s="1160"/>
      <c r="H994" s="1160"/>
      <c r="I994" s="1160"/>
      <c r="J994" s="1160"/>
      <c r="K994" s="1160"/>
      <c r="L994" s="1160"/>
      <c r="M994" s="1160"/>
      <c r="N994" s="1160"/>
      <c r="O994" s="1160"/>
      <c r="P994" s="1160"/>
      <c r="Q994" s="1160"/>
      <c r="R994" s="1160"/>
      <c r="S994" s="1160"/>
      <c r="T994" s="1160"/>
      <c r="U994" s="1160"/>
      <c r="V994" s="1160"/>
      <c r="W994" s="1160"/>
      <c r="X994" s="1160"/>
      <c r="Y994" s="1160"/>
      <c r="Z994" s="1160"/>
      <c r="AA994" s="1160"/>
      <c r="AB994" s="1160"/>
      <c r="AC994" s="1160"/>
      <c r="AD994" s="1160"/>
      <c r="AE994" s="1160"/>
      <c r="AF994" s="1160"/>
      <c r="AG994" s="1160"/>
      <c r="AH994" s="1160"/>
      <c r="AI994" s="1160"/>
      <c r="AJ994" s="1160"/>
      <c r="AK994" s="1160"/>
      <c r="AL994" s="1160"/>
    </row>
    <row r="995" ht="15.0" customHeight="1">
      <c r="A995" s="1209"/>
      <c r="B995" s="1209"/>
      <c r="C995" s="1210"/>
      <c r="D995" s="1160"/>
      <c r="E995" s="1160"/>
      <c r="F995" s="1160"/>
      <c r="G995" s="1160"/>
      <c r="H995" s="1160"/>
      <c r="I995" s="1160"/>
      <c r="J995" s="1160"/>
      <c r="K995" s="1160"/>
      <c r="L995" s="1160"/>
      <c r="M995" s="1160"/>
      <c r="N995" s="1160"/>
      <c r="O995" s="1160"/>
      <c r="P995" s="1160"/>
      <c r="Q995" s="1160"/>
      <c r="R995" s="1160"/>
      <c r="S995" s="1160"/>
      <c r="T995" s="1160"/>
      <c r="U995" s="1160"/>
      <c r="V995" s="1160"/>
      <c r="W995" s="1160"/>
      <c r="X995" s="1160"/>
      <c r="Y995" s="1160"/>
      <c r="Z995" s="1160"/>
      <c r="AA995" s="1160"/>
      <c r="AB995" s="1160"/>
      <c r="AC995" s="1160"/>
      <c r="AD995" s="1160"/>
      <c r="AE995" s="1160"/>
      <c r="AF995" s="1160"/>
      <c r="AG995" s="1160"/>
      <c r="AH995" s="1160"/>
      <c r="AI995" s="1160"/>
      <c r="AJ995" s="1160"/>
      <c r="AK995" s="1160"/>
      <c r="AL995" s="1160"/>
    </row>
    <row r="996" ht="15.0" customHeight="1">
      <c r="A996" s="1209"/>
      <c r="B996" s="1209"/>
      <c r="C996" s="1210"/>
      <c r="D996" s="1160"/>
      <c r="E996" s="1160"/>
      <c r="F996" s="1160"/>
      <c r="G996" s="1160"/>
      <c r="H996" s="1160"/>
      <c r="I996" s="1160"/>
      <c r="J996" s="1160"/>
      <c r="K996" s="1160"/>
      <c r="L996" s="1160"/>
      <c r="M996" s="1160"/>
      <c r="N996" s="1160"/>
      <c r="O996" s="1160"/>
      <c r="P996" s="1160"/>
      <c r="Q996" s="1160"/>
      <c r="R996" s="1160"/>
      <c r="S996" s="1160"/>
      <c r="T996" s="1160"/>
      <c r="U996" s="1160"/>
      <c r="V996" s="1160"/>
      <c r="W996" s="1160"/>
      <c r="X996" s="1160"/>
      <c r="Y996" s="1160"/>
      <c r="Z996" s="1160"/>
      <c r="AA996" s="1160"/>
      <c r="AB996" s="1160"/>
      <c r="AC996" s="1160"/>
      <c r="AD996" s="1160"/>
      <c r="AE996" s="1160"/>
      <c r="AF996" s="1160"/>
      <c r="AG996" s="1160"/>
      <c r="AH996" s="1160"/>
      <c r="AI996" s="1160"/>
      <c r="AJ996" s="1160"/>
      <c r="AK996" s="1160"/>
      <c r="AL996" s="1160"/>
    </row>
    <row r="997" ht="15.0" customHeight="1">
      <c r="A997" s="1209"/>
      <c r="B997" s="1209"/>
      <c r="C997" s="1210"/>
      <c r="D997" s="1160"/>
      <c r="E997" s="1160"/>
      <c r="F997" s="1160"/>
      <c r="G997" s="1160"/>
      <c r="H997" s="1160"/>
      <c r="I997" s="1160"/>
      <c r="J997" s="1160"/>
      <c r="K997" s="1160"/>
      <c r="L997" s="1160"/>
      <c r="M997" s="1160"/>
      <c r="N997" s="1160"/>
      <c r="O997" s="1160"/>
      <c r="P997" s="1160"/>
      <c r="Q997" s="1160"/>
      <c r="R997" s="1160"/>
      <c r="S997" s="1160"/>
      <c r="T997" s="1160"/>
      <c r="U997" s="1160"/>
      <c r="V997" s="1160"/>
      <c r="W997" s="1160"/>
      <c r="X997" s="1160"/>
      <c r="Y997" s="1160"/>
      <c r="Z997" s="1160"/>
      <c r="AA997" s="1160"/>
      <c r="AB997" s="1160"/>
      <c r="AC997" s="1160"/>
      <c r="AD997" s="1160"/>
      <c r="AE997" s="1160"/>
      <c r="AF997" s="1160"/>
      <c r="AG997" s="1160"/>
      <c r="AH997" s="1160"/>
      <c r="AI997" s="1160"/>
      <c r="AJ997" s="1160"/>
      <c r="AK997" s="1160"/>
      <c r="AL997" s="1160"/>
    </row>
    <row r="998" ht="15.0" customHeight="1">
      <c r="A998" s="1209"/>
      <c r="B998" s="1209"/>
      <c r="C998" s="1210"/>
      <c r="D998" s="1160"/>
      <c r="E998" s="1160"/>
      <c r="F998" s="1160"/>
      <c r="G998" s="1160"/>
      <c r="H998" s="1160"/>
      <c r="I998" s="1160"/>
      <c r="J998" s="1160"/>
      <c r="K998" s="1160"/>
      <c r="L998" s="1160"/>
      <c r="M998" s="1160"/>
      <c r="N998" s="1160"/>
      <c r="O998" s="1160"/>
      <c r="P998" s="1160"/>
      <c r="Q998" s="1160"/>
      <c r="R998" s="1160"/>
      <c r="S998" s="1160"/>
      <c r="T998" s="1160"/>
      <c r="U998" s="1160"/>
      <c r="V998" s="1160"/>
      <c r="W998" s="1160"/>
      <c r="X998" s="1160"/>
      <c r="Y998" s="1160"/>
      <c r="Z998" s="1160"/>
      <c r="AA998" s="1160"/>
      <c r="AB998" s="1160"/>
      <c r="AC998" s="1160"/>
      <c r="AD998" s="1160"/>
      <c r="AE998" s="1160"/>
      <c r="AF998" s="1160"/>
      <c r="AG998" s="1160"/>
      <c r="AH998" s="1160"/>
      <c r="AI998" s="1160"/>
      <c r="AJ998" s="1160"/>
      <c r="AK998" s="1160"/>
      <c r="AL998" s="1160"/>
    </row>
    <row r="999" ht="15.0" customHeight="1">
      <c r="A999" s="1209"/>
      <c r="B999" s="1209"/>
      <c r="C999" s="1210"/>
      <c r="D999" s="1160"/>
      <c r="E999" s="1160"/>
      <c r="F999" s="1160"/>
      <c r="G999" s="1160"/>
      <c r="H999" s="1160"/>
      <c r="I999" s="1160"/>
      <c r="J999" s="1160"/>
      <c r="K999" s="1160"/>
      <c r="L999" s="1160"/>
      <c r="M999" s="1160"/>
      <c r="N999" s="1160"/>
      <c r="O999" s="1160"/>
      <c r="P999" s="1160"/>
      <c r="Q999" s="1160"/>
      <c r="R999" s="1160"/>
      <c r="S999" s="1160"/>
      <c r="T999" s="1160"/>
      <c r="U999" s="1160"/>
      <c r="V999" s="1160"/>
      <c r="W999" s="1160"/>
      <c r="X999" s="1160"/>
      <c r="Y999" s="1160"/>
      <c r="Z999" s="1160"/>
      <c r="AA999" s="1160"/>
      <c r="AB999" s="1160"/>
      <c r="AC999" s="1160"/>
      <c r="AD999" s="1160"/>
      <c r="AE999" s="1160"/>
      <c r="AF999" s="1160"/>
      <c r="AG999" s="1160"/>
      <c r="AH999" s="1160"/>
      <c r="AI999" s="1160"/>
      <c r="AJ999" s="1160"/>
      <c r="AK999" s="1160"/>
      <c r="AL999" s="1160"/>
    </row>
    <row r="1000" ht="15.0" customHeight="1">
      <c r="A1000" s="1209"/>
      <c r="B1000" s="1209"/>
      <c r="C1000" s="1210"/>
      <c r="D1000" s="1160"/>
      <c r="E1000" s="1160"/>
      <c r="F1000" s="1160"/>
      <c r="G1000" s="1160"/>
      <c r="H1000" s="1160"/>
      <c r="I1000" s="1160"/>
      <c r="J1000" s="1160"/>
      <c r="K1000" s="1160"/>
      <c r="L1000" s="1160"/>
      <c r="M1000" s="1160"/>
      <c r="N1000" s="1160"/>
      <c r="O1000" s="1160"/>
      <c r="P1000" s="1160"/>
      <c r="Q1000" s="1160"/>
      <c r="R1000" s="1160"/>
      <c r="S1000" s="1160"/>
      <c r="T1000" s="1160"/>
      <c r="U1000" s="1160"/>
      <c r="V1000" s="1160"/>
      <c r="W1000" s="1160"/>
      <c r="X1000" s="1160"/>
      <c r="Y1000" s="1160"/>
      <c r="Z1000" s="1160"/>
      <c r="AA1000" s="1160"/>
      <c r="AB1000" s="1160"/>
      <c r="AC1000" s="1160"/>
      <c r="AD1000" s="1160"/>
      <c r="AE1000" s="1160"/>
      <c r="AF1000" s="1160"/>
      <c r="AG1000" s="1160"/>
      <c r="AH1000" s="1160"/>
      <c r="AI1000" s="1160"/>
      <c r="AJ1000" s="1160"/>
      <c r="AK1000" s="1160"/>
      <c r="AL1000" s="1160"/>
    </row>
    <row r="1001" ht="15.0" customHeight="1">
      <c r="A1001" s="1209"/>
      <c r="B1001" s="1209"/>
      <c r="C1001" s="1210"/>
      <c r="D1001" s="1160"/>
      <c r="E1001" s="1160"/>
      <c r="F1001" s="1160"/>
      <c r="G1001" s="1160"/>
      <c r="H1001" s="1160"/>
      <c r="I1001" s="1160"/>
      <c r="J1001" s="1160"/>
      <c r="K1001" s="1160"/>
      <c r="L1001" s="1160"/>
      <c r="M1001" s="1160"/>
      <c r="N1001" s="1160"/>
      <c r="O1001" s="1160"/>
      <c r="P1001" s="1160"/>
      <c r="Q1001" s="1160"/>
      <c r="R1001" s="1160"/>
      <c r="S1001" s="1160"/>
      <c r="T1001" s="1160"/>
      <c r="U1001" s="1160"/>
      <c r="V1001" s="1160"/>
      <c r="W1001" s="1160"/>
      <c r="X1001" s="1160"/>
      <c r="Y1001" s="1160"/>
      <c r="Z1001" s="1160"/>
      <c r="AA1001" s="1160"/>
      <c r="AB1001" s="1160"/>
      <c r="AC1001" s="1160"/>
      <c r="AD1001" s="1160"/>
      <c r="AE1001" s="1160"/>
      <c r="AF1001" s="1160"/>
      <c r="AG1001" s="1160"/>
      <c r="AH1001" s="1160"/>
      <c r="AI1001" s="1160"/>
      <c r="AJ1001" s="1160"/>
      <c r="AK1001" s="1160"/>
      <c r="AL1001" s="1160"/>
    </row>
    <row r="1002" ht="15.0" customHeight="1">
      <c r="A1002" s="1209"/>
      <c r="B1002" s="1209"/>
      <c r="C1002" s="1210"/>
      <c r="D1002" s="1160"/>
      <c r="E1002" s="1160"/>
      <c r="F1002" s="1160"/>
      <c r="G1002" s="1160"/>
      <c r="H1002" s="1160"/>
      <c r="I1002" s="1160"/>
      <c r="J1002" s="1160"/>
      <c r="K1002" s="1160"/>
      <c r="L1002" s="1160"/>
      <c r="M1002" s="1160"/>
      <c r="N1002" s="1160"/>
      <c r="O1002" s="1160"/>
      <c r="P1002" s="1160"/>
      <c r="Q1002" s="1160"/>
      <c r="R1002" s="1160"/>
      <c r="S1002" s="1160"/>
      <c r="T1002" s="1160"/>
      <c r="U1002" s="1160"/>
      <c r="V1002" s="1160"/>
      <c r="W1002" s="1160"/>
      <c r="X1002" s="1160"/>
      <c r="Y1002" s="1160"/>
      <c r="Z1002" s="1160"/>
      <c r="AA1002" s="1160"/>
      <c r="AB1002" s="1160"/>
      <c r="AC1002" s="1160"/>
      <c r="AD1002" s="1160"/>
      <c r="AE1002" s="1160"/>
      <c r="AF1002" s="1160"/>
      <c r="AG1002" s="1160"/>
      <c r="AH1002" s="1160"/>
      <c r="AI1002" s="1160"/>
      <c r="AJ1002" s="1160"/>
      <c r="AK1002" s="1160"/>
      <c r="AL1002" s="1160"/>
    </row>
    <row r="1003" ht="15.0" customHeight="1">
      <c r="A1003" s="1209"/>
      <c r="B1003" s="1209"/>
      <c r="C1003" s="1210"/>
      <c r="D1003" s="1160"/>
      <c r="E1003" s="1160"/>
      <c r="F1003" s="1160"/>
      <c r="G1003" s="1160"/>
      <c r="H1003" s="1160"/>
      <c r="I1003" s="1160"/>
      <c r="J1003" s="1160"/>
      <c r="K1003" s="1160"/>
      <c r="L1003" s="1160"/>
      <c r="M1003" s="1160"/>
      <c r="N1003" s="1160"/>
      <c r="O1003" s="1160"/>
      <c r="P1003" s="1160"/>
      <c r="Q1003" s="1160"/>
      <c r="R1003" s="1160"/>
      <c r="S1003" s="1160"/>
      <c r="T1003" s="1160"/>
      <c r="U1003" s="1160"/>
      <c r="V1003" s="1160"/>
      <c r="W1003" s="1160"/>
      <c r="X1003" s="1160"/>
      <c r="Y1003" s="1160"/>
      <c r="Z1003" s="1160"/>
      <c r="AA1003" s="1160"/>
      <c r="AB1003" s="1160"/>
      <c r="AC1003" s="1160"/>
      <c r="AD1003" s="1160"/>
      <c r="AE1003" s="1160"/>
      <c r="AF1003" s="1160"/>
      <c r="AG1003" s="1160"/>
      <c r="AH1003" s="1160"/>
      <c r="AI1003" s="1160"/>
      <c r="AJ1003" s="1160"/>
      <c r="AK1003" s="1160"/>
      <c r="AL1003" s="1160"/>
    </row>
    <row r="1004" ht="15.0" customHeight="1">
      <c r="A1004" s="1248" t="s">
        <v>1790</v>
      </c>
      <c r="B1004" s="1209"/>
      <c r="C1004" s="1210"/>
      <c r="D1004" s="1160"/>
      <c r="E1004" s="1160"/>
      <c r="F1004" s="1160"/>
      <c r="G1004" s="1160"/>
      <c r="H1004" s="1160"/>
      <c r="I1004" s="1160"/>
      <c r="J1004" s="1160"/>
      <c r="K1004" s="1160"/>
      <c r="L1004" s="1160"/>
      <c r="M1004" s="1160"/>
      <c r="N1004" s="1160"/>
      <c r="O1004" s="1160"/>
      <c r="P1004" s="1160"/>
      <c r="Q1004" s="1160"/>
      <c r="R1004" s="1160"/>
      <c r="S1004" s="1160"/>
      <c r="T1004" s="1160"/>
      <c r="U1004" s="1160"/>
      <c r="V1004" s="1160"/>
      <c r="W1004" s="1160"/>
      <c r="X1004" s="1160"/>
      <c r="Y1004" s="1160"/>
      <c r="Z1004" s="1160"/>
      <c r="AA1004" s="1160"/>
      <c r="AB1004" s="1160"/>
      <c r="AC1004" s="1160"/>
      <c r="AD1004" s="1160"/>
      <c r="AE1004" s="1160"/>
      <c r="AF1004" s="1160"/>
      <c r="AG1004" s="1160"/>
      <c r="AH1004" s="1160"/>
      <c r="AI1004" s="1160"/>
      <c r="AJ1004" s="1160"/>
      <c r="AK1004" s="1160"/>
      <c r="AL1004" s="116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1.29"/>
    <col customWidth="1" min="2" max="2" width="58.86"/>
    <col customWidth="1" min="3" max="6" width="14.43"/>
  </cols>
  <sheetData>
    <row r="1" ht="39.75" customHeight="1">
      <c r="A1" s="1249" t="s">
        <v>1881</v>
      </c>
      <c r="B1" s="1249" t="s">
        <v>1792</v>
      </c>
      <c r="C1" s="1249" t="s">
        <v>1793</v>
      </c>
      <c r="D1" s="1249" t="s">
        <v>1794</v>
      </c>
      <c r="E1" s="1249"/>
      <c r="F1" s="1249" t="s">
        <v>2014</v>
      </c>
      <c r="G1" s="1249" t="s">
        <v>2015</v>
      </c>
      <c r="H1" s="1249" t="s">
        <v>2016</v>
      </c>
      <c r="I1" s="1249" t="s">
        <v>1725</v>
      </c>
      <c r="J1" s="1249" t="s">
        <v>2017</v>
      </c>
      <c r="K1" s="433" t="s">
        <v>2018</v>
      </c>
      <c r="L1" s="433" t="s">
        <v>2019</v>
      </c>
      <c r="M1" s="433" t="s">
        <v>2020</v>
      </c>
      <c r="N1" s="433" t="s">
        <v>2021</v>
      </c>
      <c r="O1" s="433" t="s">
        <v>2022</v>
      </c>
      <c r="P1" s="433" t="s">
        <v>2023</v>
      </c>
      <c r="Q1" s="508" t="s">
        <v>2024</v>
      </c>
      <c r="R1" s="508" t="s">
        <v>2025</v>
      </c>
      <c r="S1" s="508" t="s">
        <v>2026</v>
      </c>
      <c r="T1" s="508" t="s">
        <v>1801</v>
      </c>
      <c r="U1" s="508" t="s">
        <v>1802</v>
      </c>
      <c r="V1" s="508"/>
      <c r="W1" s="508"/>
      <c r="X1" s="508"/>
      <c r="Y1" s="508"/>
      <c r="Z1" s="508"/>
      <c r="AA1" s="508"/>
      <c r="AB1" s="508"/>
      <c r="AC1" s="508"/>
      <c r="AD1" s="508"/>
      <c r="AE1" s="508"/>
      <c r="AF1" s="508"/>
      <c r="AG1" s="508"/>
    </row>
    <row r="2" ht="15.0" customHeight="1">
      <c r="A2" s="1160"/>
      <c r="B2" s="1160"/>
      <c r="C2" s="1160"/>
      <c r="D2" s="1160"/>
      <c r="E2" s="1250"/>
      <c r="F2" s="1160"/>
      <c r="G2" s="1160"/>
      <c r="H2" s="1160"/>
      <c r="I2" s="1160"/>
      <c r="J2" s="1160"/>
      <c r="K2" s="1160"/>
      <c r="L2" s="1160"/>
      <c r="M2" s="1160"/>
      <c r="N2" s="1160"/>
      <c r="O2" s="1211"/>
      <c r="P2" s="1211"/>
      <c r="Q2" s="1160"/>
      <c r="R2" s="1160"/>
      <c r="S2" s="1160"/>
      <c r="T2" s="1250">
        <v>-25.0</v>
      </c>
      <c r="U2" s="1251">
        <v>70.0</v>
      </c>
      <c r="V2" s="1160"/>
      <c r="W2" s="1160"/>
      <c r="X2" s="1160"/>
      <c r="Y2" s="1160"/>
      <c r="Z2" s="1160"/>
      <c r="AA2" s="1160"/>
      <c r="AB2" s="1160"/>
      <c r="AC2" s="1160"/>
      <c r="AD2" s="1160"/>
      <c r="AE2" s="1160"/>
      <c r="AF2" s="1160"/>
      <c r="AG2" s="1160"/>
    </row>
    <row r="3" ht="15.0" customHeight="1">
      <c r="A3" s="1252"/>
      <c r="B3" s="1252" t="s">
        <v>1888</v>
      </c>
      <c r="C3" s="1253"/>
      <c r="D3" s="1254">
        <v>0.0</v>
      </c>
      <c r="E3" s="1160"/>
      <c r="F3" s="1160"/>
      <c r="G3" s="1160"/>
      <c r="H3" s="1160"/>
      <c r="I3" s="1160"/>
      <c r="J3" s="1160"/>
      <c r="K3" s="1160"/>
      <c r="L3" s="1160"/>
      <c r="M3" s="1160"/>
      <c r="N3" s="1160"/>
      <c r="O3" s="1211"/>
      <c r="P3" s="1211"/>
      <c r="Q3" s="1160"/>
      <c r="R3" s="1255"/>
      <c r="S3" s="1160"/>
      <c r="T3" s="1160"/>
      <c r="U3" s="1160"/>
      <c r="V3" s="1160"/>
      <c r="W3" s="1160"/>
      <c r="X3" s="1160"/>
      <c r="Y3" s="1160"/>
      <c r="Z3" s="1160"/>
      <c r="AA3" s="1160"/>
      <c r="AB3" s="1160"/>
      <c r="AC3" s="1160"/>
      <c r="AD3" s="1160"/>
      <c r="AE3" s="1160"/>
      <c r="AF3" s="1160"/>
      <c r="AG3" s="1160"/>
    </row>
    <row r="4" ht="15.0" customHeight="1">
      <c r="A4" s="1252" t="s">
        <v>2027</v>
      </c>
      <c r="B4" s="1252" t="s">
        <v>2028</v>
      </c>
      <c r="C4" s="1253">
        <v>1.0</v>
      </c>
      <c r="D4" s="1254">
        <v>0.0</v>
      </c>
      <c r="E4" s="1160"/>
      <c r="F4" s="1160">
        <v>2.4</v>
      </c>
      <c r="G4" s="1160">
        <v>2.2</v>
      </c>
      <c r="H4" s="1160">
        <v>45.0</v>
      </c>
      <c r="I4" s="1160">
        <v>48.0</v>
      </c>
      <c r="J4" s="1160" t="s">
        <v>2029</v>
      </c>
      <c r="K4" s="1160">
        <v>25.0</v>
      </c>
      <c r="L4" s="1160">
        <v>50.0</v>
      </c>
      <c r="M4" s="1160">
        <v>25.0</v>
      </c>
      <c r="N4" s="1160">
        <v>50.0</v>
      </c>
      <c r="O4" s="1211">
        <v>8.0</v>
      </c>
      <c r="P4" s="1211">
        <v>20.0</v>
      </c>
      <c r="Q4" s="1255">
        <f t="shared" ref="Q4:Q5" si="1">G4*1000/I4</f>
        <v>45.83333333</v>
      </c>
      <c r="R4" s="1255" t="s">
        <v>2030</v>
      </c>
      <c r="S4" s="1160">
        <v>24.0</v>
      </c>
      <c r="T4" s="1160"/>
      <c r="U4" s="1160"/>
      <c r="V4" s="1160"/>
      <c r="W4" s="1160"/>
      <c r="X4" s="1160"/>
      <c r="Y4" s="1160"/>
      <c r="Z4" s="1160"/>
      <c r="AA4" s="1160"/>
      <c r="AB4" s="1160"/>
      <c r="AC4" s="1160"/>
      <c r="AD4" s="1160"/>
      <c r="AE4" s="1160"/>
      <c r="AF4" s="1160"/>
      <c r="AG4" s="1160"/>
    </row>
    <row r="5" ht="15.0" customHeight="1">
      <c r="A5" s="1252" t="s">
        <v>2027</v>
      </c>
      <c r="B5" s="1252" t="s">
        <v>2031</v>
      </c>
      <c r="C5" s="1253">
        <v>2.0</v>
      </c>
      <c r="D5" s="1254">
        <v>0.0</v>
      </c>
      <c r="E5" s="1160"/>
      <c r="F5" s="1160">
        <v>3.552</v>
      </c>
      <c r="G5" s="1160">
        <v>3.2</v>
      </c>
      <c r="H5" s="1160">
        <v>45.0</v>
      </c>
      <c r="I5" s="1160">
        <v>48.0</v>
      </c>
      <c r="J5" s="1160" t="s">
        <v>2029</v>
      </c>
      <c r="K5" s="1160">
        <v>37.0</v>
      </c>
      <c r="L5" s="1160">
        <v>74.0</v>
      </c>
      <c r="M5" s="1160">
        <v>37.0</v>
      </c>
      <c r="N5" s="1160">
        <v>74.0</v>
      </c>
      <c r="O5" s="1211">
        <v>8.0</v>
      </c>
      <c r="P5" s="1211">
        <v>20.0</v>
      </c>
      <c r="Q5" s="1255">
        <f t="shared" si="1"/>
        <v>66.66666667</v>
      </c>
      <c r="R5" s="1255" t="s">
        <v>2032</v>
      </c>
      <c r="S5" s="1160">
        <v>32.0</v>
      </c>
      <c r="T5" s="1160"/>
      <c r="U5" s="1160"/>
      <c r="V5" s="1160"/>
      <c r="W5" s="1160"/>
      <c r="X5" s="1160"/>
      <c r="Y5" s="1160"/>
      <c r="Z5" s="1160"/>
      <c r="AA5" s="1160"/>
      <c r="AB5" s="1160"/>
      <c r="AC5" s="1160"/>
      <c r="AD5" s="1160"/>
      <c r="AE5" s="1160"/>
      <c r="AF5" s="1160"/>
      <c r="AG5" s="1160"/>
    </row>
    <row r="6" ht="15.0" customHeight="1">
      <c r="A6" s="1252" t="s">
        <v>2027</v>
      </c>
      <c r="B6" s="1252" t="s">
        <v>2033</v>
      </c>
      <c r="C6" s="1253">
        <v>3.0</v>
      </c>
      <c r="D6" s="1254">
        <v>0.0</v>
      </c>
      <c r="E6" s="1160"/>
      <c r="F6" s="1160">
        <v>5.0</v>
      </c>
      <c r="G6" s="1160">
        <v>5.0</v>
      </c>
      <c r="H6" s="1160">
        <v>350.0</v>
      </c>
      <c r="I6" s="1160">
        <v>385.0</v>
      </c>
      <c r="J6" s="1160">
        <v>560.0</v>
      </c>
      <c r="K6" s="1160">
        <v>4.5</v>
      </c>
      <c r="L6" s="1160">
        <v>4.5</v>
      </c>
      <c r="M6" s="1160">
        <v>4.5</v>
      </c>
      <c r="N6" s="1160">
        <v>4.5</v>
      </c>
      <c r="O6" s="1211"/>
      <c r="P6" s="1211"/>
      <c r="Q6" s="1255"/>
      <c r="R6" s="1255"/>
      <c r="S6" s="1160"/>
      <c r="T6" s="1160"/>
      <c r="U6" s="1160"/>
      <c r="V6" s="1160"/>
      <c r="W6" s="1160"/>
      <c r="X6" s="1160"/>
      <c r="Y6" s="1160"/>
      <c r="Z6" s="1160"/>
      <c r="AA6" s="1160"/>
      <c r="AB6" s="1160"/>
      <c r="AC6" s="1160"/>
      <c r="AD6" s="1160"/>
      <c r="AE6" s="1160"/>
      <c r="AF6" s="1160"/>
      <c r="AG6" s="1160"/>
    </row>
    <row r="7" ht="15.0" customHeight="1">
      <c r="A7" s="1252" t="s">
        <v>2027</v>
      </c>
      <c r="B7" s="1252" t="s">
        <v>2034</v>
      </c>
      <c r="C7" s="1253">
        <v>3.0</v>
      </c>
      <c r="D7" s="1254">
        <v>0.0</v>
      </c>
      <c r="E7" s="1160"/>
      <c r="F7" s="1160">
        <v>10.0</v>
      </c>
      <c r="G7" s="1160">
        <v>10.0</v>
      </c>
      <c r="H7" s="1160">
        <v>350.0</v>
      </c>
      <c r="I7" s="1160">
        <v>385.0</v>
      </c>
      <c r="J7" s="1160">
        <v>560.0</v>
      </c>
      <c r="K7" s="1160">
        <v>9.0</v>
      </c>
      <c r="L7" s="1160">
        <v>9.0</v>
      </c>
      <c r="M7" s="1160">
        <v>9.0</v>
      </c>
      <c r="N7" s="1160">
        <v>9.0</v>
      </c>
      <c r="O7" s="1211"/>
      <c r="P7" s="1211"/>
      <c r="Q7" s="1255"/>
      <c r="R7" s="1255"/>
      <c r="S7" s="1160"/>
      <c r="T7" s="1160"/>
      <c r="U7" s="1160"/>
      <c r="V7" s="1160"/>
      <c r="W7" s="1160"/>
      <c r="X7" s="1160"/>
      <c r="Y7" s="1160"/>
      <c r="Z7" s="1160"/>
      <c r="AA7" s="1160"/>
      <c r="AB7" s="1160"/>
      <c r="AC7" s="1160"/>
      <c r="AD7" s="1160"/>
      <c r="AE7" s="1160"/>
      <c r="AF7" s="1160"/>
      <c r="AG7" s="1160"/>
    </row>
    <row r="8" ht="15.0" customHeight="1">
      <c r="A8" s="1252" t="s">
        <v>2027</v>
      </c>
      <c r="B8" s="1252" t="s">
        <v>2035</v>
      </c>
      <c r="C8" s="1253">
        <v>3.0</v>
      </c>
      <c r="D8" s="1254">
        <v>0.0</v>
      </c>
      <c r="E8" s="1160"/>
      <c r="F8" s="1160">
        <v>15.0</v>
      </c>
      <c r="G8" s="1160">
        <v>15.0</v>
      </c>
      <c r="H8" s="1160">
        <v>350.0</v>
      </c>
      <c r="I8" s="1160">
        <v>385.0</v>
      </c>
      <c r="J8" s="1160">
        <v>560.0</v>
      </c>
      <c r="K8" s="1160">
        <v>13.5</v>
      </c>
      <c r="L8" s="1160">
        <v>13.5</v>
      </c>
      <c r="M8" s="1160">
        <v>13.5</v>
      </c>
      <c r="N8" s="1160">
        <v>13.5</v>
      </c>
      <c r="O8" s="1211"/>
      <c r="P8" s="1211"/>
      <c r="Q8" s="1255"/>
      <c r="R8" s="1255"/>
      <c r="S8" s="1160"/>
      <c r="T8" s="1160"/>
      <c r="U8" s="1160"/>
      <c r="V8" s="1160"/>
      <c r="W8" s="1160"/>
      <c r="X8" s="1160"/>
      <c r="Y8" s="1160"/>
      <c r="Z8" s="1160"/>
      <c r="AA8" s="1160"/>
      <c r="AB8" s="1160"/>
      <c r="AC8" s="1160"/>
      <c r="AD8" s="1160"/>
      <c r="AE8" s="1160"/>
      <c r="AF8" s="1160"/>
      <c r="AG8" s="1160"/>
    </row>
    <row r="9" ht="15.0" customHeight="1">
      <c r="A9" s="1209" t="s">
        <v>2027</v>
      </c>
      <c r="B9" s="1209" t="s">
        <v>1719</v>
      </c>
      <c r="C9" s="1210">
        <v>6.0</v>
      </c>
      <c r="D9" s="1215">
        <v>0.0</v>
      </c>
      <c r="E9" s="1160"/>
      <c r="F9" s="1160">
        <v>3.55</v>
      </c>
      <c r="G9" s="1160">
        <v>3.2</v>
      </c>
      <c r="H9" s="1160">
        <v>70.2</v>
      </c>
      <c r="I9" s="1160">
        <v>96.0</v>
      </c>
      <c r="J9" s="1160">
        <v>109.2</v>
      </c>
      <c r="K9" s="1160">
        <v>18.5</v>
      </c>
      <c r="L9" s="1160">
        <v>40.0</v>
      </c>
      <c r="M9" s="1160">
        <v>18.5</v>
      </c>
      <c r="N9" s="1160">
        <v>40.0</v>
      </c>
      <c r="O9" s="1211">
        <v>4.0</v>
      </c>
      <c r="P9" s="1211">
        <v>10.0</v>
      </c>
      <c r="Q9" s="1255">
        <v>37.0</v>
      </c>
      <c r="R9" s="1255" t="s">
        <v>2036</v>
      </c>
      <c r="S9" s="1160">
        <v>39.0</v>
      </c>
      <c r="T9" s="1160"/>
      <c r="U9" s="1160"/>
      <c r="V9" s="1160"/>
      <c r="W9" s="1160"/>
      <c r="X9" s="1160"/>
      <c r="Y9" s="1160"/>
      <c r="Z9" s="1160"/>
      <c r="AA9" s="1160"/>
      <c r="AB9" s="1160"/>
      <c r="AC9" s="1160"/>
      <c r="AD9" s="1160"/>
      <c r="AE9" s="1160"/>
      <c r="AF9" s="1160"/>
      <c r="AG9" s="1160"/>
    </row>
    <row r="10" ht="15.0" customHeight="1">
      <c r="A10" s="1252" t="s">
        <v>2027</v>
      </c>
      <c r="B10" s="1252" t="s">
        <v>2037</v>
      </c>
      <c r="C10" s="1253" t="s">
        <v>2038</v>
      </c>
      <c r="D10" s="1254">
        <v>0.0</v>
      </c>
      <c r="E10" s="1160"/>
      <c r="F10" s="1160"/>
      <c r="G10" s="1160"/>
      <c r="H10" s="1160">
        <v>100.0</v>
      </c>
      <c r="I10" s="1160"/>
      <c r="J10" s="1160">
        <v>430.0</v>
      </c>
      <c r="K10" s="1160">
        <v>100.0</v>
      </c>
      <c r="L10" s="1160">
        <v>100.0</v>
      </c>
      <c r="M10" s="1160">
        <v>100.0</v>
      </c>
      <c r="N10" s="1160">
        <v>100.0</v>
      </c>
      <c r="O10" s="1211"/>
      <c r="P10" s="1211">
        <v>10.0</v>
      </c>
      <c r="Q10" s="1255"/>
      <c r="R10" s="1255"/>
      <c r="S10" s="1160"/>
      <c r="T10" s="1160"/>
      <c r="U10" s="1160"/>
      <c r="V10" s="1160"/>
      <c r="W10" s="1160"/>
      <c r="X10" s="1160"/>
      <c r="Y10" s="1160"/>
      <c r="Z10" s="1160"/>
      <c r="AA10" s="1160"/>
      <c r="AB10" s="1160"/>
      <c r="AC10" s="1160"/>
      <c r="AD10" s="1160"/>
      <c r="AE10" s="1160"/>
      <c r="AF10" s="1160"/>
      <c r="AG10" s="1160"/>
    </row>
    <row r="11" ht="15.0" customHeight="1">
      <c r="A11" s="1252" t="s">
        <v>2027</v>
      </c>
      <c r="B11" s="1209" t="s">
        <v>2039</v>
      </c>
      <c r="C11" s="1253">
        <v>8.0</v>
      </c>
      <c r="D11" s="1254">
        <v>0.0</v>
      </c>
      <c r="E11" s="1160"/>
      <c r="F11" s="1160">
        <v>3.55</v>
      </c>
      <c r="G11" s="1160">
        <v>3.2</v>
      </c>
      <c r="H11" s="1160">
        <v>45.0</v>
      </c>
      <c r="I11" s="1160">
        <v>48.0</v>
      </c>
      <c r="J11" s="1160">
        <v>54.0</v>
      </c>
      <c r="K11" s="1160">
        <v>74.0</v>
      </c>
      <c r="L11" s="1160">
        <v>74.0</v>
      </c>
      <c r="M11" s="1160">
        <v>74.0</v>
      </c>
      <c r="N11" s="1160">
        <v>74.0</v>
      </c>
      <c r="O11" s="1211"/>
      <c r="P11" s="1211">
        <v>10.0</v>
      </c>
      <c r="Q11" s="1255">
        <v>74.0</v>
      </c>
      <c r="R11" s="1255"/>
      <c r="S11" s="1160">
        <v>32.0</v>
      </c>
      <c r="T11" s="1160"/>
      <c r="U11" s="1160"/>
      <c r="V11" s="1160"/>
      <c r="W11" s="1160"/>
      <c r="X11" s="1160"/>
      <c r="Y11" s="1160"/>
      <c r="Z11" s="1160"/>
      <c r="AA11" s="1160"/>
      <c r="AB11" s="1160"/>
      <c r="AC11" s="1160"/>
      <c r="AD11" s="1160"/>
      <c r="AE11" s="1160"/>
      <c r="AF11" s="1160"/>
      <c r="AG11" s="1160"/>
    </row>
    <row r="12" ht="15.0" customHeight="1">
      <c r="A12" s="1252" t="s">
        <v>2027</v>
      </c>
      <c r="B12" s="1252"/>
      <c r="C12" s="1253">
        <v>9.0</v>
      </c>
      <c r="D12" s="1254">
        <v>0.0</v>
      </c>
      <c r="E12" s="1160"/>
      <c r="F12" s="1160"/>
      <c r="G12" s="1160"/>
      <c r="H12" s="1160"/>
      <c r="I12" s="1160"/>
      <c r="J12" s="1160"/>
      <c r="K12" s="1160"/>
      <c r="L12" s="1160"/>
      <c r="M12" s="1160"/>
      <c r="N12" s="1160"/>
      <c r="O12" s="1211"/>
      <c r="P12" s="1211"/>
      <c r="Q12" s="1255"/>
      <c r="R12" s="1255"/>
      <c r="S12" s="1160"/>
      <c r="T12" s="1160"/>
      <c r="U12" s="1160"/>
      <c r="V12" s="1160"/>
      <c r="W12" s="1160"/>
      <c r="X12" s="1160"/>
      <c r="Y12" s="1160"/>
      <c r="Z12" s="1160"/>
      <c r="AA12" s="1160"/>
      <c r="AB12" s="1160"/>
      <c r="AC12" s="1160"/>
      <c r="AD12" s="1160"/>
      <c r="AE12" s="1160"/>
      <c r="AF12" s="1160"/>
      <c r="AG12" s="1160"/>
    </row>
    <row r="13" ht="15.0" customHeight="1">
      <c r="A13" s="1252" t="s">
        <v>2027</v>
      </c>
      <c r="B13" s="1252"/>
      <c r="C13" s="1253">
        <v>10.0</v>
      </c>
      <c r="D13" s="1254">
        <v>0.0</v>
      </c>
      <c r="E13" s="1160"/>
      <c r="F13" s="1160"/>
      <c r="G13" s="1160"/>
      <c r="H13" s="1160"/>
      <c r="I13" s="1160"/>
      <c r="J13" s="1160"/>
      <c r="K13" s="1160"/>
      <c r="L13" s="1160"/>
      <c r="M13" s="1160"/>
      <c r="N13" s="1160"/>
      <c r="O13" s="1211"/>
      <c r="P13" s="1211"/>
      <c r="Q13" s="1255"/>
      <c r="R13" s="1255"/>
      <c r="S13" s="1160"/>
      <c r="T13" s="1160"/>
      <c r="U13" s="1160"/>
      <c r="V13" s="1160"/>
      <c r="W13" s="1160"/>
      <c r="X13" s="1160"/>
      <c r="Y13" s="1160"/>
      <c r="Z13" s="1160"/>
      <c r="AA13" s="1160"/>
      <c r="AB13" s="1160"/>
      <c r="AC13" s="1160"/>
      <c r="AD13" s="1160"/>
      <c r="AE13" s="1160"/>
      <c r="AF13" s="1160"/>
      <c r="AG13" s="1160"/>
    </row>
    <row r="14" ht="15.0" customHeight="1">
      <c r="A14" s="1252" t="s">
        <v>2027</v>
      </c>
      <c r="B14" s="1252"/>
      <c r="C14" s="1253">
        <v>11.0</v>
      </c>
      <c r="D14" s="1254">
        <v>0.0</v>
      </c>
      <c r="E14" s="1160"/>
      <c r="F14" s="1160"/>
      <c r="G14" s="1160"/>
      <c r="H14" s="1160"/>
      <c r="I14" s="1160"/>
      <c r="J14" s="1160"/>
      <c r="K14" s="1160"/>
      <c r="L14" s="1160"/>
      <c r="M14" s="1160"/>
      <c r="N14" s="1160"/>
      <c r="O14" s="1211"/>
      <c r="P14" s="1211"/>
      <c r="Q14" s="1255"/>
      <c r="R14" s="1255"/>
      <c r="S14" s="1160"/>
      <c r="T14" s="1160"/>
      <c r="U14" s="1160"/>
      <c r="V14" s="1160"/>
      <c r="W14" s="1160"/>
      <c r="X14" s="1160"/>
      <c r="Y14" s="1160"/>
      <c r="Z14" s="1160"/>
      <c r="AA14" s="1160"/>
      <c r="AB14" s="1160"/>
      <c r="AC14" s="1160"/>
      <c r="AD14" s="1160"/>
      <c r="AE14" s="1160"/>
      <c r="AF14" s="1160"/>
      <c r="AG14" s="1160"/>
    </row>
    <row r="15" ht="15.0" customHeight="1">
      <c r="A15" s="1252" t="s">
        <v>2027</v>
      </c>
      <c r="B15" s="1252"/>
      <c r="C15" s="1253">
        <v>12.0</v>
      </c>
      <c r="D15" s="1254">
        <v>0.0</v>
      </c>
      <c r="E15" s="1160"/>
      <c r="F15" s="1160"/>
      <c r="G15" s="1160"/>
      <c r="H15" s="1160"/>
      <c r="I15" s="1160"/>
      <c r="J15" s="1160"/>
      <c r="K15" s="1160"/>
      <c r="L15" s="1160"/>
      <c r="M15" s="1160"/>
      <c r="N15" s="1160"/>
      <c r="O15" s="1211"/>
      <c r="P15" s="1211"/>
      <c r="Q15" s="1255"/>
      <c r="R15" s="1255"/>
      <c r="S15" s="1160"/>
      <c r="T15" s="1160"/>
      <c r="U15" s="1160"/>
      <c r="V15" s="1160"/>
      <c r="W15" s="1160"/>
      <c r="X15" s="1160"/>
      <c r="Y15" s="1160"/>
      <c r="Z15" s="1160"/>
      <c r="AA15" s="1160"/>
      <c r="AB15" s="1160"/>
      <c r="AC15" s="1160"/>
      <c r="AD15" s="1160"/>
      <c r="AE15" s="1160"/>
      <c r="AF15" s="1160"/>
      <c r="AG15" s="1160"/>
    </row>
    <row r="16" ht="15.0" customHeight="1">
      <c r="A16" s="1252" t="s">
        <v>2027</v>
      </c>
      <c r="B16" s="1252"/>
      <c r="C16" s="1253">
        <v>13.0</v>
      </c>
      <c r="D16" s="1254">
        <v>0.0</v>
      </c>
      <c r="E16" s="1160"/>
      <c r="F16" s="1160"/>
      <c r="G16" s="1160"/>
      <c r="H16" s="1160"/>
      <c r="I16" s="1160"/>
      <c r="J16" s="1160"/>
      <c r="K16" s="1160"/>
      <c r="L16" s="1160"/>
      <c r="M16" s="1160"/>
      <c r="N16" s="1160"/>
      <c r="O16" s="1211"/>
      <c r="P16" s="1211"/>
      <c r="Q16" s="1255"/>
      <c r="R16" s="1255"/>
      <c r="S16" s="1160"/>
      <c r="T16" s="1160"/>
      <c r="U16" s="1160"/>
      <c r="V16" s="1160"/>
      <c r="W16" s="1160"/>
      <c r="X16" s="1160"/>
      <c r="Y16" s="1160"/>
      <c r="Z16" s="1160"/>
      <c r="AA16" s="1160"/>
      <c r="AB16" s="1160"/>
      <c r="AC16" s="1160"/>
      <c r="AD16" s="1160"/>
      <c r="AE16" s="1160"/>
      <c r="AF16" s="1160"/>
      <c r="AG16" s="1160"/>
    </row>
    <row r="17" ht="15.0" customHeight="1">
      <c r="A17" s="1252" t="s">
        <v>2027</v>
      </c>
      <c r="B17" s="1252"/>
      <c r="C17" s="1253">
        <v>14.0</v>
      </c>
      <c r="D17" s="1254">
        <v>0.0</v>
      </c>
      <c r="E17" s="1160"/>
      <c r="F17" s="1160"/>
      <c r="G17" s="1160"/>
      <c r="H17" s="1160"/>
      <c r="I17" s="1160"/>
      <c r="J17" s="1160"/>
      <c r="K17" s="1160"/>
      <c r="L17" s="1160"/>
      <c r="M17" s="1160"/>
      <c r="N17" s="1160"/>
      <c r="O17" s="1211"/>
      <c r="P17" s="1211"/>
      <c r="Q17" s="1255"/>
      <c r="R17" s="1255"/>
      <c r="S17" s="1160"/>
      <c r="T17" s="1160"/>
      <c r="U17" s="1160"/>
      <c r="V17" s="1160"/>
      <c r="W17" s="1160"/>
      <c r="X17" s="1160"/>
      <c r="Y17" s="1160"/>
      <c r="Z17" s="1160"/>
      <c r="AA17" s="1160"/>
      <c r="AB17" s="1160"/>
      <c r="AC17" s="1160"/>
      <c r="AD17" s="1160"/>
      <c r="AE17" s="1160"/>
      <c r="AF17" s="1160"/>
      <c r="AG17" s="1160"/>
    </row>
    <row r="18" ht="15.0" customHeight="1">
      <c r="A18" s="1252" t="s">
        <v>2027</v>
      </c>
      <c r="B18" s="1209"/>
      <c r="C18" s="1210">
        <v>15.0</v>
      </c>
      <c r="D18" s="1254">
        <v>0.0</v>
      </c>
      <c r="E18" s="1160"/>
      <c r="F18" s="1160"/>
      <c r="G18" s="1160"/>
      <c r="H18" s="1160"/>
      <c r="I18" s="1160"/>
      <c r="J18" s="1160"/>
      <c r="K18" s="1160"/>
      <c r="L18" s="1160"/>
      <c r="M18" s="1160"/>
      <c r="N18" s="1160"/>
      <c r="O18" s="1211"/>
      <c r="P18" s="1211"/>
      <c r="Q18" s="1255"/>
      <c r="R18" s="1255"/>
      <c r="S18" s="1160"/>
      <c r="T18" s="1160"/>
      <c r="U18" s="1160"/>
      <c r="V18" s="1160"/>
      <c r="W18" s="1160"/>
      <c r="X18" s="1160"/>
      <c r="Y18" s="1160"/>
      <c r="Z18" s="1160"/>
      <c r="AA18" s="1160"/>
      <c r="AB18" s="1160"/>
      <c r="AC18" s="1160"/>
      <c r="AD18" s="1160"/>
      <c r="AE18" s="1160"/>
      <c r="AF18" s="1160"/>
      <c r="AG18" s="1160"/>
    </row>
    <row r="19" ht="15.0" customHeight="1">
      <c r="A19" s="1209"/>
      <c r="B19" s="1209"/>
      <c r="C19" s="1210"/>
      <c r="D19" s="1215"/>
      <c r="E19" s="1160"/>
      <c r="F19" s="1160"/>
      <c r="G19" s="1160"/>
      <c r="H19" s="1160"/>
      <c r="I19" s="1160"/>
      <c r="J19" s="1160"/>
      <c r="K19" s="1160"/>
      <c r="L19" s="1160"/>
      <c r="M19" s="1160"/>
      <c r="N19" s="1160"/>
      <c r="O19" s="1211"/>
      <c r="P19" s="1211"/>
      <c r="Q19" s="1255"/>
      <c r="R19" s="1255"/>
      <c r="S19" s="1160"/>
      <c r="T19" s="1160"/>
      <c r="U19" s="1160"/>
      <c r="V19" s="1160"/>
      <c r="W19" s="1160"/>
      <c r="X19" s="1160"/>
      <c r="Y19" s="1160"/>
      <c r="Z19" s="1160"/>
      <c r="AA19" s="1160"/>
      <c r="AB19" s="1160"/>
      <c r="AC19" s="1160"/>
      <c r="AD19" s="1160"/>
      <c r="AE19" s="1160"/>
      <c r="AF19" s="1160"/>
      <c r="AG19" s="1160"/>
    </row>
    <row r="20" ht="15.0" customHeight="1">
      <c r="A20" s="1209"/>
      <c r="B20" s="1209"/>
      <c r="C20" s="1210"/>
      <c r="D20" s="1215"/>
      <c r="E20" s="1160"/>
      <c r="F20" s="1160"/>
      <c r="G20" s="1160"/>
      <c r="H20" s="1160"/>
      <c r="I20" s="1160"/>
      <c r="J20" s="1160"/>
      <c r="K20" s="1160"/>
      <c r="L20" s="1160"/>
      <c r="M20" s="1160"/>
      <c r="N20" s="1160"/>
      <c r="O20" s="1211"/>
      <c r="P20" s="1211"/>
      <c r="Q20" s="1255"/>
      <c r="R20" s="1255"/>
      <c r="S20" s="1160"/>
      <c r="T20" s="1160"/>
      <c r="U20" s="1160"/>
      <c r="V20" s="1160"/>
      <c r="W20" s="1160"/>
      <c r="X20" s="1160"/>
      <c r="Y20" s="1160"/>
      <c r="Z20" s="1160"/>
      <c r="AA20" s="1160"/>
      <c r="AB20" s="1160"/>
      <c r="AC20" s="1160"/>
      <c r="AD20" s="1160"/>
      <c r="AE20" s="1160"/>
      <c r="AF20" s="1160"/>
      <c r="AG20" s="1160"/>
    </row>
    <row r="21" ht="15.0" customHeight="1">
      <c r="A21" s="1209"/>
      <c r="B21" s="1209"/>
      <c r="C21" s="1210"/>
      <c r="D21" s="1215"/>
      <c r="E21" s="1160"/>
      <c r="F21" s="1160"/>
      <c r="G21" s="1160"/>
      <c r="H21" s="1160"/>
      <c r="I21" s="1160"/>
      <c r="J21" s="1160"/>
      <c r="K21" s="1160"/>
      <c r="L21" s="1160"/>
      <c r="M21" s="1160"/>
      <c r="N21" s="1160"/>
      <c r="O21" s="1211"/>
      <c r="P21" s="1211"/>
      <c r="Q21" s="1255"/>
      <c r="R21" s="1255"/>
      <c r="S21" s="1160"/>
      <c r="T21" s="1160"/>
      <c r="U21" s="1160"/>
      <c r="V21" s="1160"/>
      <c r="W21" s="1160"/>
      <c r="X21" s="1160"/>
      <c r="Y21" s="1160"/>
      <c r="Z21" s="1160"/>
      <c r="AA21" s="1160"/>
      <c r="AB21" s="1160"/>
      <c r="AC21" s="1160"/>
      <c r="AD21" s="1160"/>
      <c r="AE21" s="1160"/>
      <c r="AF21" s="1160"/>
      <c r="AG21" s="1160"/>
    </row>
    <row r="22" ht="15.0" customHeight="1">
      <c r="A22" s="1209"/>
      <c r="B22" s="1209"/>
      <c r="C22" s="1210"/>
      <c r="D22" s="1215"/>
      <c r="E22" s="1160"/>
      <c r="F22" s="1160"/>
      <c r="G22" s="1160"/>
      <c r="H22" s="1160"/>
      <c r="I22" s="1160"/>
      <c r="J22" s="1160"/>
      <c r="K22" s="1160"/>
      <c r="L22" s="1160"/>
      <c r="M22" s="1160"/>
      <c r="N22" s="1160"/>
      <c r="O22" s="1211"/>
      <c r="P22" s="1211"/>
      <c r="Q22" s="1255"/>
      <c r="R22" s="1255"/>
      <c r="S22" s="1160"/>
      <c r="T22" s="1160"/>
      <c r="U22" s="1160"/>
      <c r="V22" s="1160"/>
      <c r="W22" s="1160"/>
      <c r="X22" s="1160"/>
      <c r="Y22" s="1160"/>
      <c r="Z22" s="1160"/>
      <c r="AA22" s="1160"/>
      <c r="AB22" s="1160"/>
      <c r="AC22" s="1160"/>
      <c r="AD22" s="1160"/>
      <c r="AE22" s="1160"/>
      <c r="AF22" s="1160"/>
      <c r="AG22" s="1160"/>
    </row>
    <row r="23" ht="15.0" customHeight="1">
      <c r="A23" s="1209"/>
      <c r="B23" s="1209"/>
      <c r="C23" s="1210"/>
      <c r="D23" s="1215"/>
      <c r="E23" s="1160"/>
      <c r="F23" s="1160"/>
      <c r="G23" s="1160"/>
      <c r="H23" s="1160"/>
      <c r="I23" s="1160"/>
      <c r="J23" s="1160"/>
      <c r="K23" s="1160"/>
      <c r="L23" s="1160"/>
      <c r="M23" s="1160"/>
      <c r="N23" s="1160"/>
      <c r="O23" s="1211"/>
      <c r="P23" s="1211"/>
      <c r="Q23" s="1255"/>
      <c r="R23" s="1255"/>
      <c r="S23" s="1160"/>
      <c r="T23" s="1160"/>
      <c r="U23" s="1160"/>
      <c r="V23" s="1160"/>
      <c r="W23" s="1160"/>
      <c r="X23" s="1160"/>
      <c r="Y23" s="1160"/>
      <c r="Z23" s="1160"/>
      <c r="AA23" s="1160"/>
      <c r="AB23" s="1160"/>
      <c r="AC23" s="1160"/>
      <c r="AD23" s="1160"/>
      <c r="AE23" s="1160"/>
      <c r="AF23" s="1160"/>
      <c r="AG23" s="1160"/>
    </row>
    <row r="24" ht="15.0" customHeight="1">
      <c r="A24" s="1209"/>
      <c r="B24" s="1209"/>
      <c r="C24" s="1210"/>
      <c r="D24" s="1215"/>
      <c r="E24" s="1160"/>
      <c r="F24" s="1160"/>
      <c r="G24" s="1160"/>
      <c r="H24" s="1160"/>
      <c r="I24" s="1160"/>
      <c r="J24" s="1160"/>
      <c r="K24" s="1160"/>
      <c r="L24" s="1160"/>
      <c r="M24" s="1160"/>
      <c r="N24" s="1160"/>
      <c r="O24" s="1211"/>
      <c r="P24" s="1211"/>
      <c r="Q24" s="1255"/>
      <c r="R24" s="1255"/>
      <c r="S24" s="1160"/>
      <c r="T24" s="1160"/>
      <c r="U24" s="1160"/>
      <c r="V24" s="1160"/>
      <c r="W24" s="1160"/>
      <c r="X24" s="1160"/>
      <c r="Y24" s="1160"/>
      <c r="Z24" s="1160"/>
      <c r="AA24" s="1160"/>
      <c r="AB24" s="1160"/>
      <c r="AC24" s="1160"/>
      <c r="AD24" s="1160"/>
      <c r="AE24" s="1160"/>
      <c r="AF24" s="1160"/>
      <c r="AG24" s="1160"/>
    </row>
    <row r="25" ht="15.0" customHeight="1">
      <c r="A25" s="1209"/>
      <c r="B25" s="1209"/>
      <c r="C25" s="1210"/>
      <c r="D25" s="1215"/>
      <c r="E25" s="1160"/>
      <c r="F25" s="1160"/>
      <c r="G25" s="1160"/>
      <c r="H25" s="1160"/>
      <c r="I25" s="1160"/>
      <c r="J25" s="1160"/>
      <c r="K25" s="1160"/>
      <c r="L25" s="1160"/>
      <c r="M25" s="1160"/>
      <c r="N25" s="1160"/>
      <c r="O25" s="1211"/>
      <c r="P25" s="1211"/>
      <c r="Q25" s="1255"/>
      <c r="R25" s="1255"/>
      <c r="S25" s="1160"/>
      <c r="T25" s="1160"/>
      <c r="U25" s="1160"/>
      <c r="V25" s="1160"/>
      <c r="W25" s="1160"/>
      <c r="X25" s="1160"/>
      <c r="Y25" s="1160"/>
      <c r="Z25" s="1160"/>
      <c r="AA25" s="1160"/>
      <c r="AB25" s="1160"/>
      <c r="AC25" s="1160"/>
      <c r="AD25" s="1160"/>
      <c r="AE25" s="1160"/>
      <c r="AF25" s="1160"/>
      <c r="AG25" s="1160"/>
    </row>
    <row r="26" ht="15.0" customHeight="1">
      <c r="A26" s="1209"/>
      <c r="B26" s="1209"/>
      <c r="C26" s="1210"/>
      <c r="D26" s="1215"/>
      <c r="E26" s="1160"/>
      <c r="F26" s="1160"/>
      <c r="G26" s="1160"/>
      <c r="H26" s="1160"/>
      <c r="I26" s="1160"/>
      <c r="J26" s="1160"/>
      <c r="K26" s="1160"/>
      <c r="L26" s="1160"/>
      <c r="M26" s="1160"/>
      <c r="N26" s="1160"/>
      <c r="O26" s="1211"/>
      <c r="P26" s="1211"/>
      <c r="Q26" s="1255"/>
      <c r="R26" s="1255"/>
      <c r="S26" s="1160"/>
      <c r="T26" s="1160"/>
      <c r="U26" s="1160"/>
      <c r="V26" s="1160"/>
      <c r="W26" s="1160"/>
      <c r="X26" s="1160"/>
      <c r="Y26" s="1160"/>
      <c r="Z26" s="1160"/>
      <c r="AA26" s="1160"/>
      <c r="AB26" s="1160"/>
      <c r="AC26" s="1160"/>
      <c r="AD26" s="1160"/>
      <c r="AE26" s="1160"/>
      <c r="AF26" s="1160"/>
      <c r="AG26" s="1160"/>
    </row>
    <row r="27" ht="15.0" customHeight="1">
      <c r="A27" s="1209"/>
      <c r="B27" s="1209"/>
      <c r="C27" s="1210"/>
      <c r="D27" s="1215"/>
      <c r="E27" s="1160"/>
      <c r="F27" s="1160"/>
      <c r="G27" s="1160"/>
      <c r="H27" s="1160"/>
      <c r="I27" s="1160"/>
      <c r="J27" s="1160"/>
      <c r="K27" s="1160"/>
      <c r="L27" s="1160"/>
      <c r="M27" s="1160"/>
      <c r="N27" s="1160"/>
      <c r="O27" s="1211"/>
      <c r="P27" s="1211"/>
      <c r="Q27" s="1255"/>
      <c r="R27" s="1255"/>
      <c r="S27" s="1160"/>
      <c r="T27" s="1160"/>
      <c r="U27" s="1160"/>
      <c r="V27" s="1160"/>
      <c r="W27" s="1160"/>
      <c r="X27" s="1160"/>
      <c r="Y27" s="1160"/>
      <c r="Z27" s="1160"/>
      <c r="AA27" s="1160"/>
      <c r="AB27" s="1160"/>
      <c r="AC27" s="1160"/>
      <c r="AD27" s="1160"/>
      <c r="AE27" s="1160"/>
      <c r="AF27" s="1160"/>
      <c r="AG27" s="1160"/>
    </row>
    <row r="28" ht="15.0" customHeight="1">
      <c r="A28" s="1209"/>
      <c r="B28" s="1209"/>
      <c r="C28" s="1210"/>
      <c r="D28" s="1215"/>
      <c r="E28" s="1160"/>
      <c r="F28" s="1160"/>
      <c r="G28" s="1160"/>
      <c r="H28" s="1160"/>
      <c r="I28" s="1160"/>
      <c r="J28" s="1160"/>
      <c r="K28" s="1160"/>
      <c r="L28" s="1160"/>
      <c r="M28" s="1160"/>
      <c r="N28" s="1160"/>
      <c r="O28" s="1211"/>
      <c r="P28" s="1255"/>
      <c r="Q28" s="1255"/>
      <c r="R28" s="1255"/>
      <c r="S28" s="1160"/>
      <c r="T28" s="1160"/>
      <c r="U28" s="1160"/>
      <c r="V28" s="1160"/>
      <c r="W28" s="1160"/>
      <c r="X28" s="1160"/>
      <c r="Y28" s="1160"/>
      <c r="Z28" s="1160"/>
      <c r="AA28" s="1160"/>
      <c r="AB28" s="1160"/>
      <c r="AC28" s="1160"/>
      <c r="AD28" s="1160"/>
      <c r="AE28" s="1160"/>
      <c r="AF28" s="1160"/>
      <c r="AG28" s="1160"/>
    </row>
    <row r="29" ht="15.0" customHeight="1">
      <c r="A29" s="1209"/>
      <c r="B29" s="1209"/>
      <c r="C29" s="1210"/>
      <c r="D29" s="1215"/>
      <c r="E29" s="1160"/>
      <c r="F29" s="1160"/>
      <c r="G29" s="1160"/>
      <c r="H29" s="1160"/>
      <c r="I29" s="1160"/>
      <c r="J29" s="1160"/>
      <c r="K29" s="1160"/>
      <c r="L29" s="1160"/>
      <c r="M29" s="1160"/>
      <c r="N29" s="1160"/>
      <c r="O29" s="1255"/>
      <c r="P29" s="1255"/>
      <c r="Q29" s="1255"/>
      <c r="R29" s="1255"/>
      <c r="S29" s="1160"/>
      <c r="T29" s="1160"/>
      <c r="U29" s="1160"/>
      <c r="V29" s="1160"/>
      <c r="W29" s="1160"/>
      <c r="X29" s="1160"/>
      <c r="Y29" s="1160"/>
      <c r="Z29" s="1160"/>
      <c r="AA29" s="1160"/>
      <c r="AB29" s="1160"/>
      <c r="AC29" s="1160"/>
      <c r="AD29" s="1160"/>
      <c r="AE29" s="1160"/>
      <c r="AF29" s="1160"/>
      <c r="AG29" s="1160"/>
    </row>
    <row r="30" ht="15.0" customHeight="1">
      <c r="A30" s="1209"/>
      <c r="B30" s="1209"/>
      <c r="C30" s="1210"/>
      <c r="D30" s="1215"/>
      <c r="E30" s="1160"/>
      <c r="F30" s="1160"/>
      <c r="G30" s="1160"/>
      <c r="H30" s="1160"/>
      <c r="I30" s="1160"/>
      <c r="J30" s="1160"/>
      <c r="K30" s="1160"/>
      <c r="L30" s="1160"/>
      <c r="M30" s="1160"/>
      <c r="N30" s="1160"/>
      <c r="O30" s="1255"/>
      <c r="P30" s="1255"/>
      <c r="Q30" s="1255"/>
      <c r="R30" s="1255"/>
      <c r="S30" s="1160"/>
      <c r="T30" s="1160"/>
      <c r="U30" s="1160"/>
      <c r="V30" s="1160"/>
      <c r="W30" s="1160"/>
      <c r="X30" s="1160"/>
      <c r="Y30" s="1160"/>
      <c r="Z30" s="1160"/>
      <c r="AA30" s="1160"/>
      <c r="AB30" s="1160"/>
      <c r="AC30" s="1160"/>
      <c r="AD30" s="1160"/>
      <c r="AE30" s="1160"/>
      <c r="AF30" s="1160"/>
      <c r="AG30" s="1160"/>
    </row>
    <row r="31" ht="15.0" customHeight="1">
      <c r="A31" s="1209"/>
      <c r="B31" s="1209"/>
      <c r="C31" s="1210"/>
      <c r="D31" s="1215"/>
      <c r="E31" s="1160"/>
      <c r="F31" s="1160"/>
      <c r="G31" s="1160"/>
      <c r="H31" s="1160"/>
      <c r="I31" s="1160"/>
      <c r="J31" s="1160"/>
      <c r="K31" s="1160"/>
      <c r="L31" s="1160"/>
      <c r="M31" s="1160"/>
      <c r="N31" s="1160"/>
      <c r="O31" s="1255"/>
      <c r="P31" s="1255"/>
      <c r="Q31" s="1255"/>
      <c r="R31" s="1255"/>
      <c r="S31" s="1160"/>
      <c r="T31" s="1160"/>
      <c r="U31" s="1160"/>
      <c r="V31" s="1160"/>
      <c r="W31" s="1160"/>
      <c r="X31" s="1160"/>
      <c r="Y31" s="1160"/>
      <c r="Z31" s="1160"/>
      <c r="AA31" s="1160"/>
      <c r="AB31" s="1160"/>
      <c r="AC31" s="1160"/>
      <c r="AD31" s="1160"/>
      <c r="AE31" s="1160"/>
      <c r="AF31" s="1160"/>
      <c r="AG31" s="1160"/>
    </row>
    <row r="32" ht="15.0" customHeight="1">
      <c r="A32" s="1209"/>
      <c r="B32" s="1209"/>
      <c r="C32" s="1210"/>
      <c r="D32" s="1215"/>
      <c r="E32" s="1160"/>
      <c r="F32" s="1160"/>
      <c r="G32" s="1160"/>
      <c r="H32" s="1160"/>
      <c r="I32" s="1160"/>
      <c r="J32" s="1160"/>
      <c r="K32" s="1160"/>
      <c r="L32" s="1160"/>
      <c r="M32" s="1160"/>
      <c r="N32" s="1160"/>
      <c r="O32" s="1255"/>
      <c r="P32" s="1255"/>
      <c r="Q32" s="1255"/>
      <c r="R32" s="1255"/>
      <c r="S32" s="1160"/>
      <c r="T32" s="1160"/>
      <c r="U32" s="1160"/>
      <c r="V32" s="1160"/>
      <c r="W32" s="1160"/>
      <c r="X32" s="1160"/>
      <c r="Y32" s="1160"/>
      <c r="Z32" s="1160"/>
      <c r="AA32" s="1160"/>
      <c r="AB32" s="1160"/>
      <c r="AC32" s="1160"/>
      <c r="AD32" s="1160"/>
      <c r="AE32" s="1160"/>
      <c r="AF32" s="1160"/>
      <c r="AG32" s="1160"/>
    </row>
    <row r="33" ht="15.0" customHeight="1">
      <c r="A33" s="1209"/>
      <c r="B33" s="1209"/>
      <c r="C33" s="1210"/>
      <c r="D33" s="1215"/>
      <c r="E33" s="1160"/>
      <c r="F33" s="1160"/>
      <c r="G33" s="1160"/>
      <c r="H33" s="1160"/>
      <c r="I33" s="1160"/>
      <c r="J33" s="1160"/>
      <c r="K33" s="1160"/>
      <c r="L33" s="1160"/>
      <c r="M33" s="1160"/>
      <c r="N33" s="1160"/>
      <c r="O33" s="1255"/>
      <c r="P33" s="1255"/>
      <c r="Q33" s="1255"/>
      <c r="R33" s="1255"/>
      <c r="S33" s="1160"/>
      <c r="T33" s="1160"/>
      <c r="U33" s="1160"/>
      <c r="V33" s="1160"/>
      <c r="W33" s="1160"/>
      <c r="X33" s="1160"/>
      <c r="Y33" s="1160"/>
      <c r="Z33" s="1160"/>
      <c r="AA33" s="1160"/>
      <c r="AB33" s="1160"/>
      <c r="AC33" s="1160"/>
      <c r="AD33" s="1160"/>
      <c r="AE33" s="1160"/>
      <c r="AF33" s="1160"/>
      <c r="AG33" s="1160"/>
    </row>
    <row r="34" ht="15.0" customHeight="1">
      <c r="A34" s="1209"/>
      <c r="B34" s="1209"/>
      <c r="C34" s="1210"/>
      <c r="D34" s="1215"/>
      <c r="E34" s="1160"/>
      <c r="F34" s="1160"/>
      <c r="G34" s="1160"/>
      <c r="H34" s="1160"/>
      <c r="I34" s="1160"/>
      <c r="J34" s="1160"/>
      <c r="K34" s="1160"/>
      <c r="L34" s="1160"/>
      <c r="M34" s="1160"/>
      <c r="N34" s="1160"/>
      <c r="O34" s="1255"/>
      <c r="P34" s="1255"/>
      <c r="Q34" s="1255"/>
      <c r="R34" s="1255"/>
      <c r="S34" s="1160"/>
      <c r="T34" s="1160"/>
      <c r="U34" s="1160"/>
      <c r="V34" s="1160"/>
      <c r="W34" s="1160"/>
      <c r="X34" s="1160"/>
      <c r="Y34" s="1160"/>
      <c r="Z34" s="1160"/>
      <c r="AA34" s="1160"/>
      <c r="AB34" s="1160"/>
      <c r="AC34" s="1160"/>
      <c r="AD34" s="1160"/>
      <c r="AE34" s="1160"/>
      <c r="AF34" s="1160"/>
      <c r="AG34" s="1160"/>
    </row>
    <row r="35" ht="15.0" customHeight="1">
      <c r="A35" s="1209"/>
      <c r="B35" s="1209"/>
      <c r="C35" s="1210"/>
      <c r="D35" s="1215"/>
      <c r="E35" s="1160"/>
      <c r="F35" s="1160"/>
      <c r="G35" s="1160"/>
      <c r="H35" s="1160"/>
      <c r="I35" s="1160"/>
      <c r="J35" s="1160"/>
      <c r="K35" s="1160"/>
      <c r="L35" s="1160"/>
      <c r="M35" s="1160"/>
      <c r="N35" s="1160"/>
      <c r="O35" s="1255"/>
      <c r="P35" s="1255"/>
      <c r="Q35" s="1255"/>
      <c r="R35" s="1255"/>
      <c r="S35" s="1160"/>
      <c r="T35" s="1160"/>
      <c r="U35" s="1160"/>
      <c r="V35" s="1160"/>
      <c r="W35" s="1160"/>
      <c r="X35" s="1160"/>
      <c r="Y35" s="1160"/>
      <c r="Z35" s="1160"/>
      <c r="AA35" s="1160"/>
      <c r="AB35" s="1160"/>
      <c r="AC35" s="1160"/>
      <c r="AD35" s="1160"/>
      <c r="AE35" s="1160"/>
      <c r="AF35" s="1160"/>
      <c r="AG35" s="1160"/>
    </row>
    <row r="36" ht="15.0" customHeight="1">
      <c r="A36" s="1209"/>
      <c r="B36" s="1209"/>
      <c r="C36" s="1210"/>
      <c r="D36" s="1215"/>
      <c r="E36" s="1160"/>
      <c r="F36" s="1160"/>
      <c r="G36" s="1160"/>
      <c r="H36" s="1160"/>
      <c r="I36" s="1160"/>
      <c r="J36" s="1160"/>
      <c r="K36" s="1160"/>
      <c r="L36" s="1160"/>
      <c r="M36" s="1160"/>
      <c r="N36" s="1160"/>
      <c r="O36" s="1255"/>
      <c r="P36" s="1255"/>
      <c r="Q36" s="1255"/>
      <c r="R36" s="1255"/>
      <c r="S36" s="1160"/>
      <c r="T36" s="1160"/>
      <c r="U36" s="1160"/>
      <c r="V36" s="1160"/>
      <c r="W36" s="1160"/>
      <c r="X36" s="1160"/>
      <c r="Y36" s="1160"/>
      <c r="Z36" s="1160"/>
      <c r="AA36" s="1160"/>
      <c r="AB36" s="1160"/>
      <c r="AC36" s="1160"/>
      <c r="AD36" s="1160"/>
      <c r="AE36" s="1160"/>
      <c r="AF36" s="1160"/>
      <c r="AG36" s="1160"/>
    </row>
    <row r="37" ht="15.0" customHeight="1">
      <c r="A37" s="1209"/>
      <c r="B37" s="1209"/>
      <c r="C37" s="1210"/>
      <c r="D37" s="1215"/>
      <c r="E37" s="1160"/>
      <c r="F37" s="1160"/>
      <c r="G37" s="1160"/>
      <c r="H37" s="1160"/>
      <c r="I37" s="1160"/>
      <c r="J37" s="1160"/>
      <c r="K37" s="1160"/>
      <c r="L37" s="1160"/>
      <c r="M37" s="1160"/>
      <c r="N37" s="1160"/>
      <c r="O37" s="1255"/>
      <c r="P37" s="1255"/>
      <c r="Q37" s="1255"/>
      <c r="R37" s="1255"/>
      <c r="S37" s="1160"/>
      <c r="T37" s="1160"/>
      <c r="U37" s="1160"/>
      <c r="V37" s="1160"/>
      <c r="W37" s="1160"/>
      <c r="X37" s="1160"/>
      <c r="Y37" s="1160"/>
      <c r="Z37" s="1160"/>
      <c r="AA37" s="1160"/>
      <c r="AB37" s="1160"/>
      <c r="AC37" s="1160"/>
      <c r="AD37" s="1160"/>
      <c r="AE37" s="1160"/>
      <c r="AF37" s="1160"/>
      <c r="AG37" s="1160"/>
    </row>
    <row r="38" ht="15.0" customHeight="1">
      <c r="A38" s="1209"/>
      <c r="B38" s="1209"/>
      <c r="C38" s="1210"/>
      <c r="D38" s="1215"/>
      <c r="E38" s="1160"/>
      <c r="F38" s="1160"/>
      <c r="G38" s="1160"/>
      <c r="H38" s="1160"/>
      <c r="I38" s="1160"/>
      <c r="J38" s="1160"/>
      <c r="K38" s="1160"/>
      <c r="L38" s="1160"/>
      <c r="M38" s="1160"/>
      <c r="N38" s="1160"/>
      <c r="O38" s="1255"/>
      <c r="P38" s="1255"/>
      <c r="Q38" s="1255"/>
      <c r="R38" s="1255"/>
      <c r="S38" s="1160"/>
      <c r="T38" s="1160"/>
      <c r="U38" s="1160"/>
      <c r="V38" s="1160"/>
      <c r="W38" s="1160"/>
      <c r="X38" s="1160"/>
      <c r="Y38" s="1160"/>
      <c r="Z38" s="1160"/>
      <c r="AA38" s="1160"/>
      <c r="AB38" s="1160"/>
      <c r="AC38" s="1160"/>
      <c r="AD38" s="1160"/>
      <c r="AE38" s="1160"/>
      <c r="AF38" s="1160"/>
      <c r="AG38" s="1160"/>
    </row>
    <row r="39" ht="15.0" customHeight="1">
      <c r="A39" s="1209"/>
      <c r="B39" s="1209"/>
      <c r="C39" s="1210"/>
      <c r="D39" s="1215"/>
      <c r="E39" s="1160"/>
      <c r="F39" s="1160"/>
      <c r="G39" s="1160"/>
      <c r="H39" s="1160"/>
      <c r="I39" s="1160"/>
      <c r="J39" s="1160"/>
      <c r="K39" s="1160"/>
      <c r="L39" s="1160"/>
      <c r="M39" s="1160"/>
      <c r="N39" s="1160"/>
      <c r="O39" s="1255"/>
      <c r="P39" s="1255"/>
      <c r="Q39" s="1255"/>
      <c r="R39" s="1255"/>
      <c r="S39" s="1160"/>
      <c r="T39" s="1160"/>
      <c r="U39" s="1160"/>
      <c r="V39" s="1160"/>
      <c r="W39" s="1160"/>
      <c r="X39" s="1160"/>
      <c r="Y39" s="1160"/>
      <c r="Z39" s="1160"/>
      <c r="AA39" s="1160"/>
      <c r="AB39" s="1160"/>
      <c r="AC39" s="1160"/>
      <c r="AD39" s="1160"/>
      <c r="AE39" s="1160"/>
      <c r="AF39" s="1160"/>
      <c r="AG39" s="1160"/>
    </row>
    <row r="40" ht="15.0" customHeight="1">
      <c r="A40" s="1209"/>
      <c r="B40" s="1209"/>
      <c r="C40" s="1210"/>
      <c r="D40" s="1215"/>
      <c r="E40" s="1160"/>
      <c r="F40" s="1160"/>
      <c r="G40" s="1160"/>
      <c r="H40" s="1160"/>
      <c r="I40" s="1160"/>
      <c r="J40" s="1160"/>
      <c r="K40" s="1160"/>
      <c r="L40" s="1160"/>
      <c r="M40" s="1160"/>
      <c r="N40" s="1160"/>
      <c r="O40" s="1255"/>
      <c r="P40" s="1255"/>
      <c r="Q40" s="1255"/>
      <c r="R40" s="1255"/>
      <c r="S40" s="1160"/>
      <c r="T40" s="1160"/>
      <c r="U40" s="1160"/>
      <c r="V40" s="1160"/>
      <c r="W40" s="1160"/>
      <c r="X40" s="1160"/>
      <c r="Y40" s="1160"/>
      <c r="Z40" s="1160"/>
      <c r="AA40" s="1160"/>
      <c r="AB40" s="1160"/>
      <c r="AC40" s="1160"/>
      <c r="AD40" s="1160"/>
      <c r="AE40" s="1160"/>
      <c r="AF40" s="1160"/>
      <c r="AG40" s="1160"/>
    </row>
    <row r="41" ht="15.0" customHeight="1">
      <c r="A41" s="1209"/>
      <c r="B41" s="1209"/>
      <c r="C41" s="1210"/>
      <c r="D41" s="1215"/>
      <c r="E41" s="1160"/>
      <c r="F41" s="1160"/>
      <c r="G41" s="1160"/>
      <c r="H41" s="1160"/>
      <c r="I41" s="1160"/>
      <c r="J41" s="1160"/>
      <c r="K41" s="1160"/>
      <c r="L41" s="1160"/>
      <c r="M41" s="1160"/>
      <c r="N41" s="1160"/>
      <c r="O41" s="1255"/>
      <c r="P41" s="1255"/>
      <c r="Q41" s="1255"/>
      <c r="R41" s="1255"/>
      <c r="S41" s="1160"/>
      <c r="T41" s="1160"/>
      <c r="U41" s="1160"/>
      <c r="V41" s="1160"/>
      <c r="W41" s="1160"/>
      <c r="X41" s="1160"/>
      <c r="Y41" s="1160"/>
      <c r="Z41" s="1160"/>
      <c r="AA41" s="1160"/>
      <c r="AB41" s="1160"/>
      <c r="AC41" s="1160"/>
      <c r="AD41" s="1160"/>
      <c r="AE41" s="1160"/>
      <c r="AF41" s="1160"/>
      <c r="AG41" s="1160"/>
    </row>
    <row r="42" ht="15.0" customHeight="1">
      <c r="A42" s="1209"/>
      <c r="B42" s="1209"/>
      <c r="C42" s="1210"/>
      <c r="D42" s="1215"/>
      <c r="E42" s="1160"/>
      <c r="F42" s="1160"/>
      <c r="G42" s="1160"/>
      <c r="H42" s="1160"/>
      <c r="I42" s="1160"/>
      <c r="J42" s="1160"/>
      <c r="K42" s="1160"/>
      <c r="L42" s="1160"/>
      <c r="M42" s="1160"/>
      <c r="N42" s="1160"/>
      <c r="O42" s="1255"/>
      <c r="P42" s="1255"/>
      <c r="Q42" s="1255"/>
      <c r="R42" s="1255"/>
      <c r="S42" s="1160"/>
      <c r="T42" s="1160"/>
      <c r="U42" s="1160"/>
      <c r="V42" s="1160"/>
      <c r="W42" s="1160"/>
      <c r="X42" s="1160"/>
      <c r="Y42" s="1160"/>
      <c r="Z42" s="1160"/>
      <c r="AA42" s="1160"/>
      <c r="AB42" s="1160"/>
      <c r="AC42" s="1160"/>
      <c r="AD42" s="1160"/>
      <c r="AE42" s="1160"/>
      <c r="AF42" s="1160"/>
      <c r="AG42" s="1160"/>
    </row>
    <row r="43" ht="15.0" customHeight="1">
      <c r="A43" s="1209"/>
      <c r="B43" s="1209"/>
      <c r="C43" s="1210"/>
      <c r="D43" s="1215"/>
      <c r="E43" s="1160"/>
      <c r="F43" s="1160"/>
      <c r="G43" s="1160"/>
      <c r="H43" s="1160"/>
      <c r="I43" s="1160"/>
      <c r="J43" s="1160"/>
      <c r="K43" s="1160"/>
      <c r="L43" s="1160"/>
      <c r="M43" s="1160"/>
      <c r="N43" s="1160"/>
      <c r="O43" s="1255"/>
      <c r="P43" s="1255"/>
      <c r="Q43" s="1255"/>
      <c r="R43" s="1255"/>
      <c r="S43" s="1160"/>
      <c r="T43" s="1160"/>
      <c r="U43" s="1160"/>
      <c r="V43" s="1160"/>
      <c r="W43" s="1160"/>
      <c r="X43" s="1160"/>
      <c r="Y43" s="1160"/>
      <c r="Z43" s="1160"/>
      <c r="AA43" s="1160"/>
      <c r="AB43" s="1160"/>
      <c r="AC43" s="1160"/>
      <c r="AD43" s="1160"/>
      <c r="AE43" s="1160"/>
      <c r="AF43" s="1160"/>
      <c r="AG43" s="1160"/>
    </row>
    <row r="44" ht="15.0" customHeight="1">
      <c r="A44" s="1209"/>
      <c r="B44" s="1209"/>
      <c r="C44" s="1210"/>
      <c r="D44" s="1215"/>
      <c r="E44" s="1160"/>
      <c r="F44" s="1160"/>
      <c r="G44" s="1160"/>
      <c r="H44" s="1160"/>
      <c r="I44" s="1160"/>
      <c r="J44" s="1160"/>
      <c r="K44" s="1160"/>
      <c r="L44" s="1160"/>
      <c r="M44" s="1160"/>
      <c r="N44" s="1160"/>
      <c r="O44" s="1255"/>
      <c r="P44" s="1255"/>
      <c r="Q44" s="1255"/>
      <c r="R44" s="1255"/>
      <c r="S44" s="1160"/>
      <c r="T44" s="1160"/>
      <c r="U44" s="1160"/>
      <c r="V44" s="1160"/>
      <c r="W44" s="1160"/>
      <c r="X44" s="1160"/>
      <c r="Y44" s="1160"/>
      <c r="Z44" s="1160"/>
      <c r="AA44" s="1160"/>
      <c r="AB44" s="1160"/>
      <c r="AC44" s="1160"/>
      <c r="AD44" s="1160"/>
      <c r="AE44" s="1160"/>
      <c r="AF44" s="1160"/>
      <c r="AG44" s="1160"/>
    </row>
    <row r="45" ht="15.0" customHeight="1">
      <c r="A45" s="1209"/>
      <c r="B45" s="1209"/>
      <c r="C45" s="1210"/>
      <c r="D45" s="1215"/>
      <c r="E45" s="1160"/>
      <c r="F45" s="1160"/>
      <c r="G45" s="1160"/>
      <c r="H45" s="1160"/>
      <c r="I45" s="1160"/>
      <c r="J45" s="1160"/>
      <c r="K45" s="1160"/>
      <c r="L45" s="1160"/>
      <c r="M45" s="1160"/>
      <c r="N45" s="1160"/>
      <c r="O45" s="1255"/>
      <c r="P45" s="1255"/>
      <c r="Q45" s="1255"/>
      <c r="R45" s="1255"/>
      <c r="S45" s="1160"/>
      <c r="T45" s="1160"/>
      <c r="U45" s="1160"/>
      <c r="V45" s="1160"/>
      <c r="W45" s="1160"/>
      <c r="X45" s="1160"/>
      <c r="Y45" s="1160"/>
      <c r="Z45" s="1160"/>
      <c r="AA45" s="1160"/>
      <c r="AB45" s="1160"/>
      <c r="AC45" s="1160"/>
      <c r="AD45" s="1160"/>
      <c r="AE45" s="1160"/>
      <c r="AF45" s="1160"/>
      <c r="AG45" s="1160"/>
    </row>
    <row r="46" ht="15.0" customHeight="1">
      <c r="A46" s="1209"/>
      <c r="B46" s="1209"/>
      <c r="C46" s="1210"/>
      <c r="D46" s="1215"/>
      <c r="E46" s="1160"/>
      <c r="F46" s="1160"/>
      <c r="G46" s="1160"/>
      <c r="H46" s="1160"/>
      <c r="I46" s="1160"/>
      <c r="J46" s="1160"/>
      <c r="K46" s="1160"/>
      <c r="L46" s="1160"/>
      <c r="M46" s="1160"/>
      <c r="N46" s="1160"/>
      <c r="O46" s="1255"/>
      <c r="P46" s="1255"/>
      <c r="Q46" s="1255"/>
      <c r="R46" s="1255"/>
      <c r="S46" s="1160"/>
      <c r="T46" s="1160"/>
      <c r="U46" s="1160"/>
      <c r="V46" s="1160"/>
      <c r="W46" s="1160"/>
      <c r="X46" s="1160"/>
      <c r="Y46" s="1160"/>
      <c r="Z46" s="1160"/>
      <c r="AA46" s="1160"/>
      <c r="AB46" s="1160"/>
      <c r="AC46" s="1160"/>
      <c r="AD46" s="1160"/>
      <c r="AE46" s="1160"/>
      <c r="AF46" s="1160"/>
      <c r="AG46" s="1160"/>
    </row>
    <row r="47" ht="15.0" customHeight="1">
      <c r="A47" s="1209"/>
      <c r="B47" s="1209"/>
      <c r="C47" s="1210"/>
      <c r="D47" s="1215"/>
      <c r="E47" s="1160"/>
      <c r="F47" s="1160"/>
      <c r="G47" s="1160"/>
      <c r="H47" s="1160"/>
      <c r="I47" s="1160"/>
      <c r="J47" s="1160"/>
      <c r="K47" s="1160"/>
      <c r="L47" s="1160"/>
      <c r="M47" s="1160"/>
      <c r="N47" s="1160"/>
      <c r="O47" s="1255"/>
      <c r="P47" s="1255"/>
      <c r="Q47" s="1255"/>
      <c r="R47" s="1160"/>
      <c r="S47" s="1160"/>
      <c r="T47" s="1160"/>
      <c r="U47" s="1160"/>
      <c r="V47" s="1160"/>
      <c r="W47" s="1160"/>
      <c r="X47" s="1160"/>
      <c r="Y47" s="1160"/>
      <c r="Z47" s="1160"/>
      <c r="AA47" s="1160"/>
      <c r="AB47" s="1160"/>
      <c r="AC47" s="1160"/>
      <c r="AD47" s="1160"/>
      <c r="AE47" s="1160"/>
      <c r="AF47" s="1160"/>
      <c r="AG47" s="1160"/>
    </row>
    <row r="48" ht="15.0" customHeight="1">
      <c r="A48" s="1209"/>
      <c r="B48" s="1209"/>
      <c r="C48" s="1210"/>
      <c r="D48" s="1215"/>
      <c r="E48" s="1160"/>
      <c r="F48" s="1160"/>
      <c r="G48" s="1160"/>
      <c r="H48" s="1160"/>
      <c r="I48" s="1160"/>
      <c r="J48" s="1160"/>
      <c r="K48" s="1160"/>
      <c r="L48" s="1160"/>
      <c r="M48" s="1160"/>
      <c r="N48" s="1160"/>
      <c r="O48" s="1255"/>
      <c r="P48" s="1255"/>
      <c r="Q48" s="1255"/>
      <c r="R48" s="1160"/>
      <c r="S48" s="1160"/>
      <c r="T48" s="1160"/>
      <c r="U48" s="1160"/>
      <c r="V48" s="1160"/>
      <c r="W48" s="1160"/>
      <c r="X48" s="1160"/>
      <c r="Y48" s="1160"/>
      <c r="Z48" s="1160"/>
      <c r="AA48" s="1160"/>
      <c r="AB48" s="1160"/>
      <c r="AC48" s="1160"/>
      <c r="AD48" s="1160"/>
      <c r="AE48" s="1160"/>
      <c r="AF48" s="1160"/>
      <c r="AG48" s="1160"/>
    </row>
    <row r="49" ht="15.0" customHeight="1">
      <c r="A49" s="1209"/>
      <c r="B49" s="1209"/>
      <c r="C49" s="1210"/>
      <c r="D49" s="1215"/>
      <c r="E49" s="1160"/>
      <c r="F49" s="1160"/>
      <c r="G49" s="1160"/>
      <c r="H49" s="1160"/>
      <c r="I49" s="1160"/>
      <c r="J49" s="1160"/>
      <c r="K49" s="1160"/>
      <c r="L49" s="1160"/>
      <c r="M49" s="1160"/>
      <c r="N49" s="1160"/>
      <c r="O49" s="1255"/>
      <c r="P49" s="1255"/>
      <c r="Q49" s="1255"/>
      <c r="R49" s="1160"/>
      <c r="S49" s="1160"/>
      <c r="T49" s="1160"/>
      <c r="U49" s="1160"/>
      <c r="V49" s="1160"/>
      <c r="W49" s="1160"/>
      <c r="X49" s="1160"/>
      <c r="Y49" s="1160"/>
      <c r="Z49" s="1160"/>
      <c r="AA49" s="1160"/>
      <c r="AB49" s="1160"/>
      <c r="AC49" s="1160"/>
      <c r="AD49" s="1160"/>
      <c r="AE49" s="1160"/>
      <c r="AF49" s="1160"/>
      <c r="AG49" s="1160"/>
    </row>
    <row r="50" ht="15.0" customHeight="1">
      <c r="A50" s="1209"/>
      <c r="B50" s="1209"/>
      <c r="C50" s="1210"/>
      <c r="D50" s="1215"/>
      <c r="E50" s="1160"/>
      <c r="F50" s="1160"/>
      <c r="G50" s="1160"/>
      <c r="H50" s="1160"/>
      <c r="I50" s="1160"/>
      <c r="J50" s="1160"/>
      <c r="K50" s="1160"/>
      <c r="L50" s="1160"/>
      <c r="M50" s="1160"/>
      <c r="N50" s="1160"/>
      <c r="O50" s="1255"/>
      <c r="P50" s="1255"/>
      <c r="Q50" s="1255"/>
      <c r="R50" s="1160"/>
      <c r="S50" s="1160"/>
      <c r="T50" s="1160"/>
      <c r="U50" s="1160"/>
      <c r="V50" s="1160"/>
      <c r="W50" s="1160"/>
      <c r="X50" s="1160"/>
      <c r="Y50" s="1160"/>
      <c r="Z50" s="1160"/>
      <c r="AA50" s="1160"/>
      <c r="AB50" s="1160"/>
      <c r="AC50" s="1160"/>
      <c r="AD50" s="1160"/>
      <c r="AE50" s="1160"/>
      <c r="AF50" s="1160"/>
      <c r="AG50" s="1160"/>
    </row>
    <row r="51" ht="15.0" customHeight="1">
      <c r="A51" s="1209"/>
      <c r="B51" s="1209"/>
      <c r="C51" s="1210"/>
      <c r="D51" s="1215"/>
      <c r="E51" s="1160"/>
      <c r="F51" s="1160"/>
      <c r="G51" s="1160"/>
      <c r="H51" s="1160"/>
      <c r="I51" s="1160"/>
      <c r="J51" s="1160"/>
      <c r="K51" s="1160"/>
      <c r="L51" s="1160"/>
      <c r="M51" s="1160"/>
      <c r="N51" s="1160"/>
      <c r="O51" s="1255"/>
      <c r="P51" s="1255"/>
      <c r="Q51" s="1255"/>
      <c r="R51" s="1160"/>
      <c r="S51" s="1160"/>
      <c r="T51" s="1160"/>
      <c r="U51" s="1160"/>
      <c r="V51" s="1160"/>
      <c r="W51" s="1160"/>
      <c r="X51" s="1160"/>
      <c r="Y51" s="1160"/>
      <c r="Z51" s="1160"/>
      <c r="AA51" s="1160"/>
      <c r="AB51" s="1160"/>
      <c r="AC51" s="1160"/>
      <c r="AD51" s="1160"/>
      <c r="AE51" s="1160"/>
      <c r="AF51" s="1160"/>
      <c r="AG51" s="1160"/>
    </row>
    <row r="52" ht="15.0" customHeight="1">
      <c r="A52" s="1209"/>
      <c r="B52" s="1209"/>
      <c r="C52" s="1210"/>
      <c r="D52" s="1215"/>
      <c r="E52" s="1160"/>
      <c r="F52" s="1160"/>
      <c r="G52" s="1160"/>
      <c r="H52" s="1160"/>
      <c r="I52" s="1160"/>
      <c r="J52" s="1160"/>
      <c r="K52" s="1160"/>
      <c r="L52" s="1160"/>
      <c r="M52" s="1160"/>
      <c r="N52" s="1160"/>
      <c r="O52" s="1255"/>
      <c r="P52" s="1255"/>
      <c r="Q52" s="1255"/>
      <c r="R52" s="1160"/>
      <c r="S52" s="1160"/>
      <c r="T52" s="1160"/>
      <c r="U52" s="1160"/>
      <c r="V52" s="1160"/>
      <c r="W52" s="1160"/>
      <c r="X52" s="1160"/>
      <c r="Y52" s="1160"/>
      <c r="Z52" s="1160"/>
      <c r="AA52" s="1160"/>
      <c r="AB52" s="1160"/>
      <c r="AC52" s="1160"/>
      <c r="AD52" s="1160"/>
      <c r="AE52" s="1160"/>
      <c r="AF52" s="1160"/>
      <c r="AG52" s="1160"/>
    </row>
    <row r="53" ht="15.0" customHeight="1">
      <c r="A53" s="1209"/>
      <c r="B53" s="1209"/>
      <c r="C53" s="1210"/>
      <c r="D53" s="1215"/>
      <c r="E53" s="1160"/>
      <c r="F53" s="1160"/>
      <c r="G53" s="1160"/>
      <c r="H53" s="1160"/>
      <c r="I53" s="1160"/>
      <c r="J53" s="1160"/>
      <c r="K53" s="1160"/>
      <c r="L53" s="1160"/>
      <c r="M53" s="1160"/>
      <c r="N53" s="1160"/>
      <c r="O53" s="1255"/>
      <c r="P53" s="1255"/>
      <c r="Q53" s="1255"/>
      <c r="R53" s="1160"/>
      <c r="S53" s="1160"/>
      <c r="T53" s="1160"/>
      <c r="U53" s="1160"/>
      <c r="V53" s="1160"/>
      <c r="W53" s="1160"/>
      <c r="X53" s="1160"/>
      <c r="Y53" s="1160"/>
      <c r="Z53" s="1160"/>
      <c r="AA53" s="1160"/>
      <c r="AB53" s="1160"/>
      <c r="AC53" s="1160"/>
      <c r="AD53" s="1160"/>
      <c r="AE53" s="1160"/>
      <c r="AF53" s="1160"/>
      <c r="AG53" s="1160"/>
    </row>
    <row r="54" ht="15.0" customHeight="1">
      <c r="A54" s="1209"/>
      <c r="B54" s="1209"/>
      <c r="C54" s="1210"/>
      <c r="D54" s="1215"/>
      <c r="E54" s="1160"/>
      <c r="F54" s="1160"/>
      <c r="G54" s="1160"/>
      <c r="H54" s="1160"/>
      <c r="I54" s="1160"/>
      <c r="J54" s="1160"/>
      <c r="K54" s="1160"/>
      <c r="L54" s="1160"/>
      <c r="M54" s="1160"/>
      <c r="N54" s="1160"/>
      <c r="O54" s="1255"/>
      <c r="P54" s="1255"/>
      <c r="Q54" s="1255"/>
      <c r="R54" s="1160"/>
      <c r="S54" s="1160"/>
      <c r="T54" s="1160"/>
      <c r="U54" s="1160"/>
      <c r="V54" s="1160"/>
      <c r="W54" s="1160"/>
      <c r="X54" s="1160"/>
      <c r="Y54" s="1160"/>
      <c r="Z54" s="1160"/>
      <c r="AA54" s="1160"/>
      <c r="AB54" s="1160"/>
      <c r="AC54" s="1160"/>
      <c r="AD54" s="1160"/>
      <c r="AE54" s="1160"/>
      <c r="AF54" s="1160"/>
      <c r="AG54" s="1160"/>
    </row>
    <row r="55" ht="15.0" customHeight="1">
      <c r="A55" s="1209"/>
      <c r="B55" s="1209"/>
      <c r="C55" s="1210"/>
      <c r="D55" s="1215"/>
      <c r="E55" s="1160"/>
      <c r="F55" s="1160"/>
      <c r="G55" s="1160"/>
      <c r="H55" s="1160"/>
      <c r="I55" s="1160"/>
      <c r="J55" s="1160"/>
      <c r="K55" s="1160"/>
      <c r="L55" s="1160"/>
      <c r="M55" s="1160"/>
      <c r="N55" s="1160"/>
      <c r="O55" s="1255"/>
      <c r="P55" s="1255"/>
      <c r="Q55" s="1255"/>
      <c r="R55" s="1160"/>
      <c r="S55" s="1160"/>
      <c r="T55" s="1160"/>
      <c r="U55" s="1160"/>
      <c r="V55" s="1160"/>
      <c r="W55" s="1160"/>
      <c r="X55" s="1160"/>
      <c r="Y55" s="1160"/>
      <c r="Z55" s="1160"/>
      <c r="AA55" s="1160"/>
      <c r="AB55" s="1160"/>
      <c r="AC55" s="1160"/>
      <c r="AD55" s="1160"/>
      <c r="AE55" s="1160"/>
      <c r="AF55" s="1160"/>
      <c r="AG55" s="1160"/>
    </row>
    <row r="56" ht="15.0" customHeight="1">
      <c r="A56" s="1209"/>
      <c r="B56" s="1209"/>
      <c r="C56" s="1210"/>
      <c r="D56" s="1215"/>
      <c r="E56" s="1160"/>
      <c r="F56" s="1160"/>
      <c r="G56" s="1160"/>
      <c r="H56" s="1160"/>
      <c r="I56" s="1160"/>
      <c r="J56" s="1160"/>
      <c r="K56" s="1160"/>
      <c r="L56" s="1160"/>
      <c r="M56" s="1160"/>
      <c r="N56" s="1160"/>
      <c r="O56" s="1255"/>
      <c r="P56" s="1255"/>
      <c r="Q56" s="1255"/>
      <c r="R56" s="1160"/>
      <c r="S56" s="1160"/>
      <c r="T56" s="1160"/>
      <c r="U56" s="1160"/>
      <c r="V56" s="1160"/>
      <c r="W56" s="1160"/>
      <c r="X56" s="1160"/>
      <c r="Y56" s="1160"/>
      <c r="Z56" s="1160"/>
      <c r="AA56" s="1160"/>
      <c r="AB56" s="1160"/>
      <c r="AC56" s="1160"/>
      <c r="AD56" s="1160"/>
      <c r="AE56" s="1160"/>
      <c r="AF56" s="1160"/>
      <c r="AG56" s="1160"/>
    </row>
    <row r="57" ht="15.0" customHeight="1">
      <c r="A57" s="1209"/>
      <c r="B57" s="1209"/>
      <c r="C57" s="1210"/>
      <c r="D57" s="1215"/>
      <c r="E57" s="1160"/>
      <c r="F57" s="1160"/>
      <c r="G57" s="1160"/>
      <c r="H57" s="1160"/>
      <c r="I57" s="1160"/>
      <c r="J57" s="1160"/>
      <c r="K57" s="1160"/>
      <c r="L57" s="1160"/>
      <c r="M57" s="1160"/>
      <c r="N57" s="1160"/>
      <c r="O57" s="1255"/>
      <c r="P57" s="1255"/>
      <c r="Q57" s="1255"/>
      <c r="R57" s="1160"/>
      <c r="S57" s="1160"/>
      <c r="T57" s="1160"/>
      <c r="U57" s="1160"/>
      <c r="V57" s="1160"/>
      <c r="W57" s="1160"/>
      <c r="X57" s="1160"/>
      <c r="Y57" s="1160"/>
      <c r="Z57" s="1160"/>
      <c r="AA57" s="1160"/>
      <c r="AB57" s="1160"/>
      <c r="AC57" s="1160"/>
      <c r="AD57" s="1160"/>
      <c r="AE57" s="1160"/>
      <c r="AF57" s="1160"/>
      <c r="AG57" s="1160"/>
    </row>
    <row r="58" ht="15.0" customHeight="1">
      <c r="A58" s="1209"/>
      <c r="B58" s="1209"/>
      <c r="C58" s="1210"/>
      <c r="D58" s="1215"/>
      <c r="E58" s="1160"/>
      <c r="F58" s="1160"/>
      <c r="G58" s="1160"/>
      <c r="H58" s="1160"/>
      <c r="I58" s="1160"/>
      <c r="J58" s="1160"/>
      <c r="K58" s="1160"/>
      <c r="L58" s="1160"/>
      <c r="M58" s="1160"/>
      <c r="N58" s="1160"/>
      <c r="O58" s="1255"/>
      <c r="P58" s="1255"/>
      <c r="Q58" s="1255"/>
      <c r="R58" s="1160"/>
      <c r="S58" s="1160"/>
      <c r="T58" s="1160"/>
      <c r="U58" s="1160"/>
      <c r="V58" s="1160"/>
      <c r="W58" s="1160"/>
      <c r="X58" s="1160"/>
      <c r="Y58" s="1160"/>
      <c r="Z58" s="1160"/>
      <c r="AA58" s="1160"/>
      <c r="AB58" s="1160"/>
      <c r="AC58" s="1160"/>
      <c r="AD58" s="1160"/>
      <c r="AE58" s="1160"/>
      <c r="AF58" s="1160"/>
      <c r="AG58" s="1160"/>
    </row>
    <row r="59" ht="15.0" customHeight="1">
      <c r="A59" s="1209"/>
      <c r="B59" s="1209"/>
      <c r="C59" s="1210"/>
      <c r="D59" s="1215"/>
      <c r="E59" s="1160"/>
      <c r="F59" s="1160"/>
      <c r="G59" s="1160"/>
      <c r="H59" s="1160"/>
      <c r="I59" s="1160"/>
      <c r="J59" s="1160"/>
      <c r="K59" s="1160"/>
      <c r="L59" s="1160"/>
      <c r="M59" s="1160"/>
      <c r="N59" s="1160"/>
      <c r="O59" s="1255"/>
      <c r="P59" s="1255"/>
      <c r="Q59" s="1255"/>
      <c r="R59" s="1160"/>
      <c r="S59" s="1160"/>
      <c r="T59" s="1160"/>
      <c r="U59" s="1160"/>
      <c r="V59" s="1160"/>
      <c r="W59" s="1160"/>
      <c r="X59" s="1160"/>
      <c r="Y59" s="1160"/>
      <c r="Z59" s="1160"/>
      <c r="AA59" s="1160"/>
      <c r="AB59" s="1160"/>
      <c r="AC59" s="1160"/>
      <c r="AD59" s="1160"/>
      <c r="AE59" s="1160"/>
      <c r="AF59" s="1160"/>
      <c r="AG59" s="1160"/>
    </row>
    <row r="60" ht="15.0" customHeight="1">
      <c r="A60" s="1209"/>
      <c r="B60" s="1209"/>
      <c r="C60" s="1210"/>
      <c r="D60" s="1215"/>
      <c r="E60" s="1160"/>
      <c r="F60" s="1160"/>
      <c r="G60" s="1160"/>
      <c r="H60" s="1160"/>
      <c r="I60" s="1160"/>
      <c r="J60" s="1160"/>
      <c r="K60" s="1160"/>
      <c r="L60" s="1160"/>
      <c r="M60" s="1160"/>
      <c r="N60" s="1160"/>
      <c r="O60" s="1255"/>
      <c r="P60" s="1255"/>
      <c r="Q60" s="1255"/>
      <c r="R60" s="1160"/>
      <c r="S60" s="1160"/>
      <c r="T60" s="1160"/>
      <c r="U60" s="1160"/>
      <c r="V60" s="1160"/>
      <c r="W60" s="1160"/>
      <c r="X60" s="1160"/>
      <c r="Y60" s="1160"/>
      <c r="Z60" s="1160"/>
      <c r="AA60" s="1160"/>
      <c r="AB60" s="1160"/>
      <c r="AC60" s="1160"/>
      <c r="AD60" s="1160"/>
      <c r="AE60" s="1160"/>
      <c r="AF60" s="1160"/>
      <c r="AG60" s="1160"/>
    </row>
    <row r="61" ht="15.0" customHeight="1">
      <c r="A61" s="1209"/>
      <c r="B61" s="1209"/>
      <c r="C61" s="1210"/>
      <c r="D61" s="1215"/>
      <c r="E61" s="1160"/>
      <c r="F61" s="1160"/>
      <c r="G61" s="1160"/>
      <c r="H61" s="1160"/>
      <c r="I61" s="1160"/>
      <c r="J61" s="1160"/>
      <c r="K61" s="1160"/>
      <c r="L61" s="1160"/>
      <c r="M61" s="1160"/>
      <c r="N61" s="1160"/>
      <c r="O61" s="1255"/>
      <c r="P61" s="1255"/>
      <c r="Q61" s="1255"/>
      <c r="R61" s="1160"/>
      <c r="S61" s="1160"/>
      <c r="T61" s="1160"/>
      <c r="U61" s="1160"/>
      <c r="V61" s="1160"/>
      <c r="W61" s="1160"/>
      <c r="X61" s="1160"/>
      <c r="Y61" s="1160"/>
      <c r="Z61" s="1160"/>
      <c r="AA61" s="1160"/>
      <c r="AB61" s="1160"/>
      <c r="AC61" s="1160"/>
      <c r="AD61" s="1160"/>
      <c r="AE61" s="1160"/>
      <c r="AF61" s="1160"/>
      <c r="AG61" s="1160"/>
    </row>
    <row r="62" ht="15.0" customHeight="1">
      <c r="A62" s="1209"/>
      <c r="B62" s="1209"/>
      <c r="C62" s="1210"/>
      <c r="D62" s="1215"/>
      <c r="E62" s="1160"/>
      <c r="F62" s="1160"/>
      <c r="G62" s="1160"/>
      <c r="H62" s="1160"/>
      <c r="I62" s="1160"/>
      <c r="J62" s="1160"/>
      <c r="K62" s="1160"/>
      <c r="L62" s="1160"/>
      <c r="M62" s="1160"/>
      <c r="N62" s="1160"/>
      <c r="O62" s="1255"/>
      <c r="P62" s="1255"/>
      <c r="Q62" s="1255"/>
      <c r="R62" s="1160"/>
      <c r="S62" s="1160"/>
      <c r="T62" s="1160"/>
      <c r="U62" s="1160"/>
      <c r="V62" s="1160"/>
      <c r="W62" s="1160"/>
      <c r="X62" s="1160"/>
      <c r="Y62" s="1160"/>
      <c r="Z62" s="1160"/>
      <c r="AA62" s="1160"/>
      <c r="AB62" s="1160"/>
      <c r="AC62" s="1160"/>
      <c r="AD62" s="1160"/>
      <c r="AE62" s="1160"/>
      <c r="AF62" s="1160"/>
      <c r="AG62" s="1160"/>
    </row>
    <row r="63" ht="15.0" customHeight="1">
      <c r="A63" s="1209"/>
      <c r="B63" s="1209"/>
      <c r="C63" s="1210"/>
      <c r="D63" s="1215"/>
      <c r="E63" s="1160"/>
      <c r="F63" s="1160"/>
      <c r="G63" s="1160"/>
      <c r="H63" s="1160"/>
      <c r="I63" s="1160"/>
      <c r="J63" s="1160"/>
      <c r="K63" s="1160"/>
      <c r="L63" s="1160"/>
      <c r="M63" s="1160"/>
      <c r="N63" s="1160"/>
      <c r="O63" s="1255"/>
      <c r="P63" s="1255"/>
      <c r="Q63" s="1255"/>
      <c r="R63" s="1160"/>
      <c r="S63" s="1160"/>
      <c r="T63" s="1160"/>
      <c r="U63" s="1160"/>
      <c r="V63" s="1160"/>
      <c r="W63" s="1160"/>
      <c r="X63" s="1160"/>
      <c r="Y63" s="1160"/>
      <c r="Z63" s="1160"/>
      <c r="AA63" s="1160"/>
      <c r="AB63" s="1160"/>
      <c r="AC63" s="1160"/>
      <c r="AD63" s="1160"/>
      <c r="AE63" s="1160"/>
      <c r="AF63" s="1160"/>
      <c r="AG63" s="1160"/>
    </row>
    <row r="64" ht="15.0" customHeight="1">
      <c r="A64" s="1209"/>
      <c r="B64" s="1209"/>
      <c r="C64" s="1210"/>
      <c r="D64" s="1215"/>
      <c r="E64" s="1160"/>
      <c r="F64" s="1160"/>
      <c r="G64" s="1160"/>
      <c r="H64" s="1160"/>
      <c r="I64" s="1160"/>
      <c r="J64" s="1160"/>
      <c r="K64" s="1160"/>
      <c r="L64" s="1160"/>
      <c r="M64" s="1160"/>
      <c r="N64" s="1160"/>
      <c r="O64" s="1255"/>
      <c r="P64" s="1255"/>
      <c r="Q64" s="1255"/>
      <c r="R64" s="1160"/>
      <c r="S64" s="1160"/>
      <c r="T64" s="1160"/>
      <c r="U64" s="1160"/>
      <c r="V64" s="1160"/>
      <c r="W64" s="1160"/>
      <c r="X64" s="1160"/>
      <c r="Y64" s="1160"/>
      <c r="Z64" s="1160"/>
      <c r="AA64" s="1160"/>
      <c r="AB64" s="1160"/>
      <c r="AC64" s="1160"/>
      <c r="AD64" s="1160"/>
      <c r="AE64" s="1160"/>
      <c r="AF64" s="1160"/>
      <c r="AG64" s="1160"/>
    </row>
    <row r="65" ht="15.0" customHeight="1">
      <c r="A65" s="1209"/>
      <c r="B65" s="1209"/>
      <c r="C65" s="1210"/>
      <c r="D65" s="1215"/>
      <c r="E65" s="1160"/>
      <c r="F65" s="1160"/>
      <c r="G65" s="1160"/>
      <c r="H65" s="1160"/>
      <c r="I65" s="1160"/>
      <c r="J65" s="1160"/>
      <c r="K65" s="1160"/>
      <c r="L65" s="1160"/>
      <c r="M65" s="1160"/>
      <c r="N65" s="1160"/>
      <c r="O65" s="1255"/>
      <c r="P65" s="1255"/>
      <c r="Q65" s="1255"/>
      <c r="R65" s="1160"/>
      <c r="S65" s="1160"/>
      <c r="T65" s="1160"/>
      <c r="U65" s="1160"/>
      <c r="V65" s="1160"/>
      <c r="W65" s="1160"/>
      <c r="X65" s="1160"/>
      <c r="Y65" s="1160"/>
      <c r="Z65" s="1160"/>
      <c r="AA65" s="1160"/>
      <c r="AB65" s="1160"/>
      <c r="AC65" s="1160"/>
      <c r="AD65" s="1160"/>
      <c r="AE65" s="1160"/>
      <c r="AF65" s="1160"/>
      <c r="AG65" s="1160"/>
    </row>
    <row r="66" ht="15.0" customHeight="1">
      <c r="A66" s="1209"/>
      <c r="B66" s="1209"/>
      <c r="C66" s="1210"/>
      <c r="D66" s="1215"/>
      <c r="E66" s="1160"/>
      <c r="F66" s="1160"/>
      <c r="G66" s="1160"/>
      <c r="H66" s="1160"/>
      <c r="I66" s="1160"/>
      <c r="J66" s="1160"/>
      <c r="K66" s="1160"/>
      <c r="L66" s="1160"/>
      <c r="M66" s="1160"/>
      <c r="N66" s="1160"/>
      <c r="O66" s="1255"/>
      <c r="P66" s="1255"/>
      <c r="Q66" s="1255"/>
      <c r="R66" s="1160"/>
      <c r="S66" s="1160"/>
      <c r="T66" s="1160"/>
      <c r="U66" s="1160"/>
      <c r="V66" s="1160"/>
      <c r="W66" s="1160"/>
      <c r="X66" s="1160"/>
      <c r="Y66" s="1160"/>
      <c r="Z66" s="1160"/>
      <c r="AA66" s="1160"/>
      <c r="AB66" s="1160"/>
      <c r="AC66" s="1160"/>
      <c r="AD66" s="1160"/>
      <c r="AE66" s="1160"/>
      <c r="AF66" s="1160"/>
      <c r="AG66" s="1160"/>
    </row>
    <row r="67" ht="15.0" customHeight="1">
      <c r="A67" s="1209"/>
      <c r="B67" s="1209"/>
      <c r="C67" s="1210"/>
      <c r="D67" s="1215"/>
      <c r="E67" s="1160"/>
      <c r="F67" s="1160"/>
      <c r="G67" s="1160"/>
      <c r="H67" s="1160"/>
      <c r="I67" s="1160"/>
      <c r="J67" s="1160"/>
      <c r="K67" s="1160"/>
      <c r="L67" s="1160"/>
      <c r="M67" s="1160"/>
      <c r="N67" s="1160"/>
      <c r="O67" s="1255"/>
      <c r="P67" s="1255"/>
      <c r="Q67" s="1255"/>
      <c r="R67" s="1160"/>
      <c r="S67" s="1160"/>
      <c r="T67" s="1160"/>
      <c r="U67" s="1160"/>
      <c r="V67" s="1160"/>
      <c r="W67" s="1160"/>
      <c r="X67" s="1160"/>
      <c r="Y67" s="1160"/>
      <c r="Z67" s="1160"/>
      <c r="AA67" s="1160"/>
      <c r="AB67" s="1160"/>
      <c r="AC67" s="1160"/>
      <c r="AD67" s="1160"/>
      <c r="AE67" s="1160"/>
      <c r="AF67" s="1160"/>
      <c r="AG67" s="1160"/>
    </row>
    <row r="68" ht="15.0" customHeight="1">
      <c r="A68" s="1209"/>
      <c r="B68" s="1209"/>
      <c r="C68" s="1210"/>
      <c r="D68" s="1215"/>
      <c r="E68" s="1160"/>
      <c r="F68" s="1160"/>
      <c r="G68" s="1160"/>
      <c r="H68" s="1160"/>
      <c r="I68" s="1160"/>
      <c r="J68" s="1160"/>
      <c r="K68" s="1160"/>
      <c r="L68" s="1160"/>
      <c r="M68" s="1160"/>
      <c r="N68" s="1160"/>
      <c r="O68" s="1255"/>
      <c r="P68" s="1255"/>
      <c r="Q68" s="1255"/>
      <c r="R68" s="1160"/>
      <c r="S68" s="1160"/>
      <c r="T68" s="1160"/>
      <c r="U68" s="1160"/>
      <c r="V68" s="1160"/>
      <c r="W68" s="1160"/>
      <c r="X68" s="1160"/>
      <c r="Y68" s="1160"/>
      <c r="Z68" s="1160"/>
      <c r="AA68" s="1160"/>
      <c r="AB68" s="1160"/>
      <c r="AC68" s="1160"/>
      <c r="AD68" s="1160"/>
      <c r="AE68" s="1160"/>
      <c r="AF68" s="1160"/>
      <c r="AG68" s="1160"/>
    </row>
    <row r="69" ht="15.0" customHeight="1">
      <c r="A69" s="1209"/>
      <c r="B69" s="1209"/>
      <c r="C69" s="1210"/>
      <c r="D69" s="1215"/>
      <c r="E69" s="1160"/>
      <c r="F69" s="1160"/>
      <c r="G69" s="1160"/>
      <c r="H69" s="1160"/>
      <c r="I69" s="1160"/>
      <c r="J69" s="1160"/>
      <c r="K69" s="1160"/>
      <c r="L69" s="1160"/>
      <c r="M69" s="1160"/>
      <c r="N69" s="1160"/>
      <c r="O69" s="1255"/>
      <c r="P69" s="1255"/>
      <c r="Q69" s="1255"/>
      <c r="R69" s="1160"/>
      <c r="S69" s="1160"/>
      <c r="T69" s="1160"/>
      <c r="U69" s="1160"/>
      <c r="V69" s="1160"/>
      <c r="W69" s="1160"/>
      <c r="X69" s="1160"/>
      <c r="Y69" s="1160"/>
      <c r="Z69" s="1160"/>
      <c r="AA69" s="1160"/>
      <c r="AB69" s="1160"/>
      <c r="AC69" s="1160"/>
      <c r="AD69" s="1160"/>
      <c r="AE69" s="1160"/>
      <c r="AF69" s="1160"/>
      <c r="AG69" s="1160"/>
    </row>
    <row r="70" ht="15.0" customHeight="1">
      <c r="A70" s="1209"/>
      <c r="B70" s="1209"/>
      <c r="C70" s="1210"/>
      <c r="D70" s="1215"/>
      <c r="E70" s="1160"/>
      <c r="F70" s="1160"/>
      <c r="G70" s="1160"/>
      <c r="H70" s="1160"/>
      <c r="I70" s="1160"/>
      <c r="J70" s="1160"/>
      <c r="K70" s="1160"/>
      <c r="L70" s="1160"/>
      <c r="M70" s="1160"/>
      <c r="N70" s="1160"/>
      <c r="O70" s="1255"/>
      <c r="P70" s="1255"/>
      <c r="Q70" s="1255"/>
      <c r="R70" s="1160"/>
      <c r="S70" s="1160"/>
      <c r="T70" s="1160"/>
      <c r="U70" s="1160"/>
      <c r="V70" s="1160"/>
      <c r="W70" s="1160"/>
      <c r="X70" s="1160"/>
      <c r="Y70" s="1160"/>
      <c r="Z70" s="1160"/>
      <c r="AA70" s="1160"/>
      <c r="AB70" s="1160"/>
      <c r="AC70" s="1160"/>
      <c r="AD70" s="1160"/>
      <c r="AE70" s="1160"/>
      <c r="AF70" s="1160"/>
      <c r="AG70" s="1160"/>
    </row>
    <row r="71" ht="15.0" customHeight="1">
      <c r="A71" s="1209"/>
      <c r="B71" s="1209"/>
      <c r="C71" s="1210"/>
      <c r="D71" s="1215"/>
      <c r="E71" s="1160"/>
      <c r="F71" s="1160"/>
      <c r="G71" s="1160"/>
      <c r="H71" s="1160"/>
      <c r="I71" s="1160"/>
      <c r="J71" s="1160"/>
      <c r="K71" s="1160"/>
      <c r="L71" s="1160"/>
      <c r="M71" s="1160"/>
      <c r="N71" s="1160"/>
      <c r="O71" s="1255"/>
      <c r="P71" s="1255"/>
      <c r="Q71" s="1255"/>
      <c r="R71" s="1160"/>
      <c r="S71" s="1160"/>
      <c r="T71" s="1160"/>
      <c r="U71" s="1160"/>
      <c r="V71" s="1160"/>
      <c r="W71" s="1160"/>
      <c r="X71" s="1160"/>
      <c r="Y71" s="1160"/>
      <c r="Z71" s="1160"/>
      <c r="AA71" s="1160"/>
      <c r="AB71" s="1160"/>
      <c r="AC71" s="1160"/>
      <c r="AD71" s="1160"/>
      <c r="AE71" s="1160"/>
      <c r="AF71" s="1160"/>
      <c r="AG71" s="1160"/>
    </row>
    <row r="72" ht="15.0" customHeight="1">
      <c r="A72" s="1209"/>
      <c r="B72" s="1209"/>
      <c r="C72" s="1210"/>
      <c r="D72" s="1215"/>
      <c r="E72" s="1160"/>
      <c r="F72" s="1160"/>
      <c r="G72" s="1160"/>
      <c r="H72" s="1160"/>
      <c r="I72" s="1160"/>
      <c r="J72" s="1160"/>
      <c r="K72" s="1160"/>
      <c r="L72" s="1160"/>
      <c r="M72" s="1160"/>
      <c r="N72" s="1160"/>
      <c r="O72" s="1255"/>
      <c r="P72" s="1255"/>
      <c r="Q72" s="1255"/>
      <c r="R72" s="1160"/>
      <c r="S72" s="1160"/>
      <c r="T72" s="1160"/>
      <c r="U72" s="1160"/>
      <c r="V72" s="1160"/>
      <c r="W72" s="1160"/>
      <c r="X72" s="1160"/>
      <c r="Y72" s="1160"/>
      <c r="Z72" s="1160"/>
      <c r="AA72" s="1160"/>
      <c r="AB72" s="1160"/>
      <c r="AC72" s="1160"/>
      <c r="AD72" s="1160"/>
      <c r="AE72" s="1160"/>
      <c r="AF72" s="1160"/>
      <c r="AG72" s="1160"/>
    </row>
    <row r="73" ht="15.0" customHeight="1">
      <c r="A73" s="1209"/>
      <c r="B73" s="1209"/>
      <c r="C73" s="1210"/>
      <c r="D73" s="1215"/>
      <c r="E73" s="1160"/>
      <c r="F73" s="1160"/>
      <c r="G73" s="1160"/>
      <c r="H73" s="1160"/>
      <c r="I73" s="1160"/>
      <c r="J73" s="1160"/>
      <c r="K73" s="1160"/>
      <c r="L73" s="1160"/>
      <c r="M73" s="1160"/>
      <c r="N73" s="1160"/>
      <c r="O73" s="1255"/>
      <c r="P73" s="1255"/>
      <c r="Q73" s="1255"/>
      <c r="R73" s="1160"/>
      <c r="S73" s="1160"/>
      <c r="T73" s="1160"/>
      <c r="U73" s="1160"/>
      <c r="V73" s="1160"/>
      <c r="W73" s="1160"/>
      <c r="X73" s="1160"/>
      <c r="Y73" s="1160"/>
      <c r="Z73" s="1160"/>
      <c r="AA73" s="1160"/>
      <c r="AB73" s="1160"/>
      <c r="AC73" s="1160"/>
      <c r="AD73" s="1160"/>
      <c r="AE73" s="1160"/>
      <c r="AF73" s="1160"/>
      <c r="AG73" s="1160"/>
    </row>
    <row r="74" ht="15.0" customHeight="1">
      <c r="A74" s="1209"/>
      <c r="B74" s="1209"/>
      <c r="C74" s="1210"/>
      <c r="D74" s="1215"/>
      <c r="E74" s="1160"/>
      <c r="F74" s="1160"/>
      <c r="G74" s="1160"/>
      <c r="H74" s="1160"/>
      <c r="I74" s="1160"/>
      <c r="J74" s="1160"/>
      <c r="K74" s="1160"/>
      <c r="L74" s="1160"/>
      <c r="M74" s="1160"/>
      <c r="N74" s="1160"/>
      <c r="O74" s="1255"/>
      <c r="P74" s="1255"/>
      <c r="Q74" s="1255"/>
      <c r="R74" s="1160"/>
      <c r="S74" s="1160"/>
      <c r="T74" s="1160"/>
      <c r="U74" s="1160"/>
      <c r="V74" s="1160"/>
      <c r="W74" s="1160"/>
      <c r="X74" s="1160"/>
      <c r="Y74" s="1160"/>
      <c r="Z74" s="1160"/>
      <c r="AA74" s="1160"/>
      <c r="AB74" s="1160"/>
      <c r="AC74" s="1160"/>
      <c r="AD74" s="1160"/>
      <c r="AE74" s="1160"/>
      <c r="AF74" s="1160"/>
      <c r="AG74" s="1160"/>
    </row>
    <row r="75" ht="15.0" customHeight="1">
      <c r="A75" s="1209"/>
      <c r="B75" s="1209"/>
      <c r="C75" s="1210"/>
      <c r="D75" s="1215"/>
      <c r="E75" s="1160"/>
      <c r="F75" s="1160"/>
      <c r="G75" s="1160"/>
      <c r="H75" s="1160"/>
      <c r="I75" s="1160"/>
      <c r="J75" s="1160"/>
      <c r="K75" s="1160"/>
      <c r="L75" s="1160"/>
      <c r="M75" s="1160"/>
      <c r="N75" s="1160"/>
      <c r="O75" s="1255"/>
      <c r="P75" s="1255"/>
      <c r="Q75" s="1255"/>
      <c r="R75" s="1160"/>
      <c r="S75" s="1160"/>
      <c r="T75" s="1160"/>
      <c r="U75" s="1160"/>
      <c r="V75" s="1160"/>
      <c r="W75" s="1160"/>
      <c r="X75" s="1160"/>
      <c r="Y75" s="1160"/>
      <c r="Z75" s="1160"/>
      <c r="AA75" s="1160"/>
      <c r="AB75" s="1160"/>
      <c r="AC75" s="1160"/>
      <c r="AD75" s="1160"/>
      <c r="AE75" s="1160"/>
      <c r="AF75" s="1160"/>
      <c r="AG75" s="1160"/>
    </row>
    <row r="76" ht="15.0" customHeight="1">
      <c r="A76" s="1209"/>
      <c r="B76" s="1209"/>
      <c r="C76" s="1210"/>
      <c r="D76" s="1215"/>
      <c r="E76" s="1160"/>
      <c r="F76" s="1160"/>
      <c r="G76" s="1160"/>
      <c r="H76" s="1160"/>
      <c r="I76" s="1160"/>
      <c r="J76" s="1160"/>
      <c r="K76" s="1160"/>
      <c r="L76" s="1160"/>
      <c r="M76" s="1160"/>
      <c r="N76" s="1160"/>
      <c r="O76" s="1255"/>
      <c r="P76" s="1255"/>
      <c r="Q76" s="1255"/>
      <c r="R76" s="1160"/>
      <c r="S76" s="1160"/>
      <c r="T76" s="1160"/>
      <c r="U76" s="1160"/>
      <c r="V76" s="1160"/>
      <c r="W76" s="1160"/>
      <c r="X76" s="1160"/>
      <c r="Y76" s="1160"/>
      <c r="Z76" s="1160"/>
      <c r="AA76" s="1160"/>
      <c r="AB76" s="1160"/>
      <c r="AC76" s="1160"/>
      <c r="AD76" s="1160"/>
      <c r="AE76" s="1160"/>
      <c r="AF76" s="1160"/>
      <c r="AG76" s="1160"/>
    </row>
    <row r="77" ht="15.0" customHeight="1">
      <c r="A77" s="1209"/>
      <c r="B77" s="1209"/>
      <c r="C77" s="1210"/>
      <c r="D77" s="1215"/>
      <c r="E77" s="1160"/>
      <c r="F77" s="1160"/>
      <c r="G77" s="1160"/>
      <c r="H77" s="1160"/>
      <c r="I77" s="1160"/>
      <c r="J77" s="1160"/>
      <c r="K77" s="1160"/>
      <c r="L77" s="1160"/>
      <c r="M77" s="1160"/>
      <c r="N77" s="1160"/>
      <c r="O77" s="1255"/>
      <c r="P77" s="1255"/>
      <c r="Q77" s="1255"/>
      <c r="R77" s="1160"/>
      <c r="S77" s="1160"/>
      <c r="T77" s="1160"/>
      <c r="U77" s="1160"/>
      <c r="V77" s="1160"/>
      <c r="W77" s="1160"/>
      <c r="X77" s="1160"/>
      <c r="Y77" s="1160"/>
      <c r="Z77" s="1160"/>
      <c r="AA77" s="1160"/>
      <c r="AB77" s="1160"/>
      <c r="AC77" s="1160"/>
      <c r="AD77" s="1160"/>
      <c r="AE77" s="1160"/>
      <c r="AF77" s="1160"/>
      <c r="AG77" s="1160"/>
    </row>
    <row r="78" ht="15.0" customHeight="1">
      <c r="A78" s="1209"/>
      <c r="B78" s="1209"/>
      <c r="C78" s="1210"/>
      <c r="D78" s="1215"/>
      <c r="E78" s="1160"/>
      <c r="F78" s="1160"/>
      <c r="G78" s="1160"/>
      <c r="H78" s="1160"/>
      <c r="I78" s="1160"/>
      <c r="J78" s="1160"/>
      <c r="K78" s="1160"/>
      <c r="L78" s="1160"/>
      <c r="M78" s="1160"/>
      <c r="N78" s="1160"/>
      <c r="O78" s="1255"/>
      <c r="P78" s="1255"/>
      <c r="Q78" s="1255"/>
      <c r="R78" s="1160"/>
      <c r="S78" s="1160"/>
      <c r="T78" s="1160"/>
      <c r="U78" s="1160"/>
      <c r="V78" s="1160"/>
      <c r="W78" s="1160"/>
      <c r="X78" s="1160"/>
      <c r="Y78" s="1160"/>
      <c r="Z78" s="1160"/>
      <c r="AA78" s="1160"/>
      <c r="AB78" s="1160"/>
      <c r="AC78" s="1160"/>
      <c r="AD78" s="1160"/>
      <c r="AE78" s="1160"/>
      <c r="AF78" s="1160"/>
      <c r="AG78" s="1160"/>
    </row>
    <row r="79" ht="15.0" customHeight="1">
      <c r="A79" s="1209"/>
      <c r="B79" s="1209"/>
      <c r="C79" s="1210"/>
      <c r="D79" s="1215"/>
      <c r="E79" s="1160"/>
      <c r="F79" s="1160"/>
      <c r="G79" s="1160"/>
      <c r="H79" s="1160"/>
      <c r="I79" s="1160"/>
      <c r="J79" s="1160"/>
      <c r="K79" s="1160"/>
      <c r="L79" s="1160"/>
      <c r="M79" s="1160"/>
      <c r="N79" s="1160"/>
      <c r="O79" s="1255"/>
      <c r="P79" s="1255"/>
      <c r="Q79" s="1255"/>
      <c r="R79" s="1160"/>
      <c r="S79" s="1160"/>
      <c r="T79" s="1160"/>
      <c r="U79" s="1160"/>
      <c r="V79" s="1160"/>
      <c r="W79" s="1160"/>
      <c r="X79" s="1160"/>
      <c r="Y79" s="1160"/>
      <c r="Z79" s="1160"/>
      <c r="AA79" s="1160"/>
      <c r="AB79" s="1160"/>
      <c r="AC79" s="1160"/>
      <c r="AD79" s="1160"/>
      <c r="AE79" s="1160"/>
      <c r="AF79" s="1160"/>
      <c r="AG79" s="1160"/>
    </row>
    <row r="80" ht="15.0" customHeight="1">
      <c r="A80" s="1209"/>
      <c r="B80" s="1209"/>
      <c r="C80" s="1210"/>
      <c r="D80" s="1215"/>
      <c r="E80" s="1160"/>
      <c r="F80" s="1160"/>
      <c r="G80" s="1160"/>
      <c r="H80" s="1160"/>
      <c r="I80" s="1160"/>
      <c r="J80" s="1160"/>
      <c r="K80" s="1160"/>
      <c r="L80" s="1160"/>
      <c r="M80" s="1160"/>
      <c r="N80" s="1160"/>
      <c r="O80" s="1255"/>
      <c r="P80" s="1255"/>
      <c r="Q80" s="1255"/>
      <c r="R80" s="1160"/>
      <c r="S80" s="1160"/>
      <c r="T80" s="1160"/>
      <c r="U80" s="1160"/>
      <c r="V80" s="1160"/>
      <c r="W80" s="1160"/>
      <c r="X80" s="1160"/>
      <c r="Y80" s="1160"/>
      <c r="Z80" s="1160"/>
      <c r="AA80" s="1160"/>
      <c r="AB80" s="1160"/>
      <c r="AC80" s="1160"/>
      <c r="AD80" s="1160"/>
      <c r="AE80" s="1160"/>
      <c r="AF80" s="1160"/>
      <c r="AG80" s="1160"/>
    </row>
    <row r="81" ht="15.0" customHeight="1">
      <c r="A81" s="1209"/>
      <c r="B81" s="1209"/>
      <c r="C81" s="1210"/>
      <c r="D81" s="1215"/>
      <c r="E81" s="1160"/>
      <c r="F81" s="1160"/>
      <c r="G81" s="1160"/>
      <c r="H81" s="1160"/>
      <c r="I81" s="1160"/>
      <c r="J81" s="1160"/>
      <c r="K81" s="1160"/>
      <c r="L81" s="1160"/>
      <c r="M81" s="1160"/>
      <c r="N81" s="1160"/>
      <c r="O81" s="1255"/>
      <c r="P81" s="1255"/>
      <c r="Q81" s="1255"/>
      <c r="R81" s="1160"/>
      <c r="S81" s="1160"/>
      <c r="T81" s="1160"/>
      <c r="U81" s="1160"/>
      <c r="V81" s="1160"/>
      <c r="W81" s="1160"/>
      <c r="X81" s="1160"/>
      <c r="Y81" s="1160"/>
      <c r="Z81" s="1160"/>
      <c r="AA81" s="1160"/>
      <c r="AB81" s="1160"/>
      <c r="AC81" s="1160"/>
      <c r="AD81" s="1160"/>
      <c r="AE81" s="1160"/>
      <c r="AF81" s="1160"/>
      <c r="AG81" s="1160"/>
    </row>
    <row r="82" ht="15.0" customHeight="1">
      <c r="A82" s="1209"/>
      <c r="B82" s="1209"/>
      <c r="C82" s="1210"/>
      <c r="D82" s="1215"/>
      <c r="E82" s="1160"/>
      <c r="F82" s="1160"/>
      <c r="G82" s="1160"/>
      <c r="H82" s="1160"/>
      <c r="I82" s="1160"/>
      <c r="J82" s="1160"/>
      <c r="K82" s="1160"/>
      <c r="L82" s="1160"/>
      <c r="M82" s="1160"/>
      <c r="N82" s="1160"/>
      <c r="O82" s="1255"/>
      <c r="P82" s="1255"/>
      <c r="Q82" s="1255"/>
      <c r="R82" s="1160"/>
      <c r="S82" s="1160"/>
      <c r="T82" s="1160"/>
      <c r="U82" s="1160"/>
      <c r="V82" s="1160"/>
      <c r="W82" s="1160"/>
      <c r="X82" s="1160"/>
      <c r="Y82" s="1160"/>
      <c r="Z82" s="1160"/>
      <c r="AA82" s="1160"/>
      <c r="AB82" s="1160"/>
      <c r="AC82" s="1160"/>
      <c r="AD82" s="1160"/>
      <c r="AE82" s="1160"/>
      <c r="AF82" s="1160"/>
      <c r="AG82" s="1160"/>
    </row>
    <row r="83" ht="15.0" customHeight="1">
      <c r="A83" s="1209"/>
      <c r="B83" s="1209"/>
      <c r="C83" s="1210"/>
      <c r="D83" s="1215"/>
      <c r="E83" s="1160"/>
      <c r="F83" s="1160"/>
      <c r="G83" s="1160"/>
      <c r="H83" s="1160"/>
      <c r="I83" s="1160"/>
      <c r="J83" s="1160"/>
      <c r="K83" s="1160"/>
      <c r="L83" s="1160"/>
      <c r="M83" s="1160"/>
      <c r="N83" s="1160"/>
      <c r="O83" s="1255"/>
      <c r="P83" s="1255"/>
      <c r="Q83" s="1255"/>
      <c r="R83" s="1160"/>
      <c r="S83" s="1160"/>
      <c r="T83" s="1160"/>
      <c r="U83" s="1160"/>
      <c r="V83" s="1160"/>
      <c r="W83" s="1160"/>
      <c r="X83" s="1160"/>
      <c r="Y83" s="1160"/>
      <c r="Z83" s="1160"/>
      <c r="AA83" s="1160"/>
      <c r="AB83" s="1160"/>
      <c r="AC83" s="1160"/>
      <c r="AD83" s="1160"/>
      <c r="AE83" s="1160"/>
      <c r="AF83" s="1160"/>
      <c r="AG83" s="1160"/>
    </row>
    <row r="84" ht="15.0" customHeight="1">
      <c r="A84" s="1209"/>
      <c r="B84" s="1209"/>
      <c r="C84" s="1210"/>
      <c r="D84" s="1215"/>
      <c r="E84" s="1160"/>
      <c r="F84" s="1160"/>
      <c r="G84" s="1160"/>
      <c r="H84" s="1160"/>
      <c r="I84" s="1160"/>
      <c r="J84" s="1160"/>
      <c r="K84" s="1160"/>
      <c r="L84" s="1160"/>
      <c r="M84" s="1160"/>
      <c r="N84" s="1160"/>
      <c r="O84" s="1255"/>
      <c r="P84" s="1255"/>
      <c r="Q84" s="1255"/>
      <c r="R84" s="1160"/>
      <c r="S84" s="1160"/>
      <c r="T84" s="1160"/>
      <c r="U84" s="1160"/>
      <c r="V84" s="1160"/>
      <c r="W84" s="1160"/>
      <c r="X84" s="1160"/>
      <c r="Y84" s="1160"/>
      <c r="Z84" s="1160"/>
      <c r="AA84" s="1160"/>
      <c r="AB84" s="1160"/>
      <c r="AC84" s="1160"/>
      <c r="AD84" s="1160"/>
      <c r="AE84" s="1160"/>
      <c r="AF84" s="1160"/>
      <c r="AG84" s="1160"/>
    </row>
    <row r="85" ht="15.0" customHeight="1">
      <c r="A85" s="1209"/>
      <c r="B85" s="1209"/>
      <c r="C85" s="1210"/>
      <c r="D85" s="1215"/>
      <c r="E85" s="1160"/>
      <c r="F85" s="1160"/>
      <c r="G85" s="1160"/>
      <c r="H85" s="1160"/>
      <c r="I85" s="1160"/>
      <c r="J85" s="1160"/>
      <c r="K85" s="1160"/>
      <c r="L85" s="1160"/>
      <c r="M85" s="1160"/>
      <c r="N85" s="1160"/>
      <c r="O85" s="1255"/>
      <c r="P85" s="1255"/>
      <c r="Q85" s="1255"/>
      <c r="R85" s="1160"/>
      <c r="S85" s="1160"/>
      <c r="T85" s="1160"/>
      <c r="U85" s="1160"/>
      <c r="V85" s="1160"/>
      <c r="W85" s="1160"/>
      <c r="X85" s="1160"/>
      <c r="Y85" s="1160"/>
      <c r="Z85" s="1160"/>
      <c r="AA85" s="1160"/>
      <c r="AB85" s="1160"/>
      <c r="AC85" s="1160"/>
      <c r="AD85" s="1160"/>
      <c r="AE85" s="1160"/>
      <c r="AF85" s="1160"/>
      <c r="AG85" s="1160"/>
    </row>
    <row r="86" ht="15.0" customHeight="1">
      <c r="A86" s="1209"/>
      <c r="B86" s="1209"/>
      <c r="C86" s="1210"/>
      <c r="D86" s="1215"/>
      <c r="E86" s="1160"/>
      <c r="F86" s="1160"/>
      <c r="G86" s="1160"/>
      <c r="H86" s="1160"/>
      <c r="I86" s="1160"/>
      <c r="J86" s="1160"/>
      <c r="K86" s="1160"/>
      <c r="L86" s="1160"/>
      <c r="M86" s="1160"/>
      <c r="N86" s="1160"/>
      <c r="O86" s="1255"/>
      <c r="P86" s="1255"/>
      <c r="Q86" s="1255"/>
      <c r="R86" s="1160"/>
      <c r="S86" s="1160"/>
      <c r="T86" s="1160"/>
      <c r="U86" s="1160"/>
      <c r="V86" s="1160"/>
      <c r="W86" s="1160"/>
      <c r="X86" s="1160"/>
      <c r="Y86" s="1160"/>
      <c r="Z86" s="1160"/>
      <c r="AA86" s="1160"/>
      <c r="AB86" s="1160"/>
      <c r="AC86" s="1160"/>
      <c r="AD86" s="1160"/>
      <c r="AE86" s="1160"/>
      <c r="AF86" s="1160"/>
      <c r="AG86" s="1160"/>
    </row>
    <row r="87" ht="15.0" customHeight="1">
      <c r="A87" s="1209"/>
      <c r="B87" s="1209"/>
      <c r="C87" s="1210"/>
      <c r="D87" s="1215"/>
      <c r="E87" s="1160"/>
      <c r="F87" s="1160"/>
      <c r="G87" s="1160"/>
      <c r="H87" s="1160"/>
      <c r="I87" s="1160"/>
      <c r="J87" s="1160"/>
      <c r="K87" s="1160"/>
      <c r="L87" s="1160"/>
      <c r="M87" s="1160"/>
      <c r="N87" s="1160"/>
      <c r="O87" s="1255"/>
      <c r="P87" s="1255"/>
      <c r="Q87" s="1255"/>
      <c r="R87" s="1160"/>
      <c r="S87" s="1160"/>
      <c r="T87" s="1160"/>
      <c r="U87" s="1160"/>
      <c r="V87" s="1160"/>
      <c r="W87" s="1160"/>
      <c r="X87" s="1160"/>
      <c r="Y87" s="1160"/>
      <c r="Z87" s="1160"/>
      <c r="AA87" s="1160"/>
      <c r="AB87" s="1160"/>
      <c r="AC87" s="1160"/>
      <c r="AD87" s="1160"/>
      <c r="AE87" s="1160"/>
      <c r="AF87" s="1160"/>
      <c r="AG87" s="1160"/>
    </row>
    <row r="88" ht="15.0" customHeight="1">
      <c r="A88" s="1209"/>
      <c r="B88" s="1209"/>
      <c r="C88" s="1210"/>
      <c r="D88" s="1215"/>
      <c r="E88" s="1160"/>
      <c r="F88" s="1160"/>
      <c r="G88" s="1160"/>
      <c r="H88" s="1160"/>
      <c r="I88" s="1160"/>
      <c r="J88" s="1160"/>
      <c r="K88" s="1160"/>
      <c r="L88" s="1160"/>
      <c r="M88" s="1160"/>
      <c r="N88" s="1160"/>
      <c r="O88" s="1255"/>
      <c r="P88" s="1255"/>
      <c r="Q88" s="1255"/>
      <c r="R88" s="1160"/>
      <c r="S88" s="1160"/>
      <c r="T88" s="1160"/>
      <c r="U88" s="1160"/>
      <c r="V88" s="1160"/>
      <c r="W88" s="1160"/>
      <c r="X88" s="1160"/>
      <c r="Y88" s="1160"/>
      <c r="Z88" s="1160"/>
      <c r="AA88" s="1160"/>
      <c r="AB88" s="1160"/>
      <c r="AC88" s="1160"/>
      <c r="AD88" s="1160"/>
      <c r="AE88" s="1160"/>
      <c r="AF88" s="1160"/>
      <c r="AG88" s="1160"/>
    </row>
    <row r="89" ht="15.0" customHeight="1">
      <c r="A89" s="1209"/>
      <c r="B89" s="1209"/>
      <c r="C89" s="1210"/>
      <c r="D89" s="1215"/>
      <c r="E89" s="1160"/>
      <c r="F89" s="1160"/>
      <c r="G89" s="1160"/>
      <c r="H89" s="1160"/>
      <c r="I89" s="1160"/>
      <c r="J89" s="1160"/>
      <c r="K89" s="1160"/>
      <c r="L89" s="1160"/>
      <c r="M89" s="1160"/>
      <c r="N89" s="1160"/>
      <c r="O89" s="1255"/>
      <c r="P89" s="1255"/>
      <c r="Q89" s="1255"/>
      <c r="R89" s="1160"/>
      <c r="S89" s="1160"/>
      <c r="T89" s="1160"/>
      <c r="U89" s="1160"/>
      <c r="V89" s="1160"/>
      <c r="W89" s="1160"/>
      <c r="X89" s="1160"/>
      <c r="Y89" s="1160"/>
      <c r="Z89" s="1160"/>
      <c r="AA89" s="1160"/>
      <c r="AB89" s="1160"/>
      <c r="AC89" s="1160"/>
      <c r="AD89" s="1160"/>
      <c r="AE89" s="1160"/>
      <c r="AF89" s="1160"/>
      <c r="AG89" s="1160"/>
    </row>
    <row r="90" ht="15.0" customHeight="1">
      <c r="A90" s="1209"/>
      <c r="B90" s="1209"/>
      <c r="C90" s="1210"/>
      <c r="D90" s="1215"/>
      <c r="E90" s="1160"/>
      <c r="F90" s="1160"/>
      <c r="G90" s="1160"/>
      <c r="H90" s="1160"/>
      <c r="I90" s="1160"/>
      <c r="J90" s="1160"/>
      <c r="K90" s="1160"/>
      <c r="L90" s="1160"/>
      <c r="M90" s="1160"/>
      <c r="N90" s="1160"/>
      <c r="O90" s="1255"/>
      <c r="P90" s="1255"/>
      <c r="Q90" s="1255"/>
      <c r="R90" s="1160"/>
      <c r="S90" s="1160"/>
      <c r="T90" s="1160"/>
      <c r="U90" s="1160"/>
      <c r="V90" s="1160"/>
      <c r="W90" s="1160"/>
      <c r="X90" s="1160"/>
      <c r="Y90" s="1160"/>
      <c r="Z90" s="1160"/>
      <c r="AA90" s="1160"/>
      <c r="AB90" s="1160"/>
      <c r="AC90" s="1160"/>
      <c r="AD90" s="1160"/>
      <c r="AE90" s="1160"/>
      <c r="AF90" s="1160"/>
      <c r="AG90" s="1160"/>
    </row>
    <row r="91" ht="15.0" customHeight="1">
      <c r="A91" s="1209"/>
      <c r="B91" s="1209"/>
      <c r="C91" s="1210"/>
      <c r="D91" s="1215"/>
      <c r="E91" s="1160"/>
      <c r="F91" s="1160"/>
      <c r="G91" s="1160"/>
      <c r="H91" s="1160"/>
      <c r="I91" s="1160"/>
      <c r="J91" s="1160"/>
      <c r="K91" s="1160"/>
      <c r="L91" s="1160"/>
      <c r="M91" s="1160"/>
      <c r="N91" s="1160"/>
      <c r="O91" s="1255"/>
      <c r="P91" s="1255"/>
      <c r="Q91" s="1255"/>
      <c r="R91" s="1160"/>
      <c r="S91" s="1160"/>
      <c r="T91" s="1160"/>
      <c r="U91" s="1160"/>
      <c r="V91" s="1160"/>
      <c r="W91" s="1160"/>
      <c r="X91" s="1160"/>
      <c r="Y91" s="1160"/>
      <c r="Z91" s="1160"/>
      <c r="AA91" s="1160"/>
      <c r="AB91" s="1160"/>
      <c r="AC91" s="1160"/>
      <c r="AD91" s="1160"/>
      <c r="AE91" s="1160"/>
      <c r="AF91" s="1160"/>
      <c r="AG91" s="1160"/>
    </row>
    <row r="92" ht="15.0" customHeight="1">
      <c r="A92" s="1209"/>
      <c r="B92" s="1209"/>
      <c r="C92" s="1210"/>
      <c r="D92" s="1215"/>
      <c r="E92" s="1160"/>
      <c r="F92" s="1160"/>
      <c r="G92" s="1160"/>
      <c r="H92" s="1160"/>
      <c r="I92" s="1160"/>
      <c r="J92" s="1160"/>
      <c r="K92" s="1160"/>
      <c r="L92" s="1160"/>
      <c r="M92" s="1160"/>
      <c r="N92" s="1160"/>
      <c r="O92" s="1255"/>
      <c r="P92" s="1255"/>
      <c r="Q92" s="1255"/>
      <c r="R92" s="1160"/>
      <c r="S92" s="1160"/>
      <c r="T92" s="1160"/>
      <c r="U92" s="1160"/>
      <c r="V92" s="1160"/>
      <c r="W92" s="1160"/>
      <c r="X92" s="1160"/>
      <c r="Y92" s="1160"/>
      <c r="Z92" s="1160"/>
      <c r="AA92" s="1160"/>
      <c r="AB92" s="1160"/>
      <c r="AC92" s="1160"/>
      <c r="AD92" s="1160"/>
      <c r="AE92" s="1160"/>
      <c r="AF92" s="1160"/>
      <c r="AG92" s="1160"/>
    </row>
    <row r="93" ht="15.0" customHeight="1">
      <c r="A93" s="1209"/>
      <c r="B93" s="1209"/>
      <c r="C93" s="1210"/>
      <c r="D93" s="1215"/>
      <c r="E93" s="1160"/>
      <c r="F93" s="1160"/>
      <c r="G93" s="1160"/>
      <c r="H93" s="1160"/>
      <c r="I93" s="1160"/>
      <c r="J93" s="1160"/>
      <c r="K93" s="1160"/>
      <c r="L93" s="1160"/>
      <c r="M93" s="1160"/>
      <c r="N93" s="1160"/>
      <c r="O93" s="1160"/>
      <c r="P93" s="1160"/>
      <c r="Q93" s="1160"/>
      <c r="R93" s="1160"/>
      <c r="S93" s="1160"/>
      <c r="T93" s="1160"/>
      <c r="U93" s="1160"/>
      <c r="V93" s="1160"/>
      <c r="W93" s="1160"/>
      <c r="X93" s="1160"/>
      <c r="Y93" s="1160"/>
      <c r="Z93" s="1160"/>
      <c r="AA93" s="1160"/>
      <c r="AB93" s="1160"/>
      <c r="AC93" s="1160"/>
      <c r="AD93" s="1160"/>
      <c r="AE93" s="1160"/>
      <c r="AF93" s="1160"/>
      <c r="AG93" s="1160"/>
    </row>
    <row r="94" ht="15.0" customHeight="1">
      <c r="A94" s="1209"/>
      <c r="B94" s="1209"/>
      <c r="C94" s="1210"/>
      <c r="D94" s="1215"/>
      <c r="E94" s="1160"/>
      <c r="F94" s="1160"/>
      <c r="G94" s="1160"/>
      <c r="H94" s="1160"/>
      <c r="I94" s="1160"/>
      <c r="J94" s="1160"/>
      <c r="K94" s="1160"/>
      <c r="L94" s="1160"/>
      <c r="M94" s="1160"/>
      <c r="N94" s="1160"/>
      <c r="O94" s="1160"/>
      <c r="P94" s="1160"/>
      <c r="Q94" s="1160"/>
      <c r="R94" s="1160"/>
      <c r="S94" s="1160"/>
      <c r="T94" s="1160"/>
      <c r="U94" s="1160"/>
      <c r="V94" s="1160"/>
      <c r="W94" s="1160"/>
      <c r="X94" s="1160"/>
      <c r="Y94" s="1160"/>
      <c r="Z94" s="1160"/>
      <c r="AA94" s="1160"/>
      <c r="AB94" s="1160"/>
      <c r="AC94" s="1160"/>
      <c r="AD94" s="1160"/>
      <c r="AE94" s="1160"/>
      <c r="AF94" s="1160"/>
      <c r="AG94" s="1160"/>
    </row>
    <row r="95" ht="15.0" customHeight="1">
      <c r="A95" s="1209"/>
      <c r="B95" s="1209"/>
      <c r="C95" s="1210"/>
      <c r="D95" s="1215"/>
      <c r="E95" s="1160"/>
      <c r="F95" s="1160"/>
      <c r="G95" s="1160"/>
      <c r="H95" s="1160"/>
      <c r="I95" s="1160"/>
      <c r="J95" s="1160"/>
      <c r="K95" s="1160"/>
      <c r="L95" s="1160"/>
      <c r="M95" s="1160"/>
      <c r="N95" s="1160"/>
      <c r="O95" s="1160"/>
      <c r="P95" s="1160"/>
      <c r="Q95" s="1160"/>
      <c r="R95" s="1160"/>
      <c r="S95" s="1160"/>
      <c r="T95" s="1160"/>
      <c r="U95" s="1160"/>
      <c r="V95" s="1160"/>
      <c r="W95" s="1160"/>
      <c r="X95" s="1160"/>
      <c r="Y95" s="1160"/>
      <c r="Z95" s="1160"/>
      <c r="AA95" s="1160"/>
      <c r="AB95" s="1160"/>
      <c r="AC95" s="1160"/>
      <c r="AD95" s="1160"/>
      <c r="AE95" s="1160"/>
      <c r="AF95" s="1160"/>
      <c r="AG95" s="1160"/>
    </row>
    <row r="96" ht="15.0" customHeight="1">
      <c r="A96" s="1209"/>
      <c r="B96" s="1209"/>
      <c r="C96" s="1210"/>
      <c r="D96" s="1215"/>
      <c r="E96" s="1160"/>
      <c r="F96" s="1160"/>
      <c r="G96" s="1160"/>
      <c r="H96" s="1160"/>
      <c r="I96" s="1160"/>
      <c r="J96" s="1160"/>
      <c r="K96" s="1160"/>
      <c r="L96" s="1160"/>
      <c r="M96" s="1160"/>
      <c r="N96" s="1160"/>
      <c r="O96" s="1160"/>
      <c r="P96" s="1160"/>
      <c r="Q96" s="1160"/>
      <c r="R96" s="1160"/>
      <c r="S96" s="1160"/>
      <c r="T96" s="1160"/>
      <c r="U96" s="1160"/>
      <c r="V96" s="1160"/>
      <c r="W96" s="1160"/>
      <c r="X96" s="1160"/>
      <c r="Y96" s="1160"/>
      <c r="Z96" s="1160"/>
      <c r="AA96" s="1160"/>
      <c r="AB96" s="1160"/>
      <c r="AC96" s="1160"/>
      <c r="AD96" s="1160"/>
      <c r="AE96" s="1160"/>
      <c r="AF96" s="1160"/>
      <c r="AG96" s="1160"/>
    </row>
    <row r="97" ht="15.0" customHeight="1">
      <c r="A97" s="1209"/>
      <c r="B97" s="1209"/>
      <c r="C97" s="1210"/>
      <c r="D97" s="1215"/>
      <c r="E97" s="1160"/>
      <c r="F97" s="1160"/>
      <c r="G97" s="1160"/>
      <c r="H97" s="1160"/>
      <c r="I97" s="1160"/>
      <c r="J97" s="1160"/>
      <c r="K97" s="1160"/>
      <c r="L97" s="1160"/>
      <c r="M97" s="1160"/>
      <c r="N97" s="1160"/>
      <c r="O97" s="1160"/>
      <c r="P97" s="1160"/>
      <c r="Q97" s="1160"/>
      <c r="R97" s="1160"/>
      <c r="S97" s="1160"/>
      <c r="T97" s="1160"/>
      <c r="U97" s="1160"/>
      <c r="V97" s="1160"/>
      <c r="W97" s="1160"/>
      <c r="X97" s="1160"/>
      <c r="Y97" s="1160"/>
      <c r="Z97" s="1160"/>
      <c r="AA97" s="1160"/>
      <c r="AB97" s="1160"/>
      <c r="AC97" s="1160"/>
      <c r="AD97" s="1160"/>
      <c r="AE97" s="1160"/>
      <c r="AF97" s="1160"/>
      <c r="AG97" s="1160"/>
    </row>
    <row r="98" ht="15.0" customHeight="1">
      <c r="A98" s="1209"/>
      <c r="B98" s="1209"/>
      <c r="C98" s="1210"/>
      <c r="D98" s="1215"/>
      <c r="E98" s="1160"/>
      <c r="F98" s="1160"/>
      <c r="G98" s="1160"/>
      <c r="H98" s="1160"/>
      <c r="I98" s="1160"/>
      <c r="J98" s="1160"/>
      <c r="K98" s="1160"/>
      <c r="L98" s="1160"/>
      <c r="M98" s="1160"/>
      <c r="N98" s="1160"/>
      <c r="O98" s="1160"/>
      <c r="P98" s="1160"/>
      <c r="Q98" s="1160"/>
      <c r="R98" s="1160"/>
      <c r="S98" s="1160"/>
      <c r="T98" s="1160"/>
      <c r="U98" s="1160"/>
      <c r="V98" s="1160"/>
      <c r="W98" s="1160"/>
      <c r="X98" s="1160"/>
      <c r="Y98" s="1160"/>
      <c r="Z98" s="1160"/>
      <c r="AA98" s="1160"/>
      <c r="AB98" s="1160"/>
      <c r="AC98" s="1160"/>
      <c r="AD98" s="1160"/>
      <c r="AE98" s="1160"/>
      <c r="AF98" s="1160"/>
      <c r="AG98" s="1160"/>
    </row>
    <row r="99" ht="15.0" customHeight="1">
      <c r="A99" s="1209"/>
      <c r="B99" s="1209"/>
      <c r="C99" s="1210"/>
      <c r="D99" s="1215"/>
      <c r="E99" s="1160"/>
      <c r="F99" s="1160"/>
      <c r="G99" s="1160"/>
      <c r="H99" s="1160"/>
      <c r="I99" s="1160"/>
      <c r="J99" s="1160"/>
      <c r="K99" s="1160"/>
      <c r="L99" s="1160"/>
      <c r="M99" s="1160"/>
      <c r="N99" s="1160"/>
      <c r="O99" s="1160"/>
      <c r="P99" s="1160"/>
      <c r="Q99" s="1160"/>
      <c r="R99" s="1160"/>
      <c r="S99" s="1160"/>
      <c r="T99" s="1160"/>
      <c r="U99" s="1160"/>
      <c r="V99" s="1160"/>
      <c r="W99" s="1160"/>
      <c r="X99" s="1160"/>
      <c r="Y99" s="1160"/>
      <c r="Z99" s="1160"/>
      <c r="AA99" s="1160"/>
      <c r="AB99" s="1160"/>
      <c r="AC99" s="1160"/>
      <c r="AD99" s="1160"/>
      <c r="AE99" s="1160"/>
      <c r="AF99" s="1160"/>
      <c r="AG99" s="1160"/>
    </row>
    <row r="100" ht="15.0" customHeight="1">
      <c r="A100" s="1209"/>
      <c r="B100" s="1209"/>
      <c r="C100" s="1210"/>
      <c r="D100" s="1215"/>
      <c r="E100" s="1160"/>
      <c r="F100" s="1160"/>
      <c r="G100" s="1160"/>
      <c r="H100" s="1160"/>
      <c r="I100" s="1160"/>
      <c r="J100" s="1160"/>
      <c r="K100" s="1160"/>
      <c r="L100" s="1160"/>
      <c r="M100" s="1160"/>
      <c r="N100" s="1160"/>
      <c r="O100" s="1160"/>
      <c r="P100" s="1160"/>
      <c r="Q100" s="1160"/>
      <c r="R100" s="1160"/>
      <c r="S100" s="1160"/>
      <c r="T100" s="1160"/>
      <c r="U100" s="1160"/>
      <c r="V100" s="1160"/>
      <c r="W100" s="1160"/>
      <c r="X100" s="1160"/>
      <c r="Y100" s="1160"/>
      <c r="Z100" s="1160"/>
      <c r="AA100" s="1160"/>
      <c r="AB100" s="1160"/>
      <c r="AC100" s="1160"/>
      <c r="AD100" s="1160"/>
      <c r="AE100" s="1160"/>
      <c r="AF100" s="1160"/>
      <c r="AG100" s="1160"/>
    </row>
    <row r="101" ht="15.0" customHeight="1">
      <c r="A101" s="1209"/>
      <c r="B101" s="1209"/>
      <c r="C101" s="1210"/>
      <c r="D101" s="1215"/>
      <c r="E101" s="1160"/>
      <c r="F101" s="1160"/>
      <c r="G101" s="1160"/>
      <c r="H101" s="1160"/>
      <c r="I101" s="1160"/>
      <c r="J101" s="1160"/>
      <c r="K101" s="1160"/>
      <c r="L101" s="1160"/>
      <c r="M101" s="1160"/>
      <c r="N101" s="1160"/>
      <c r="O101" s="1160"/>
      <c r="P101" s="1160"/>
      <c r="Q101" s="1160"/>
      <c r="R101" s="1160"/>
      <c r="S101" s="1160"/>
      <c r="T101" s="1160"/>
      <c r="U101" s="1160"/>
      <c r="V101" s="1160"/>
      <c r="W101" s="1160"/>
      <c r="X101" s="1160"/>
      <c r="Y101" s="1160"/>
      <c r="Z101" s="1160"/>
      <c r="AA101" s="1160"/>
      <c r="AB101" s="1160"/>
      <c r="AC101" s="1160"/>
      <c r="AD101" s="1160"/>
      <c r="AE101" s="1160"/>
      <c r="AF101" s="1160"/>
      <c r="AG101" s="1160"/>
    </row>
    <row r="102" ht="15.0" customHeight="1">
      <c r="A102" s="1209"/>
      <c r="B102" s="1209"/>
      <c r="C102" s="1210"/>
      <c r="D102" s="1215"/>
      <c r="E102" s="1160"/>
      <c r="F102" s="1160"/>
      <c r="G102" s="1160"/>
      <c r="H102" s="1160"/>
      <c r="I102" s="1160"/>
      <c r="J102" s="1160"/>
      <c r="K102" s="1160"/>
      <c r="L102" s="1160"/>
      <c r="M102" s="1160"/>
      <c r="N102" s="1160"/>
      <c r="O102" s="1160"/>
      <c r="P102" s="1160"/>
      <c r="Q102" s="1160"/>
      <c r="R102" s="1160"/>
      <c r="S102" s="1160"/>
      <c r="T102" s="1160"/>
      <c r="U102" s="1160"/>
      <c r="V102" s="1160"/>
      <c r="W102" s="1160"/>
      <c r="X102" s="1160"/>
      <c r="Y102" s="1160"/>
      <c r="Z102" s="1160"/>
      <c r="AA102" s="1160"/>
      <c r="AB102" s="1160"/>
      <c r="AC102" s="1160"/>
      <c r="AD102" s="1160"/>
      <c r="AE102" s="1160"/>
      <c r="AF102" s="1160"/>
      <c r="AG102" s="1160"/>
    </row>
    <row r="103" ht="15.0" customHeight="1">
      <c r="A103" s="1209"/>
      <c r="B103" s="1209"/>
      <c r="C103" s="1210"/>
      <c r="D103" s="1215"/>
      <c r="E103" s="1160"/>
      <c r="F103" s="1160"/>
      <c r="G103" s="1160"/>
      <c r="H103" s="1160"/>
      <c r="I103" s="1160"/>
      <c r="J103" s="1160"/>
      <c r="K103" s="1160"/>
      <c r="L103" s="1160"/>
      <c r="M103" s="1160"/>
      <c r="N103" s="1160"/>
      <c r="O103" s="1160"/>
      <c r="P103" s="1160"/>
      <c r="Q103" s="1160"/>
      <c r="R103" s="1160"/>
      <c r="S103" s="1160"/>
      <c r="T103" s="1160"/>
      <c r="U103" s="1160"/>
      <c r="V103" s="1160"/>
      <c r="W103" s="1160"/>
      <c r="X103" s="1160"/>
      <c r="Y103" s="1160"/>
      <c r="Z103" s="1160"/>
      <c r="AA103" s="1160"/>
      <c r="AB103" s="1160"/>
      <c r="AC103" s="1160"/>
      <c r="AD103" s="1160"/>
      <c r="AE103" s="1160"/>
      <c r="AF103" s="1160"/>
      <c r="AG103" s="1160"/>
    </row>
    <row r="104" ht="15.0" customHeight="1">
      <c r="A104" s="1209"/>
      <c r="B104" s="1209"/>
      <c r="C104" s="1210"/>
      <c r="D104" s="1215"/>
      <c r="E104" s="1160"/>
      <c r="F104" s="1160"/>
      <c r="G104" s="1160"/>
      <c r="H104" s="1160"/>
      <c r="I104" s="1160"/>
      <c r="J104" s="1160"/>
      <c r="K104" s="1160"/>
      <c r="L104" s="1160"/>
      <c r="M104" s="1160"/>
      <c r="N104" s="1160"/>
      <c r="O104" s="1160"/>
      <c r="P104" s="1160"/>
      <c r="Q104" s="1160"/>
      <c r="R104" s="1160"/>
      <c r="S104" s="1160"/>
      <c r="T104" s="1160"/>
      <c r="U104" s="1160"/>
      <c r="V104" s="1160"/>
      <c r="W104" s="1160"/>
      <c r="X104" s="1160"/>
      <c r="Y104" s="1160"/>
      <c r="Z104" s="1160"/>
      <c r="AA104" s="1160"/>
      <c r="AB104" s="1160"/>
      <c r="AC104" s="1160"/>
      <c r="AD104" s="1160"/>
      <c r="AE104" s="1160"/>
      <c r="AF104" s="1160"/>
      <c r="AG104" s="1160"/>
    </row>
    <row r="105" ht="15.0" customHeight="1">
      <c r="A105" s="1209"/>
      <c r="B105" s="1209"/>
      <c r="C105" s="1210"/>
      <c r="D105" s="1215"/>
      <c r="E105" s="1160"/>
      <c r="F105" s="1160"/>
      <c r="G105" s="1160"/>
      <c r="H105" s="1160"/>
      <c r="I105" s="1160"/>
      <c r="J105" s="1160"/>
      <c r="K105" s="1160"/>
      <c r="L105" s="1160"/>
      <c r="M105" s="1160"/>
      <c r="N105" s="1160"/>
      <c r="O105" s="1160"/>
      <c r="P105" s="1160"/>
      <c r="Q105" s="1160"/>
      <c r="R105" s="1160"/>
      <c r="S105" s="1160"/>
      <c r="T105" s="1160"/>
      <c r="U105" s="1160"/>
      <c r="V105" s="1160"/>
      <c r="W105" s="1160"/>
      <c r="X105" s="1160"/>
      <c r="Y105" s="1160"/>
      <c r="Z105" s="1160"/>
      <c r="AA105" s="1160"/>
      <c r="AB105" s="1160"/>
      <c r="AC105" s="1160"/>
      <c r="AD105" s="1160"/>
      <c r="AE105" s="1160"/>
      <c r="AF105" s="1160"/>
      <c r="AG105" s="1160"/>
    </row>
    <row r="106" ht="15.0" customHeight="1">
      <c r="A106" s="1209"/>
      <c r="B106" s="1209"/>
      <c r="C106" s="1210"/>
      <c r="D106" s="1215"/>
      <c r="E106" s="1160"/>
      <c r="F106" s="1160"/>
      <c r="G106" s="1160"/>
      <c r="H106" s="1160"/>
      <c r="I106" s="1160"/>
      <c r="J106" s="1160"/>
      <c r="K106" s="1160"/>
      <c r="L106" s="1160"/>
      <c r="M106" s="1160"/>
      <c r="N106" s="1160"/>
      <c r="O106" s="1160"/>
      <c r="P106" s="1160"/>
      <c r="Q106" s="1160"/>
      <c r="R106" s="1160"/>
      <c r="S106" s="1160"/>
      <c r="T106" s="1160"/>
      <c r="U106" s="1160"/>
      <c r="V106" s="1160"/>
      <c r="W106" s="1160"/>
      <c r="X106" s="1160"/>
      <c r="Y106" s="1160"/>
      <c r="Z106" s="1160"/>
      <c r="AA106" s="1160"/>
      <c r="AB106" s="1160"/>
      <c r="AC106" s="1160"/>
      <c r="AD106" s="1160"/>
      <c r="AE106" s="1160"/>
      <c r="AF106" s="1160"/>
      <c r="AG106" s="1160"/>
    </row>
    <row r="107" ht="15.0" customHeight="1">
      <c r="A107" s="1209"/>
      <c r="B107" s="1209"/>
      <c r="C107" s="1210"/>
      <c r="D107" s="1215"/>
      <c r="E107" s="1160"/>
      <c r="F107" s="1160"/>
      <c r="G107" s="1160"/>
      <c r="H107" s="1160"/>
      <c r="I107" s="1160"/>
      <c r="J107" s="1160"/>
      <c r="K107" s="1160"/>
      <c r="L107" s="1160"/>
      <c r="M107" s="1160"/>
      <c r="N107" s="1160"/>
      <c r="O107" s="1160"/>
      <c r="P107" s="1160"/>
      <c r="Q107" s="1160"/>
      <c r="R107" s="1160"/>
      <c r="S107" s="1160"/>
      <c r="T107" s="1160"/>
      <c r="U107" s="1160"/>
      <c r="V107" s="1160"/>
      <c r="W107" s="1160"/>
      <c r="X107" s="1160"/>
      <c r="Y107" s="1160"/>
      <c r="Z107" s="1160"/>
      <c r="AA107" s="1160"/>
      <c r="AB107" s="1160"/>
      <c r="AC107" s="1160"/>
      <c r="AD107" s="1160"/>
      <c r="AE107" s="1160"/>
      <c r="AF107" s="1160"/>
      <c r="AG107" s="1160"/>
    </row>
    <row r="108" ht="15.0" customHeight="1">
      <c r="A108" s="1209"/>
      <c r="B108" s="1209"/>
      <c r="C108" s="1210"/>
      <c r="D108" s="1215"/>
      <c r="E108" s="1160"/>
      <c r="F108" s="1160"/>
      <c r="G108" s="1160"/>
      <c r="H108" s="1160"/>
      <c r="I108" s="1160"/>
      <c r="J108" s="1160"/>
      <c r="K108" s="1160"/>
      <c r="L108" s="1160"/>
      <c r="M108" s="1160"/>
      <c r="N108" s="1160"/>
      <c r="O108" s="1160"/>
      <c r="P108" s="1160"/>
      <c r="Q108" s="1160"/>
      <c r="R108" s="1160"/>
      <c r="S108" s="1160"/>
      <c r="T108" s="1160"/>
      <c r="U108" s="1160"/>
      <c r="V108" s="1160"/>
      <c r="W108" s="1160"/>
      <c r="X108" s="1160"/>
      <c r="Y108" s="1160"/>
      <c r="Z108" s="1160"/>
      <c r="AA108" s="1160"/>
      <c r="AB108" s="1160"/>
      <c r="AC108" s="1160"/>
      <c r="AD108" s="1160"/>
      <c r="AE108" s="1160"/>
      <c r="AF108" s="1160"/>
      <c r="AG108" s="1160"/>
    </row>
    <row r="109" ht="15.0" customHeight="1">
      <c r="A109" s="1209"/>
      <c r="B109" s="1209"/>
      <c r="C109" s="1210"/>
      <c r="D109" s="1215"/>
      <c r="E109" s="1160"/>
      <c r="F109" s="1160"/>
      <c r="G109" s="1160"/>
      <c r="H109" s="1160"/>
      <c r="I109" s="1160"/>
      <c r="J109" s="1160"/>
      <c r="K109" s="1160"/>
      <c r="L109" s="1160"/>
      <c r="M109" s="1160"/>
      <c r="N109" s="1160"/>
      <c r="O109" s="1160"/>
      <c r="P109" s="1160"/>
      <c r="Q109" s="1160"/>
      <c r="R109" s="1160"/>
      <c r="S109" s="1160"/>
      <c r="T109" s="1160"/>
      <c r="U109" s="1160"/>
      <c r="V109" s="1160"/>
      <c r="W109" s="1160"/>
      <c r="X109" s="1160"/>
      <c r="Y109" s="1160"/>
      <c r="Z109" s="1160"/>
      <c r="AA109" s="1160"/>
      <c r="AB109" s="1160"/>
      <c r="AC109" s="1160"/>
      <c r="AD109" s="1160"/>
      <c r="AE109" s="1160"/>
      <c r="AF109" s="1160"/>
      <c r="AG109" s="1160"/>
    </row>
    <row r="110" ht="15.0" customHeight="1">
      <c r="A110" s="1209"/>
      <c r="B110" s="1209"/>
      <c r="C110" s="1210"/>
      <c r="D110" s="1215"/>
      <c r="E110" s="1160"/>
      <c r="F110" s="1160"/>
      <c r="G110" s="1160"/>
      <c r="H110" s="1160"/>
      <c r="I110" s="1160"/>
      <c r="J110" s="1160"/>
      <c r="K110" s="1160"/>
      <c r="L110" s="1160"/>
      <c r="M110" s="1160"/>
      <c r="N110" s="1160"/>
      <c r="O110" s="1160"/>
      <c r="P110" s="1160"/>
      <c r="Q110" s="1160"/>
      <c r="R110" s="1160"/>
      <c r="S110" s="1160"/>
      <c r="T110" s="1160"/>
      <c r="U110" s="1160"/>
      <c r="V110" s="1160"/>
      <c r="W110" s="1160"/>
      <c r="X110" s="1160"/>
      <c r="Y110" s="1160"/>
      <c r="Z110" s="1160"/>
      <c r="AA110" s="1160"/>
      <c r="AB110" s="1160"/>
      <c r="AC110" s="1160"/>
      <c r="AD110" s="1160"/>
      <c r="AE110" s="1160"/>
      <c r="AF110" s="1160"/>
      <c r="AG110" s="1160"/>
    </row>
    <row r="111" ht="15.0" customHeight="1">
      <c r="A111" s="1209"/>
      <c r="B111" s="1209"/>
      <c r="C111" s="1210"/>
      <c r="D111" s="1215"/>
      <c r="E111" s="1160"/>
      <c r="F111" s="1160"/>
      <c r="G111" s="1160"/>
      <c r="H111" s="1160"/>
      <c r="I111" s="1160"/>
      <c r="J111" s="1160"/>
      <c r="K111" s="1160"/>
      <c r="L111" s="1160"/>
      <c r="M111" s="1160"/>
      <c r="N111" s="1160"/>
      <c r="O111" s="1160"/>
      <c r="P111" s="1160"/>
      <c r="Q111" s="1160"/>
      <c r="R111" s="1160"/>
      <c r="S111" s="1160"/>
      <c r="T111" s="1160"/>
      <c r="U111" s="1160"/>
      <c r="V111" s="1160"/>
      <c r="W111" s="1160"/>
      <c r="X111" s="1160"/>
      <c r="Y111" s="1160"/>
      <c r="Z111" s="1160"/>
      <c r="AA111" s="1160"/>
      <c r="AB111" s="1160"/>
      <c r="AC111" s="1160"/>
      <c r="AD111" s="1160"/>
      <c r="AE111" s="1160"/>
      <c r="AF111" s="1160"/>
      <c r="AG111" s="1160"/>
    </row>
    <row r="112" ht="15.0" customHeight="1">
      <c r="A112" s="1209"/>
      <c r="B112" s="1209"/>
      <c r="C112" s="1210"/>
      <c r="D112" s="1215"/>
      <c r="E112" s="1160"/>
      <c r="F112" s="1160"/>
      <c r="G112" s="1160"/>
      <c r="H112" s="1160"/>
      <c r="I112" s="1160"/>
      <c r="J112" s="1160"/>
      <c r="K112" s="1160"/>
      <c r="L112" s="1160"/>
      <c r="M112" s="1160"/>
      <c r="N112" s="1160"/>
      <c r="O112" s="1160"/>
      <c r="P112" s="1160"/>
      <c r="Q112" s="1160"/>
      <c r="R112" s="1160"/>
      <c r="S112" s="1160"/>
      <c r="T112" s="1160"/>
      <c r="U112" s="1160"/>
      <c r="V112" s="1160"/>
      <c r="W112" s="1160"/>
      <c r="X112" s="1160"/>
      <c r="Y112" s="1160"/>
      <c r="Z112" s="1160"/>
      <c r="AA112" s="1160"/>
      <c r="AB112" s="1160"/>
      <c r="AC112" s="1160"/>
      <c r="AD112" s="1160"/>
      <c r="AE112" s="1160"/>
      <c r="AF112" s="1160"/>
      <c r="AG112" s="1160"/>
    </row>
    <row r="113" ht="15.0" customHeight="1">
      <c r="A113" s="1209"/>
      <c r="B113" s="1209"/>
      <c r="C113" s="1210"/>
      <c r="D113" s="1215"/>
      <c r="E113" s="1160"/>
      <c r="F113" s="1160"/>
      <c r="G113" s="1160"/>
      <c r="H113" s="1160"/>
      <c r="I113" s="1160"/>
      <c r="J113" s="1160"/>
      <c r="K113" s="1160"/>
      <c r="L113" s="1160"/>
      <c r="M113" s="1160"/>
      <c r="N113" s="1160"/>
      <c r="O113" s="1160"/>
      <c r="P113" s="1160"/>
      <c r="Q113" s="1160"/>
      <c r="R113" s="1160"/>
      <c r="S113" s="1160"/>
      <c r="T113" s="1160"/>
      <c r="U113" s="1160"/>
      <c r="V113" s="1160"/>
      <c r="W113" s="1160"/>
      <c r="X113" s="1160"/>
      <c r="Y113" s="1160"/>
      <c r="Z113" s="1160"/>
      <c r="AA113" s="1160"/>
      <c r="AB113" s="1160"/>
      <c r="AC113" s="1160"/>
      <c r="AD113" s="1160"/>
      <c r="AE113" s="1160"/>
      <c r="AF113" s="1160"/>
      <c r="AG113" s="1160"/>
    </row>
    <row r="114" ht="15.0" customHeight="1">
      <c r="A114" s="1209"/>
      <c r="B114" s="1209"/>
      <c r="C114" s="1210"/>
      <c r="D114" s="1215"/>
      <c r="E114" s="1160"/>
      <c r="F114" s="1160"/>
      <c r="G114" s="1160"/>
      <c r="H114" s="1160"/>
      <c r="I114" s="1160"/>
      <c r="J114" s="1160"/>
      <c r="K114" s="1160"/>
      <c r="L114" s="1160"/>
      <c r="M114" s="1160"/>
      <c r="N114" s="1160"/>
      <c r="O114" s="1160"/>
      <c r="P114" s="1160"/>
      <c r="Q114" s="1160"/>
      <c r="R114" s="1160"/>
      <c r="S114" s="1160"/>
      <c r="T114" s="1160"/>
      <c r="U114" s="1160"/>
      <c r="V114" s="1160"/>
      <c r="W114" s="1160"/>
      <c r="X114" s="1160"/>
      <c r="Y114" s="1160"/>
      <c r="Z114" s="1160"/>
      <c r="AA114" s="1160"/>
      <c r="AB114" s="1160"/>
      <c r="AC114" s="1160"/>
      <c r="AD114" s="1160"/>
      <c r="AE114" s="1160"/>
      <c r="AF114" s="1160"/>
      <c r="AG114" s="1160"/>
    </row>
    <row r="115" ht="15.0" customHeight="1">
      <c r="A115" s="1209"/>
      <c r="B115" s="1209"/>
      <c r="C115" s="1210"/>
      <c r="D115" s="1160"/>
      <c r="E115" s="1160"/>
      <c r="F115" s="1160"/>
      <c r="G115" s="1160"/>
      <c r="H115" s="1160"/>
      <c r="I115" s="1160"/>
      <c r="J115" s="1160"/>
      <c r="K115" s="1160"/>
      <c r="L115" s="1160"/>
      <c r="M115" s="1160"/>
      <c r="N115" s="1160"/>
      <c r="O115" s="1160"/>
      <c r="P115" s="1160"/>
      <c r="Q115" s="1160"/>
      <c r="R115" s="1160"/>
      <c r="S115" s="1160"/>
      <c r="T115" s="1160"/>
      <c r="U115" s="1160"/>
      <c r="V115" s="1160"/>
      <c r="W115" s="1160"/>
      <c r="X115" s="1160"/>
      <c r="Y115" s="1160"/>
      <c r="Z115" s="1160"/>
      <c r="AA115" s="1160"/>
      <c r="AB115" s="1160"/>
      <c r="AC115" s="1160"/>
      <c r="AD115" s="1160"/>
      <c r="AE115" s="1160"/>
      <c r="AF115" s="1160"/>
      <c r="AG115" s="1160"/>
    </row>
    <row r="116" ht="15.0" customHeight="1">
      <c r="A116" s="1209"/>
      <c r="B116" s="1209"/>
      <c r="C116" s="1210"/>
      <c r="D116" s="1160"/>
      <c r="E116" s="1160"/>
      <c r="F116" s="1160"/>
      <c r="G116" s="1160"/>
      <c r="H116" s="1160"/>
      <c r="I116" s="1160"/>
      <c r="J116" s="1160"/>
      <c r="K116" s="1160"/>
      <c r="L116" s="1160"/>
      <c r="M116" s="1160"/>
      <c r="N116" s="1160"/>
      <c r="O116" s="1160"/>
      <c r="P116" s="1160"/>
      <c r="Q116" s="1160"/>
      <c r="R116" s="1160"/>
      <c r="S116" s="1160"/>
      <c r="T116" s="1160"/>
      <c r="U116" s="1160"/>
      <c r="V116" s="1160"/>
      <c r="W116" s="1160"/>
      <c r="X116" s="1160"/>
      <c r="Y116" s="1160"/>
      <c r="Z116" s="1160"/>
      <c r="AA116" s="1160"/>
      <c r="AB116" s="1160"/>
      <c r="AC116" s="1160"/>
      <c r="AD116" s="1160"/>
      <c r="AE116" s="1160"/>
      <c r="AF116" s="1160"/>
      <c r="AG116" s="1160"/>
    </row>
    <row r="117" ht="15.0" customHeight="1">
      <c r="A117" s="1209"/>
      <c r="B117" s="1209"/>
      <c r="C117" s="1210"/>
      <c r="D117" s="1160"/>
      <c r="E117" s="1160"/>
      <c r="F117" s="1160"/>
      <c r="G117" s="1160"/>
      <c r="H117" s="1160"/>
      <c r="I117" s="1160"/>
      <c r="J117" s="1160"/>
      <c r="K117" s="1160"/>
      <c r="L117" s="1160"/>
      <c r="M117" s="1160"/>
      <c r="N117" s="1160"/>
      <c r="O117" s="1160"/>
      <c r="P117" s="1160"/>
      <c r="Q117" s="1160"/>
      <c r="R117" s="1160"/>
      <c r="S117" s="1160"/>
      <c r="T117" s="1160"/>
      <c r="U117" s="1160"/>
      <c r="V117" s="1160"/>
      <c r="W117" s="1160"/>
      <c r="X117" s="1160"/>
      <c r="Y117" s="1160"/>
      <c r="Z117" s="1160"/>
      <c r="AA117" s="1160"/>
      <c r="AB117" s="1160"/>
      <c r="AC117" s="1160"/>
      <c r="AD117" s="1160"/>
      <c r="AE117" s="1160"/>
      <c r="AF117" s="1160"/>
      <c r="AG117" s="1160"/>
    </row>
    <row r="118" ht="15.0" customHeight="1">
      <c r="A118" s="1209"/>
      <c r="B118" s="1209"/>
      <c r="C118" s="1210"/>
      <c r="D118" s="1160"/>
      <c r="E118" s="1160"/>
      <c r="F118" s="1160"/>
      <c r="G118" s="1160"/>
      <c r="H118" s="1160"/>
      <c r="I118" s="1160"/>
      <c r="J118" s="1160"/>
      <c r="K118" s="1160"/>
      <c r="L118" s="1160"/>
      <c r="M118" s="1160"/>
      <c r="N118" s="1160"/>
      <c r="O118" s="1160"/>
      <c r="P118" s="1160"/>
      <c r="Q118" s="1160"/>
      <c r="R118" s="1160"/>
      <c r="S118" s="1160"/>
      <c r="T118" s="1160"/>
      <c r="U118" s="1160"/>
      <c r="V118" s="1160"/>
      <c r="W118" s="1160"/>
      <c r="X118" s="1160"/>
      <c r="Y118" s="1160"/>
      <c r="Z118" s="1160"/>
      <c r="AA118" s="1160"/>
      <c r="AB118" s="1160"/>
      <c r="AC118" s="1160"/>
      <c r="AD118" s="1160"/>
      <c r="AE118" s="1160"/>
      <c r="AF118" s="1160"/>
      <c r="AG118" s="1160"/>
    </row>
    <row r="119" ht="15.0" customHeight="1">
      <c r="A119" s="1209"/>
      <c r="B119" s="1209"/>
      <c r="C119" s="1210"/>
      <c r="D119" s="1160"/>
      <c r="E119" s="1160"/>
      <c r="F119" s="1160"/>
      <c r="G119" s="1160"/>
      <c r="H119" s="1160"/>
      <c r="I119" s="1160"/>
      <c r="J119" s="1160"/>
      <c r="K119" s="1160"/>
      <c r="L119" s="1160"/>
      <c r="M119" s="1160"/>
      <c r="N119" s="1160"/>
      <c r="O119" s="1160"/>
      <c r="P119" s="1160"/>
      <c r="Q119" s="1160"/>
      <c r="R119" s="1160"/>
      <c r="S119" s="1160"/>
      <c r="T119" s="1160"/>
      <c r="U119" s="1160"/>
      <c r="V119" s="1160"/>
      <c r="W119" s="1160"/>
      <c r="X119" s="1160"/>
      <c r="Y119" s="1160"/>
      <c r="Z119" s="1160"/>
      <c r="AA119" s="1160"/>
      <c r="AB119" s="1160"/>
      <c r="AC119" s="1160"/>
      <c r="AD119" s="1160"/>
      <c r="AE119" s="1160"/>
      <c r="AF119" s="1160"/>
      <c r="AG119" s="1160"/>
    </row>
    <row r="120" ht="15.0" customHeight="1">
      <c r="A120" s="1209"/>
      <c r="B120" s="1209"/>
      <c r="C120" s="1210"/>
      <c r="D120" s="1160"/>
      <c r="E120" s="1160"/>
      <c r="F120" s="1160"/>
      <c r="G120" s="1160"/>
      <c r="H120" s="1160"/>
      <c r="I120" s="1160"/>
      <c r="J120" s="1160"/>
      <c r="K120" s="1160"/>
      <c r="L120" s="1160"/>
      <c r="M120" s="1160"/>
      <c r="N120" s="1160"/>
      <c r="O120" s="1160"/>
      <c r="P120" s="1160"/>
      <c r="Q120" s="1160"/>
      <c r="R120" s="1160"/>
      <c r="S120" s="1160"/>
      <c r="T120" s="1160"/>
      <c r="U120" s="1160"/>
      <c r="V120" s="1160"/>
      <c r="W120" s="1160"/>
      <c r="X120" s="1160"/>
      <c r="Y120" s="1160"/>
      <c r="Z120" s="1160"/>
      <c r="AA120" s="1160"/>
      <c r="AB120" s="1160"/>
      <c r="AC120" s="1160"/>
      <c r="AD120" s="1160"/>
      <c r="AE120" s="1160"/>
      <c r="AF120" s="1160"/>
      <c r="AG120" s="1160"/>
    </row>
    <row r="121" ht="15.0" customHeight="1">
      <c r="A121" s="1209"/>
      <c r="B121" s="1209"/>
      <c r="C121" s="1210"/>
      <c r="D121" s="1160"/>
      <c r="E121" s="1160"/>
      <c r="F121" s="1160"/>
      <c r="G121" s="1160"/>
      <c r="H121" s="1160"/>
      <c r="I121" s="1160"/>
      <c r="J121" s="1160"/>
      <c r="K121" s="1160"/>
      <c r="L121" s="1160"/>
      <c r="M121" s="1160"/>
      <c r="N121" s="1160"/>
      <c r="O121" s="1160"/>
      <c r="P121" s="1160"/>
      <c r="Q121" s="1160"/>
      <c r="R121" s="1160"/>
      <c r="S121" s="1160"/>
      <c r="T121" s="1160"/>
      <c r="U121" s="1160"/>
      <c r="V121" s="1160"/>
      <c r="W121" s="1160"/>
      <c r="X121" s="1160"/>
      <c r="Y121" s="1160"/>
      <c r="Z121" s="1160"/>
      <c r="AA121" s="1160"/>
      <c r="AB121" s="1160"/>
      <c r="AC121" s="1160"/>
      <c r="AD121" s="1160"/>
      <c r="AE121" s="1160"/>
      <c r="AF121" s="1160"/>
      <c r="AG121" s="1160"/>
    </row>
    <row r="122" ht="15.0" customHeight="1">
      <c r="A122" s="1209"/>
      <c r="B122" s="1209"/>
      <c r="C122" s="1210"/>
      <c r="D122" s="1160"/>
      <c r="E122" s="1160"/>
      <c r="F122" s="1160"/>
      <c r="G122" s="1160"/>
      <c r="H122" s="1160"/>
      <c r="I122" s="1160"/>
      <c r="J122" s="1160"/>
      <c r="K122" s="1160"/>
      <c r="L122" s="1160"/>
      <c r="M122" s="1160"/>
      <c r="N122" s="1160"/>
      <c r="O122" s="1160"/>
      <c r="P122" s="1160"/>
      <c r="Q122" s="1160"/>
      <c r="R122" s="1160"/>
      <c r="S122" s="1160"/>
      <c r="T122" s="1160"/>
      <c r="U122" s="1160"/>
      <c r="V122" s="1160"/>
      <c r="W122" s="1160"/>
      <c r="X122" s="1160"/>
      <c r="Y122" s="1160"/>
      <c r="Z122" s="1160"/>
      <c r="AA122" s="1160"/>
      <c r="AB122" s="1160"/>
      <c r="AC122" s="1160"/>
      <c r="AD122" s="1160"/>
      <c r="AE122" s="1160"/>
      <c r="AF122" s="1160"/>
      <c r="AG122" s="1160"/>
    </row>
    <row r="123" ht="15.0" customHeight="1">
      <c r="A123" s="1209"/>
      <c r="B123" s="1209"/>
      <c r="C123" s="1210"/>
      <c r="D123" s="1160"/>
      <c r="E123" s="1160"/>
      <c r="F123" s="1160"/>
      <c r="G123" s="1160"/>
      <c r="H123" s="1160"/>
      <c r="I123" s="1160"/>
      <c r="J123" s="1160"/>
      <c r="K123" s="1160"/>
      <c r="L123" s="1160"/>
      <c r="M123" s="1160"/>
      <c r="N123" s="1160"/>
      <c r="O123" s="1160"/>
      <c r="P123" s="1160"/>
      <c r="Q123" s="1160"/>
      <c r="R123" s="1160"/>
      <c r="S123" s="1160"/>
      <c r="T123" s="1160"/>
      <c r="U123" s="1160"/>
      <c r="V123" s="1160"/>
      <c r="W123" s="1160"/>
      <c r="X123" s="1160"/>
      <c r="Y123" s="1160"/>
      <c r="Z123" s="1160"/>
      <c r="AA123" s="1160"/>
      <c r="AB123" s="1160"/>
      <c r="AC123" s="1160"/>
      <c r="AD123" s="1160"/>
      <c r="AE123" s="1160"/>
      <c r="AF123" s="1160"/>
      <c r="AG123" s="1160"/>
    </row>
    <row r="124" ht="15.0" customHeight="1">
      <c r="A124" s="1209"/>
      <c r="B124" s="1209"/>
      <c r="C124" s="1210"/>
      <c r="D124" s="1160"/>
      <c r="E124" s="1160"/>
      <c r="F124" s="1160"/>
      <c r="G124" s="1160"/>
      <c r="H124" s="1160"/>
      <c r="I124" s="1160"/>
      <c r="J124" s="1160"/>
      <c r="K124" s="1160"/>
      <c r="L124" s="1160"/>
      <c r="M124" s="1160"/>
      <c r="N124" s="1160"/>
      <c r="O124" s="1160"/>
      <c r="P124" s="1160"/>
      <c r="Q124" s="1160"/>
      <c r="R124" s="1160"/>
      <c r="S124" s="1160"/>
      <c r="T124" s="1160"/>
      <c r="U124" s="1160"/>
      <c r="V124" s="1160"/>
      <c r="W124" s="1160"/>
      <c r="X124" s="1160"/>
      <c r="Y124" s="1160"/>
      <c r="Z124" s="1160"/>
      <c r="AA124" s="1160"/>
      <c r="AB124" s="1160"/>
      <c r="AC124" s="1160"/>
      <c r="AD124" s="1160"/>
      <c r="AE124" s="1160"/>
      <c r="AF124" s="1160"/>
      <c r="AG124" s="1160"/>
    </row>
    <row r="125" ht="15.0" customHeight="1">
      <c r="A125" s="1209"/>
      <c r="B125" s="1209"/>
      <c r="C125" s="1210"/>
      <c r="D125" s="1160"/>
      <c r="E125" s="1160"/>
      <c r="F125" s="1160"/>
      <c r="G125" s="1160"/>
      <c r="H125" s="1160"/>
      <c r="I125" s="1160"/>
      <c r="J125" s="1160"/>
      <c r="K125" s="1160"/>
      <c r="L125" s="1160"/>
      <c r="M125" s="1160"/>
      <c r="N125" s="1160"/>
      <c r="O125" s="1160"/>
      <c r="P125" s="1160"/>
      <c r="Q125" s="1160"/>
      <c r="R125" s="1160"/>
      <c r="S125" s="1160"/>
      <c r="T125" s="1160"/>
      <c r="U125" s="1160"/>
      <c r="V125" s="1160"/>
      <c r="W125" s="1160"/>
      <c r="X125" s="1160"/>
      <c r="Y125" s="1160"/>
      <c r="Z125" s="1160"/>
      <c r="AA125" s="1160"/>
      <c r="AB125" s="1160"/>
      <c r="AC125" s="1160"/>
      <c r="AD125" s="1160"/>
      <c r="AE125" s="1160"/>
      <c r="AF125" s="1160"/>
      <c r="AG125" s="1160"/>
    </row>
    <row r="126" ht="15.0" customHeight="1">
      <c r="A126" s="1209"/>
      <c r="B126" s="1209"/>
      <c r="C126" s="1210"/>
      <c r="D126" s="1160"/>
      <c r="E126" s="1160"/>
      <c r="F126" s="1160"/>
      <c r="G126" s="1160"/>
      <c r="H126" s="1160"/>
      <c r="I126" s="1160"/>
      <c r="J126" s="1160"/>
      <c r="K126" s="1160"/>
      <c r="L126" s="1160"/>
      <c r="M126" s="1160"/>
      <c r="N126" s="1160"/>
      <c r="O126" s="1160"/>
      <c r="P126" s="1160"/>
      <c r="Q126" s="1160"/>
      <c r="R126" s="1160"/>
      <c r="S126" s="1160"/>
      <c r="T126" s="1160"/>
      <c r="U126" s="1160"/>
      <c r="V126" s="1160"/>
      <c r="W126" s="1160"/>
      <c r="X126" s="1160"/>
      <c r="Y126" s="1160"/>
      <c r="Z126" s="1160"/>
      <c r="AA126" s="1160"/>
      <c r="AB126" s="1160"/>
      <c r="AC126" s="1160"/>
      <c r="AD126" s="1160"/>
      <c r="AE126" s="1160"/>
      <c r="AF126" s="1160"/>
      <c r="AG126" s="1160"/>
    </row>
    <row r="127" ht="15.0" customHeight="1">
      <c r="A127" s="1209"/>
      <c r="B127" s="1209"/>
      <c r="C127" s="1210"/>
      <c r="D127" s="1160"/>
      <c r="E127" s="1160"/>
      <c r="F127" s="1160"/>
      <c r="G127" s="1160"/>
      <c r="H127" s="1160"/>
      <c r="I127" s="1160"/>
      <c r="J127" s="1160"/>
      <c r="K127" s="1160"/>
      <c r="L127" s="1160"/>
      <c r="M127" s="1160"/>
      <c r="N127" s="1160"/>
      <c r="O127" s="1160"/>
      <c r="P127" s="1160"/>
      <c r="Q127" s="1160"/>
      <c r="R127" s="1160"/>
      <c r="S127" s="1160"/>
      <c r="T127" s="1160"/>
      <c r="U127" s="1160"/>
      <c r="V127" s="1160"/>
      <c r="W127" s="1160"/>
      <c r="X127" s="1160"/>
      <c r="Y127" s="1160"/>
      <c r="Z127" s="1160"/>
      <c r="AA127" s="1160"/>
      <c r="AB127" s="1160"/>
      <c r="AC127" s="1160"/>
      <c r="AD127" s="1160"/>
      <c r="AE127" s="1160"/>
      <c r="AF127" s="1160"/>
      <c r="AG127" s="1160"/>
    </row>
    <row r="128" ht="15.0" customHeight="1">
      <c r="A128" s="1209"/>
      <c r="B128" s="1209"/>
      <c r="C128" s="1210"/>
      <c r="D128" s="1160"/>
      <c r="E128" s="1160"/>
      <c r="F128" s="1160"/>
      <c r="G128" s="1160"/>
      <c r="H128" s="1160"/>
      <c r="I128" s="1160"/>
      <c r="J128" s="1160"/>
      <c r="K128" s="1160"/>
      <c r="L128" s="1160"/>
      <c r="M128" s="1160"/>
      <c r="N128" s="1160"/>
      <c r="O128" s="1160"/>
      <c r="P128" s="1160"/>
      <c r="Q128" s="1160"/>
      <c r="R128" s="1160"/>
      <c r="S128" s="1160"/>
      <c r="T128" s="1160"/>
      <c r="U128" s="1160"/>
      <c r="V128" s="1160"/>
      <c r="W128" s="1160"/>
      <c r="X128" s="1160"/>
      <c r="Y128" s="1160"/>
      <c r="Z128" s="1160"/>
      <c r="AA128" s="1160"/>
      <c r="AB128" s="1160"/>
      <c r="AC128" s="1160"/>
      <c r="AD128" s="1160"/>
      <c r="AE128" s="1160"/>
      <c r="AF128" s="1160"/>
      <c r="AG128" s="1160"/>
    </row>
    <row r="129" ht="15.0" customHeight="1">
      <c r="A129" s="1209"/>
      <c r="B129" s="1209"/>
      <c r="C129" s="1210"/>
      <c r="D129" s="1160"/>
      <c r="E129" s="1160"/>
      <c r="F129" s="1160"/>
      <c r="G129" s="1160"/>
      <c r="H129" s="1160"/>
      <c r="I129" s="1160"/>
      <c r="J129" s="1160"/>
      <c r="K129" s="1160"/>
      <c r="L129" s="1160"/>
      <c r="M129" s="1160"/>
      <c r="N129" s="1160"/>
      <c r="O129" s="1160"/>
      <c r="P129" s="1160"/>
      <c r="Q129" s="1160"/>
      <c r="R129" s="1160"/>
      <c r="S129" s="1160"/>
      <c r="T129" s="1160"/>
      <c r="U129" s="1160"/>
      <c r="V129" s="1160"/>
      <c r="W129" s="1160"/>
      <c r="X129" s="1160"/>
      <c r="Y129" s="1160"/>
      <c r="Z129" s="1160"/>
      <c r="AA129" s="1160"/>
      <c r="AB129" s="1160"/>
      <c r="AC129" s="1160"/>
      <c r="AD129" s="1160"/>
      <c r="AE129" s="1160"/>
      <c r="AF129" s="1160"/>
      <c r="AG129" s="1160"/>
    </row>
    <row r="130" ht="15.0" customHeight="1">
      <c r="A130" s="1209"/>
      <c r="B130" s="1209"/>
      <c r="C130" s="1210"/>
      <c r="D130" s="1160"/>
      <c r="E130" s="1160"/>
      <c r="F130" s="1160"/>
      <c r="G130" s="1160"/>
      <c r="H130" s="1160"/>
      <c r="I130" s="1160"/>
      <c r="J130" s="1160"/>
      <c r="K130" s="1160"/>
      <c r="L130" s="1160"/>
      <c r="M130" s="1160"/>
      <c r="N130" s="1160"/>
      <c r="O130" s="1160"/>
      <c r="P130" s="1160"/>
      <c r="Q130" s="1160"/>
      <c r="R130" s="1160"/>
      <c r="S130" s="1160"/>
      <c r="T130" s="1160"/>
      <c r="U130" s="1160"/>
      <c r="V130" s="1160"/>
      <c r="W130" s="1160"/>
      <c r="X130" s="1160"/>
      <c r="Y130" s="1160"/>
      <c r="Z130" s="1160"/>
      <c r="AA130" s="1160"/>
      <c r="AB130" s="1160"/>
      <c r="AC130" s="1160"/>
      <c r="AD130" s="1160"/>
      <c r="AE130" s="1160"/>
      <c r="AF130" s="1160"/>
      <c r="AG130" s="1160"/>
    </row>
    <row r="131" ht="15.0" customHeight="1">
      <c r="A131" s="1209"/>
      <c r="B131" s="1209"/>
      <c r="C131" s="1210"/>
      <c r="D131" s="1160"/>
      <c r="E131" s="1160"/>
      <c r="F131" s="1160"/>
      <c r="G131" s="1160"/>
      <c r="H131" s="1160"/>
      <c r="I131" s="1160"/>
      <c r="J131" s="1160"/>
      <c r="K131" s="1160"/>
      <c r="L131" s="1160"/>
      <c r="M131" s="1160"/>
      <c r="N131" s="1160"/>
      <c r="O131" s="1160"/>
      <c r="P131" s="1160"/>
      <c r="Q131" s="1160"/>
      <c r="R131" s="1160"/>
      <c r="S131" s="1160"/>
      <c r="T131" s="1160"/>
      <c r="U131" s="1160"/>
      <c r="V131" s="1160"/>
      <c r="W131" s="1160"/>
      <c r="X131" s="1160"/>
      <c r="Y131" s="1160"/>
      <c r="Z131" s="1160"/>
      <c r="AA131" s="1160"/>
      <c r="AB131" s="1160"/>
      <c r="AC131" s="1160"/>
      <c r="AD131" s="1160"/>
      <c r="AE131" s="1160"/>
      <c r="AF131" s="1160"/>
      <c r="AG131" s="1160"/>
    </row>
    <row r="132" ht="15.0" customHeight="1">
      <c r="A132" s="1209"/>
      <c r="B132" s="1209"/>
      <c r="C132" s="1210"/>
      <c r="D132" s="1160"/>
      <c r="E132" s="1160"/>
      <c r="F132" s="1160"/>
      <c r="G132" s="1160"/>
      <c r="H132" s="1160"/>
      <c r="I132" s="1160"/>
      <c r="J132" s="1160"/>
      <c r="K132" s="1160"/>
      <c r="L132" s="1160"/>
      <c r="M132" s="1160"/>
      <c r="N132" s="1160"/>
      <c r="O132" s="1160"/>
      <c r="P132" s="1160"/>
      <c r="Q132" s="1160"/>
      <c r="R132" s="1160"/>
      <c r="S132" s="1160"/>
      <c r="T132" s="1160"/>
      <c r="U132" s="1160"/>
      <c r="V132" s="1160"/>
      <c r="W132" s="1160"/>
      <c r="X132" s="1160"/>
      <c r="Y132" s="1160"/>
      <c r="Z132" s="1160"/>
      <c r="AA132" s="1160"/>
      <c r="AB132" s="1160"/>
      <c r="AC132" s="1160"/>
      <c r="AD132" s="1160"/>
      <c r="AE132" s="1160"/>
      <c r="AF132" s="1160"/>
      <c r="AG132" s="1160"/>
    </row>
    <row r="133" ht="15.0" customHeight="1">
      <c r="A133" s="1209"/>
      <c r="B133" s="1209"/>
      <c r="C133" s="1210"/>
      <c r="D133" s="1160"/>
      <c r="E133" s="1160"/>
      <c r="F133" s="1160"/>
      <c r="G133" s="1160"/>
      <c r="H133" s="1160"/>
      <c r="I133" s="1160"/>
      <c r="J133" s="1160"/>
      <c r="K133" s="1160"/>
      <c r="L133" s="1160"/>
      <c r="M133" s="1160"/>
      <c r="N133" s="1160"/>
      <c r="O133" s="1160"/>
      <c r="P133" s="1160"/>
      <c r="Q133" s="1160"/>
      <c r="R133" s="1160"/>
      <c r="S133" s="1160"/>
      <c r="T133" s="1160"/>
      <c r="U133" s="1160"/>
      <c r="V133" s="1160"/>
      <c r="W133" s="1160"/>
      <c r="X133" s="1160"/>
      <c r="Y133" s="1160"/>
      <c r="Z133" s="1160"/>
      <c r="AA133" s="1160"/>
      <c r="AB133" s="1160"/>
      <c r="AC133" s="1160"/>
      <c r="AD133" s="1160"/>
      <c r="AE133" s="1160"/>
      <c r="AF133" s="1160"/>
      <c r="AG133" s="1160"/>
    </row>
    <row r="134" ht="15.0" customHeight="1">
      <c r="A134" s="1209"/>
      <c r="B134" s="1209"/>
      <c r="C134" s="1210"/>
      <c r="D134" s="1160"/>
      <c r="E134" s="1160"/>
      <c r="F134" s="1160"/>
      <c r="G134" s="1160"/>
      <c r="H134" s="1160"/>
      <c r="I134" s="1160"/>
      <c r="J134" s="1160"/>
      <c r="K134" s="1160"/>
      <c r="L134" s="1160"/>
      <c r="M134" s="1160"/>
      <c r="N134" s="1160"/>
      <c r="O134" s="1160"/>
      <c r="P134" s="1160"/>
      <c r="Q134" s="1160"/>
      <c r="R134" s="1160"/>
      <c r="S134" s="1160"/>
      <c r="T134" s="1160"/>
      <c r="U134" s="1160"/>
      <c r="V134" s="1160"/>
      <c r="W134" s="1160"/>
      <c r="X134" s="1160"/>
      <c r="Y134" s="1160"/>
      <c r="Z134" s="1160"/>
      <c r="AA134" s="1160"/>
      <c r="AB134" s="1160"/>
      <c r="AC134" s="1160"/>
      <c r="AD134" s="1160"/>
      <c r="AE134" s="1160"/>
      <c r="AF134" s="1160"/>
      <c r="AG134" s="1160"/>
    </row>
    <row r="135" ht="15.0" customHeight="1">
      <c r="A135" s="1209"/>
      <c r="B135" s="1209"/>
      <c r="C135" s="1210"/>
      <c r="D135" s="1160"/>
      <c r="E135" s="1160"/>
      <c r="F135" s="1160"/>
      <c r="G135" s="1160"/>
      <c r="H135" s="1160"/>
      <c r="I135" s="1160"/>
      <c r="J135" s="1160"/>
      <c r="K135" s="1160"/>
      <c r="L135" s="1160"/>
      <c r="M135" s="1160"/>
      <c r="N135" s="1160"/>
      <c r="O135" s="1160"/>
      <c r="P135" s="1160"/>
      <c r="Q135" s="1160"/>
      <c r="R135" s="1160"/>
      <c r="S135" s="1160"/>
      <c r="T135" s="1160"/>
      <c r="U135" s="1160"/>
      <c r="V135" s="1160"/>
      <c r="W135" s="1160"/>
      <c r="X135" s="1160"/>
      <c r="Y135" s="1160"/>
      <c r="Z135" s="1160"/>
      <c r="AA135" s="1160"/>
      <c r="AB135" s="1160"/>
      <c r="AC135" s="1160"/>
      <c r="AD135" s="1160"/>
      <c r="AE135" s="1160"/>
      <c r="AF135" s="1160"/>
      <c r="AG135" s="1160"/>
    </row>
    <row r="136" ht="15.0" customHeight="1">
      <c r="A136" s="1209"/>
      <c r="B136" s="1209"/>
      <c r="C136" s="1210"/>
      <c r="D136" s="1160"/>
      <c r="E136" s="1160"/>
      <c r="F136" s="1160"/>
      <c r="G136" s="1160"/>
      <c r="H136" s="1160"/>
      <c r="I136" s="1160"/>
      <c r="J136" s="1160"/>
      <c r="K136" s="1160"/>
      <c r="L136" s="1160"/>
      <c r="M136" s="1160"/>
      <c r="N136" s="1160"/>
      <c r="O136" s="1160"/>
      <c r="P136" s="1160"/>
      <c r="Q136" s="1160"/>
      <c r="R136" s="1160"/>
      <c r="S136" s="1160"/>
      <c r="T136" s="1160"/>
      <c r="U136" s="1160"/>
      <c r="V136" s="1160"/>
      <c r="W136" s="1160"/>
      <c r="X136" s="1160"/>
      <c r="Y136" s="1160"/>
      <c r="Z136" s="1160"/>
      <c r="AA136" s="1160"/>
      <c r="AB136" s="1160"/>
      <c r="AC136" s="1160"/>
      <c r="AD136" s="1160"/>
      <c r="AE136" s="1160"/>
      <c r="AF136" s="1160"/>
      <c r="AG136" s="1160"/>
    </row>
    <row r="137" ht="15.0" customHeight="1">
      <c r="A137" s="1209"/>
      <c r="B137" s="1209"/>
      <c r="C137" s="1210"/>
      <c r="D137" s="1160"/>
      <c r="E137" s="1160"/>
      <c r="F137" s="1160"/>
      <c r="G137" s="1160"/>
      <c r="H137" s="1160"/>
      <c r="I137" s="1160"/>
      <c r="J137" s="1160"/>
      <c r="K137" s="1160"/>
      <c r="L137" s="1160"/>
      <c r="M137" s="1160"/>
      <c r="N137" s="1160"/>
      <c r="O137" s="1160"/>
      <c r="P137" s="1160"/>
      <c r="Q137" s="1160"/>
      <c r="R137" s="1160"/>
      <c r="S137" s="1160"/>
      <c r="T137" s="1160"/>
      <c r="U137" s="1160"/>
      <c r="V137" s="1160"/>
      <c r="W137" s="1160"/>
      <c r="X137" s="1160"/>
      <c r="Y137" s="1160"/>
      <c r="Z137" s="1160"/>
      <c r="AA137" s="1160"/>
      <c r="AB137" s="1160"/>
      <c r="AC137" s="1160"/>
      <c r="AD137" s="1160"/>
      <c r="AE137" s="1160"/>
      <c r="AF137" s="1160"/>
      <c r="AG137" s="1160"/>
    </row>
    <row r="138" ht="15.0" customHeight="1">
      <c r="A138" s="1209"/>
      <c r="B138" s="1209"/>
      <c r="C138" s="1210"/>
      <c r="D138" s="1160"/>
      <c r="E138" s="1160"/>
      <c r="F138" s="1160"/>
      <c r="G138" s="1160"/>
      <c r="H138" s="1160"/>
      <c r="I138" s="1160"/>
      <c r="J138" s="1160"/>
      <c r="K138" s="1160"/>
      <c r="L138" s="1160"/>
      <c r="M138" s="1160"/>
      <c r="N138" s="1160"/>
      <c r="O138" s="1160"/>
      <c r="P138" s="1160"/>
      <c r="Q138" s="1160"/>
      <c r="R138" s="1160"/>
      <c r="S138" s="1160"/>
      <c r="T138" s="1160"/>
      <c r="U138" s="1160"/>
      <c r="V138" s="1160"/>
      <c r="W138" s="1160"/>
      <c r="X138" s="1160"/>
      <c r="Y138" s="1160"/>
      <c r="Z138" s="1160"/>
      <c r="AA138" s="1160"/>
      <c r="AB138" s="1160"/>
      <c r="AC138" s="1160"/>
      <c r="AD138" s="1160"/>
      <c r="AE138" s="1160"/>
      <c r="AF138" s="1160"/>
      <c r="AG138" s="1160"/>
    </row>
    <row r="139" ht="15.0" customHeight="1">
      <c r="A139" s="1209"/>
      <c r="B139" s="1209"/>
      <c r="C139" s="1210"/>
      <c r="D139" s="1160"/>
      <c r="E139" s="1160"/>
      <c r="F139" s="1160"/>
      <c r="G139" s="1160"/>
      <c r="H139" s="1160"/>
      <c r="I139" s="1160"/>
      <c r="J139" s="1160"/>
      <c r="K139" s="1160"/>
      <c r="L139" s="1160"/>
      <c r="M139" s="1160"/>
      <c r="N139" s="1160"/>
      <c r="O139" s="1160"/>
      <c r="P139" s="1160"/>
      <c r="Q139" s="1160"/>
      <c r="R139" s="1160"/>
      <c r="S139" s="1160"/>
      <c r="T139" s="1160"/>
      <c r="U139" s="1160"/>
      <c r="V139" s="1160"/>
      <c r="W139" s="1160"/>
      <c r="X139" s="1160"/>
      <c r="Y139" s="1160"/>
      <c r="Z139" s="1160"/>
      <c r="AA139" s="1160"/>
      <c r="AB139" s="1160"/>
      <c r="AC139" s="1160"/>
      <c r="AD139" s="1160"/>
      <c r="AE139" s="1160"/>
      <c r="AF139" s="1160"/>
      <c r="AG139" s="1160"/>
    </row>
    <row r="140" ht="15.0" customHeight="1">
      <c r="A140" s="1209"/>
      <c r="B140" s="1209"/>
      <c r="C140" s="1210"/>
      <c r="D140" s="1160"/>
      <c r="E140" s="1160"/>
      <c r="F140" s="1160"/>
      <c r="G140" s="1160"/>
      <c r="H140" s="1160"/>
      <c r="I140" s="1160"/>
      <c r="J140" s="1160"/>
      <c r="K140" s="1160"/>
      <c r="L140" s="1160"/>
      <c r="M140" s="1160"/>
      <c r="N140" s="1160"/>
      <c r="O140" s="1160"/>
      <c r="P140" s="1160"/>
      <c r="Q140" s="1160"/>
      <c r="R140" s="1160"/>
      <c r="S140" s="1160"/>
      <c r="T140" s="1160"/>
      <c r="U140" s="1160"/>
      <c r="V140" s="1160"/>
      <c r="W140" s="1160"/>
      <c r="X140" s="1160"/>
      <c r="Y140" s="1160"/>
      <c r="Z140" s="1160"/>
      <c r="AA140" s="1160"/>
      <c r="AB140" s="1160"/>
      <c r="AC140" s="1160"/>
      <c r="AD140" s="1160"/>
      <c r="AE140" s="1160"/>
      <c r="AF140" s="1160"/>
      <c r="AG140" s="1160"/>
    </row>
    <row r="141" ht="15.0" customHeight="1">
      <c r="A141" s="1209"/>
      <c r="B141" s="1209"/>
      <c r="C141" s="1210"/>
      <c r="D141" s="1160"/>
      <c r="E141" s="1160"/>
      <c r="F141" s="1160"/>
      <c r="G141" s="1160"/>
      <c r="H141" s="1160"/>
      <c r="I141" s="1160"/>
      <c r="J141" s="1160"/>
      <c r="K141" s="1160"/>
      <c r="L141" s="1160"/>
      <c r="M141" s="1160"/>
      <c r="N141" s="1160"/>
      <c r="O141" s="1160"/>
      <c r="P141" s="1160"/>
      <c r="Q141" s="1160"/>
      <c r="R141" s="1160"/>
      <c r="S141" s="1160"/>
      <c r="T141" s="1160"/>
      <c r="U141" s="1160"/>
      <c r="V141" s="1160"/>
      <c r="W141" s="1160"/>
      <c r="X141" s="1160"/>
      <c r="Y141" s="1160"/>
      <c r="Z141" s="1160"/>
      <c r="AA141" s="1160"/>
      <c r="AB141" s="1160"/>
      <c r="AC141" s="1160"/>
      <c r="AD141" s="1160"/>
      <c r="AE141" s="1160"/>
      <c r="AF141" s="1160"/>
      <c r="AG141" s="1160"/>
    </row>
    <row r="142" ht="15.0" customHeight="1">
      <c r="A142" s="1209"/>
      <c r="B142" s="1209"/>
      <c r="C142" s="1210"/>
      <c r="D142" s="1160"/>
      <c r="E142" s="1160"/>
      <c r="F142" s="1160"/>
      <c r="G142" s="1160"/>
      <c r="H142" s="1160"/>
      <c r="I142" s="1160"/>
      <c r="J142" s="1160"/>
      <c r="K142" s="1160"/>
      <c r="L142" s="1160"/>
      <c r="M142" s="1160"/>
      <c r="N142" s="1160"/>
      <c r="O142" s="1160"/>
      <c r="P142" s="1160"/>
      <c r="Q142" s="1160"/>
      <c r="R142" s="1160"/>
      <c r="S142" s="1160"/>
      <c r="T142" s="1160"/>
      <c r="U142" s="1160"/>
      <c r="V142" s="1160"/>
      <c r="W142" s="1160"/>
      <c r="X142" s="1160"/>
      <c r="Y142" s="1160"/>
      <c r="Z142" s="1160"/>
      <c r="AA142" s="1160"/>
      <c r="AB142" s="1160"/>
      <c r="AC142" s="1160"/>
      <c r="AD142" s="1160"/>
      <c r="AE142" s="1160"/>
      <c r="AF142" s="1160"/>
      <c r="AG142" s="1160"/>
    </row>
    <row r="143" ht="15.0" customHeight="1">
      <c r="A143" s="1209"/>
      <c r="B143" s="1209"/>
      <c r="C143" s="1210"/>
      <c r="D143" s="1160"/>
      <c r="E143" s="1160"/>
      <c r="F143" s="1160"/>
      <c r="G143" s="1160"/>
      <c r="H143" s="1160"/>
      <c r="I143" s="1160"/>
      <c r="J143" s="1160"/>
      <c r="K143" s="1160"/>
      <c r="L143" s="1160"/>
      <c r="M143" s="1160"/>
      <c r="N143" s="1160"/>
      <c r="O143" s="1160"/>
      <c r="P143" s="1160"/>
      <c r="Q143" s="1160"/>
      <c r="R143" s="1160"/>
      <c r="S143" s="1160"/>
      <c r="T143" s="1160"/>
      <c r="U143" s="1160"/>
      <c r="V143" s="1160"/>
      <c r="W143" s="1160"/>
      <c r="X143" s="1160"/>
      <c r="Y143" s="1160"/>
      <c r="Z143" s="1160"/>
      <c r="AA143" s="1160"/>
      <c r="AB143" s="1160"/>
      <c r="AC143" s="1160"/>
      <c r="AD143" s="1160"/>
      <c r="AE143" s="1160"/>
      <c r="AF143" s="1160"/>
      <c r="AG143" s="1160"/>
    </row>
    <row r="144" ht="15.0" customHeight="1">
      <c r="A144" s="1209"/>
      <c r="B144" s="1209"/>
      <c r="C144" s="1210"/>
      <c r="D144" s="1160"/>
      <c r="E144" s="1160"/>
      <c r="F144" s="1160"/>
      <c r="G144" s="1160"/>
      <c r="H144" s="1160"/>
      <c r="I144" s="1160"/>
      <c r="J144" s="1160"/>
      <c r="K144" s="1160"/>
      <c r="L144" s="1160"/>
      <c r="M144" s="1160"/>
      <c r="N144" s="1160"/>
      <c r="O144" s="1160"/>
      <c r="P144" s="1160"/>
      <c r="Q144" s="1160"/>
      <c r="R144" s="1160"/>
      <c r="S144" s="1160"/>
      <c r="T144" s="1160"/>
      <c r="U144" s="1160"/>
      <c r="V144" s="1160"/>
      <c r="W144" s="1160"/>
      <c r="X144" s="1160"/>
      <c r="Y144" s="1160"/>
      <c r="Z144" s="1160"/>
      <c r="AA144" s="1160"/>
      <c r="AB144" s="1160"/>
      <c r="AC144" s="1160"/>
      <c r="AD144" s="1160"/>
      <c r="AE144" s="1160"/>
      <c r="AF144" s="1160"/>
      <c r="AG144" s="1160"/>
    </row>
    <row r="145" ht="15.0" customHeight="1">
      <c r="A145" s="1209"/>
      <c r="B145" s="1209"/>
      <c r="C145" s="1210"/>
      <c r="D145" s="1160"/>
      <c r="E145" s="1160"/>
      <c r="F145" s="1160"/>
      <c r="G145" s="1160"/>
      <c r="H145" s="1160"/>
      <c r="I145" s="1160"/>
      <c r="J145" s="1160"/>
      <c r="K145" s="1160"/>
      <c r="L145" s="1160"/>
      <c r="M145" s="1160"/>
      <c r="N145" s="1160"/>
      <c r="O145" s="1160"/>
      <c r="P145" s="1160"/>
      <c r="Q145" s="1160"/>
      <c r="R145" s="1160"/>
      <c r="S145" s="1160"/>
      <c r="T145" s="1160"/>
      <c r="U145" s="1160"/>
      <c r="V145" s="1160"/>
      <c r="W145" s="1160"/>
      <c r="X145" s="1160"/>
      <c r="Y145" s="1160"/>
      <c r="Z145" s="1160"/>
      <c r="AA145" s="1160"/>
      <c r="AB145" s="1160"/>
      <c r="AC145" s="1160"/>
      <c r="AD145" s="1160"/>
      <c r="AE145" s="1160"/>
      <c r="AF145" s="1160"/>
      <c r="AG145" s="1160"/>
    </row>
    <row r="146" ht="15.0" customHeight="1">
      <c r="A146" s="1209"/>
      <c r="B146" s="1209"/>
      <c r="C146" s="1210"/>
      <c r="D146" s="1160"/>
      <c r="E146" s="1160"/>
      <c r="F146" s="1160"/>
      <c r="G146" s="1160"/>
      <c r="H146" s="1160"/>
      <c r="I146" s="1160"/>
      <c r="J146" s="1160"/>
      <c r="K146" s="1160"/>
      <c r="L146" s="1160"/>
      <c r="M146" s="1160"/>
      <c r="N146" s="1160"/>
      <c r="O146" s="1160"/>
      <c r="P146" s="1160"/>
      <c r="Q146" s="1160"/>
      <c r="R146" s="1160"/>
      <c r="S146" s="1160"/>
      <c r="T146" s="1160"/>
      <c r="U146" s="1160"/>
      <c r="V146" s="1160"/>
      <c r="W146" s="1160"/>
      <c r="X146" s="1160"/>
      <c r="Y146" s="1160"/>
      <c r="Z146" s="1160"/>
      <c r="AA146" s="1160"/>
      <c r="AB146" s="1160"/>
      <c r="AC146" s="1160"/>
      <c r="AD146" s="1160"/>
      <c r="AE146" s="1160"/>
      <c r="AF146" s="1160"/>
      <c r="AG146" s="1160"/>
    </row>
    <row r="147" ht="15.0" customHeight="1">
      <c r="A147" s="1209"/>
      <c r="B147" s="1209"/>
      <c r="C147" s="1210"/>
      <c r="D147" s="1160"/>
      <c r="E147" s="1160"/>
      <c r="F147" s="1160"/>
      <c r="G147" s="1160"/>
      <c r="H147" s="1160"/>
      <c r="I147" s="1160"/>
      <c r="J147" s="1160"/>
      <c r="K147" s="1160"/>
      <c r="L147" s="1160"/>
      <c r="M147" s="1160"/>
      <c r="N147" s="1160"/>
      <c r="O147" s="1160"/>
      <c r="P147" s="1160"/>
      <c r="Q147" s="1160"/>
      <c r="R147" s="1160"/>
      <c r="S147" s="1160"/>
      <c r="T147" s="1160"/>
      <c r="U147" s="1160"/>
      <c r="V147" s="1160"/>
      <c r="W147" s="1160"/>
      <c r="X147" s="1160"/>
      <c r="Y147" s="1160"/>
      <c r="Z147" s="1160"/>
      <c r="AA147" s="1160"/>
      <c r="AB147" s="1160"/>
      <c r="AC147" s="1160"/>
      <c r="AD147" s="1160"/>
      <c r="AE147" s="1160"/>
      <c r="AF147" s="1160"/>
      <c r="AG147" s="1160"/>
    </row>
    <row r="148" ht="15.0" customHeight="1">
      <c r="A148" s="1209"/>
      <c r="B148" s="1209"/>
      <c r="C148" s="1210"/>
      <c r="D148" s="1160"/>
      <c r="E148" s="1160"/>
      <c r="F148" s="1160"/>
      <c r="G148" s="1160"/>
      <c r="H148" s="1160"/>
      <c r="I148" s="1160"/>
      <c r="J148" s="1160"/>
      <c r="K148" s="1160"/>
      <c r="L148" s="1160"/>
      <c r="M148" s="1160"/>
      <c r="N148" s="1160"/>
      <c r="O148" s="1160"/>
      <c r="P148" s="1160"/>
      <c r="Q148" s="1160"/>
      <c r="R148" s="1160"/>
      <c r="S148" s="1160"/>
      <c r="T148" s="1160"/>
      <c r="U148" s="1160"/>
      <c r="V148" s="1160"/>
      <c r="W148" s="1160"/>
      <c r="X148" s="1160"/>
      <c r="Y148" s="1160"/>
      <c r="Z148" s="1160"/>
      <c r="AA148" s="1160"/>
      <c r="AB148" s="1160"/>
      <c r="AC148" s="1160"/>
      <c r="AD148" s="1160"/>
      <c r="AE148" s="1160"/>
      <c r="AF148" s="1160"/>
      <c r="AG148" s="1160"/>
    </row>
    <row r="149" ht="15.0" customHeight="1">
      <c r="A149" s="1209"/>
      <c r="B149" s="1209"/>
      <c r="C149" s="1210"/>
      <c r="D149" s="1160"/>
      <c r="E149" s="1160"/>
      <c r="F149" s="1160"/>
      <c r="G149" s="1160"/>
      <c r="H149" s="1160"/>
      <c r="I149" s="1160"/>
      <c r="J149" s="1160"/>
      <c r="K149" s="1160"/>
      <c r="L149" s="1160"/>
      <c r="M149" s="1160"/>
      <c r="N149" s="1160"/>
      <c r="O149" s="1160"/>
      <c r="P149" s="1160"/>
      <c r="Q149" s="1160"/>
      <c r="R149" s="1160"/>
      <c r="S149" s="1160"/>
      <c r="T149" s="1160"/>
      <c r="U149" s="1160"/>
      <c r="V149" s="1160"/>
      <c r="W149" s="1160"/>
      <c r="X149" s="1160"/>
      <c r="Y149" s="1160"/>
      <c r="Z149" s="1160"/>
      <c r="AA149" s="1160"/>
      <c r="AB149" s="1160"/>
      <c r="AC149" s="1160"/>
      <c r="AD149" s="1160"/>
      <c r="AE149" s="1160"/>
      <c r="AF149" s="1160"/>
      <c r="AG149" s="1160"/>
    </row>
    <row r="150" ht="15.0" customHeight="1">
      <c r="A150" s="1209"/>
      <c r="B150" s="1209"/>
      <c r="C150" s="1210"/>
      <c r="D150" s="1160"/>
      <c r="E150" s="1160"/>
      <c r="F150" s="1160"/>
      <c r="G150" s="1160"/>
      <c r="H150" s="1160"/>
      <c r="I150" s="1160"/>
      <c r="J150" s="1160"/>
      <c r="K150" s="1160"/>
      <c r="L150" s="1160"/>
      <c r="M150" s="1160"/>
      <c r="N150" s="1160"/>
      <c r="O150" s="1160"/>
      <c r="P150" s="1160"/>
      <c r="Q150" s="1160"/>
      <c r="R150" s="1160"/>
      <c r="S150" s="1160"/>
      <c r="T150" s="1160"/>
      <c r="U150" s="1160"/>
      <c r="V150" s="1160"/>
      <c r="W150" s="1160"/>
      <c r="X150" s="1160"/>
      <c r="Y150" s="1160"/>
      <c r="Z150" s="1160"/>
      <c r="AA150" s="1160"/>
      <c r="AB150" s="1160"/>
      <c r="AC150" s="1160"/>
      <c r="AD150" s="1160"/>
      <c r="AE150" s="1160"/>
      <c r="AF150" s="1160"/>
      <c r="AG150" s="1160"/>
    </row>
    <row r="151" ht="15.0" customHeight="1">
      <c r="A151" s="1209"/>
      <c r="B151" s="1209"/>
      <c r="C151" s="1210"/>
      <c r="D151" s="1160"/>
      <c r="E151" s="1160"/>
      <c r="F151" s="1160"/>
      <c r="G151" s="1160"/>
      <c r="H151" s="1160"/>
      <c r="I151" s="1160"/>
      <c r="J151" s="1160"/>
      <c r="K151" s="1160"/>
      <c r="L151" s="1160"/>
      <c r="M151" s="1160"/>
      <c r="N151" s="1160"/>
      <c r="O151" s="1160"/>
      <c r="P151" s="1160"/>
      <c r="Q151" s="1160"/>
      <c r="R151" s="1160"/>
      <c r="S151" s="1160"/>
      <c r="T151" s="1160"/>
      <c r="U151" s="1160"/>
      <c r="V151" s="1160"/>
      <c r="W151" s="1160"/>
      <c r="X151" s="1160"/>
      <c r="Y151" s="1160"/>
      <c r="Z151" s="1160"/>
      <c r="AA151" s="1160"/>
      <c r="AB151" s="1160"/>
      <c r="AC151" s="1160"/>
      <c r="AD151" s="1160"/>
      <c r="AE151" s="1160"/>
      <c r="AF151" s="1160"/>
      <c r="AG151" s="1160"/>
    </row>
    <row r="152" ht="15.0" customHeight="1">
      <c r="A152" s="1209"/>
      <c r="B152" s="1209"/>
      <c r="C152" s="1210"/>
      <c r="D152" s="1160"/>
      <c r="E152" s="1160"/>
      <c r="F152" s="1160"/>
      <c r="G152" s="1160"/>
      <c r="H152" s="1160"/>
      <c r="I152" s="1160"/>
      <c r="J152" s="1160"/>
      <c r="K152" s="1160"/>
      <c r="L152" s="1160"/>
      <c r="M152" s="1160"/>
      <c r="N152" s="1160"/>
      <c r="O152" s="1160"/>
      <c r="P152" s="1160"/>
      <c r="Q152" s="1160"/>
      <c r="R152" s="1160"/>
      <c r="S152" s="1160"/>
      <c r="T152" s="1160"/>
      <c r="U152" s="1160"/>
      <c r="V152" s="1160"/>
      <c r="W152" s="1160"/>
      <c r="X152" s="1160"/>
      <c r="Y152" s="1160"/>
      <c r="Z152" s="1160"/>
      <c r="AA152" s="1160"/>
      <c r="AB152" s="1160"/>
      <c r="AC152" s="1160"/>
      <c r="AD152" s="1160"/>
      <c r="AE152" s="1160"/>
      <c r="AF152" s="1160"/>
      <c r="AG152" s="1160"/>
    </row>
    <row r="153" ht="15.0" customHeight="1">
      <c r="A153" s="1209"/>
      <c r="B153" s="1209"/>
      <c r="C153" s="1210"/>
      <c r="D153" s="1160"/>
      <c r="E153" s="1160"/>
      <c r="F153" s="1160"/>
      <c r="G153" s="1160"/>
      <c r="H153" s="1160"/>
      <c r="I153" s="1160"/>
      <c r="J153" s="1160"/>
      <c r="K153" s="1160"/>
      <c r="L153" s="1160"/>
      <c r="M153" s="1160"/>
      <c r="N153" s="1160"/>
      <c r="O153" s="1160"/>
      <c r="P153" s="1160"/>
      <c r="Q153" s="1160"/>
      <c r="R153" s="1160"/>
      <c r="S153" s="1160"/>
      <c r="T153" s="1160"/>
      <c r="U153" s="1160"/>
      <c r="V153" s="1160"/>
      <c r="W153" s="1160"/>
      <c r="X153" s="1160"/>
      <c r="Y153" s="1160"/>
      <c r="Z153" s="1160"/>
      <c r="AA153" s="1160"/>
      <c r="AB153" s="1160"/>
      <c r="AC153" s="1160"/>
      <c r="AD153" s="1160"/>
      <c r="AE153" s="1160"/>
      <c r="AF153" s="1160"/>
      <c r="AG153" s="1160"/>
    </row>
    <row r="154" ht="15.0" customHeight="1">
      <c r="A154" s="1209"/>
      <c r="B154" s="1209"/>
      <c r="C154" s="1210"/>
      <c r="D154" s="1160"/>
      <c r="E154" s="1160"/>
      <c r="F154" s="1160"/>
      <c r="G154" s="1160"/>
      <c r="H154" s="1160"/>
      <c r="I154" s="1160"/>
      <c r="J154" s="1160"/>
      <c r="K154" s="1160"/>
      <c r="L154" s="1160"/>
      <c r="M154" s="1160"/>
      <c r="N154" s="1160"/>
      <c r="O154" s="1160"/>
      <c r="P154" s="1160"/>
      <c r="Q154" s="1160"/>
      <c r="R154" s="1160"/>
      <c r="S154" s="1160"/>
      <c r="T154" s="1160"/>
      <c r="U154" s="1160"/>
      <c r="V154" s="1160"/>
      <c r="W154" s="1160"/>
      <c r="X154" s="1160"/>
      <c r="Y154" s="1160"/>
      <c r="Z154" s="1160"/>
      <c r="AA154" s="1160"/>
      <c r="AB154" s="1160"/>
      <c r="AC154" s="1160"/>
      <c r="AD154" s="1160"/>
      <c r="AE154" s="1160"/>
      <c r="AF154" s="1160"/>
      <c r="AG154" s="1160"/>
    </row>
    <row r="155" ht="15.0" customHeight="1">
      <c r="A155" s="1209"/>
      <c r="B155" s="1209"/>
      <c r="C155" s="1210"/>
      <c r="D155" s="1160"/>
      <c r="E155" s="1160"/>
      <c r="F155" s="1160"/>
      <c r="G155" s="1160"/>
      <c r="H155" s="1160"/>
      <c r="I155" s="1160"/>
      <c r="J155" s="1160"/>
      <c r="K155" s="1160"/>
      <c r="L155" s="1160"/>
      <c r="M155" s="1160"/>
      <c r="N155" s="1160"/>
      <c r="O155" s="1160"/>
      <c r="P155" s="1160"/>
      <c r="Q155" s="1160"/>
      <c r="R155" s="1160"/>
      <c r="S155" s="1160"/>
      <c r="T155" s="1160"/>
      <c r="U155" s="1160"/>
      <c r="V155" s="1160"/>
      <c r="W155" s="1160"/>
      <c r="X155" s="1160"/>
      <c r="Y155" s="1160"/>
      <c r="Z155" s="1160"/>
      <c r="AA155" s="1160"/>
      <c r="AB155" s="1160"/>
      <c r="AC155" s="1160"/>
      <c r="AD155" s="1160"/>
      <c r="AE155" s="1160"/>
      <c r="AF155" s="1160"/>
      <c r="AG155" s="1160"/>
    </row>
    <row r="156" ht="15.0" customHeight="1">
      <c r="A156" s="1209"/>
      <c r="B156" s="1209"/>
      <c r="C156" s="1210"/>
      <c r="D156" s="1160"/>
      <c r="E156" s="1160"/>
      <c r="F156" s="1160"/>
      <c r="G156" s="1160"/>
      <c r="H156" s="1160"/>
      <c r="I156" s="1160"/>
      <c r="J156" s="1160"/>
      <c r="K156" s="1160"/>
      <c r="L156" s="1160"/>
      <c r="M156" s="1160"/>
      <c r="N156" s="1160"/>
      <c r="O156" s="1160"/>
      <c r="P156" s="1160"/>
      <c r="Q156" s="1160"/>
      <c r="R156" s="1160"/>
      <c r="S156" s="1160"/>
      <c r="T156" s="1160"/>
      <c r="U156" s="1160"/>
      <c r="V156" s="1160"/>
      <c r="W156" s="1160"/>
      <c r="X156" s="1160"/>
      <c r="Y156" s="1160"/>
      <c r="Z156" s="1160"/>
      <c r="AA156" s="1160"/>
      <c r="AB156" s="1160"/>
      <c r="AC156" s="1160"/>
      <c r="AD156" s="1160"/>
      <c r="AE156" s="1160"/>
      <c r="AF156" s="1160"/>
      <c r="AG156" s="1160"/>
    </row>
    <row r="157" ht="15.0" customHeight="1">
      <c r="A157" s="1209"/>
      <c r="B157" s="1209"/>
      <c r="C157" s="1210"/>
      <c r="D157" s="1160"/>
      <c r="E157" s="1160"/>
      <c r="F157" s="1160"/>
      <c r="G157" s="1160"/>
      <c r="H157" s="1160"/>
      <c r="I157" s="1160"/>
      <c r="J157" s="1160"/>
      <c r="K157" s="1160"/>
      <c r="L157" s="1160"/>
      <c r="M157" s="1160"/>
      <c r="N157" s="1160"/>
      <c r="O157" s="1160"/>
      <c r="P157" s="1160"/>
      <c r="Q157" s="1160"/>
      <c r="R157" s="1160"/>
      <c r="S157" s="1160"/>
      <c r="T157" s="1160"/>
      <c r="U157" s="1160"/>
      <c r="V157" s="1160"/>
      <c r="W157" s="1160"/>
      <c r="X157" s="1160"/>
      <c r="Y157" s="1160"/>
      <c r="Z157" s="1160"/>
      <c r="AA157" s="1160"/>
      <c r="AB157" s="1160"/>
      <c r="AC157" s="1160"/>
      <c r="AD157" s="1160"/>
      <c r="AE157" s="1160"/>
      <c r="AF157" s="1160"/>
      <c r="AG157" s="1160"/>
    </row>
    <row r="158" ht="15.0" customHeight="1">
      <c r="A158" s="1209"/>
      <c r="B158" s="1209"/>
      <c r="C158" s="1210"/>
      <c r="D158" s="1160"/>
      <c r="E158" s="1160"/>
      <c r="F158" s="1160"/>
      <c r="G158" s="1160"/>
      <c r="H158" s="1160"/>
      <c r="I158" s="1160"/>
      <c r="J158" s="1160"/>
      <c r="K158" s="1160"/>
      <c r="L158" s="1160"/>
      <c r="M158" s="1160"/>
      <c r="N158" s="1160"/>
      <c r="O158" s="1160"/>
      <c r="P158" s="1160"/>
      <c r="Q158" s="1160"/>
      <c r="R158" s="1160"/>
      <c r="S158" s="1160"/>
      <c r="T158" s="1160"/>
      <c r="U158" s="1160"/>
      <c r="V158" s="1160"/>
      <c r="W158" s="1160"/>
      <c r="X158" s="1160"/>
      <c r="Y158" s="1160"/>
      <c r="Z158" s="1160"/>
      <c r="AA158" s="1160"/>
      <c r="AB158" s="1160"/>
      <c r="AC158" s="1160"/>
      <c r="AD158" s="1160"/>
      <c r="AE158" s="1160"/>
      <c r="AF158" s="1160"/>
      <c r="AG158" s="1160"/>
    </row>
    <row r="159" ht="15.0" customHeight="1">
      <c r="A159" s="1209"/>
      <c r="B159" s="1209"/>
      <c r="C159" s="1210"/>
      <c r="D159" s="1160"/>
      <c r="E159" s="1160"/>
      <c r="F159" s="1160"/>
      <c r="G159" s="1160"/>
      <c r="H159" s="1160"/>
      <c r="I159" s="1160"/>
      <c r="J159" s="1160"/>
      <c r="K159" s="1160"/>
      <c r="L159" s="1160"/>
      <c r="M159" s="1160"/>
      <c r="N159" s="1160"/>
      <c r="O159" s="1160"/>
      <c r="P159" s="1160"/>
      <c r="Q159" s="1160"/>
      <c r="R159" s="1160"/>
      <c r="S159" s="1160"/>
      <c r="T159" s="1160"/>
      <c r="U159" s="1160"/>
      <c r="V159" s="1160"/>
      <c r="W159" s="1160"/>
      <c r="X159" s="1160"/>
      <c r="Y159" s="1160"/>
      <c r="Z159" s="1160"/>
      <c r="AA159" s="1160"/>
      <c r="AB159" s="1160"/>
      <c r="AC159" s="1160"/>
      <c r="AD159" s="1160"/>
      <c r="AE159" s="1160"/>
      <c r="AF159" s="1160"/>
      <c r="AG159" s="1160"/>
    </row>
    <row r="160" ht="15.0" customHeight="1">
      <c r="A160" s="1209"/>
      <c r="B160" s="1209"/>
      <c r="C160" s="1210"/>
      <c r="D160" s="1160"/>
      <c r="E160" s="1160"/>
      <c r="F160" s="1160"/>
      <c r="G160" s="1160"/>
      <c r="H160" s="1160"/>
      <c r="I160" s="1160"/>
      <c r="J160" s="1160"/>
      <c r="K160" s="1160"/>
      <c r="L160" s="1160"/>
      <c r="M160" s="1160"/>
      <c r="N160" s="1160"/>
      <c r="O160" s="1160"/>
      <c r="P160" s="1160"/>
      <c r="Q160" s="1160"/>
      <c r="R160" s="1160"/>
      <c r="S160" s="1160"/>
      <c r="T160" s="1160"/>
      <c r="U160" s="1160"/>
      <c r="V160" s="1160"/>
      <c r="W160" s="1160"/>
      <c r="X160" s="1160"/>
      <c r="Y160" s="1160"/>
      <c r="Z160" s="1160"/>
      <c r="AA160" s="1160"/>
      <c r="AB160" s="1160"/>
      <c r="AC160" s="1160"/>
      <c r="AD160" s="1160"/>
      <c r="AE160" s="1160"/>
      <c r="AF160" s="1160"/>
      <c r="AG160" s="1160"/>
    </row>
    <row r="161" ht="15.0" customHeight="1">
      <c r="A161" s="1209"/>
      <c r="B161" s="1209"/>
      <c r="C161" s="1210"/>
      <c r="D161" s="1160"/>
      <c r="E161" s="1160"/>
      <c r="F161" s="1160"/>
      <c r="G161" s="1160"/>
      <c r="H161" s="1160"/>
      <c r="I161" s="1160"/>
      <c r="J161" s="1160"/>
      <c r="K161" s="1160"/>
      <c r="L161" s="1160"/>
      <c r="M161" s="1160"/>
      <c r="N161" s="1160"/>
      <c r="O161" s="1160"/>
      <c r="P161" s="1160"/>
      <c r="Q161" s="1160"/>
      <c r="R161" s="1160"/>
      <c r="S161" s="1160"/>
      <c r="T161" s="1160"/>
      <c r="U161" s="1160"/>
      <c r="V161" s="1160"/>
      <c r="W161" s="1160"/>
      <c r="X161" s="1160"/>
      <c r="Y161" s="1160"/>
      <c r="Z161" s="1160"/>
      <c r="AA161" s="1160"/>
      <c r="AB161" s="1160"/>
      <c r="AC161" s="1160"/>
      <c r="AD161" s="1160"/>
      <c r="AE161" s="1160"/>
      <c r="AF161" s="1160"/>
      <c r="AG161" s="1160"/>
    </row>
    <row r="162" ht="15.0" customHeight="1">
      <c r="A162" s="1209"/>
      <c r="B162" s="1209"/>
      <c r="C162" s="1210"/>
      <c r="D162" s="1160"/>
      <c r="E162" s="1160"/>
      <c r="F162" s="1160"/>
      <c r="G162" s="1160"/>
      <c r="H162" s="1160"/>
      <c r="I162" s="1160"/>
      <c r="J162" s="1160"/>
      <c r="K162" s="1160"/>
      <c r="L162" s="1160"/>
      <c r="M162" s="1160"/>
      <c r="N162" s="1160"/>
      <c r="O162" s="1160"/>
      <c r="P162" s="1160"/>
      <c r="Q162" s="1160"/>
      <c r="R162" s="1160"/>
      <c r="S162" s="1160"/>
      <c r="T162" s="1160"/>
      <c r="U162" s="1160"/>
      <c r="V162" s="1160"/>
      <c r="W162" s="1160"/>
      <c r="X162" s="1160"/>
      <c r="Y162" s="1160"/>
      <c r="Z162" s="1160"/>
      <c r="AA162" s="1160"/>
      <c r="AB162" s="1160"/>
      <c r="AC162" s="1160"/>
      <c r="AD162" s="1160"/>
      <c r="AE162" s="1160"/>
      <c r="AF162" s="1160"/>
      <c r="AG162" s="1160"/>
    </row>
    <row r="163" ht="15.0" customHeight="1">
      <c r="A163" s="1209"/>
      <c r="B163" s="1209"/>
      <c r="C163" s="1210"/>
      <c r="D163" s="1160"/>
      <c r="E163" s="1160"/>
      <c r="F163" s="1160"/>
      <c r="G163" s="1160"/>
      <c r="H163" s="1160"/>
      <c r="I163" s="1160"/>
      <c r="J163" s="1160"/>
      <c r="K163" s="1160"/>
      <c r="L163" s="1160"/>
      <c r="M163" s="1160"/>
      <c r="N163" s="1160"/>
      <c r="O163" s="1160"/>
      <c r="P163" s="1160"/>
      <c r="Q163" s="1160"/>
      <c r="R163" s="1160"/>
      <c r="S163" s="1160"/>
      <c r="T163" s="1160"/>
      <c r="U163" s="1160"/>
      <c r="V163" s="1160"/>
      <c r="W163" s="1160"/>
      <c r="X163" s="1160"/>
      <c r="Y163" s="1160"/>
      <c r="Z163" s="1160"/>
      <c r="AA163" s="1160"/>
      <c r="AB163" s="1160"/>
      <c r="AC163" s="1160"/>
      <c r="AD163" s="1160"/>
      <c r="AE163" s="1160"/>
      <c r="AF163" s="1160"/>
      <c r="AG163" s="1160"/>
    </row>
    <row r="164" ht="15.0" customHeight="1">
      <c r="A164" s="1209"/>
      <c r="B164" s="1209"/>
      <c r="C164" s="1210"/>
      <c r="D164" s="1160"/>
      <c r="E164" s="1160"/>
      <c r="F164" s="1160"/>
      <c r="G164" s="1160"/>
      <c r="H164" s="1160"/>
      <c r="I164" s="1160"/>
      <c r="J164" s="1160"/>
      <c r="K164" s="1160"/>
      <c r="L164" s="1160"/>
      <c r="M164" s="1160"/>
      <c r="N164" s="1160"/>
      <c r="O164" s="1160"/>
      <c r="P164" s="1160"/>
      <c r="Q164" s="1160"/>
      <c r="R164" s="1160"/>
      <c r="S164" s="1160"/>
      <c r="T164" s="1160"/>
      <c r="U164" s="1160"/>
      <c r="V164" s="1160"/>
      <c r="W164" s="1160"/>
      <c r="X164" s="1160"/>
      <c r="Y164" s="1160"/>
      <c r="Z164" s="1160"/>
      <c r="AA164" s="1160"/>
      <c r="AB164" s="1160"/>
      <c r="AC164" s="1160"/>
      <c r="AD164" s="1160"/>
      <c r="AE164" s="1160"/>
      <c r="AF164" s="1160"/>
      <c r="AG164" s="1160"/>
    </row>
    <row r="165" ht="15.0" customHeight="1">
      <c r="A165" s="1209"/>
      <c r="B165" s="1209"/>
      <c r="C165" s="1210"/>
      <c r="D165" s="1160"/>
      <c r="E165" s="1160"/>
      <c r="F165" s="1160"/>
      <c r="G165" s="1160"/>
      <c r="H165" s="1160"/>
      <c r="I165" s="1160"/>
      <c r="J165" s="1160"/>
      <c r="K165" s="1160"/>
      <c r="L165" s="1160"/>
      <c r="M165" s="1160"/>
      <c r="N165" s="1160"/>
      <c r="O165" s="1160"/>
      <c r="P165" s="1160"/>
      <c r="Q165" s="1160"/>
      <c r="R165" s="1160"/>
      <c r="S165" s="1160"/>
      <c r="T165" s="1160"/>
      <c r="U165" s="1160"/>
      <c r="V165" s="1160"/>
      <c r="W165" s="1160"/>
      <c r="X165" s="1160"/>
      <c r="Y165" s="1160"/>
      <c r="Z165" s="1160"/>
      <c r="AA165" s="1160"/>
      <c r="AB165" s="1160"/>
      <c r="AC165" s="1160"/>
      <c r="AD165" s="1160"/>
      <c r="AE165" s="1160"/>
      <c r="AF165" s="1160"/>
      <c r="AG165" s="1160"/>
    </row>
    <row r="166" ht="15.0" customHeight="1">
      <c r="A166" s="1209"/>
      <c r="B166" s="1209"/>
      <c r="C166" s="1210"/>
      <c r="D166" s="1160"/>
      <c r="E166" s="1160"/>
      <c r="F166" s="1160"/>
      <c r="G166" s="1160"/>
      <c r="H166" s="1160"/>
      <c r="I166" s="1160"/>
      <c r="J166" s="1160"/>
      <c r="K166" s="1160"/>
      <c r="L166" s="1160"/>
      <c r="M166" s="1160"/>
      <c r="N166" s="1160"/>
      <c r="O166" s="1160"/>
      <c r="P166" s="1160"/>
      <c r="Q166" s="1160"/>
      <c r="R166" s="1160"/>
      <c r="S166" s="1160"/>
      <c r="T166" s="1160"/>
      <c r="U166" s="1160"/>
      <c r="V166" s="1160"/>
      <c r="W166" s="1160"/>
      <c r="X166" s="1160"/>
      <c r="Y166" s="1160"/>
      <c r="Z166" s="1160"/>
      <c r="AA166" s="1160"/>
      <c r="AB166" s="1160"/>
      <c r="AC166" s="1160"/>
      <c r="AD166" s="1160"/>
      <c r="AE166" s="1160"/>
      <c r="AF166" s="1160"/>
      <c r="AG166" s="1160"/>
    </row>
    <row r="167" ht="15.0" customHeight="1">
      <c r="A167" s="1209"/>
      <c r="B167" s="1209"/>
      <c r="C167" s="1210"/>
      <c r="D167" s="1160"/>
      <c r="E167" s="1160"/>
      <c r="F167" s="1160"/>
      <c r="G167" s="1160"/>
      <c r="H167" s="1160"/>
      <c r="I167" s="1160"/>
      <c r="J167" s="1160"/>
      <c r="K167" s="1160"/>
      <c r="L167" s="1160"/>
      <c r="M167" s="1160"/>
      <c r="N167" s="1160"/>
      <c r="O167" s="1160"/>
      <c r="P167" s="1160"/>
      <c r="Q167" s="1160"/>
      <c r="R167" s="1160"/>
      <c r="S167" s="1160"/>
      <c r="T167" s="1160"/>
      <c r="U167" s="1160"/>
      <c r="V167" s="1160"/>
      <c r="W167" s="1160"/>
      <c r="X167" s="1160"/>
      <c r="Y167" s="1160"/>
      <c r="Z167" s="1160"/>
      <c r="AA167" s="1160"/>
      <c r="AB167" s="1160"/>
      <c r="AC167" s="1160"/>
      <c r="AD167" s="1160"/>
      <c r="AE167" s="1160"/>
      <c r="AF167" s="1160"/>
      <c r="AG167" s="1160"/>
    </row>
    <row r="168" ht="15.0" customHeight="1">
      <c r="A168" s="1209"/>
      <c r="B168" s="1209"/>
      <c r="C168" s="1210"/>
      <c r="D168" s="1160"/>
      <c r="E168" s="1160"/>
      <c r="F168" s="1160"/>
      <c r="G168" s="1160"/>
      <c r="H168" s="1160"/>
      <c r="I168" s="1160"/>
      <c r="J168" s="1160"/>
      <c r="K168" s="1160"/>
      <c r="L168" s="1160"/>
      <c r="M168" s="1160"/>
      <c r="N168" s="1160"/>
      <c r="O168" s="1160"/>
      <c r="P168" s="1160"/>
      <c r="Q168" s="1160"/>
      <c r="R168" s="1160"/>
      <c r="S168" s="1160"/>
      <c r="T168" s="1160"/>
      <c r="U168" s="1160"/>
      <c r="V168" s="1160"/>
      <c r="W168" s="1160"/>
      <c r="X168" s="1160"/>
      <c r="Y168" s="1160"/>
      <c r="Z168" s="1160"/>
      <c r="AA168" s="1160"/>
      <c r="AB168" s="1160"/>
      <c r="AC168" s="1160"/>
      <c r="AD168" s="1160"/>
      <c r="AE168" s="1160"/>
      <c r="AF168" s="1160"/>
      <c r="AG168" s="1160"/>
    </row>
    <row r="169" ht="15.0" customHeight="1">
      <c r="A169" s="1209"/>
      <c r="B169" s="1209"/>
      <c r="C169" s="1210"/>
      <c r="D169" s="1160"/>
      <c r="E169" s="1160"/>
      <c r="F169" s="1160"/>
      <c r="G169" s="1160"/>
      <c r="H169" s="1160"/>
      <c r="I169" s="1160"/>
      <c r="J169" s="1160"/>
      <c r="K169" s="1160"/>
      <c r="L169" s="1160"/>
      <c r="M169" s="1160"/>
      <c r="N169" s="1160"/>
      <c r="O169" s="1160"/>
      <c r="P169" s="1160"/>
      <c r="Q169" s="1160"/>
      <c r="R169" s="1160"/>
      <c r="S169" s="1160"/>
      <c r="T169" s="1160"/>
      <c r="U169" s="1160"/>
      <c r="V169" s="1160"/>
      <c r="W169" s="1160"/>
      <c r="X169" s="1160"/>
      <c r="Y169" s="1160"/>
      <c r="Z169" s="1160"/>
      <c r="AA169" s="1160"/>
      <c r="AB169" s="1160"/>
      <c r="AC169" s="1160"/>
      <c r="AD169" s="1160"/>
      <c r="AE169" s="1160"/>
      <c r="AF169" s="1160"/>
      <c r="AG169" s="1160"/>
    </row>
    <row r="170" ht="15.0" customHeight="1">
      <c r="A170" s="1209"/>
      <c r="B170" s="1209"/>
      <c r="C170" s="1210"/>
      <c r="D170" s="1160"/>
      <c r="E170" s="1160"/>
      <c r="F170" s="1160"/>
      <c r="G170" s="1160"/>
      <c r="H170" s="1160"/>
      <c r="I170" s="1160"/>
      <c r="J170" s="1160"/>
      <c r="K170" s="1160"/>
      <c r="L170" s="1160"/>
      <c r="M170" s="1160"/>
      <c r="N170" s="1160"/>
      <c r="O170" s="1160"/>
      <c r="P170" s="1160"/>
      <c r="Q170" s="1160"/>
      <c r="R170" s="1160"/>
      <c r="S170" s="1160"/>
      <c r="T170" s="1160"/>
      <c r="U170" s="1160"/>
      <c r="V170" s="1160"/>
      <c r="W170" s="1160"/>
      <c r="X170" s="1160"/>
      <c r="Y170" s="1160"/>
      <c r="Z170" s="1160"/>
      <c r="AA170" s="1160"/>
      <c r="AB170" s="1160"/>
      <c r="AC170" s="1160"/>
      <c r="AD170" s="1160"/>
      <c r="AE170" s="1160"/>
      <c r="AF170" s="1160"/>
      <c r="AG170" s="1160"/>
    </row>
    <row r="171" ht="15.0" customHeight="1">
      <c r="A171" s="1209"/>
      <c r="B171" s="1209"/>
      <c r="C171" s="1210"/>
      <c r="D171" s="1160"/>
      <c r="E171" s="1160"/>
      <c r="F171" s="1160"/>
      <c r="G171" s="1160"/>
      <c r="H171" s="1160"/>
      <c r="I171" s="1160"/>
      <c r="J171" s="1160"/>
      <c r="K171" s="1160"/>
      <c r="L171" s="1160"/>
      <c r="M171" s="1160"/>
      <c r="N171" s="1160"/>
      <c r="O171" s="1160"/>
      <c r="P171" s="1160"/>
      <c r="Q171" s="1160"/>
      <c r="R171" s="1160"/>
      <c r="S171" s="1160"/>
      <c r="T171" s="1160"/>
      <c r="U171" s="1160"/>
      <c r="V171" s="1160"/>
      <c r="W171" s="1160"/>
      <c r="X171" s="1160"/>
      <c r="Y171" s="1160"/>
      <c r="Z171" s="1160"/>
      <c r="AA171" s="1160"/>
      <c r="AB171" s="1160"/>
      <c r="AC171" s="1160"/>
      <c r="AD171" s="1160"/>
      <c r="AE171" s="1160"/>
      <c r="AF171" s="1160"/>
      <c r="AG171" s="1160"/>
    </row>
    <row r="172" ht="15.0" customHeight="1">
      <c r="A172" s="1209"/>
      <c r="B172" s="1209"/>
      <c r="C172" s="1210"/>
      <c r="D172" s="1160"/>
      <c r="E172" s="1160"/>
      <c r="F172" s="1160"/>
      <c r="G172" s="1160"/>
      <c r="H172" s="1160"/>
      <c r="I172" s="1160"/>
      <c r="J172" s="1160"/>
      <c r="K172" s="1160"/>
      <c r="L172" s="1160"/>
      <c r="M172" s="1160"/>
      <c r="N172" s="1160"/>
      <c r="O172" s="1160"/>
      <c r="P172" s="1160"/>
      <c r="Q172" s="1160"/>
      <c r="R172" s="1160"/>
      <c r="S172" s="1160"/>
      <c r="T172" s="1160"/>
      <c r="U172" s="1160"/>
      <c r="V172" s="1160"/>
      <c r="W172" s="1160"/>
      <c r="X172" s="1160"/>
      <c r="Y172" s="1160"/>
      <c r="Z172" s="1160"/>
      <c r="AA172" s="1160"/>
      <c r="AB172" s="1160"/>
      <c r="AC172" s="1160"/>
      <c r="AD172" s="1160"/>
      <c r="AE172" s="1160"/>
      <c r="AF172" s="1160"/>
      <c r="AG172" s="1160"/>
    </row>
    <row r="173" ht="15.0" customHeight="1">
      <c r="A173" s="1209"/>
      <c r="B173" s="1209"/>
      <c r="C173" s="1210"/>
      <c r="D173" s="1160"/>
      <c r="E173" s="1160"/>
      <c r="F173" s="1160"/>
      <c r="G173" s="1160"/>
      <c r="H173" s="1160"/>
      <c r="I173" s="1160"/>
      <c r="J173" s="1160"/>
      <c r="K173" s="1160"/>
      <c r="L173" s="1160"/>
      <c r="M173" s="1160"/>
      <c r="N173" s="1160"/>
      <c r="O173" s="1160"/>
      <c r="P173" s="1160"/>
      <c r="Q173" s="1160"/>
      <c r="R173" s="1160"/>
      <c r="S173" s="1160"/>
      <c r="T173" s="1160"/>
      <c r="U173" s="1160"/>
      <c r="V173" s="1160"/>
      <c r="W173" s="1160"/>
      <c r="X173" s="1160"/>
      <c r="Y173" s="1160"/>
      <c r="Z173" s="1160"/>
      <c r="AA173" s="1160"/>
      <c r="AB173" s="1160"/>
      <c r="AC173" s="1160"/>
      <c r="AD173" s="1160"/>
      <c r="AE173" s="1160"/>
      <c r="AF173" s="1160"/>
      <c r="AG173" s="1160"/>
    </row>
    <row r="174" ht="15.0" customHeight="1">
      <c r="A174" s="1209"/>
      <c r="B174" s="1209"/>
      <c r="C174" s="1210"/>
      <c r="D174" s="1160"/>
      <c r="E174" s="1160"/>
      <c r="F174" s="1160"/>
      <c r="G174" s="1160"/>
      <c r="H174" s="1160"/>
      <c r="I174" s="1160"/>
      <c r="J174" s="1160"/>
      <c r="K174" s="1160"/>
      <c r="L174" s="1160"/>
      <c r="M174" s="1160"/>
      <c r="N174" s="1160"/>
      <c r="O174" s="1160"/>
      <c r="P174" s="1160"/>
      <c r="Q174" s="1160"/>
      <c r="R174" s="1160"/>
      <c r="S174" s="1160"/>
      <c r="T174" s="1160"/>
      <c r="U174" s="1160"/>
      <c r="V174" s="1160"/>
      <c r="W174" s="1160"/>
      <c r="X174" s="1160"/>
      <c r="Y174" s="1160"/>
      <c r="Z174" s="1160"/>
      <c r="AA174" s="1160"/>
      <c r="AB174" s="1160"/>
      <c r="AC174" s="1160"/>
      <c r="AD174" s="1160"/>
      <c r="AE174" s="1160"/>
      <c r="AF174" s="1160"/>
      <c r="AG174" s="1160"/>
    </row>
    <row r="175" ht="15.0" customHeight="1">
      <c r="A175" s="1209"/>
      <c r="B175" s="1209"/>
      <c r="C175" s="1210"/>
      <c r="D175" s="1160"/>
      <c r="E175" s="1160"/>
      <c r="F175" s="1160"/>
      <c r="G175" s="1160"/>
      <c r="H175" s="1160"/>
      <c r="I175" s="1160"/>
      <c r="J175" s="1160"/>
      <c r="K175" s="1160"/>
      <c r="L175" s="1160"/>
      <c r="M175" s="1160"/>
      <c r="N175" s="1160"/>
      <c r="O175" s="1160"/>
      <c r="P175" s="1160"/>
      <c r="Q175" s="1160"/>
      <c r="R175" s="1160"/>
      <c r="S175" s="1160"/>
      <c r="T175" s="1160"/>
      <c r="U175" s="1160"/>
      <c r="V175" s="1160"/>
      <c r="W175" s="1160"/>
      <c r="X175" s="1160"/>
      <c r="Y175" s="1160"/>
      <c r="Z175" s="1160"/>
      <c r="AA175" s="1160"/>
      <c r="AB175" s="1160"/>
      <c r="AC175" s="1160"/>
      <c r="AD175" s="1160"/>
      <c r="AE175" s="1160"/>
      <c r="AF175" s="1160"/>
      <c r="AG175" s="1160"/>
    </row>
    <row r="176" ht="15.0" customHeight="1">
      <c r="A176" s="1209"/>
      <c r="B176" s="1209"/>
      <c r="C176" s="1210"/>
      <c r="D176" s="1160"/>
      <c r="E176" s="1160"/>
      <c r="F176" s="1160"/>
      <c r="G176" s="1160"/>
      <c r="H176" s="1160"/>
      <c r="I176" s="1160"/>
      <c r="J176" s="1160"/>
      <c r="K176" s="1160"/>
      <c r="L176" s="1160"/>
      <c r="M176" s="1160"/>
      <c r="N176" s="1160"/>
      <c r="O176" s="1160"/>
      <c r="P176" s="1160"/>
      <c r="Q176" s="1160"/>
      <c r="R176" s="1160"/>
      <c r="S176" s="1160"/>
      <c r="T176" s="1160"/>
      <c r="U176" s="1160"/>
      <c r="V176" s="1160"/>
      <c r="W176" s="1160"/>
      <c r="X176" s="1160"/>
      <c r="Y176" s="1160"/>
      <c r="Z176" s="1160"/>
      <c r="AA176" s="1160"/>
      <c r="AB176" s="1160"/>
      <c r="AC176" s="1160"/>
      <c r="AD176" s="1160"/>
      <c r="AE176" s="1160"/>
      <c r="AF176" s="1160"/>
      <c r="AG176" s="1160"/>
    </row>
    <row r="177" ht="15.0" customHeight="1">
      <c r="A177" s="1209"/>
      <c r="B177" s="1209"/>
      <c r="C177" s="1210"/>
      <c r="D177" s="1160"/>
      <c r="E177" s="1160"/>
      <c r="F177" s="1160"/>
      <c r="G177" s="1160"/>
      <c r="H177" s="1160"/>
      <c r="I177" s="1160"/>
      <c r="J177" s="1160"/>
      <c r="K177" s="1160"/>
      <c r="L177" s="1160"/>
      <c r="M177" s="1160"/>
      <c r="N177" s="1160"/>
      <c r="O177" s="1160"/>
      <c r="P177" s="1160"/>
      <c r="Q177" s="1160"/>
      <c r="R177" s="1160"/>
      <c r="S177" s="1160"/>
      <c r="T177" s="1160"/>
      <c r="U177" s="1160"/>
      <c r="V177" s="1160"/>
      <c r="W177" s="1160"/>
      <c r="X177" s="1160"/>
      <c r="Y177" s="1160"/>
      <c r="Z177" s="1160"/>
      <c r="AA177" s="1160"/>
      <c r="AB177" s="1160"/>
      <c r="AC177" s="1160"/>
      <c r="AD177" s="1160"/>
      <c r="AE177" s="1160"/>
      <c r="AF177" s="1160"/>
      <c r="AG177" s="1160"/>
    </row>
    <row r="178" ht="15.0" customHeight="1">
      <c r="A178" s="1209"/>
      <c r="B178" s="1209"/>
      <c r="C178" s="1210"/>
      <c r="D178" s="1160"/>
      <c r="E178" s="1160"/>
      <c r="F178" s="1160"/>
      <c r="G178" s="1160"/>
      <c r="H178" s="1160"/>
      <c r="I178" s="1160"/>
      <c r="J178" s="1160"/>
      <c r="K178" s="1160"/>
      <c r="L178" s="1160"/>
      <c r="M178" s="1160"/>
      <c r="N178" s="1160"/>
      <c r="O178" s="1160"/>
      <c r="P178" s="1160"/>
      <c r="Q178" s="1160"/>
      <c r="R178" s="1160"/>
      <c r="S178" s="1160"/>
      <c r="T178" s="1160"/>
      <c r="U178" s="1160"/>
      <c r="V178" s="1160"/>
      <c r="W178" s="1160"/>
      <c r="X178" s="1160"/>
      <c r="Y178" s="1160"/>
      <c r="Z178" s="1160"/>
      <c r="AA178" s="1160"/>
      <c r="AB178" s="1160"/>
      <c r="AC178" s="1160"/>
      <c r="AD178" s="1160"/>
      <c r="AE178" s="1160"/>
      <c r="AF178" s="1160"/>
      <c r="AG178" s="1160"/>
    </row>
    <row r="179" ht="15.0" customHeight="1">
      <c r="A179" s="1209"/>
      <c r="B179" s="1209"/>
      <c r="C179" s="1210"/>
      <c r="D179" s="1160"/>
      <c r="E179" s="1160"/>
      <c r="F179" s="1160"/>
      <c r="G179" s="1160"/>
      <c r="H179" s="1160"/>
      <c r="I179" s="1160"/>
      <c r="J179" s="1160"/>
      <c r="K179" s="1160"/>
      <c r="L179" s="1160"/>
      <c r="M179" s="1160"/>
      <c r="N179" s="1160"/>
      <c r="O179" s="1160"/>
      <c r="P179" s="1160"/>
      <c r="Q179" s="1160"/>
      <c r="R179" s="1160"/>
      <c r="S179" s="1160"/>
      <c r="T179" s="1160"/>
      <c r="U179" s="1160"/>
      <c r="V179" s="1160"/>
      <c r="W179" s="1160"/>
      <c r="X179" s="1160"/>
      <c r="Y179" s="1160"/>
      <c r="Z179" s="1160"/>
      <c r="AA179" s="1160"/>
      <c r="AB179" s="1160"/>
      <c r="AC179" s="1160"/>
      <c r="AD179" s="1160"/>
      <c r="AE179" s="1160"/>
      <c r="AF179" s="1160"/>
      <c r="AG179" s="1160"/>
    </row>
    <row r="180" ht="15.0" customHeight="1">
      <c r="A180" s="1209"/>
      <c r="B180" s="1209"/>
      <c r="C180" s="1210"/>
      <c r="D180" s="1160"/>
      <c r="E180" s="1160"/>
      <c r="F180" s="1160"/>
      <c r="G180" s="1160"/>
      <c r="H180" s="1160"/>
      <c r="I180" s="1160"/>
      <c r="J180" s="1160"/>
      <c r="K180" s="1160"/>
      <c r="L180" s="1160"/>
      <c r="M180" s="1160"/>
      <c r="N180" s="1160"/>
      <c r="O180" s="1160"/>
      <c r="P180" s="1160"/>
      <c r="Q180" s="1160"/>
      <c r="R180" s="1160"/>
      <c r="S180" s="1160"/>
      <c r="T180" s="1160"/>
      <c r="U180" s="1160"/>
      <c r="V180" s="1160"/>
      <c r="W180" s="1160"/>
      <c r="X180" s="1160"/>
      <c r="Y180" s="1160"/>
      <c r="Z180" s="1160"/>
      <c r="AA180" s="1160"/>
      <c r="AB180" s="1160"/>
      <c r="AC180" s="1160"/>
      <c r="AD180" s="1160"/>
      <c r="AE180" s="1160"/>
      <c r="AF180" s="1160"/>
      <c r="AG180" s="1160"/>
    </row>
    <row r="181" ht="15.0" customHeight="1">
      <c r="A181" s="1209"/>
      <c r="B181" s="1209"/>
      <c r="C181" s="1210"/>
      <c r="D181" s="1160"/>
      <c r="E181" s="1160"/>
      <c r="F181" s="1160"/>
      <c r="G181" s="1160"/>
      <c r="H181" s="1160"/>
      <c r="I181" s="1160"/>
      <c r="J181" s="1160"/>
      <c r="K181" s="1160"/>
      <c r="L181" s="1160"/>
      <c r="M181" s="1160"/>
      <c r="N181" s="1160"/>
      <c r="O181" s="1160"/>
      <c r="P181" s="1160"/>
      <c r="Q181" s="1160"/>
      <c r="R181" s="1160"/>
      <c r="S181" s="1160"/>
      <c r="T181" s="1160"/>
      <c r="U181" s="1160"/>
      <c r="V181" s="1160"/>
      <c r="W181" s="1160"/>
      <c r="X181" s="1160"/>
      <c r="Y181" s="1160"/>
      <c r="Z181" s="1160"/>
      <c r="AA181" s="1160"/>
      <c r="AB181" s="1160"/>
      <c r="AC181" s="1160"/>
      <c r="AD181" s="1160"/>
      <c r="AE181" s="1160"/>
      <c r="AF181" s="1160"/>
      <c r="AG181" s="1160"/>
    </row>
    <row r="182" ht="15.0" customHeight="1">
      <c r="A182" s="1209"/>
      <c r="B182" s="1209"/>
      <c r="C182" s="1210"/>
      <c r="D182" s="1160"/>
      <c r="E182" s="1160"/>
      <c r="F182" s="1160"/>
      <c r="G182" s="1160"/>
      <c r="H182" s="1160"/>
      <c r="I182" s="1160"/>
      <c r="J182" s="1160"/>
      <c r="K182" s="1160"/>
      <c r="L182" s="1160"/>
      <c r="M182" s="1160"/>
      <c r="N182" s="1160"/>
      <c r="O182" s="1160"/>
      <c r="P182" s="1160"/>
      <c r="Q182" s="1160"/>
      <c r="R182" s="1160"/>
      <c r="S182" s="1160"/>
      <c r="T182" s="1160"/>
      <c r="U182" s="1160"/>
      <c r="V182" s="1160"/>
      <c r="W182" s="1160"/>
      <c r="X182" s="1160"/>
      <c r="Y182" s="1160"/>
      <c r="Z182" s="1160"/>
      <c r="AA182" s="1160"/>
      <c r="AB182" s="1160"/>
      <c r="AC182" s="1160"/>
      <c r="AD182" s="1160"/>
      <c r="AE182" s="1160"/>
      <c r="AF182" s="1160"/>
      <c r="AG182" s="1160"/>
    </row>
    <row r="183" ht="15.0" customHeight="1">
      <c r="A183" s="1209"/>
      <c r="B183" s="1209"/>
      <c r="C183" s="1210"/>
      <c r="D183" s="1160"/>
      <c r="E183" s="1160"/>
      <c r="F183" s="1160"/>
      <c r="G183" s="1160"/>
      <c r="H183" s="1160"/>
      <c r="I183" s="1160"/>
      <c r="J183" s="1160"/>
      <c r="K183" s="1160"/>
      <c r="L183" s="1160"/>
      <c r="M183" s="1160"/>
      <c r="N183" s="1160"/>
      <c r="O183" s="1160"/>
      <c r="P183" s="1160"/>
      <c r="Q183" s="1160"/>
      <c r="R183" s="1160"/>
      <c r="S183" s="1160"/>
      <c r="T183" s="1160"/>
      <c r="U183" s="1160"/>
      <c r="V183" s="1160"/>
      <c r="W183" s="1160"/>
      <c r="X183" s="1160"/>
      <c r="Y183" s="1160"/>
      <c r="Z183" s="1160"/>
      <c r="AA183" s="1160"/>
      <c r="AB183" s="1160"/>
      <c r="AC183" s="1160"/>
      <c r="AD183" s="1160"/>
      <c r="AE183" s="1160"/>
      <c r="AF183" s="1160"/>
      <c r="AG183" s="1160"/>
    </row>
    <row r="184" ht="15.0" customHeight="1">
      <c r="A184" s="1209"/>
      <c r="B184" s="1209"/>
      <c r="C184" s="1210"/>
      <c r="D184" s="1160"/>
      <c r="E184" s="1160"/>
      <c r="F184" s="1160"/>
      <c r="G184" s="1160"/>
      <c r="H184" s="1160"/>
      <c r="I184" s="1160"/>
      <c r="J184" s="1160"/>
      <c r="K184" s="1160"/>
      <c r="L184" s="1160"/>
      <c r="M184" s="1160"/>
      <c r="N184" s="1160"/>
      <c r="O184" s="1160"/>
      <c r="P184" s="1160"/>
      <c r="Q184" s="1160"/>
      <c r="R184" s="1160"/>
      <c r="S184" s="1160"/>
      <c r="T184" s="1160"/>
      <c r="U184" s="1160"/>
      <c r="V184" s="1160"/>
      <c r="W184" s="1160"/>
      <c r="X184" s="1160"/>
      <c r="Y184" s="1160"/>
      <c r="Z184" s="1160"/>
      <c r="AA184" s="1160"/>
      <c r="AB184" s="1160"/>
      <c r="AC184" s="1160"/>
      <c r="AD184" s="1160"/>
      <c r="AE184" s="1160"/>
      <c r="AF184" s="1160"/>
      <c r="AG184" s="1160"/>
    </row>
    <row r="185" ht="15.0" customHeight="1">
      <c r="A185" s="1209"/>
      <c r="B185" s="1209"/>
      <c r="C185" s="1210"/>
      <c r="D185" s="1160"/>
      <c r="E185" s="1160"/>
      <c r="F185" s="1160"/>
      <c r="G185" s="1160"/>
      <c r="H185" s="1160"/>
      <c r="I185" s="1160"/>
      <c r="J185" s="1160"/>
      <c r="K185" s="1160"/>
      <c r="L185" s="1160"/>
      <c r="M185" s="1160"/>
      <c r="N185" s="1160"/>
      <c r="O185" s="1160"/>
      <c r="P185" s="1160"/>
      <c r="Q185" s="1160"/>
      <c r="R185" s="1160"/>
      <c r="S185" s="1160"/>
      <c r="T185" s="1160"/>
      <c r="U185" s="1160"/>
      <c r="V185" s="1160"/>
      <c r="W185" s="1160"/>
      <c r="X185" s="1160"/>
      <c r="Y185" s="1160"/>
      <c r="Z185" s="1160"/>
      <c r="AA185" s="1160"/>
      <c r="AB185" s="1160"/>
      <c r="AC185" s="1160"/>
      <c r="AD185" s="1160"/>
      <c r="AE185" s="1160"/>
      <c r="AF185" s="1160"/>
      <c r="AG185" s="1160"/>
    </row>
    <row r="186" ht="15.0" customHeight="1">
      <c r="A186" s="1209"/>
      <c r="B186" s="1209"/>
      <c r="C186" s="1210"/>
      <c r="D186" s="1160"/>
      <c r="E186" s="1160"/>
      <c r="F186" s="1160"/>
      <c r="G186" s="1160"/>
      <c r="H186" s="1160"/>
      <c r="I186" s="1160"/>
      <c r="J186" s="1160"/>
      <c r="K186" s="1160"/>
      <c r="L186" s="1160"/>
      <c r="M186" s="1160"/>
      <c r="N186" s="1160"/>
      <c r="O186" s="1160"/>
      <c r="P186" s="1160"/>
      <c r="Q186" s="1160"/>
      <c r="R186" s="1160"/>
      <c r="S186" s="1160"/>
      <c r="T186" s="1160"/>
      <c r="U186" s="1160"/>
      <c r="V186" s="1160"/>
      <c r="W186" s="1160"/>
      <c r="X186" s="1160"/>
      <c r="Y186" s="1160"/>
      <c r="Z186" s="1160"/>
      <c r="AA186" s="1160"/>
      <c r="AB186" s="1160"/>
      <c r="AC186" s="1160"/>
      <c r="AD186" s="1160"/>
      <c r="AE186" s="1160"/>
      <c r="AF186" s="1160"/>
      <c r="AG186" s="1160"/>
    </row>
    <row r="187" ht="15.0" customHeight="1">
      <c r="A187" s="1209"/>
      <c r="B187" s="1209"/>
      <c r="C187" s="1210"/>
      <c r="D187" s="1160"/>
      <c r="E187" s="1160"/>
      <c r="F187" s="1160"/>
      <c r="G187" s="1160"/>
      <c r="H187" s="1160"/>
      <c r="I187" s="1160"/>
      <c r="J187" s="1160"/>
      <c r="K187" s="1160"/>
      <c r="L187" s="1160"/>
      <c r="M187" s="1160"/>
      <c r="N187" s="1160"/>
      <c r="O187" s="1160"/>
      <c r="P187" s="1160"/>
      <c r="Q187" s="1160"/>
      <c r="R187" s="1160"/>
      <c r="S187" s="1160"/>
      <c r="T187" s="1160"/>
      <c r="U187" s="1160"/>
      <c r="V187" s="1160"/>
      <c r="W187" s="1160"/>
      <c r="X187" s="1160"/>
      <c r="Y187" s="1160"/>
      <c r="Z187" s="1160"/>
      <c r="AA187" s="1160"/>
      <c r="AB187" s="1160"/>
      <c r="AC187" s="1160"/>
      <c r="AD187" s="1160"/>
      <c r="AE187" s="1160"/>
      <c r="AF187" s="1160"/>
      <c r="AG187" s="1160"/>
    </row>
    <row r="188" ht="15.0" customHeight="1">
      <c r="A188" s="1209"/>
      <c r="B188" s="1209"/>
      <c r="C188" s="1210"/>
      <c r="D188" s="1160"/>
      <c r="E188" s="1160"/>
      <c r="F188" s="1160"/>
      <c r="G188" s="1160"/>
      <c r="H188" s="1160"/>
      <c r="I188" s="1160"/>
      <c r="J188" s="1160"/>
      <c r="K188" s="1160"/>
      <c r="L188" s="1160"/>
      <c r="M188" s="1160"/>
      <c r="N188" s="1160"/>
      <c r="O188" s="1160"/>
      <c r="P188" s="1160"/>
      <c r="Q188" s="1160"/>
      <c r="R188" s="1160"/>
      <c r="S188" s="1160"/>
      <c r="T188" s="1160"/>
      <c r="U188" s="1160"/>
      <c r="V188" s="1160"/>
      <c r="W188" s="1160"/>
      <c r="X188" s="1160"/>
      <c r="Y188" s="1160"/>
      <c r="Z188" s="1160"/>
      <c r="AA188" s="1160"/>
      <c r="AB188" s="1160"/>
      <c r="AC188" s="1160"/>
      <c r="AD188" s="1160"/>
      <c r="AE188" s="1160"/>
      <c r="AF188" s="1160"/>
      <c r="AG188" s="1160"/>
    </row>
    <row r="189" ht="15.0" customHeight="1">
      <c r="A189" s="1209"/>
      <c r="B189" s="1209"/>
      <c r="C189" s="1210"/>
      <c r="D189" s="1160"/>
      <c r="E189" s="1160"/>
      <c r="F189" s="1160"/>
      <c r="G189" s="1160"/>
      <c r="H189" s="1160"/>
      <c r="I189" s="1160"/>
      <c r="J189" s="1160"/>
      <c r="K189" s="1160"/>
      <c r="L189" s="1160"/>
      <c r="M189" s="1160"/>
      <c r="N189" s="1160"/>
      <c r="O189" s="1160"/>
      <c r="P189" s="1160"/>
      <c r="Q189" s="1160"/>
      <c r="R189" s="1160"/>
      <c r="S189" s="1160"/>
      <c r="T189" s="1160"/>
      <c r="U189" s="1160"/>
      <c r="V189" s="1160"/>
      <c r="W189" s="1160"/>
      <c r="X189" s="1160"/>
      <c r="Y189" s="1160"/>
      <c r="Z189" s="1160"/>
      <c r="AA189" s="1160"/>
      <c r="AB189" s="1160"/>
      <c r="AC189" s="1160"/>
      <c r="AD189" s="1160"/>
      <c r="AE189" s="1160"/>
      <c r="AF189" s="1160"/>
      <c r="AG189" s="1160"/>
    </row>
    <row r="190" ht="15.0" customHeight="1">
      <c r="A190" s="1209"/>
      <c r="B190" s="1209"/>
      <c r="C190" s="1210"/>
      <c r="D190" s="1160"/>
      <c r="E190" s="1160"/>
      <c r="F190" s="1160"/>
      <c r="G190" s="1160"/>
      <c r="H190" s="1160"/>
      <c r="I190" s="1160"/>
      <c r="J190" s="1160"/>
      <c r="K190" s="1160"/>
      <c r="L190" s="1160"/>
      <c r="M190" s="1160"/>
      <c r="N190" s="1160"/>
      <c r="O190" s="1160"/>
      <c r="P190" s="1160"/>
      <c r="Q190" s="1160"/>
      <c r="R190" s="1160"/>
      <c r="S190" s="1160"/>
      <c r="T190" s="1160"/>
      <c r="U190" s="1160"/>
      <c r="V190" s="1160"/>
      <c r="W190" s="1160"/>
      <c r="X190" s="1160"/>
      <c r="Y190" s="1160"/>
      <c r="Z190" s="1160"/>
      <c r="AA190" s="1160"/>
      <c r="AB190" s="1160"/>
      <c r="AC190" s="1160"/>
      <c r="AD190" s="1160"/>
      <c r="AE190" s="1160"/>
      <c r="AF190" s="1160"/>
      <c r="AG190" s="1160"/>
    </row>
    <row r="191" ht="15.0" customHeight="1">
      <c r="A191" s="1209"/>
      <c r="B191" s="1209"/>
      <c r="C191" s="1210"/>
      <c r="D191" s="1160"/>
      <c r="E191" s="1160"/>
      <c r="F191" s="1160"/>
      <c r="G191" s="1160"/>
      <c r="H191" s="1160"/>
      <c r="I191" s="1160"/>
      <c r="J191" s="1160"/>
      <c r="K191" s="1160"/>
      <c r="L191" s="1160"/>
      <c r="M191" s="1160"/>
      <c r="N191" s="1160"/>
      <c r="O191" s="1160"/>
      <c r="P191" s="1160"/>
      <c r="Q191" s="1160"/>
      <c r="R191" s="1160"/>
      <c r="S191" s="1160"/>
      <c r="T191" s="1160"/>
      <c r="U191" s="1160"/>
      <c r="V191" s="1160"/>
      <c r="W191" s="1160"/>
      <c r="X191" s="1160"/>
      <c r="Y191" s="1160"/>
      <c r="Z191" s="1160"/>
      <c r="AA191" s="1160"/>
      <c r="AB191" s="1160"/>
      <c r="AC191" s="1160"/>
      <c r="AD191" s="1160"/>
      <c r="AE191" s="1160"/>
      <c r="AF191" s="1160"/>
      <c r="AG191" s="1160"/>
    </row>
    <row r="192" ht="15.0" customHeight="1">
      <c r="A192" s="1209"/>
      <c r="B192" s="1209"/>
      <c r="C192" s="1210"/>
      <c r="D192" s="1160"/>
      <c r="E192" s="1160"/>
      <c r="F192" s="1160"/>
      <c r="G192" s="1160"/>
      <c r="H192" s="1160"/>
      <c r="I192" s="1160"/>
      <c r="J192" s="1160"/>
      <c r="K192" s="1160"/>
      <c r="L192" s="1160"/>
      <c r="M192" s="1160"/>
      <c r="N192" s="1160"/>
      <c r="O192" s="1160"/>
      <c r="P192" s="1160"/>
      <c r="Q192" s="1160"/>
      <c r="R192" s="1160"/>
      <c r="S192" s="1160"/>
      <c r="T192" s="1160"/>
      <c r="U192" s="1160"/>
      <c r="V192" s="1160"/>
      <c r="W192" s="1160"/>
      <c r="X192" s="1160"/>
      <c r="Y192" s="1160"/>
      <c r="Z192" s="1160"/>
      <c r="AA192" s="1160"/>
      <c r="AB192" s="1160"/>
      <c r="AC192" s="1160"/>
      <c r="AD192" s="1160"/>
      <c r="AE192" s="1160"/>
      <c r="AF192" s="1160"/>
      <c r="AG192" s="1160"/>
    </row>
    <row r="193" ht="15.0" customHeight="1">
      <c r="A193" s="1209"/>
      <c r="B193" s="1209"/>
      <c r="C193" s="1210"/>
      <c r="D193" s="1160"/>
      <c r="E193" s="1160"/>
      <c r="F193" s="1160"/>
      <c r="G193" s="1160"/>
      <c r="H193" s="1160"/>
      <c r="I193" s="1160"/>
      <c r="J193" s="1160"/>
      <c r="K193" s="1160"/>
      <c r="L193" s="1160"/>
      <c r="M193" s="1160"/>
      <c r="N193" s="1160"/>
      <c r="O193" s="1160"/>
      <c r="P193" s="1160"/>
      <c r="Q193" s="1160"/>
      <c r="R193" s="1160"/>
      <c r="S193" s="1160"/>
      <c r="T193" s="1160"/>
      <c r="U193" s="1160"/>
      <c r="V193" s="1160"/>
      <c r="W193" s="1160"/>
      <c r="X193" s="1160"/>
      <c r="Y193" s="1160"/>
      <c r="Z193" s="1160"/>
      <c r="AA193" s="1160"/>
      <c r="AB193" s="1160"/>
      <c r="AC193" s="1160"/>
      <c r="AD193" s="1160"/>
      <c r="AE193" s="1160"/>
      <c r="AF193" s="1160"/>
      <c r="AG193" s="1160"/>
    </row>
    <row r="194" ht="15.0" customHeight="1">
      <c r="A194" s="1209"/>
      <c r="B194" s="1209"/>
      <c r="C194" s="1210"/>
      <c r="D194" s="1160"/>
      <c r="E194" s="1160"/>
      <c r="F194" s="1160"/>
      <c r="G194" s="1160"/>
      <c r="H194" s="1160"/>
      <c r="I194" s="1160"/>
      <c r="J194" s="1160"/>
      <c r="K194" s="1160"/>
      <c r="L194" s="1160"/>
      <c r="M194" s="1160"/>
      <c r="N194" s="1160"/>
      <c r="O194" s="1160"/>
      <c r="P194" s="1160"/>
      <c r="Q194" s="1160"/>
      <c r="R194" s="1160"/>
      <c r="S194" s="1160"/>
      <c r="T194" s="1160"/>
      <c r="U194" s="1160"/>
      <c r="V194" s="1160"/>
      <c r="W194" s="1160"/>
      <c r="X194" s="1160"/>
      <c r="Y194" s="1160"/>
      <c r="Z194" s="1160"/>
      <c r="AA194" s="1160"/>
      <c r="AB194" s="1160"/>
      <c r="AC194" s="1160"/>
      <c r="AD194" s="1160"/>
      <c r="AE194" s="1160"/>
      <c r="AF194" s="1160"/>
      <c r="AG194" s="1160"/>
    </row>
    <row r="195" ht="15.0" customHeight="1">
      <c r="A195" s="1209"/>
      <c r="B195" s="1209"/>
      <c r="C195" s="1210"/>
      <c r="D195" s="1160"/>
      <c r="E195" s="1160"/>
      <c r="F195" s="1160"/>
      <c r="G195" s="1160"/>
      <c r="H195" s="1160"/>
      <c r="I195" s="1160"/>
      <c r="J195" s="1160"/>
      <c r="K195" s="1160"/>
      <c r="L195" s="1160"/>
      <c r="M195" s="1160"/>
      <c r="N195" s="1160"/>
      <c r="O195" s="1160"/>
      <c r="P195" s="1160"/>
      <c r="Q195" s="1160"/>
      <c r="R195" s="1160"/>
      <c r="S195" s="1160"/>
      <c r="T195" s="1160"/>
      <c r="U195" s="1160"/>
      <c r="V195" s="1160"/>
      <c r="W195" s="1160"/>
      <c r="X195" s="1160"/>
      <c r="Y195" s="1160"/>
      <c r="Z195" s="1160"/>
      <c r="AA195" s="1160"/>
      <c r="AB195" s="1160"/>
      <c r="AC195" s="1160"/>
      <c r="AD195" s="1160"/>
      <c r="AE195" s="1160"/>
      <c r="AF195" s="1160"/>
      <c r="AG195" s="1160"/>
    </row>
    <row r="196" ht="15.0" customHeight="1">
      <c r="A196" s="1209"/>
      <c r="B196" s="1209"/>
      <c r="C196" s="1210"/>
      <c r="D196" s="1160"/>
      <c r="E196" s="1160"/>
      <c r="F196" s="1160"/>
      <c r="G196" s="1160"/>
      <c r="H196" s="1160"/>
      <c r="I196" s="1160"/>
      <c r="J196" s="1160"/>
      <c r="K196" s="1160"/>
      <c r="L196" s="1160"/>
      <c r="M196" s="1160"/>
      <c r="N196" s="1160"/>
      <c r="O196" s="1160"/>
      <c r="P196" s="1160"/>
      <c r="Q196" s="1160"/>
      <c r="R196" s="1160"/>
      <c r="S196" s="1160"/>
      <c r="T196" s="1160"/>
      <c r="U196" s="1160"/>
      <c r="V196" s="1160"/>
      <c r="W196" s="1160"/>
      <c r="X196" s="1160"/>
      <c r="Y196" s="1160"/>
      <c r="Z196" s="1160"/>
      <c r="AA196" s="1160"/>
      <c r="AB196" s="1160"/>
      <c r="AC196" s="1160"/>
      <c r="AD196" s="1160"/>
      <c r="AE196" s="1160"/>
      <c r="AF196" s="1160"/>
      <c r="AG196" s="1160"/>
    </row>
    <row r="197" ht="15.0" customHeight="1">
      <c r="A197" s="1209"/>
      <c r="B197" s="1209"/>
      <c r="C197" s="1210"/>
      <c r="D197" s="1160"/>
      <c r="E197" s="1160"/>
      <c r="F197" s="1160"/>
      <c r="G197" s="1160"/>
      <c r="H197" s="1160"/>
      <c r="I197" s="1160"/>
      <c r="J197" s="1160"/>
      <c r="K197" s="1160"/>
      <c r="L197" s="1160"/>
      <c r="M197" s="1160"/>
      <c r="N197" s="1160"/>
      <c r="O197" s="1160"/>
      <c r="P197" s="1160"/>
      <c r="Q197" s="1160"/>
      <c r="R197" s="1160"/>
      <c r="S197" s="1160"/>
      <c r="T197" s="1160"/>
      <c r="U197" s="1160"/>
      <c r="V197" s="1160"/>
      <c r="W197" s="1160"/>
      <c r="X197" s="1160"/>
      <c r="Y197" s="1160"/>
      <c r="Z197" s="1160"/>
      <c r="AA197" s="1160"/>
      <c r="AB197" s="1160"/>
      <c r="AC197" s="1160"/>
      <c r="AD197" s="1160"/>
      <c r="AE197" s="1160"/>
      <c r="AF197" s="1160"/>
      <c r="AG197" s="1160"/>
    </row>
    <row r="198" ht="15.0" customHeight="1">
      <c r="A198" s="1209"/>
      <c r="B198" s="1209"/>
      <c r="C198" s="1210"/>
      <c r="D198" s="1160"/>
      <c r="E198" s="1160"/>
      <c r="F198" s="1160"/>
      <c r="G198" s="1160"/>
      <c r="H198" s="1160"/>
      <c r="I198" s="1160"/>
      <c r="J198" s="1160"/>
      <c r="K198" s="1160"/>
      <c r="L198" s="1160"/>
      <c r="M198" s="1160"/>
      <c r="N198" s="1160"/>
      <c r="O198" s="1160"/>
      <c r="P198" s="1160"/>
      <c r="Q198" s="1160"/>
      <c r="R198" s="1160"/>
      <c r="S198" s="1160"/>
      <c r="T198" s="1160"/>
      <c r="U198" s="1160"/>
      <c r="V198" s="1160"/>
      <c r="W198" s="1160"/>
      <c r="X198" s="1160"/>
      <c r="Y198" s="1160"/>
      <c r="Z198" s="1160"/>
      <c r="AA198" s="1160"/>
      <c r="AB198" s="1160"/>
      <c r="AC198" s="1160"/>
      <c r="AD198" s="1160"/>
      <c r="AE198" s="1160"/>
      <c r="AF198" s="1160"/>
      <c r="AG198" s="1160"/>
    </row>
    <row r="199" ht="15.0" customHeight="1">
      <c r="A199" s="1209"/>
      <c r="B199" s="1209"/>
      <c r="C199" s="1210"/>
      <c r="D199" s="1160"/>
      <c r="E199" s="1160"/>
      <c r="F199" s="1160"/>
      <c r="G199" s="1160"/>
      <c r="H199" s="1160"/>
      <c r="I199" s="1160"/>
      <c r="J199" s="1160"/>
      <c r="K199" s="1160"/>
      <c r="L199" s="1160"/>
      <c r="M199" s="1160"/>
      <c r="N199" s="1160"/>
      <c r="O199" s="1160"/>
      <c r="P199" s="1160"/>
      <c r="Q199" s="1160"/>
      <c r="R199" s="1160"/>
      <c r="S199" s="1160"/>
      <c r="T199" s="1160"/>
      <c r="U199" s="1160"/>
      <c r="V199" s="1160"/>
      <c r="W199" s="1160"/>
      <c r="X199" s="1160"/>
      <c r="Y199" s="1160"/>
      <c r="Z199" s="1160"/>
      <c r="AA199" s="1160"/>
      <c r="AB199" s="1160"/>
      <c r="AC199" s="1160"/>
      <c r="AD199" s="1160"/>
      <c r="AE199" s="1160"/>
      <c r="AF199" s="1160"/>
      <c r="AG199" s="1160"/>
    </row>
    <row r="200" ht="15.0" customHeight="1">
      <c r="A200" s="1209"/>
      <c r="B200" s="1209"/>
      <c r="C200" s="1210"/>
      <c r="D200" s="1160"/>
      <c r="E200" s="1160"/>
      <c r="F200" s="1160"/>
      <c r="G200" s="1160"/>
      <c r="H200" s="1160"/>
      <c r="I200" s="1160"/>
      <c r="J200" s="1160"/>
      <c r="K200" s="1160"/>
      <c r="L200" s="1160"/>
      <c r="M200" s="1160"/>
      <c r="N200" s="1160"/>
      <c r="O200" s="1160"/>
      <c r="P200" s="1160"/>
      <c r="Q200" s="1160"/>
      <c r="R200" s="1160"/>
      <c r="S200" s="1160"/>
      <c r="T200" s="1160"/>
      <c r="U200" s="1160"/>
      <c r="V200" s="1160"/>
      <c r="W200" s="1160"/>
      <c r="X200" s="1160"/>
      <c r="Y200" s="1160"/>
      <c r="Z200" s="1160"/>
      <c r="AA200" s="1160"/>
      <c r="AB200" s="1160"/>
      <c r="AC200" s="1160"/>
      <c r="AD200" s="1160"/>
      <c r="AE200" s="1160"/>
      <c r="AF200" s="1160"/>
      <c r="AG200" s="1160"/>
    </row>
    <row r="201" ht="15.0" customHeight="1">
      <c r="A201" s="1209"/>
      <c r="B201" s="1209"/>
      <c r="C201" s="1210"/>
      <c r="D201" s="1160"/>
      <c r="E201" s="1160"/>
      <c r="F201" s="1160"/>
      <c r="G201" s="1160"/>
      <c r="H201" s="1160"/>
      <c r="I201" s="1160"/>
      <c r="J201" s="1160"/>
      <c r="K201" s="1160"/>
      <c r="L201" s="1160"/>
      <c r="M201" s="1160"/>
      <c r="N201" s="1160"/>
      <c r="O201" s="1160"/>
      <c r="P201" s="1160"/>
      <c r="Q201" s="1160"/>
      <c r="R201" s="1160"/>
      <c r="S201" s="1160"/>
      <c r="T201" s="1160"/>
      <c r="U201" s="1160"/>
      <c r="V201" s="1160"/>
      <c r="W201" s="1160"/>
      <c r="X201" s="1160"/>
      <c r="Y201" s="1160"/>
      <c r="Z201" s="1160"/>
      <c r="AA201" s="1160"/>
      <c r="AB201" s="1160"/>
      <c r="AC201" s="1160"/>
      <c r="AD201" s="1160"/>
      <c r="AE201" s="1160"/>
      <c r="AF201" s="1160"/>
      <c r="AG201" s="1160"/>
    </row>
    <row r="202" ht="15.0" customHeight="1">
      <c r="A202" s="1209"/>
      <c r="B202" s="1209"/>
      <c r="C202" s="1210"/>
      <c r="D202" s="1160"/>
      <c r="E202" s="1160"/>
      <c r="F202" s="1160"/>
      <c r="G202" s="1160"/>
      <c r="H202" s="1160"/>
      <c r="I202" s="1160"/>
      <c r="J202" s="1160"/>
      <c r="K202" s="1160"/>
      <c r="L202" s="1160"/>
      <c r="M202" s="1160"/>
      <c r="N202" s="1160"/>
      <c r="O202" s="1160"/>
      <c r="P202" s="1160"/>
      <c r="Q202" s="1160"/>
      <c r="R202" s="1160"/>
      <c r="S202" s="1160"/>
      <c r="T202" s="1160"/>
      <c r="U202" s="1160"/>
      <c r="V202" s="1160"/>
      <c r="W202" s="1160"/>
      <c r="X202" s="1160"/>
      <c r="Y202" s="1160"/>
      <c r="Z202" s="1160"/>
      <c r="AA202" s="1160"/>
      <c r="AB202" s="1160"/>
      <c r="AC202" s="1160"/>
      <c r="AD202" s="1160"/>
      <c r="AE202" s="1160"/>
      <c r="AF202" s="1160"/>
      <c r="AG202" s="1160"/>
    </row>
    <row r="203" ht="15.0" customHeight="1">
      <c r="A203" s="1209"/>
      <c r="B203" s="1209"/>
      <c r="C203" s="1210"/>
      <c r="D203" s="1160"/>
      <c r="E203" s="1160"/>
      <c r="F203" s="1160"/>
      <c r="G203" s="1160"/>
      <c r="H203" s="1160"/>
      <c r="I203" s="1160"/>
      <c r="J203" s="1160"/>
      <c r="K203" s="1160"/>
      <c r="L203" s="1160"/>
      <c r="M203" s="1160"/>
      <c r="N203" s="1160"/>
      <c r="O203" s="1160"/>
      <c r="P203" s="1160"/>
      <c r="Q203" s="1160"/>
      <c r="R203" s="1160"/>
      <c r="S203" s="1160"/>
      <c r="T203" s="1160"/>
      <c r="U203" s="1160"/>
      <c r="V203" s="1160"/>
      <c r="W203" s="1160"/>
      <c r="X203" s="1160"/>
      <c r="Y203" s="1160"/>
      <c r="Z203" s="1160"/>
      <c r="AA203" s="1160"/>
      <c r="AB203" s="1160"/>
      <c r="AC203" s="1160"/>
      <c r="AD203" s="1160"/>
      <c r="AE203" s="1160"/>
      <c r="AF203" s="1160"/>
      <c r="AG203" s="1160"/>
    </row>
    <row r="204" ht="15.0" customHeight="1">
      <c r="A204" s="1209"/>
      <c r="B204" s="1209"/>
      <c r="C204" s="1210"/>
      <c r="D204" s="1160"/>
      <c r="E204" s="1160"/>
      <c r="F204" s="1160"/>
      <c r="G204" s="1160"/>
      <c r="H204" s="1160"/>
      <c r="I204" s="1160"/>
      <c r="J204" s="1160"/>
      <c r="K204" s="1160"/>
      <c r="L204" s="1160"/>
      <c r="M204" s="1160"/>
      <c r="N204" s="1160"/>
      <c r="O204" s="1160"/>
      <c r="P204" s="1160"/>
      <c r="Q204" s="1160"/>
      <c r="R204" s="1160"/>
      <c r="S204" s="1160"/>
      <c r="T204" s="1160"/>
      <c r="U204" s="1160"/>
      <c r="V204" s="1160"/>
      <c r="W204" s="1160"/>
      <c r="X204" s="1160"/>
      <c r="Y204" s="1160"/>
      <c r="Z204" s="1160"/>
      <c r="AA204" s="1160"/>
      <c r="AB204" s="1160"/>
      <c r="AC204" s="1160"/>
      <c r="AD204" s="1160"/>
      <c r="AE204" s="1160"/>
      <c r="AF204" s="1160"/>
      <c r="AG204" s="1160"/>
    </row>
    <row r="205" ht="15.0" customHeight="1">
      <c r="A205" s="1209"/>
      <c r="B205" s="1209"/>
      <c r="C205" s="1210"/>
      <c r="D205" s="1160"/>
      <c r="E205" s="1160"/>
      <c r="F205" s="1160"/>
      <c r="G205" s="1160"/>
      <c r="H205" s="1160"/>
      <c r="I205" s="1160"/>
      <c r="J205" s="1160"/>
      <c r="K205" s="1160"/>
      <c r="L205" s="1160"/>
      <c r="M205" s="1160"/>
      <c r="N205" s="1160"/>
      <c r="O205" s="1160"/>
      <c r="P205" s="1160"/>
      <c r="Q205" s="1160"/>
      <c r="R205" s="1160"/>
      <c r="S205" s="1160"/>
      <c r="T205" s="1160"/>
      <c r="U205" s="1160"/>
      <c r="V205" s="1160"/>
      <c r="W205" s="1160"/>
      <c r="X205" s="1160"/>
      <c r="Y205" s="1160"/>
      <c r="Z205" s="1160"/>
      <c r="AA205" s="1160"/>
      <c r="AB205" s="1160"/>
      <c r="AC205" s="1160"/>
      <c r="AD205" s="1160"/>
      <c r="AE205" s="1160"/>
      <c r="AF205" s="1160"/>
      <c r="AG205" s="1160"/>
    </row>
    <row r="206" ht="15.0" customHeight="1">
      <c r="A206" s="1209"/>
      <c r="B206" s="1209"/>
      <c r="C206" s="1210"/>
      <c r="D206" s="1160"/>
      <c r="E206" s="1160"/>
      <c r="F206" s="1160"/>
      <c r="G206" s="1160"/>
      <c r="H206" s="1160"/>
      <c r="I206" s="1160"/>
      <c r="J206" s="1160"/>
      <c r="K206" s="1160"/>
      <c r="L206" s="1160"/>
      <c r="M206" s="1160"/>
      <c r="N206" s="1160"/>
      <c r="O206" s="1160"/>
      <c r="P206" s="1160"/>
      <c r="Q206" s="1160"/>
      <c r="R206" s="1160"/>
      <c r="S206" s="1160"/>
      <c r="T206" s="1160"/>
      <c r="U206" s="1160"/>
      <c r="V206" s="1160"/>
      <c r="W206" s="1160"/>
      <c r="X206" s="1160"/>
      <c r="Y206" s="1160"/>
      <c r="Z206" s="1160"/>
      <c r="AA206" s="1160"/>
      <c r="AB206" s="1160"/>
      <c r="AC206" s="1160"/>
      <c r="AD206" s="1160"/>
      <c r="AE206" s="1160"/>
      <c r="AF206" s="1160"/>
      <c r="AG206" s="1160"/>
    </row>
    <row r="207" ht="15.0" customHeight="1">
      <c r="A207" s="1209"/>
      <c r="B207" s="1209"/>
      <c r="C207" s="1210"/>
      <c r="D207" s="1160"/>
      <c r="E207" s="1160"/>
      <c r="F207" s="1160"/>
      <c r="G207" s="1160"/>
      <c r="H207" s="1160"/>
      <c r="I207" s="1160"/>
      <c r="J207" s="1160"/>
      <c r="K207" s="1160"/>
      <c r="L207" s="1160"/>
      <c r="M207" s="1160"/>
      <c r="N207" s="1160"/>
      <c r="O207" s="1160"/>
      <c r="P207" s="1160"/>
      <c r="Q207" s="1160"/>
      <c r="R207" s="1160"/>
      <c r="S207" s="1160"/>
      <c r="T207" s="1160"/>
      <c r="U207" s="1160"/>
      <c r="V207" s="1160"/>
      <c r="W207" s="1160"/>
      <c r="X207" s="1160"/>
      <c r="Y207" s="1160"/>
      <c r="Z207" s="1160"/>
      <c r="AA207" s="1160"/>
      <c r="AB207" s="1160"/>
      <c r="AC207" s="1160"/>
      <c r="AD207" s="1160"/>
      <c r="AE207" s="1160"/>
      <c r="AF207" s="1160"/>
      <c r="AG207" s="1160"/>
    </row>
    <row r="208" ht="15.0" customHeight="1">
      <c r="A208" s="1209"/>
      <c r="B208" s="1209"/>
      <c r="C208" s="1210"/>
      <c r="D208" s="1160"/>
      <c r="E208" s="1160"/>
      <c r="F208" s="1160"/>
      <c r="G208" s="1160"/>
      <c r="H208" s="1160"/>
      <c r="I208" s="1160"/>
      <c r="J208" s="1160"/>
      <c r="K208" s="1160"/>
      <c r="L208" s="1160"/>
      <c r="M208" s="1160"/>
      <c r="N208" s="1160"/>
      <c r="O208" s="1160"/>
      <c r="P208" s="1160"/>
      <c r="Q208" s="1160"/>
      <c r="R208" s="1160"/>
      <c r="S208" s="1160"/>
      <c r="T208" s="1160"/>
      <c r="U208" s="1160"/>
      <c r="V208" s="1160"/>
      <c r="W208" s="1160"/>
      <c r="X208" s="1160"/>
      <c r="Y208" s="1160"/>
      <c r="Z208" s="1160"/>
      <c r="AA208" s="1160"/>
      <c r="AB208" s="1160"/>
      <c r="AC208" s="1160"/>
      <c r="AD208" s="1160"/>
      <c r="AE208" s="1160"/>
      <c r="AF208" s="1160"/>
      <c r="AG208" s="1160"/>
    </row>
    <row r="209" ht="15.0" customHeight="1">
      <c r="A209" s="1209"/>
      <c r="B209" s="1209"/>
      <c r="C209" s="1210"/>
      <c r="D209" s="1160"/>
      <c r="E209" s="1160"/>
      <c r="F209" s="1160"/>
      <c r="G209" s="1160"/>
      <c r="H209" s="1160"/>
      <c r="I209" s="1160"/>
      <c r="J209" s="1160"/>
      <c r="K209" s="1160"/>
      <c r="L209" s="1160"/>
      <c r="M209" s="1160"/>
      <c r="N209" s="1160"/>
      <c r="O209" s="1160"/>
      <c r="P209" s="1160"/>
      <c r="Q209" s="1160"/>
      <c r="R209" s="1160"/>
      <c r="S209" s="1160"/>
      <c r="T209" s="1160"/>
      <c r="U209" s="1160"/>
      <c r="V209" s="1160"/>
      <c r="W209" s="1160"/>
      <c r="X209" s="1160"/>
      <c r="Y209" s="1160"/>
      <c r="Z209" s="1160"/>
      <c r="AA209" s="1160"/>
      <c r="AB209" s="1160"/>
      <c r="AC209" s="1160"/>
      <c r="AD209" s="1160"/>
      <c r="AE209" s="1160"/>
      <c r="AF209" s="1160"/>
      <c r="AG209" s="1160"/>
    </row>
    <row r="210" ht="15.0" customHeight="1">
      <c r="A210" s="1209"/>
      <c r="B210" s="1209"/>
      <c r="C210" s="1210"/>
      <c r="D210" s="1160"/>
      <c r="E210" s="1160"/>
      <c r="F210" s="1160"/>
      <c r="G210" s="1160"/>
      <c r="H210" s="1160"/>
      <c r="I210" s="1160"/>
      <c r="J210" s="1160"/>
      <c r="K210" s="1160"/>
      <c r="L210" s="1160"/>
      <c r="M210" s="1160"/>
      <c r="N210" s="1160"/>
      <c r="O210" s="1160"/>
      <c r="P210" s="1160"/>
      <c r="Q210" s="1160"/>
      <c r="R210" s="1160"/>
      <c r="S210" s="1160"/>
      <c r="T210" s="1160"/>
      <c r="U210" s="1160"/>
      <c r="V210" s="1160"/>
      <c r="W210" s="1160"/>
      <c r="X210" s="1160"/>
      <c r="Y210" s="1160"/>
      <c r="Z210" s="1160"/>
      <c r="AA210" s="1160"/>
      <c r="AB210" s="1160"/>
      <c r="AC210" s="1160"/>
      <c r="AD210" s="1160"/>
      <c r="AE210" s="1160"/>
      <c r="AF210" s="1160"/>
      <c r="AG210" s="1160"/>
    </row>
    <row r="211" ht="15.0" customHeight="1">
      <c r="A211" s="1209"/>
      <c r="B211" s="1209"/>
      <c r="C211" s="1210"/>
      <c r="D211" s="1160"/>
      <c r="E211" s="1160"/>
      <c r="F211" s="1160"/>
      <c r="G211" s="1160"/>
      <c r="H211" s="1160"/>
      <c r="I211" s="1160"/>
      <c r="J211" s="1160"/>
      <c r="K211" s="1160"/>
      <c r="L211" s="1160"/>
      <c r="M211" s="1160"/>
      <c r="N211" s="1160"/>
      <c r="O211" s="1160"/>
      <c r="P211" s="1160"/>
      <c r="Q211" s="1160"/>
      <c r="R211" s="1160"/>
      <c r="S211" s="1160"/>
      <c r="T211" s="1160"/>
      <c r="U211" s="1160"/>
      <c r="V211" s="1160"/>
      <c r="W211" s="1160"/>
      <c r="X211" s="1160"/>
      <c r="Y211" s="1160"/>
      <c r="Z211" s="1160"/>
      <c r="AA211" s="1160"/>
      <c r="AB211" s="1160"/>
      <c r="AC211" s="1160"/>
      <c r="AD211" s="1160"/>
      <c r="AE211" s="1160"/>
      <c r="AF211" s="1160"/>
      <c r="AG211" s="1160"/>
    </row>
    <row r="212" ht="15.0" customHeight="1">
      <c r="A212" s="1209"/>
      <c r="B212" s="1209"/>
      <c r="C212" s="1210"/>
      <c r="D212" s="1160"/>
      <c r="E212" s="1160"/>
      <c r="F212" s="1160"/>
      <c r="G212" s="1160"/>
      <c r="H212" s="1160"/>
      <c r="I212" s="1160"/>
      <c r="J212" s="1160"/>
      <c r="K212" s="1160"/>
      <c r="L212" s="1160"/>
      <c r="M212" s="1160"/>
      <c r="N212" s="1160"/>
      <c r="O212" s="1160"/>
      <c r="P212" s="1160"/>
      <c r="Q212" s="1160"/>
      <c r="R212" s="1160"/>
      <c r="S212" s="1160"/>
      <c r="T212" s="1160"/>
      <c r="U212" s="1160"/>
      <c r="V212" s="1160"/>
      <c r="W212" s="1160"/>
      <c r="X212" s="1160"/>
      <c r="Y212" s="1160"/>
      <c r="Z212" s="1160"/>
      <c r="AA212" s="1160"/>
      <c r="AB212" s="1160"/>
      <c r="AC212" s="1160"/>
      <c r="AD212" s="1160"/>
      <c r="AE212" s="1160"/>
      <c r="AF212" s="1160"/>
      <c r="AG212" s="1160"/>
    </row>
    <row r="213" ht="15.0" customHeight="1">
      <c r="A213" s="1209"/>
      <c r="B213" s="1209"/>
      <c r="C213" s="1210"/>
      <c r="D213" s="1160"/>
      <c r="E213" s="1160"/>
      <c r="F213" s="1160"/>
      <c r="G213" s="1160"/>
      <c r="H213" s="1160"/>
      <c r="I213" s="1160"/>
      <c r="J213" s="1160"/>
      <c r="K213" s="1160"/>
      <c r="L213" s="1160"/>
      <c r="M213" s="1160"/>
      <c r="N213" s="1160"/>
      <c r="O213" s="1160"/>
      <c r="P213" s="1160"/>
      <c r="Q213" s="1160"/>
      <c r="R213" s="1160"/>
      <c r="S213" s="1160"/>
      <c r="T213" s="1160"/>
      <c r="U213" s="1160"/>
      <c r="V213" s="1160"/>
      <c r="W213" s="1160"/>
      <c r="X213" s="1160"/>
      <c r="Y213" s="1160"/>
      <c r="Z213" s="1160"/>
      <c r="AA213" s="1160"/>
      <c r="AB213" s="1160"/>
      <c r="AC213" s="1160"/>
      <c r="AD213" s="1160"/>
      <c r="AE213" s="1160"/>
      <c r="AF213" s="1160"/>
      <c r="AG213" s="1160"/>
    </row>
    <row r="214" ht="15.0" customHeight="1">
      <c r="A214" s="1209"/>
      <c r="B214" s="1209"/>
      <c r="C214" s="1210"/>
      <c r="D214" s="1160"/>
      <c r="E214" s="1160"/>
      <c r="F214" s="1160"/>
      <c r="G214" s="1160"/>
      <c r="H214" s="1160"/>
      <c r="I214" s="1160"/>
      <c r="J214" s="1160"/>
      <c r="K214" s="1160"/>
      <c r="L214" s="1160"/>
      <c r="M214" s="1160"/>
      <c r="N214" s="1160"/>
      <c r="O214" s="1160"/>
      <c r="P214" s="1160"/>
      <c r="Q214" s="1160"/>
      <c r="R214" s="1160"/>
      <c r="S214" s="1160"/>
      <c r="T214" s="1160"/>
      <c r="U214" s="1160"/>
      <c r="V214" s="1160"/>
      <c r="W214" s="1160"/>
      <c r="X214" s="1160"/>
      <c r="Y214" s="1160"/>
      <c r="Z214" s="1160"/>
      <c r="AA214" s="1160"/>
      <c r="AB214" s="1160"/>
      <c r="AC214" s="1160"/>
      <c r="AD214" s="1160"/>
      <c r="AE214" s="1160"/>
      <c r="AF214" s="1160"/>
      <c r="AG214" s="1160"/>
    </row>
    <row r="215" ht="15.0" customHeight="1">
      <c r="A215" s="1209"/>
      <c r="B215" s="1209"/>
      <c r="C215" s="1210"/>
      <c r="D215" s="1160"/>
      <c r="E215" s="1160"/>
      <c r="F215" s="1160"/>
      <c r="G215" s="1160"/>
      <c r="H215" s="1160"/>
      <c r="I215" s="1160"/>
      <c r="J215" s="1160"/>
      <c r="K215" s="1160"/>
      <c r="L215" s="1160"/>
      <c r="M215" s="1160"/>
      <c r="N215" s="1160"/>
      <c r="O215" s="1160"/>
      <c r="P215" s="1160"/>
      <c r="Q215" s="1160"/>
      <c r="R215" s="1160"/>
      <c r="S215" s="1160"/>
      <c r="T215" s="1160"/>
      <c r="U215" s="1160"/>
      <c r="V215" s="1160"/>
      <c r="W215" s="1160"/>
      <c r="X215" s="1160"/>
      <c r="Y215" s="1160"/>
      <c r="Z215" s="1160"/>
      <c r="AA215" s="1160"/>
      <c r="AB215" s="1160"/>
      <c r="AC215" s="1160"/>
      <c r="AD215" s="1160"/>
      <c r="AE215" s="1160"/>
      <c r="AF215" s="1160"/>
      <c r="AG215" s="1160"/>
    </row>
    <row r="216" ht="15.0" customHeight="1">
      <c r="A216" s="1209"/>
      <c r="B216" s="1209"/>
      <c r="C216" s="1210"/>
      <c r="D216" s="1160"/>
      <c r="E216" s="1160"/>
      <c r="F216" s="1160"/>
      <c r="G216" s="1160"/>
      <c r="H216" s="1160"/>
      <c r="I216" s="1160"/>
      <c r="J216" s="1160"/>
      <c r="K216" s="1160"/>
      <c r="L216" s="1160"/>
      <c r="M216" s="1160"/>
      <c r="N216" s="1160"/>
      <c r="O216" s="1160"/>
      <c r="P216" s="1160"/>
      <c r="Q216" s="1160"/>
      <c r="R216" s="1160"/>
      <c r="S216" s="1160"/>
      <c r="T216" s="1160"/>
      <c r="U216" s="1160"/>
      <c r="V216" s="1160"/>
      <c r="W216" s="1160"/>
      <c r="X216" s="1160"/>
      <c r="Y216" s="1160"/>
      <c r="Z216" s="1160"/>
      <c r="AA216" s="1160"/>
      <c r="AB216" s="1160"/>
      <c r="AC216" s="1160"/>
      <c r="AD216" s="1160"/>
      <c r="AE216" s="1160"/>
      <c r="AF216" s="1160"/>
      <c r="AG216" s="1160"/>
    </row>
    <row r="217" ht="15.0" customHeight="1">
      <c r="A217" s="1209"/>
      <c r="B217" s="1209"/>
      <c r="C217" s="1210"/>
      <c r="D217" s="1160"/>
      <c r="E217" s="1160"/>
      <c r="F217" s="1160"/>
      <c r="G217" s="1160"/>
      <c r="H217" s="1160"/>
      <c r="I217" s="1160"/>
      <c r="J217" s="1160"/>
      <c r="K217" s="1160"/>
      <c r="L217" s="1160"/>
      <c r="M217" s="1160"/>
      <c r="N217" s="1160"/>
      <c r="O217" s="1160"/>
      <c r="P217" s="1160"/>
      <c r="Q217" s="1160"/>
      <c r="R217" s="1160"/>
      <c r="S217" s="1160"/>
      <c r="T217" s="1160"/>
      <c r="U217" s="1160"/>
      <c r="V217" s="1160"/>
      <c r="W217" s="1160"/>
      <c r="X217" s="1160"/>
      <c r="Y217" s="1160"/>
      <c r="Z217" s="1160"/>
      <c r="AA217" s="1160"/>
      <c r="AB217" s="1160"/>
      <c r="AC217" s="1160"/>
      <c r="AD217" s="1160"/>
      <c r="AE217" s="1160"/>
      <c r="AF217" s="1160"/>
      <c r="AG217" s="1160"/>
    </row>
    <row r="218" ht="15.0" customHeight="1">
      <c r="A218" s="1209"/>
      <c r="B218" s="1209"/>
      <c r="C218" s="1210"/>
      <c r="D218" s="1160"/>
      <c r="E218" s="1160"/>
      <c r="F218" s="1160"/>
      <c r="G218" s="1160"/>
      <c r="H218" s="1160"/>
      <c r="I218" s="1160"/>
      <c r="J218" s="1160"/>
      <c r="K218" s="1160"/>
      <c r="L218" s="1160"/>
      <c r="M218" s="1160"/>
      <c r="N218" s="1160"/>
      <c r="O218" s="1160"/>
      <c r="P218" s="1160"/>
      <c r="Q218" s="1160"/>
      <c r="R218" s="1160"/>
      <c r="S218" s="1160"/>
      <c r="T218" s="1160"/>
      <c r="U218" s="1160"/>
      <c r="V218" s="1160"/>
      <c r="W218" s="1160"/>
      <c r="X218" s="1160"/>
      <c r="Y218" s="1160"/>
      <c r="Z218" s="1160"/>
      <c r="AA218" s="1160"/>
      <c r="AB218" s="1160"/>
      <c r="AC218" s="1160"/>
      <c r="AD218" s="1160"/>
      <c r="AE218" s="1160"/>
      <c r="AF218" s="1160"/>
      <c r="AG218" s="1160"/>
    </row>
    <row r="219" ht="15.0" customHeight="1">
      <c r="A219" s="1209"/>
      <c r="B219" s="1209"/>
      <c r="C219" s="1210"/>
      <c r="D219" s="1160"/>
      <c r="E219" s="1160"/>
      <c r="F219" s="1160"/>
      <c r="G219" s="1160"/>
      <c r="H219" s="1160"/>
      <c r="I219" s="1160"/>
      <c r="J219" s="1160"/>
      <c r="K219" s="1160"/>
      <c r="L219" s="1160"/>
      <c r="M219" s="1160"/>
      <c r="N219" s="1160"/>
      <c r="O219" s="1160"/>
      <c r="P219" s="1160"/>
      <c r="Q219" s="1160"/>
      <c r="R219" s="1160"/>
      <c r="S219" s="1160"/>
      <c r="T219" s="1160"/>
      <c r="U219" s="1160"/>
      <c r="V219" s="1160"/>
      <c r="W219" s="1160"/>
      <c r="X219" s="1160"/>
      <c r="Y219" s="1160"/>
      <c r="Z219" s="1160"/>
      <c r="AA219" s="1160"/>
      <c r="AB219" s="1160"/>
      <c r="AC219" s="1160"/>
      <c r="AD219" s="1160"/>
      <c r="AE219" s="1160"/>
      <c r="AF219" s="1160"/>
      <c r="AG219" s="1160"/>
    </row>
    <row r="220" ht="15.0" customHeight="1">
      <c r="A220" s="1209"/>
      <c r="B220" s="1209"/>
      <c r="C220" s="1210"/>
      <c r="D220" s="1160"/>
      <c r="E220" s="1160"/>
      <c r="F220" s="1160"/>
      <c r="G220" s="1160"/>
      <c r="H220" s="1160"/>
      <c r="I220" s="1160"/>
      <c r="J220" s="1160"/>
      <c r="K220" s="1160"/>
      <c r="L220" s="1160"/>
      <c r="M220" s="1160"/>
      <c r="N220" s="1160"/>
      <c r="O220" s="1160"/>
      <c r="P220" s="1160"/>
      <c r="Q220" s="1160"/>
      <c r="R220" s="1160"/>
      <c r="S220" s="1160"/>
      <c r="T220" s="1160"/>
      <c r="U220" s="1160"/>
      <c r="V220" s="1160"/>
      <c r="W220" s="1160"/>
      <c r="X220" s="1160"/>
      <c r="Y220" s="1160"/>
      <c r="Z220" s="1160"/>
      <c r="AA220" s="1160"/>
      <c r="AB220" s="1160"/>
      <c r="AC220" s="1160"/>
      <c r="AD220" s="1160"/>
      <c r="AE220" s="1160"/>
      <c r="AF220" s="1160"/>
      <c r="AG220" s="1160"/>
    </row>
    <row r="221" ht="15.0" customHeight="1">
      <c r="A221" s="1209"/>
      <c r="B221" s="1209"/>
      <c r="C221" s="1210"/>
      <c r="D221" s="1160"/>
      <c r="E221" s="1160"/>
      <c r="F221" s="1160"/>
      <c r="G221" s="1160"/>
      <c r="H221" s="1160"/>
      <c r="I221" s="1160"/>
      <c r="J221" s="1160"/>
      <c r="K221" s="1160"/>
      <c r="L221" s="1160"/>
      <c r="M221" s="1160"/>
      <c r="N221" s="1160"/>
      <c r="O221" s="1160"/>
      <c r="P221" s="1160"/>
      <c r="Q221" s="1160"/>
      <c r="R221" s="1160"/>
      <c r="S221" s="1160"/>
      <c r="T221" s="1160"/>
      <c r="U221" s="1160"/>
      <c r="V221" s="1160"/>
      <c r="W221" s="1160"/>
      <c r="X221" s="1160"/>
      <c r="Y221" s="1160"/>
      <c r="Z221" s="1160"/>
      <c r="AA221" s="1160"/>
      <c r="AB221" s="1160"/>
      <c r="AC221" s="1160"/>
      <c r="AD221" s="1160"/>
      <c r="AE221" s="1160"/>
      <c r="AF221" s="1160"/>
      <c r="AG221" s="1160"/>
    </row>
    <row r="222" ht="15.0" customHeight="1">
      <c r="A222" s="1209"/>
      <c r="B222" s="1209"/>
      <c r="C222" s="1210"/>
      <c r="D222" s="1160"/>
      <c r="E222" s="1160"/>
      <c r="F222" s="1160"/>
      <c r="G222" s="1160"/>
      <c r="H222" s="1160"/>
      <c r="I222" s="1160"/>
      <c r="J222" s="1160"/>
      <c r="K222" s="1160"/>
      <c r="L222" s="1160"/>
      <c r="M222" s="1160"/>
      <c r="N222" s="1160"/>
      <c r="O222" s="1160"/>
      <c r="P222" s="1160"/>
      <c r="Q222" s="1160"/>
      <c r="R222" s="1160"/>
      <c r="S222" s="1160"/>
      <c r="T222" s="1160"/>
      <c r="U222" s="1160"/>
      <c r="V222" s="1160"/>
      <c r="W222" s="1160"/>
      <c r="X222" s="1160"/>
      <c r="Y222" s="1160"/>
      <c r="Z222" s="1160"/>
      <c r="AA222" s="1160"/>
      <c r="AB222" s="1160"/>
      <c r="AC222" s="1160"/>
      <c r="AD222" s="1160"/>
      <c r="AE222" s="1160"/>
      <c r="AF222" s="1160"/>
      <c r="AG222" s="1160"/>
    </row>
    <row r="223" ht="15.0" customHeight="1">
      <c r="A223" s="1209"/>
      <c r="B223" s="1209"/>
      <c r="C223" s="1210"/>
      <c r="D223" s="1160"/>
      <c r="E223" s="1160"/>
      <c r="F223" s="1160"/>
      <c r="G223" s="1160"/>
      <c r="H223" s="1160"/>
      <c r="I223" s="1160"/>
      <c r="J223" s="1160"/>
      <c r="K223" s="1160"/>
      <c r="L223" s="1160"/>
      <c r="M223" s="1160"/>
      <c r="N223" s="1160"/>
      <c r="O223" s="1160"/>
      <c r="P223" s="1160"/>
      <c r="Q223" s="1160"/>
      <c r="R223" s="1160"/>
      <c r="S223" s="1160"/>
      <c r="T223" s="1160"/>
      <c r="U223" s="1160"/>
      <c r="V223" s="1160"/>
      <c r="W223" s="1160"/>
      <c r="X223" s="1160"/>
      <c r="Y223" s="1160"/>
      <c r="Z223" s="1160"/>
      <c r="AA223" s="1160"/>
      <c r="AB223" s="1160"/>
      <c r="AC223" s="1160"/>
      <c r="AD223" s="1160"/>
      <c r="AE223" s="1160"/>
      <c r="AF223" s="1160"/>
      <c r="AG223" s="1160"/>
    </row>
    <row r="224" ht="15.0" customHeight="1">
      <c r="A224" s="1209"/>
      <c r="B224" s="1209"/>
      <c r="C224" s="1210"/>
      <c r="D224" s="1160"/>
      <c r="E224" s="1160"/>
      <c r="F224" s="1160"/>
      <c r="G224" s="1160"/>
      <c r="H224" s="1160"/>
      <c r="I224" s="1160"/>
      <c r="J224" s="1160"/>
      <c r="K224" s="1160"/>
      <c r="L224" s="1160"/>
      <c r="M224" s="1160"/>
      <c r="N224" s="1160"/>
      <c r="O224" s="1160"/>
      <c r="P224" s="1160"/>
      <c r="Q224" s="1160"/>
      <c r="R224" s="1160"/>
      <c r="S224" s="1160"/>
      <c r="T224" s="1160"/>
      <c r="U224" s="1160"/>
      <c r="V224" s="1160"/>
      <c r="W224" s="1160"/>
      <c r="X224" s="1160"/>
      <c r="Y224" s="1160"/>
      <c r="Z224" s="1160"/>
      <c r="AA224" s="1160"/>
      <c r="AB224" s="1160"/>
      <c r="AC224" s="1160"/>
      <c r="AD224" s="1160"/>
      <c r="AE224" s="1160"/>
      <c r="AF224" s="1160"/>
      <c r="AG224" s="1160"/>
    </row>
    <row r="225" ht="15.0" customHeight="1">
      <c r="A225" s="1209"/>
      <c r="B225" s="1209"/>
      <c r="C225" s="1210"/>
      <c r="D225" s="1160"/>
      <c r="E225" s="1160"/>
      <c r="F225" s="1160"/>
      <c r="G225" s="1160"/>
      <c r="H225" s="1160"/>
      <c r="I225" s="1160"/>
      <c r="J225" s="1160"/>
      <c r="K225" s="1160"/>
      <c r="L225" s="1160"/>
      <c r="M225" s="1160"/>
      <c r="N225" s="1160"/>
      <c r="O225" s="1160"/>
      <c r="P225" s="1160"/>
      <c r="Q225" s="1160"/>
      <c r="R225" s="1160"/>
      <c r="S225" s="1160"/>
      <c r="T225" s="1160"/>
      <c r="U225" s="1160"/>
      <c r="V225" s="1160"/>
      <c r="W225" s="1160"/>
      <c r="X225" s="1160"/>
      <c r="Y225" s="1160"/>
      <c r="Z225" s="1160"/>
      <c r="AA225" s="1160"/>
      <c r="AB225" s="1160"/>
      <c r="AC225" s="1160"/>
      <c r="AD225" s="1160"/>
      <c r="AE225" s="1160"/>
      <c r="AF225" s="1160"/>
      <c r="AG225" s="1160"/>
    </row>
    <row r="226" ht="15.0" customHeight="1">
      <c r="A226" s="1209"/>
      <c r="B226" s="1209"/>
      <c r="C226" s="1210"/>
      <c r="D226" s="1160"/>
      <c r="E226" s="1160"/>
      <c r="F226" s="1160"/>
      <c r="G226" s="1160"/>
      <c r="H226" s="1160"/>
      <c r="I226" s="1160"/>
      <c r="J226" s="1160"/>
      <c r="K226" s="1160"/>
      <c r="L226" s="1160"/>
      <c r="M226" s="1160"/>
      <c r="N226" s="1160"/>
      <c r="O226" s="1160"/>
      <c r="P226" s="1160"/>
      <c r="Q226" s="1160"/>
      <c r="R226" s="1160"/>
      <c r="S226" s="1160"/>
      <c r="T226" s="1160"/>
      <c r="U226" s="1160"/>
      <c r="V226" s="1160"/>
      <c r="W226" s="1160"/>
      <c r="X226" s="1160"/>
      <c r="Y226" s="1160"/>
      <c r="Z226" s="1160"/>
      <c r="AA226" s="1160"/>
      <c r="AB226" s="1160"/>
      <c r="AC226" s="1160"/>
      <c r="AD226" s="1160"/>
      <c r="AE226" s="1160"/>
      <c r="AF226" s="1160"/>
      <c r="AG226" s="1160"/>
    </row>
    <row r="227" ht="15.0" customHeight="1">
      <c r="A227" s="1209"/>
      <c r="B227" s="1209"/>
      <c r="C227" s="1210"/>
      <c r="D227" s="1160"/>
      <c r="E227" s="1160"/>
      <c r="F227" s="1160"/>
      <c r="G227" s="1160"/>
      <c r="H227" s="1160"/>
      <c r="I227" s="1160"/>
      <c r="J227" s="1160"/>
      <c r="K227" s="1160"/>
      <c r="L227" s="1160"/>
      <c r="M227" s="1160"/>
      <c r="N227" s="1160"/>
      <c r="O227" s="1160"/>
      <c r="P227" s="1160"/>
      <c r="Q227" s="1160"/>
      <c r="R227" s="1160"/>
      <c r="S227" s="1160"/>
      <c r="T227" s="1160"/>
      <c r="U227" s="1160"/>
      <c r="V227" s="1160"/>
      <c r="W227" s="1160"/>
      <c r="X227" s="1160"/>
      <c r="Y227" s="1160"/>
      <c r="Z227" s="1160"/>
      <c r="AA227" s="1160"/>
      <c r="AB227" s="1160"/>
      <c r="AC227" s="1160"/>
      <c r="AD227" s="1160"/>
      <c r="AE227" s="1160"/>
      <c r="AF227" s="1160"/>
      <c r="AG227" s="1160"/>
    </row>
    <row r="228" ht="15.0" customHeight="1">
      <c r="A228" s="1209"/>
      <c r="B228" s="1209"/>
      <c r="C228" s="1210"/>
      <c r="D228" s="1160"/>
      <c r="E228" s="1160"/>
      <c r="F228" s="1160"/>
      <c r="G228" s="1160"/>
      <c r="H228" s="1160"/>
      <c r="I228" s="1160"/>
      <c r="J228" s="1160"/>
      <c r="K228" s="1160"/>
      <c r="L228" s="1160"/>
      <c r="M228" s="1160"/>
      <c r="N228" s="1160"/>
      <c r="O228" s="1160"/>
      <c r="P228" s="1160"/>
      <c r="Q228" s="1160"/>
      <c r="R228" s="1160"/>
      <c r="S228" s="1160"/>
      <c r="T228" s="1160"/>
      <c r="U228" s="1160"/>
      <c r="V228" s="1160"/>
      <c r="W228" s="1160"/>
      <c r="X228" s="1160"/>
      <c r="Y228" s="1160"/>
      <c r="Z228" s="1160"/>
      <c r="AA228" s="1160"/>
      <c r="AB228" s="1160"/>
      <c r="AC228" s="1160"/>
      <c r="AD228" s="1160"/>
      <c r="AE228" s="1160"/>
      <c r="AF228" s="1160"/>
      <c r="AG228" s="1160"/>
    </row>
    <row r="229" ht="15.0" customHeight="1">
      <c r="A229" s="1209"/>
      <c r="B229" s="1209"/>
      <c r="C229" s="1210"/>
      <c r="D229" s="1160"/>
      <c r="E229" s="1160"/>
      <c r="F229" s="1160"/>
      <c r="G229" s="1160"/>
      <c r="H229" s="1160"/>
      <c r="I229" s="1160"/>
      <c r="J229" s="1160"/>
      <c r="K229" s="1160"/>
      <c r="L229" s="1160"/>
      <c r="M229" s="1160"/>
      <c r="N229" s="1160"/>
      <c r="O229" s="1160"/>
      <c r="P229" s="1160"/>
      <c r="Q229" s="1160"/>
      <c r="R229" s="1160"/>
      <c r="S229" s="1160"/>
      <c r="T229" s="1160"/>
      <c r="U229" s="1160"/>
      <c r="V229" s="1160"/>
      <c r="W229" s="1160"/>
      <c r="X229" s="1160"/>
      <c r="Y229" s="1160"/>
      <c r="Z229" s="1160"/>
      <c r="AA229" s="1160"/>
      <c r="AB229" s="1160"/>
      <c r="AC229" s="1160"/>
      <c r="AD229" s="1160"/>
      <c r="AE229" s="1160"/>
      <c r="AF229" s="1160"/>
      <c r="AG229" s="1160"/>
    </row>
    <row r="230" ht="15.0" customHeight="1">
      <c r="A230" s="1209"/>
      <c r="B230" s="1209"/>
      <c r="C230" s="1210"/>
      <c r="D230" s="1160"/>
      <c r="E230" s="1160"/>
      <c r="F230" s="1160"/>
      <c r="G230" s="1160"/>
      <c r="H230" s="1160"/>
      <c r="I230" s="1160"/>
      <c r="J230" s="1160"/>
      <c r="K230" s="1160"/>
      <c r="L230" s="1160"/>
      <c r="M230" s="1160"/>
      <c r="N230" s="1160"/>
      <c r="O230" s="1160"/>
      <c r="P230" s="1160"/>
      <c r="Q230" s="1160"/>
      <c r="R230" s="1160"/>
      <c r="S230" s="1160"/>
      <c r="T230" s="1160"/>
      <c r="U230" s="1160"/>
      <c r="V230" s="1160"/>
      <c r="W230" s="1160"/>
      <c r="X230" s="1160"/>
      <c r="Y230" s="1160"/>
      <c r="Z230" s="1160"/>
      <c r="AA230" s="1160"/>
      <c r="AB230" s="1160"/>
      <c r="AC230" s="1160"/>
      <c r="AD230" s="1160"/>
      <c r="AE230" s="1160"/>
      <c r="AF230" s="1160"/>
      <c r="AG230" s="1160"/>
    </row>
    <row r="231" ht="15.0" customHeight="1">
      <c r="A231" s="1209"/>
      <c r="B231" s="1209"/>
      <c r="C231" s="1210"/>
      <c r="D231" s="1160"/>
      <c r="E231" s="1160"/>
      <c r="F231" s="1160"/>
      <c r="G231" s="1160"/>
      <c r="H231" s="1160"/>
      <c r="I231" s="1160"/>
      <c r="J231" s="1160"/>
      <c r="K231" s="1160"/>
      <c r="L231" s="1160"/>
      <c r="M231" s="1160"/>
      <c r="N231" s="1160"/>
      <c r="O231" s="1160"/>
      <c r="P231" s="1160"/>
      <c r="Q231" s="1160"/>
      <c r="R231" s="1160"/>
      <c r="S231" s="1160"/>
      <c r="T231" s="1160"/>
      <c r="U231" s="1160"/>
      <c r="V231" s="1160"/>
      <c r="W231" s="1160"/>
      <c r="X231" s="1160"/>
      <c r="Y231" s="1160"/>
      <c r="Z231" s="1160"/>
      <c r="AA231" s="1160"/>
      <c r="AB231" s="1160"/>
      <c r="AC231" s="1160"/>
      <c r="AD231" s="1160"/>
      <c r="AE231" s="1160"/>
      <c r="AF231" s="1160"/>
      <c r="AG231" s="1160"/>
    </row>
    <row r="232" ht="15.0" customHeight="1">
      <c r="A232" s="1209"/>
      <c r="B232" s="1209"/>
      <c r="C232" s="1210"/>
      <c r="D232" s="1160"/>
      <c r="E232" s="1160"/>
      <c r="F232" s="1160"/>
      <c r="G232" s="1160"/>
      <c r="H232" s="1160"/>
      <c r="I232" s="1160"/>
      <c r="J232" s="1160"/>
      <c r="K232" s="1160"/>
      <c r="L232" s="1160"/>
      <c r="M232" s="1160"/>
      <c r="N232" s="1160"/>
      <c r="O232" s="1160"/>
      <c r="P232" s="1160"/>
      <c r="Q232" s="1160"/>
      <c r="R232" s="1160"/>
      <c r="S232" s="1160"/>
      <c r="T232" s="1160"/>
      <c r="U232" s="1160"/>
      <c r="V232" s="1160"/>
      <c r="W232" s="1160"/>
      <c r="X232" s="1160"/>
      <c r="Y232" s="1160"/>
      <c r="Z232" s="1160"/>
      <c r="AA232" s="1160"/>
      <c r="AB232" s="1160"/>
      <c r="AC232" s="1160"/>
      <c r="AD232" s="1160"/>
      <c r="AE232" s="1160"/>
      <c r="AF232" s="1160"/>
      <c r="AG232" s="1160"/>
    </row>
    <row r="233" ht="15.0" customHeight="1">
      <c r="A233" s="1209"/>
      <c r="B233" s="1209"/>
      <c r="C233" s="1210"/>
      <c r="D233" s="1160"/>
      <c r="E233" s="1160"/>
      <c r="F233" s="1160"/>
      <c r="G233" s="1160"/>
      <c r="H233" s="1160"/>
      <c r="I233" s="1160"/>
      <c r="J233" s="1160"/>
      <c r="K233" s="1160"/>
      <c r="L233" s="1160"/>
      <c r="M233" s="1160"/>
      <c r="N233" s="1160"/>
      <c r="O233" s="1160"/>
      <c r="P233" s="1160"/>
      <c r="Q233" s="1160"/>
      <c r="R233" s="1160"/>
      <c r="S233" s="1160"/>
      <c r="T233" s="1160"/>
      <c r="U233" s="1160"/>
      <c r="V233" s="1160"/>
      <c r="W233" s="1160"/>
      <c r="X233" s="1160"/>
      <c r="Y233" s="1160"/>
      <c r="Z233" s="1160"/>
      <c r="AA233" s="1160"/>
      <c r="AB233" s="1160"/>
      <c r="AC233" s="1160"/>
      <c r="AD233" s="1160"/>
      <c r="AE233" s="1160"/>
      <c r="AF233" s="1160"/>
      <c r="AG233" s="1160"/>
    </row>
    <row r="234" ht="15.0" customHeight="1">
      <c r="A234" s="1209"/>
      <c r="B234" s="1209"/>
      <c r="C234" s="1210"/>
      <c r="D234" s="1160"/>
      <c r="E234" s="1160"/>
      <c r="F234" s="1160"/>
      <c r="G234" s="1160"/>
      <c r="H234" s="1160"/>
      <c r="I234" s="1160"/>
      <c r="J234" s="1160"/>
      <c r="K234" s="1160"/>
      <c r="L234" s="1160"/>
      <c r="M234" s="1160"/>
      <c r="N234" s="1160"/>
      <c r="O234" s="1160"/>
      <c r="P234" s="1160"/>
      <c r="Q234" s="1160"/>
      <c r="R234" s="1160"/>
      <c r="S234" s="1160"/>
      <c r="T234" s="1160"/>
      <c r="U234" s="1160"/>
      <c r="V234" s="1160"/>
      <c r="W234" s="1160"/>
      <c r="X234" s="1160"/>
      <c r="Y234" s="1160"/>
      <c r="Z234" s="1160"/>
      <c r="AA234" s="1160"/>
      <c r="AB234" s="1160"/>
      <c r="AC234" s="1160"/>
      <c r="AD234" s="1160"/>
      <c r="AE234" s="1160"/>
      <c r="AF234" s="1160"/>
      <c r="AG234" s="1160"/>
    </row>
    <row r="235" ht="15.0" customHeight="1">
      <c r="A235" s="1209"/>
      <c r="B235" s="1209"/>
      <c r="C235" s="1210"/>
      <c r="D235" s="1160"/>
      <c r="E235" s="1160"/>
      <c r="F235" s="1160"/>
      <c r="G235" s="1160"/>
      <c r="H235" s="1160"/>
      <c r="I235" s="1160"/>
      <c r="J235" s="1160"/>
      <c r="K235" s="1160"/>
      <c r="L235" s="1160"/>
      <c r="M235" s="1160"/>
      <c r="N235" s="1160"/>
      <c r="O235" s="1160"/>
      <c r="P235" s="1160"/>
      <c r="Q235" s="1160"/>
      <c r="R235" s="1160"/>
      <c r="S235" s="1160"/>
      <c r="T235" s="1160"/>
      <c r="U235" s="1160"/>
      <c r="V235" s="1160"/>
      <c r="W235" s="1160"/>
      <c r="X235" s="1160"/>
      <c r="Y235" s="1160"/>
      <c r="Z235" s="1160"/>
      <c r="AA235" s="1160"/>
      <c r="AB235" s="1160"/>
      <c r="AC235" s="1160"/>
      <c r="AD235" s="1160"/>
      <c r="AE235" s="1160"/>
      <c r="AF235" s="1160"/>
      <c r="AG235" s="1160"/>
    </row>
    <row r="236" ht="15.0" customHeight="1">
      <c r="A236" s="1209"/>
      <c r="B236" s="1209"/>
      <c r="C236" s="1210"/>
      <c r="D236" s="1160"/>
      <c r="E236" s="1160"/>
      <c r="F236" s="1160"/>
      <c r="G236" s="1160"/>
      <c r="H236" s="1160"/>
      <c r="I236" s="1160"/>
      <c r="J236" s="1160"/>
      <c r="K236" s="1160"/>
      <c r="L236" s="1160"/>
      <c r="M236" s="1160"/>
      <c r="N236" s="1160"/>
      <c r="O236" s="1160"/>
      <c r="P236" s="1160"/>
      <c r="Q236" s="1160"/>
      <c r="R236" s="1160"/>
      <c r="S236" s="1160"/>
      <c r="T236" s="1160"/>
      <c r="U236" s="1160"/>
      <c r="V236" s="1160"/>
      <c r="W236" s="1160"/>
      <c r="X236" s="1160"/>
      <c r="Y236" s="1160"/>
      <c r="Z236" s="1160"/>
      <c r="AA236" s="1160"/>
      <c r="AB236" s="1160"/>
      <c r="AC236" s="1160"/>
      <c r="AD236" s="1160"/>
      <c r="AE236" s="1160"/>
      <c r="AF236" s="1160"/>
      <c r="AG236" s="1160"/>
    </row>
    <row r="237" ht="15.0" customHeight="1">
      <c r="A237" s="1209"/>
      <c r="B237" s="1209"/>
      <c r="C237" s="1210"/>
      <c r="D237" s="1160"/>
      <c r="E237" s="1160"/>
      <c r="F237" s="1160"/>
      <c r="G237" s="1160"/>
      <c r="H237" s="1160"/>
      <c r="I237" s="1160"/>
      <c r="J237" s="1160"/>
      <c r="K237" s="1160"/>
      <c r="L237" s="1160"/>
      <c r="M237" s="1160"/>
      <c r="N237" s="1160"/>
      <c r="O237" s="1160"/>
      <c r="P237" s="1160"/>
      <c r="Q237" s="1160"/>
      <c r="R237" s="1160"/>
      <c r="S237" s="1160"/>
      <c r="T237" s="1160"/>
      <c r="U237" s="1160"/>
      <c r="V237" s="1160"/>
      <c r="W237" s="1160"/>
      <c r="X237" s="1160"/>
      <c r="Y237" s="1160"/>
      <c r="Z237" s="1160"/>
      <c r="AA237" s="1160"/>
      <c r="AB237" s="1160"/>
      <c r="AC237" s="1160"/>
      <c r="AD237" s="1160"/>
      <c r="AE237" s="1160"/>
      <c r="AF237" s="1160"/>
      <c r="AG237" s="1160"/>
    </row>
    <row r="238" ht="15.0" customHeight="1">
      <c r="A238" s="1209"/>
      <c r="B238" s="1209"/>
      <c r="C238" s="1210"/>
      <c r="D238" s="1160"/>
      <c r="E238" s="1160"/>
      <c r="F238" s="1160"/>
      <c r="G238" s="1160"/>
      <c r="H238" s="1160"/>
      <c r="I238" s="1160"/>
      <c r="J238" s="1160"/>
      <c r="K238" s="1160"/>
      <c r="L238" s="1160"/>
      <c r="M238" s="1160"/>
      <c r="N238" s="1160"/>
      <c r="O238" s="1160"/>
      <c r="P238" s="1160"/>
      <c r="Q238" s="1160"/>
      <c r="R238" s="1160"/>
      <c r="S238" s="1160"/>
      <c r="T238" s="1160"/>
      <c r="U238" s="1160"/>
      <c r="V238" s="1160"/>
      <c r="W238" s="1160"/>
      <c r="X238" s="1160"/>
      <c r="Y238" s="1160"/>
      <c r="Z238" s="1160"/>
      <c r="AA238" s="1160"/>
      <c r="AB238" s="1160"/>
      <c r="AC238" s="1160"/>
      <c r="AD238" s="1160"/>
      <c r="AE238" s="1160"/>
      <c r="AF238" s="1160"/>
      <c r="AG238" s="1160"/>
    </row>
    <row r="239" ht="15.0" customHeight="1">
      <c r="A239" s="1209"/>
      <c r="B239" s="1209"/>
      <c r="C239" s="1210"/>
      <c r="D239" s="1160"/>
      <c r="E239" s="1160"/>
      <c r="F239" s="1160"/>
      <c r="G239" s="1160"/>
      <c r="H239" s="1160"/>
      <c r="I239" s="1160"/>
      <c r="J239" s="1160"/>
      <c r="K239" s="1160"/>
      <c r="L239" s="1160"/>
      <c r="M239" s="1160"/>
      <c r="N239" s="1160"/>
      <c r="O239" s="1160"/>
      <c r="P239" s="1160"/>
      <c r="Q239" s="1160"/>
      <c r="R239" s="1160"/>
      <c r="S239" s="1160"/>
      <c r="T239" s="1160"/>
      <c r="U239" s="1160"/>
      <c r="V239" s="1160"/>
      <c r="W239" s="1160"/>
      <c r="X239" s="1160"/>
      <c r="Y239" s="1160"/>
      <c r="Z239" s="1160"/>
      <c r="AA239" s="1160"/>
      <c r="AB239" s="1160"/>
      <c r="AC239" s="1160"/>
      <c r="AD239" s="1160"/>
      <c r="AE239" s="1160"/>
      <c r="AF239" s="1160"/>
      <c r="AG239" s="1160"/>
    </row>
    <row r="240" ht="15.0" customHeight="1">
      <c r="A240" s="1209"/>
      <c r="B240" s="1209"/>
      <c r="C240" s="1210"/>
      <c r="D240" s="1160"/>
      <c r="E240" s="1160"/>
      <c r="F240" s="1160"/>
      <c r="G240" s="1160"/>
      <c r="H240" s="1160"/>
      <c r="I240" s="1160"/>
      <c r="J240" s="1160"/>
      <c r="K240" s="1160"/>
      <c r="L240" s="1160"/>
      <c r="M240" s="1160"/>
      <c r="N240" s="1160"/>
      <c r="O240" s="1160"/>
      <c r="P240" s="1160"/>
      <c r="Q240" s="1160"/>
      <c r="R240" s="1160"/>
      <c r="S240" s="1160"/>
      <c r="T240" s="1160"/>
      <c r="U240" s="1160"/>
      <c r="V240" s="1160"/>
      <c r="W240" s="1160"/>
      <c r="X240" s="1160"/>
      <c r="Y240" s="1160"/>
      <c r="Z240" s="1160"/>
      <c r="AA240" s="1160"/>
      <c r="AB240" s="1160"/>
      <c r="AC240" s="1160"/>
      <c r="AD240" s="1160"/>
      <c r="AE240" s="1160"/>
      <c r="AF240" s="1160"/>
      <c r="AG240" s="1160"/>
    </row>
    <row r="241" ht="15.0" customHeight="1">
      <c r="A241" s="1209"/>
      <c r="B241" s="1209"/>
      <c r="C241" s="1210"/>
      <c r="D241" s="1160"/>
      <c r="E241" s="1160"/>
      <c r="F241" s="1160"/>
      <c r="G241" s="1160"/>
      <c r="H241" s="1160"/>
      <c r="I241" s="1160"/>
      <c r="J241" s="1160"/>
      <c r="K241" s="1160"/>
      <c r="L241" s="1160"/>
      <c r="M241" s="1160"/>
      <c r="N241" s="1160"/>
      <c r="O241" s="1160"/>
      <c r="P241" s="1160"/>
      <c r="Q241" s="1160"/>
      <c r="R241" s="1160"/>
      <c r="S241" s="1160"/>
      <c r="T241" s="1160"/>
      <c r="U241" s="1160"/>
      <c r="V241" s="1160"/>
      <c r="W241" s="1160"/>
      <c r="X241" s="1160"/>
      <c r="Y241" s="1160"/>
      <c r="Z241" s="1160"/>
      <c r="AA241" s="1160"/>
      <c r="AB241" s="1160"/>
      <c r="AC241" s="1160"/>
      <c r="AD241" s="1160"/>
      <c r="AE241" s="1160"/>
      <c r="AF241" s="1160"/>
      <c r="AG241" s="1160"/>
    </row>
    <row r="242" ht="15.0" customHeight="1">
      <c r="A242" s="1209"/>
      <c r="B242" s="1209"/>
      <c r="C242" s="1210"/>
      <c r="D242" s="1160"/>
      <c r="E242" s="1160"/>
      <c r="F242" s="1160"/>
      <c r="G242" s="1160"/>
      <c r="H242" s="1160"/>
      <c r="I242" s="1160"/>
      <c r="J242" s="1160"/>
      <c r="K242" s="1160"/>
      <c r="L242" s="1160"/>
      <c r="M242" s="1160"/>
      <c r="N242" s="1160"/>
      <c r="O242" s="1160"/>
      <c r="P242" s="1160"/>
      <c r="Q242" s="1160"/>
      <c r="R242" s="1160"/>
      <c r="S242" s="1160"/>
      <c r="T242" s="1160"/>
      <c r="U242" s="1160"/>
      <c r="V242" s="1160"/>
      <c r="W242" s="1160"/>
      <c r="X242" s="1160"/>
      <c r="Y242" s="1160"/>
      <c r="Z242" s="1160"/>
      <c r="AA242" s="1160"/>
      <c r="AB242" s="1160"/>
      <c r="AC242" s="1160"/>
      <c r="AD242" s="1160"/>
      <c r="AE242" s="1160"/>
      <c r="AF242" s="1160"/>
      <c r="AG242" s="1160"/>
    </row>
    <row r="243" ht="15.0" customHeight="1">
      <c r="A243" s="1209"/>
      <c r="B243" s="1209"/>
      <c r="C243" s="1210"/>
      <c r="D243" s="1160"/>
      <c r="E243" s="1160"/>
      <c r="F243" s="1160"/>
      <c r="G243" s="1160"/>
      <c r="H243" s="1160"/>
      <c r="I243" s="1160"/>
      <c r="J243" s="1160"/>
      <c r="K243" s="1160"/>
      <c r="L243" s="1160"/>
      <c r="M243" s="1160"/>
      <c r="N243" s="1160"/>
      <c r="O243" s="1160"/>
      <c r="P243" s="1160"/>
      <c r="Q243" s="1160"/>
      <c r="R243" s="1160"/>
      <c r="S243" s="1160"/>
      <c r="T243" s="1160"/>
      <c r="U243" s="1160"/>
      <c r="V243" s="1160"/>
      <c r="W243" s="1160"/>
      <c r="X243" s="1160"/>
      <c r="Y243" s="1160"/>
      <c r="Z243" s="1160"/>
      <c r="AA243" s="1160"/>
      <c r="AB243" s="1160"/>
      <c r="AC243" s="1160"/>
      <c r="AD243" s="1160"/>
      <c r="AE243" s="1160"/>
      <c r="AF243" s="1160"/>
      <c r="AG243" s="1160"/>
    </row>
    <row r="244" ht="15.0" customHeight="1">
      <c r="A244" s="1209"/>
      <c r="B244" s="1209"/>
      <c r="C244" s="1210"/>
      <c r="D244" s="1160"/>
      <c r="E244" s="1160"/>
      <c r="F244" s="1160"/>
      <c r="G244" s="1160"/>
      <c r="H244" s="1160"/>
      <c r="I244" s="1160"/>
      <c r="J244" s="1160"/>
      <c r="K244" s="1160"/>
      <c r="L244" s="1160"/>
      <c r="M244" s="1160"/>
      <c r="N244" s="1160"/>
      <c r="O244" s="1160"/>
      <c r="P244" s="1160"/>
      <c r="Q244" s="1160"/>
      <c r="R244" s="1160"/>
      <c r="S244" s="1160"/>
      <c r="T244" s="1160"/>
      <c r="U244" s="1160"/>
      <c r="V244" s="1160"/>
      <c r="W244" s="1160"/>
      <c r="X244" s="1160"/>
      <c r="Y244" s="1160"/>
      <c r="Z244" s="1160"/>
      <c r="AA244" s="1160"/>
      <c r="AB244" s="1160"/>
      <c r="AC244" s="1160"/>
      <c r="AD244" s="1160"/>
      <c r="AE244" s="1160"/>
      <c r="AF244" s="1160"/>
      <c r="AG244" s="1160"/>
    </row>
    <row r="245" ht="15.0" customHeight="1">
      <c r="A245" s="1209"/>
      <c r="B245" s="1209"/>
      <c r="C245" s="1210"/>
      <c r="D245" s="1160"/>
      <c r="E245" s="1160"/>
      <c r="F245" s="1160"/>
      <c r="G245" s="1160"/>
      <c r="H245" s="1160"/>
      <c r="I245" s="1160"/>
      <c r="J245" s="1160"/>
      <c r="K245" s="1160"/>
      <c r="L245" s="1160"/>
      <c r="M245" s="1160"/>
      <c r="N245" s="1160"/>
      <c r="O245" s="1160"/>
      <c r="P245" s="1160"/>
      <c r="Q245" s="1160"/>
      <c r="R245" s="1160"/>
      <c r="S245" s="1160"/>
      <c r="T245" s="1160"/>
      <c r="U245" s="1160"/>
      <c r="V245" s="1160"/>
      <c r="W245" s="1160"/>
      <c r="X245" s="1160"/>
      <c r="Y245" s="1160"/>
      <c r="Z245" s="1160"/>
      <c r="AA245" s="1160"/>
      <c r="AB245" s="1160"/>
      <c r="AC245" s="1160"/>
      <c r="AD245" s="1160"/>
      <c r="AE245" s="1160"/>
      <c r="AF245" s="1160"/>
      <c r="AG245" s="1160"/>
    </row>
    <row r="246" ht="15.0" customHeight="1">
      <c r="A246" s="1209"/>
      <c r="B246" s="1209"/>
      <c r="C246" s="1210"/>
      <c r="D246" s="1160"/>
      <c r="E246" s="1160"/>
      <c r="F246" s="1160"/>
      <c r="G246" s="1160"/>
      <c r="H246" s="1160"/>
      <c r="I246" s="1160"/>
      <c r="J246" s="1160"/>
      <c r="K246" s="1160"/>
      <c r="L246" s="1160"/>
      <c r="M246" s="1160"/>
      <c r="N246" s="1160"/>
      <c r="O246" s="1160"/>
      <c r="P246" s="1160"/>
      <c r="Q246" s="1160"/>
      <c r="R246" s="1160"/>
      <c r="S246" s="1160"/>
      <c r="T246" s="1160"/>
      <c r="U246" s="1160"/>
      <c r="V246" s="1160"/>
      <c r="W246" s="1160"/>
      <c r="X246" s="1160"/>
      <c r="Y246" s="1160"/>
      <c r="Z246" s="1160"/>
      <c r="AA246" s="1160"/>
      <c r="AB246" s="1160"/>
      <c r="AC246" s="1160"/>
      <c r="AD246" s="1160"/>
      <c r="AE246" s="1160"/>
      <c r="AF246" s="1160"/>
      <c r="AG246" s="1160"/>
    </row>
    <row r="247" ht="15.0" customHeight="1">
      <c r="A247" s="1209"/>
      <c r="B247" s="1209"/>
      <c r="C247" s="1210"/>
      <c r="D247" s="1160"/>
      <c r="E247" s="1160"/>
      <c r="F247" s="1160"/>
      <c r="G247" s="1160"/>
      <c r="H247" s="1160"/>
      <c r="I247" s="1160"/>
      <c r="J247" s="1160"/>
      <c r="K247" s="1160"/>
      <c r="L247" s="1160"/>
      <c r="M247" s="1160"/>
      <c r="N247" s="1160"/>
      <c r="O247" s="1160"/>
      <c r="P247" s="1160"/>
      <c r="Q247" s="1160"/>
      <c r="R247" s="1160"/>
      <c r="S247" s="1160"/>
      <c r="T247" s="1160"/>
      <c r="U247" s="1160"/>
      <c r="V247" s="1160"/>
      <c r="W247" s="1160"/>
      <c r="X247" s="1160"/>
      <c r="Y247" s="1160"/>
      <c r="Z247" s="1160"/>
      <c r="AA247" s="1160"/>
      <c r="AB247" s="1160"/>
      <c r="AC247" s="1160"/>
      <c r="AD247" s="1160"/>
      <c r="AE247" s="1160"/>
      <c r="AF247" s="1160"/>
      <c r="AG247" s="1160"/>
    </row>
    <row r="248" ht="15.0" customHeight="1">
      <c r="A248" s="1209"/>
      <c r="B248" s="1209"/>
      <c r="C248" s="1210"/>
      <c r="D248" s="1160"/>
      <c r="E248" s="1160"/>
      <c r="F248" s="1160"/>
      <c r="G248" s="1160"/>
      <c r="H248" s="1160"/>
      <c r="I248" s="1160"/>
      <c r="J248" s="1160"/>
      <c r="K248" s="1160"/>
      <c r="L248" s="1160"/>
      <c r="M248" s="1160"/>
      <c r="N248" s="1160"/>
      <c r="O248" s="1160"/>
      <c r="P248" s="1160"/>
      <c r="Q248" s="1160"/>
      <c r="R248" s="1160"/>
      <c r="S248" s="1160"/>
      <c r="T248" s="1160"/>
      <c r="U248" s="1160"/>
      <c r="V248" s="1160"/>
      <c r="W248" s="1160"/>
      <c r="X248" s="1160"/>
      <c r="Y248" s="1160"/>
      <c r="Z248" s="1160"/>
      <c r="AA248" s="1160"/>
      <c r="AB248" s="1160"/>
      <c r="AC248" s="1160"/>
      <c r="AD248" s="1160"/>
      <c r="AE248" s="1160"/>
      <c r="AF248" s="1160"/>
      <c r="AG248" s="1160"/>
    </row>
    <row r="249" ht="15.0" customHeight="1">
      <c r="A249" s="1209"/>
      <c r="B249" s="1209"/>
      <c r="C249" s="1210"/>
      <c r="D249" s="1160"/>
      <c r="E249" s="1160"/>
      <c r="F249" s="1160"/>
      <c r="G249" s="1160"/>
      <c r="H249" s="1160"/>
      <c r="I249" s="1160"/>
      <c r="J249" s="1160"/>
      <c r="K249" s="1160"/>
      <c r="L249" s="1160"/>
      <c r="M249" s="1160"/>
      <c r="N249" s="1160"/>
      <c r="O249" s="1160"/>
      <c r="P249" s="1160"/>
      <c r="Q249" s="1160"/>
      <c r="R249" s="1160"/>
      <c r="S249" s="1160"/>
      <c r="T249" s="1160"/>
      <c r="U249" s="1160"/>
      <c r="V249" s="1160"/>
      <c r="W249" s="1160"/>
      <c r="X249" s="1160"/>
      <c r="Y249" s="1160"/>
      <c r="Z249" s="1160"/>
      <c r="AA249" s="1160"/>
      <c r="AB249" s="1160"/>
      <c r="AC249" s="1160"/>
      <c r="AD249" s="1160"/>
      <c r="AE249" s="1160"/>
      <c r="AF249" s="1160"/>
      <c r="AG249" s="1160"/>
    </row>
    <row r="250" ht="15.0" customHeight="1">
      <c r="A250" s="1209"/>
      <c r="B250" s="1209"/>
      <c r="C250" s="1210"/>
      <c r="D250" s="1160"/>
      <c r="E250" s="1160"/>
      <c r="F250" s="1160"/>
      <c r="G250" s="1160"/>
      <c r="H250" s="1160"/>
      <c r="I250" s="1160"/>
      <c r="J250" s="1160"/>
      <c r="K250" s="1160"/>
      <c r="L250" s="1160"/>
      <c r="M250" s="1160"/>
      <c r="N250" s="1160"/>
      <c r="O250" s="1160"/>
      <c r="P250" s="1160"/>
      <c r="Q250" s="1160"/>
      <c r="R250" s="1160"/>
      <c r="S250" s="1160"/>
      <c r="T250" s="1160"/>
      <c r="U250" s="1160"/>
      <c r="V250" s="1160"/>
      <c r="W250" s="1160"/>
      <c r="X250" s="1160"/>
      <c r="Y250" s="1160"/>
      <c r="Z250" s="1160"/>
      <c r="AA250" s="1160"/>
      <c r="AB250" s="1160"/>
      <c r="AC250" s="1160"/>
      <c r="AD250" s="1160"/>
      <c r="AE250" s="1160"/>
      <c r="AF250" s="1160"/>
      <c r="AG250" s="1160"/>
    </row>
    <row r="251" ht="15.0" customHeight="1">
      <c r="A251" s="1209"/>
      <c r="B251" s="1209"/>
      <c r="C251" s="1210"/>
      <c r="D251" s="1160"/>
      <c r="E251" s="1160"/>
      <c r="F251" s="1160"/>
      <c r="G251" s="1160"/>
      <c r="H251" s="1160"/>
      <c r="I251" s="1160"/>
      <c r="J251" s="1160"/>
      <c r="K251" s="1160"/>
      <c r="L251" s="1160"/>
      <c r="M251" s="1160"/>
      <c r="N251" s="1160"/>
      <c r="O251" s="1160"/>
      <c r="P251" s="1160"/>
      <c r="Q251" s="1160"/>
      <c r="R251" s="1160"/>
      <c r="S251" s="1160"/>
      <c r="T251" s="1160"/>
      <c r="U251" s="1160"/>
      <c r="V251" s="1160"/>
      <c r="W251" s="1160"/>
      <c r="X251" s="1160"/>
      <c r="Y251" s="1160"/>
      <c r="Z251" s="1160"/>
      <c r="AA251" s="1160"/>
      <c r="AB251" s="1160"/>
      <c r="AC251" s="1160"/>
      <c r="AD251" s="1160"/>
      <c r="AE251" s="1160"/>
      <c r="AF251" s="1160"/>
      <c r="AG251" s="1160"/>
    </row>
    <row r="252" ht="15.0" customHeight="1">
      <c r="A252" s="1209"/>
      <c r="B252" s="1209"/>
      <c r="C252" s="1210"/>
      <c r="D252" s="1160"/>
      <c r="E252" s="1160"/>
      <c r="F252" s="1160"/>
      <c r="G252" s="1160"/>
      <c r="H252" s="1160"/>
      <c r="I252" s="1160"/>
      <c r="J252" s="1160"/>
      <c r="K252" s="1160"/>
      <c r="L252" s="1160"/>
      <c r="M252" s="1160"/>
      <c r="N252" s="1160"/>
      <c r="O252" s="1160"/>
      <c r="P252" s="1160"/>
      <c r="Q252" s="1160"/>
      <c r="R252" s="1160"/>
      <c r="S252" s="1160"/>
      <c r="T252" s="1160"/>
      <c r="U252" s="1160"/>
      <c r="V252" s="1160"/>
      <c r="W252" s="1160"/>
      <c r="X252" s="1160"/>
      <c r="Y252" s="1160"/>
      <c r="Z252" s="1160"/>
      <c r="AA252" s="1160"/>
      <c r="AB252" s="1160"/>
      <c r="AC252" s="1160"/>
      <c r="AD252" s="1160"/>
      <c r="AE252" s="1160"/>
      <c r="AF252" s="1160"/>
      <c r="AG252" s="1160"/>
    </row>
    <row r="253" ht="15.0" customHeight="1">
      <c r="A253" s="1209"/>
      <c r="B253" s="1209"/>
      <c r="C253" s="1210"/>
      <c r="D253" s="1160"/>
      <c r="E253" s="1160"/>
      <c r="F253" s="1160"/>
      <c r="G253" s="1160"/>
      <c r="H253" s="1160"/>
      <c r="I253" s="1160"/>
      <c r="J253" s="1160"/>
      <c r="K253" s="1160"/>
      <c r="L253" s="1160"/>
      <c r="M253" s="1160"/>
      <c r="N253" s="1160"/>
      <c r="O253" s="1160"/>
      <c r="P253" s="1160"/>
      <c r="Q253" s="1160"/>
      <c r="R253" s="1160"/>
      <c r="S253" s="1160"/>
      <c r="T253" s="1160"/>
      <c r="U253" s="1160"/>
      <c r="V253" s="1160"/>
      <c r="W253" s="1160"/>
      <c r="X253" s="1160"/>
      <c r="Y253" s="1160"/>
      <c r="Z253" s="1160"/>
      <c r="AA253" s="1160"/>
      <c r="AB253" s="1160"/>
      <c r="AC253" s="1160"/>
      <c r="AD253" s="1160"/>
      <c r="AE253" s="1160"/>
      <c r="AF253" s="1160"/>
      <c r="AG253" s="1160"/>
    </row>
    <row r="254" ht="15.0" customHeight="1">
      <c r="A254" s="1209"/>
      <c r="B254" s="1209"/>
      <c r="C254" s="1210"/>
      <c r="D254" s="1160"/>
      <c r="E254" s="1160"/>
      <c r="F254" s="1160"/>
      <c r="G254" s="1160"/>
      <c r="H254" s="1160"/>
      <c r="I254" s="1160"/>
      <c r="J254" s="1160"/>
      <c r="K254" s="1160"/>
      <c r="L254" s="1160"/>
      <c r="M254" s="1160"/>
      <c r="N254" s="1160"/>
      <c r="O254" s="1160"/>
      <c r="P254" s="1160"/>
      <c r="Q254" s="1160"/>
      <c r="R254" s="1160"/>
      <c r="S254" s="1160"/>
      <c r="T254" s="1160"/>
      <c r="U254" s="1160"/>
      <c r="V254" s="1160"/>
      <c r="W254" s="1160"/>
      <c r="X254" s="1160"/>
      <c r="Y254" s="1160"/>
      <c r="Z254" s="1160"/>
      <c r="AA254" s="1160"/>
      <c r="AB254" s="1160"/>
      <c r="AC254" s="1160"/>
      <c r="AD254" s="1160"/>
      <c r="AE254" s="1160"/>
      <c r="AF254" s="1160"/>
      <c r="AG254" s="1160"/>
    </row>
    <row r="255" ht="15.0" customHeight="1">
      <c r="A255" s="1209"/>
      <c r="B255" s="1209"/>
      <c r="C255" s="1210"/>
      <c r="D255" s="1160"/>
      <c r="E255" s="1160"/>
      <c r="F255" s="1160"/>
      <c r="G255" s="1160"/>
      <c r="H255" s="1160"/>
      <c r="I255" s="1160"/>
      <c r="J255" s="1160"/>
      <c r="K255" s="1160"/>
      <c r="L255" s="1160"/>
      <c r="M255" s="1160"/>
      <c r="N255" s="1160"/>
      <c r="O255" s="1160"/>
      <c r="P255" s="1160"/>
      <c r="Q255" s="1160"/>
      <c r="R255" s="1160"/>
      <c r="S255" s="1160"/>
      <c r="T255" s="1160"/>
      <c r="U255" s="1160"/>
      <c r="V255" s="1160"/>
      <c r="W255" s="1160"/>
      <c r="X255" s="1160"/>
      <c r="Y255" s="1160"/>
      <c r="Z255" s="1160"/>
      <c r="AA255" s="1160"/>
      <c r="AB255" s="1160"/>
      <c r="AC255" s="1160"/>
      <c r="AD255" s="1160"/>
      <c r="AE255" s="1160"/>
      <c r="AF255" s="1160"/>
      <c r="AG255" s="1160"/>
    </row>
    <row r="256" ht="15.0" customHeight="1">
      <c r="A256" s="1209"/>
      <c r="B256" s="1209"/>
      <c r="C256" s="1210"/>
      <c r="D256" s="1160"/>
      <c r="E256" s="1160"/>
      <c r="F256" s="1160"/>
      <c r="G256" s="1160"/>
      <c r="H256" s="1160"/>
      <c r="I256" s="1160"/>
      <c r="J256" s="1160"/>
      <c r="K256" s="1160"/>
      <c r="L256" s="1160"/>
      <c r="M256" s="1160"/>
      <c r="N256" s="1160"/>
      <c r="O256" s="1160"/>
      <c r="P256" s="1160"/>
      <c r="Q256" s="1160"/>
      <c r="R256" s="1160"/>
      <c r="S256" s="1160"/>
      <c r="T256" s="1160"/>
      <c r="U256" s="1160"/>
      <c r="V256" s="1160"/>
      <c r="W256" s="1160"/>
      <c r="X256" s="1160"/>
      <c r="Y256" s="1160"/>
      <c r="Z256" s="1160"/>
      <c r="AA256" s="1160"/>
      <c r="AB256" s="1160"/>
      <c r="AC256" s="1160"/>
      <c r="AD256" s="1160"/>
      <c r="AE256" s="1160"/>
      <c r="AF256" s="1160"/>
      <c r="AG256" s="1160"/>
    </row>
    <row r="257" ht="15.0" customHeight="1">
      <c r="A257" s="1209"/>
      <c r="B257" s="1209"/>
      <c r="C257" s="1210"/>
      <c r="D257" s="1160"/>
      <c r="E257" s="1160"/>
      <c r="F257" s="1160"/>
      <c r="G257" s="1160"/>
      <c r="H257" s="1160"/>
      <c r="I257" s="1160"/>
      <c r="J257" s="1160"/>
      <c r="K257" s="1160"/>
      <c r="L257" s="1160"/>
      <c r="M257" s="1160"/>
      <c r="N257" s="1160"/>
      <c r="O257" s="1160"/>
      <c r="P257" s="1160"/>
      <c r="Q257" s="1160"/>
      <c r="R257" s="1160"/>
      <c r="S257" s="1160"/>
      <c r="T257" s="1160"/>
      <c r="U257" s="1160"/>
      <c r="V257" s="1160"/>
      <c r="W257" s="1160"/>
      <c r="X257" s="1160"/>
      <c r="Y257" s="1160"/>
      <c r="Z257" s="1160"/>
      <c r="AA257" s="1160"/>
      <c r="AB257" s="1160"/>
      <c r="AC257" s="1160"/>
      <c r="AD257" s="1160"/>
      <c r="AE257" s="1160"/>
      <c r="AF257" s="1160"/>
      <c r="AG257" s="1160"/>
    </row>
    <row r="258" ht="15.0" customHeight="1">
      <c r="A258" s="1209"/>
      <c r="B258" s="1209"/>
      <c r="C258" s="1210"/>
      <c r="D258" s="1160"/>
      <c r="E258" s="1160"/>
      <c r="F258" s="1160"/>
      <c r="G258" s="1160"/>
      <c r="H258" s="1160"/>
      <c r="I258" s="1160"/>
      <c r="J258" s="1160"/>
      <c r="K258" s="1160"/>
      <c r="L258" s="1160"/>
      <c r="M258" s="1160"/>
      <c r="N258" s="1160"/>
      <c r="O258" s="1160"/>
      <c r="P258" s="1160"/>
      <c r="Q258" s="1160"/>
      <c r="R258" s="1160"/>
      <c r="S258" s="1160"/>
      <c r="T258" s="1160"/>
      <c r="U258" s="1160"/>
      <c r="V258" s="1160"/>
      <c r="W258" s="1160"/>
      <c r="X258" s="1160"/>
      <c r="Y258" s="1160"/>
      <c r="Z258" s="1160"/>
      <c r="AA258" s="1160"/>
      <c r="AB258" s="1160"/>
      <c r="AC258" s="1160"/>
      <c r="AD258" s="1160"/>
      <c r="AE258" s="1160"/>
      <c r="AF258" s="1160"/>
      <c r="AG258" s="1160"/>
    </row>
    <row r="259" ht="15.0" customHeight="1">
      <c r="A259" s="1209"/>
      <c r="B259" s="1209"/>
      <c r="C259" s="1210"/>
      <c r="D259" s="1160"/>
      <c r="E259" s="1160"/>
      <c r="F259" s="1160"/>
      <c r="G259" s="1160"/>
      <c r="H259" s="1160"/>
      <c r="I259" s="1160"/>
      <c r="J259" s="1160"/>
      <c r="K259" s="1160"/>
      <c r="L259" s="1160"/>
      <c r="M259" s="1160"/>
      <c r="N259" s="1160"/>
      <c r="O259" s="1160"/>
      <c r="P259" s="1160"/>
      <c r="Q259" s="1160"/>
      <c r="R259" s="1160"/>
      <c r="S259" s="1160"/>
      <c r="T259" s="1160"/>
      <c r="U259" s="1160"/>
      <c r="V259" s="1160"/>
      <c r="W259" s="1160"/>
      <c r="X259" s="1160"/>
      <c r="Y259" s="1160"/>
      <c r="Z259" s="1160"/>
      <c r="AA259" s="1160"/>
      <c r="AB259" s="1160"/>
      <c r="AC259" s="1160"/>
      <c r="AD259" s="1160"/>
      <c r="AE259" s="1160"/>
      <c r="AF259" s="1160"/>
      <c r="AG259" s="1160"/>
    </row>
    <row r="260" ht="15.0" customHeight="1">
      <c r="A260" s="1209"/>
      <c r="B260" s="1209"/>
      <c r="C260" s="1210"/>
      <c r="D260" s="1160"/>
      <c r="E260" s="1160"/>
      <c r="F260" s="1160"/>
      <c r="G260" s="1160"/>
      <c r="H260" s="1160"/>
      <c r="I260" s="1160"/>
      <c r="J260" s="1160"/>
      <c r="K260" s="1160"/>
      <c r="L260" s="1160"/>
      <c r="M260" s="1160"/>
      <c r="N260" s="1160"/>
      <c r="O260" s="1160"/>
      <c r="P260" s="1160"/>
      <c r="Q260" s="1160"/>
      <c r="R260" s="1160"/>
      <c r="S260" s="1160"/>
      <c r="T260" s="1160"/>
      <c r="U260" s="1160"/>
      <c r="V260" s="1160"/>
      <c r="W260" s="1160"/>
      <c r="X260" s="1160"/>
      <c r="Y260" s="1160"/>
      <c r="Z260" s="1160"/>
      <c r="AA260" s="1160"/>
      <c r="AB260" s="1160"/>
      <c r="AC260" s="1160"/>
      <c r="AD260" s="1160"/>
      <c r="AE260" s="1160"/>
      <c r="AF260" s="1160"/>
      <c r="AG260" s="1160"/>
    </row>
    <row r="261" ht="15.0" customHeight="1">
      <c r="A261" s="1209"/>
      <c r="B261" s="1209"/>
      <c r="C261" s="1210"/>
      <c r="D261" s="1160"/>
      <c r="E261" s="1160"/>
      <c r="F261" s="1160"/>
      <c r="G261" s="1160"/>
      <c r="H261" s="1160"/>
      <c r="I261" s="1160"/>
      <c r="J261" s="1160"/>
      <c r="K261" s="1160"/>
      <c r="L261" s="1160"/>
      <c r="M261" s="1160"/>
      <c r="N261" s="1160"/>
      <c r="O261" s="1160"/>
      <c r="P261" s="1160"/>
      <c r="Q261" s="1160"/>
      <c r="R261" s="1160"/>
      <c r="S261" s="1160"/>
      <c r="T261" s="1160"/>
      <c r="U261" s="1160"/>
      <c r="V261" s="1160"/>
      <c r="W261" s="1160"/>
      <c r="X261" s="1160"/>
      <c r="Y261" s="1160"/>
      <c r="Z261" s="1160"/>
      <c r="AA261" s="1160"/>
      <c r="AB261" s="1160"/>
      <c r="AC261" s="1160"/>
      <c r="AD261" s="1160"/>
      <c r="AE261" s="1160"/>
      <c r="AF261" s="1160"/>
      <c r="AG261" s="1160"/>
    </row>
    <row r="262" ht="15.0" customHeight="1">
      <c r="A262" s="1209"/>
      <c r="B262" s="1209"/>
      <c r="C262" s="1210"/>
      <c r="D262" s="1160"/>
      <c r="E262" s="1160"/>
      <c r="F262" s="1160"/>
      <c r="G262" s="1160"/>
      <c r="H262" s="1160"/>
      <c r="I262" s="1160"/>
      <c r="J262" s="1160"/>
      <c r="K262" s="1160"/>
      <c r="L262" s="1160"/>
      <c r="M262" s="1160"/>
      <c r="N262" s="1160"/>
      <c r="O262" s="1160"/>
      <c r="P262" s="1160"/>
      <c r="Q262" s="1160"/>
      <c r="R262" s="1160"/>
      <c r="S262" s="1160"/>
      <c r="T262" s="1160"/>
      <c r="U262" s="1160"/>
      <c r="V262" s="1160"/>
      <c r="W262" s="1160"/>
      <c r="X262" s="1160"/>
      <c r="Y262" s="1160"/>
      <c r="Z262" s="1160"/>
      <c r="AA262" s="1160"/>
      <c r="AB262" s="1160"/>
      <c r="AC262" s="1160"/>
      <c r="AD262" s="1160"/>
      <c r="AE262" s="1160"/>
      <c r="AF262" s="1160"/>
      <c r="AG262" s="1160"/>
    </row>
    <row r="263" ht="15.0" customHeight="1">
      <c r="A263" s="1209"/>
      <c r="B263" s="1209"/>
      <c r="C263" s="1210"/>
      <c r="D263" s="1160"/>
      <c r="E263" s="1160"/>
      <c r="F263" s="1160"/>
      <c r="G263" s="1160"/>
      <c r="H263" s="1160"/>
      <c r="I263" s="1160"/>
      <c r="J263" s="1160"/>
      <c r="K263" s="1160"/>
      <c r="L263" s="1160"/>
      <c r="M263" s="1160"/>
      <c r="N263" s="1160"/>
      <c r="O263" s="1160"/>
      <c r="P263" s="1160"/>
      <c r="Q263" s="1160"/>
      <c r="R263" s="1160"/>
      <c r="S263" s="1160"/>
      <c r="T263" s="1160"/>
      <c r="U263" s="1160"/>
      <c r="V263" s="1160"/>
      <c r="W263" s="1160"/>
      <c r="X263" s="1160"/>
      <c r="Y263" s="1160"/>
      <c r="Z263" s="1160"/>
      <c r="AA263" s="1160"/>
      <c r="AB263" s="1160"/>
      <c r="AC263" s="1160"/>
      <c r="AD263" s="1160"/>
      <c r="AE263" s="1160"/>
      <c r="AF263" s="1160"/>
      <c r="AG263" s="1160"/>
    </row>
    <row r="264" ht="15.0" customHeight="1">
      <c r="A264" s="1209"/>
      <c r="B264" s="1209"/>
      <c r="C264" s="1210"/>
      <c r="D264" s="1160"/>
      <c r="E264" s="1160"/>
      <c r="F264" s="1160"/>
      <c r="G264" s="1160"/>
      <c r="H264" s="1160"/>
      <c r="I264" s="1160"/>
      <c r="J264" s="1160"/>
      <c r="K264" s="1160"/>
      <c r="L264" s="1160"/>
      <c r="M264" s="1160"/>
      <c r="N264" s="1160"/>
      <c r="O264" s="1160"/>
      <c r="P264" s="1160"/>
      <c r="Q264" s="1160"/>
      <c r="R264" s="1160"/>
      <c r="S264" s="1160"/>
      <c r="T264" s="1160"/>
      <c r="U264" s="1160"/>
      <c r="V264" s="1160"/>
      <c r="W264" s="1160"/>
      <c r="X264" s="1160"/>
      <c r="Y264" s="1160"/>
      <c r="Z264" s="1160"/>
      <c r="AA264" s="1160"/>
      <c r="AB264" s="1160"/>
      <c r="AC264" s="1160"/>
      <c r="AD264" s="1160"/>
      <c r="AE264" s="1160"/>
      <c r="AF264" s="1160"/>
      <c r="AG264" s="1160"/>
    </row>
    <row r="265" ht="15.0" customHeight="1">
      <c r="A265" s="1209"/>
      <c r="B265" s="1209"/>
      <c r="C265" s="1210"/>
      <c r="D265" s="1160"/>
      <c r="E265" s="1160"/>
      <c r="F265" s="1160"/>
      <c r="G265" s="1160"/>
      <c r="H265" s="1160"/>
      <c r="I265" s="1160"/>
      <c r="J265" s="1160"/>
      <c r="K265" s="1160"/>
      <c r="L265" s="1160"/>
      <c r="M265" s="1160"/>
      <c r="N265" s="1160"/>
      <c r="O265" s="1160"/>
      <c r="P265" s="1160"/>
      <c r="Q265" s="1160"/>
      <c r="R265" s="1160"/>
      <c r="S265" s="1160"/>
      <c r="T265" s="1160"/>
      <c r="U265" s="1160"/>
      <c r="V265" s="1160"/>
      <c r="W265" s="1160"/>
      <c r="X265" s="1160"/>
      <c r="Y265" s="1160"/>
      <c r="Z265" s="1160"/>
      <c r="AA265" s="1160"/>
      <c r="AB265" s="1160"/>
      <c r="AC265" s="1160"/>
      <c r="AD265" s="1160"/>
      <c r="AE265" s="1160"/>
      <c r="AF265" s="1160"/>
      <c r="AG265" s="1160"/>
    </row>
    <row r="266" ht="15.0" customHeight="1">
      <c r="A266" s="1209"/>
      <c r="B266" s="1209"/>
      <c r="C266" s="1210"/>
      <c r="D266" s="1160"/>
      <c r="E266" s="1160"/>
      <c r="F266" s="1160"/>
      <c r="G266" s="1160"/>
      <c r="H266" s="1160"/>
      <c r="I266" s="1160"/>
      <c r="J266" s="1160"/>
      <c r="K266" s="1160"/>
      <c r="L266" s="1160"/>
      <c r="M266" s="1160"/>
      <c r="N266" s="1160"/>
      <c r="O266" s="1160"/>
      <c r="P266" s="1160"/>
      <c r="Q266" s="1160"/>
      <c r="R266" s="1160"/>
      <c r="S266" s="1160"/>
      <c r="T266" s="1160"/>
      <c r="U266" s="1160"/>
      <c r="V266" s="1160"/>
      <c r="W266" s="1160"/>
      <c r="X266" s="1160"/>
      <c r="Y266" s="1160"/>
      <c r="Z266" s="1160"/>
      <c r="AA266" s="1160"/>
      <c r="AB266" s="1160"/>
      <c r="AC266" s="1160"/>
      <c r="AD266" s="1160"/>
      <c r="AE266" s="1160"/>
      <c r="AF266" s="1160"/>
      <c r="AG266" s="1160"/>
    </row>
    <row r="267" ht="15.0" customHeight="1">
      <c r="A267" s="1209"/>
      <c r="B267" s="1209"/>
      <c r="C267" s="1210"/>
      <c r="D267" s="1160"/>
      <c r="E267" s="1160"/>
      <c r="F267" s="1160"/>
      <c r="G267" s="1160"/>
      <c r="H267" s="1160"/>
      <c r="I267" s="1160"/>
      <c r="J267" s="1160"/>
      <c r="K267" s="1160"/>
      <c r="L267" s="1160"/>
      <c r="M267" s="1160"/>
      <c r="N267" s="1160"/>
      <c r="O267" s="1160"/>
      <c r="P267" s="1160"/>
      <c r="Q267" s="1160"/>
      <c r="R267" s="1160"/>
      <c r="S267" s="1160"/>
      <c r="T267" s="1160"/>
      <c r="U267" s="1160"/>
      <c r="V267" s="1160"/>
      <c r="W267" s="1160"/>
      <c r="X267" s="1160"/>
      <c r="Y267" s="1160"/>
      <c r="Z267" s="1160"/>
      <c r="AA267" s="1160"/>
      <c r="AB267" s="1160"/>
      <c r="AC267" s="1160"/>
      <c r="AD267" s="1160"/>
      <c r="AE267" s="1160"/>
      <c r="AF267" s="1160"/>
      <c r="AG267" s="1160"/>
    </row>
    <row r="268" ht="15.0" customHeight="1">
      <c r="A268" s="1209"/>
      <c r="B268" s="1209"/>
      <c r="C268" s="1210"/>
      <c r="D268" s="1160"/>
      <c r="E268" s="1160"/>
      <c r="F268" s="1160"/>
      <c r="G268" s="1160"/>
      <c r="H268" s="1160"/>
      <c r="I268" s="1160"/>
      <c r="J268" s="1160"/>
      <c r="K268" s="1160"/>
      <c r="L268" s="1160"/>
      <c r="M268" s="1160"/>
      <c r="N268" s="1160"/>
      <c r="O268" s="1160"/>
      <c r="P268" s="1160"/>
      <c r="Q268" s="1160"/>
      <c r="R268" s="1160"/>
      <c r="S268" s="1160"/>
      <c r="T268" s="1160"/>
      <c r="U268" s="1160"/>
      <c r="V268" s="1160"/>
      <c r="W268" s="1160"/>
      <c r="X268" s="1160"/>
      <c r="Y268" s="1160"/>
      <c r="Z268" s="1160"/>
      <c r="AA268" s="1160"/>
      <c r="AB268" s="1160"/>
      <c r="AC268" s="1160"/>
      <c r="AD268" s="1160"/>
      <c r="AE268" s="1160"/>
      <c r="AF268" s="1160"/>
      <c r="AG268" s="1160"/>
    </row>
    <row r="269" ht="15.0" customHeight="1">
      <c r="A269" s="1209"/>
      <c r="B269" s="1209"/>
      <c r="C269" s="1210"/>
      <c r="D269" s="1160"/>
      <c r="E269" s="1160"/>
      <c r="F269" s="1160"/>
      <c r="G269" s="1160"/>
      <c r="H269" s="1160"/>
      <c r="I269" s="1160"/>
      <c r="J269" s="1160"/>
      <c r="K269" s="1160"/>
      <c r="L269" s="1160"/>
      <c r="M269" s="1160"/>
      <c r="N269" s="1160"/>
      <c r="O269" s="1160"/>
      <c r="P269" s="1160"/>
      <c r="Q269" s="1160"/>
      <c r="R269" s="1160"/>
      <c r="S269" s="1160"/>
      <c r="T269" s="1160"/>
      <c r="U269" s="1160"/>
      <c r="V269" s="1160"/>
      <c r="W269" s="1160"/>
      <c r="X269" s="1160"/>
      <c r="Y269" s="1160"/>
      <c r="Z269" s="1160"/>
      <c r="AA269" s="1160"/>
      <c r="AB269" s="1160"/>
      <c r="AC269" s="1160"/>
      <c r="AD269" s="1160"/>
      <c r="AE269" s="1160"/>
      <c r="AF269" s="1160"/>
      <c r="AG269" s="1160"/>
    </row>
    <row r="270" ht="15.0" customHeight="1">
      <c r="A270" s="1209"/>
      <c r="B270" s="1209"/>
      <c r="C270" s="1210"/>
      <c r="D270" s="1160"/>
      <c r="E270" s="1160"/>
      <c r="F270" s="1160"/>
      <c r="G270" s="1160"/>
      <c r="H270" s="1160"/>
      <c r="I270" s="1160"/>
      <c r="J270" s="1160"/>
      <c r="K270" s="1160"/>
      <c r="L270" s="1160"/>
      <c r="M270" s="1160"/>
      <c r="N270" s="1160"/>
      <c r="O270" s="1160"/>
      <c r="P270" s="1160"/>
      <c r="Q270" s="1160"/>
      <c r="R270" s="1160"/>
      <c r="S270" s="1160"/>
      <c r="T270" s="1160"/>
      <c r="U270" s="1160"/>
      <c r="V270" s="1160"/>
      <c r="W270" s="1160"/>
      <c r="X270" s="1160"/>
      <c r="Y270" s="1160"/>
      <c r="Z270" s="1160"/>
      <c r="AA270" s="1160"/>
      <c r="AB270" s="1160"/>
      <c r="AC270" s="1160"/>
      <c r="AD270" s="1160"/>
      <c r="AE270" s="1160"/>
      <c r="AF270" s="1160"/>
      <c r="AG270" s="1160"/>
    </row>
    <row r="271" ht="15.0" customHeight="1">
      <c r="A271" s="1209"/>
      <c r="B271" s="1209"/>
      <c r="C271" s="1210"/>
      <c r="D271" s="1160"/>
      <c r="E271" s="1160"/>
      <c r="F271" s="1160"/>
      <c r="G271" s="1160"/>
      <c r="H271" s="1160"/>
      <c r="I271" s="1160"/>
      <c r="J271" s="1160"/>
      <c r="K271" s="1160"/>
      <c r="L271" s="1160"/>
      <c r="M271" s="1160"/>
      <c r="N271" s="1160"/>
      <c r="O271" s="1160"/>
      <c r="P271" s="1160"/>
      <c r="Q271" s="1160"/>
      <c r="R271" s="1160"/>
      <c r="S271" s="1160"/>
      <c r="T271" s="1160"/>
      <c r="U271" s="1160"/>
      <c r="V271" s="1160"/>
      <c r="W271" s="1160"/>
      <c r="X271" s="1160"/>
      <c r="Y271" s="1160"/>
      <c r="Z271" s="1160"/>
      <c r="AA271" s="1160"/>
      <c r="AB271" s="1160"/>
      <c r="AC271" s="1160"/>
      <c r="AD271" s="1160"/>
      <c r="AE271" s="1160"/>
      <c r="AF271" s="1160"/>
      <c r="AG271" s="1160"/>
    </row>
    <row r="272" ht="15.0" customHeight="1">
      <c r="A272" s="1209"/>
      <c r="B272" s="1209"/>
      <c r="C272" s="1210"/>
      <c r="D272" s="1160"/>
      <c r="E272" s="1160"/>
      <c r="F272" s="1160"/>
      <c r="G272" s="1160"/>
      <c r="H272" s="1160"/>
      <c r="I272" s="1160"/>
      <c r="J272" s="1160"/>
      <c r="K272" s="1160"/>
      <c r="L272" s="1160"/>
      <c r="M272" s="1160"/>
      <c r="N272" s="1160"/>
      <c r="O272" s="1160"/>
      <c r="P272" s="1160"/>
      <c r="Q272" s="1160"/>
      <c r="R272" s="1160"/>
      <c r="S272" s="1160"/>
      <c r="T272" s="1160"/>
      <c r="U272" s="1160"/>
      <c r="V272" s="1160"/>
      <c r="W272" s="1160"/>
      <c r="X272" s="1160"/>
      <c r="Y272" s="1160"/>
      <c r="Z272" s="1160"/>
      <c r="AA272" s="1160"/>
      <c r="AB272" s="1160"/>
      <c r="AC272" s="1160"/>
      <c r="AD272" s="1160"/>
      <c r="AE272" s="1160"/>
      <c r="AF272" s="1160"/>
      <c r="AG272" s="1160"/>
    </row>
    <row r="273" ht="15.0" customHeight="1">
      <c r="A273" s="1209"/>
      <c r="B273" s="1209"/>
      <c r="C273" s="1210"/>
      <c r="D273" s="1160"/>
      <c r="E273" s="1160"/>
      <c r="F273" s="1160"/>
      <c r="G273" s="1160"/>
      <c r="H273" s="1160"/>
      <c r="I273" s="1160"/>
      <c r="J273" s="1160"/>
      <c r="K273" s="1160"/>
      <c r="L273" s="1160"/>
      <c r="M273" s="1160"/>
      <c r="N273" s="1160"/>
      <c r="O273" s="1160"/>
      <c r="P273" s="1160"/>
      <c r="Q273" s="1160"/>
      <c r="R273" s="1160"/>
      <c r="S273" s="1160"/>
      <c r="T273" s="1160"/>
      <c r="U273" s="1160"/>
      <c r="V273" s="1160"/>
      <c r="W273" s="1160"/>
      <c r="X273" s="1160"/>
      <c r="Y273" s="1160"/>
      <c r="Z273" s="1160"/>
      <c r="AA273" s="1160"/>
      <c r="AB273" s="1160"/>
      <c r="AC273" s="1160"/>
      <c r="AD273" s="1160"/>
      <c r="AE273" s="1160"/>
      <c r="AF273" s="1160"/>
      <c r="AG273" s="1160"/>
    </row>
    <row r="274" ht="15.0" customHeight="1">
      <c r="A274" s="1209"/>
      <c r="B274" s="1209"/>
      <c r="C274" s="1210"/>
      <c r="D274" s="1160"/>
      <c r="E274" s="1160"/>
      <c r="F274" s="1160"/>
      <c r="G274" s="1160"/>
      <c r="H274" s="1160"/>
      <c r="I274" s="1160"/>
      <c r="J274" s="1160"/>
      <c r="K274" s="1160"/>
      <c r="L274" s="1160"/>
      <c r="M274" s="1160"/>
      <c r="N274" s="1160"/>
      <c r="O274" s="1160"/>
      <c r="P274" s="1160"/>
      <c r="Q274" s="1160"/>
      <c r="R274" s="1160"/>
      <c r="S274" s="1160"/>
      <c r="T274" s="1160"/>
      <c r="U274" s="1160"/>
      <c r="V274" s="1160"/>
      <c r="W274" s="1160"/>
      <c r="X274" s="1160"/>
      <c r="Y274" s="1160"/>
      <c r="Z274" s="1160"/>
      <c r="AA274" s="1160"/>
      <c r="AB274" s="1160"/>
      <c r="AC274" s="1160"/>
      <c r="AD274" s="1160"/>
      <c r="AE274" s="1160"/>
      <c r="AF274" s="1160"/>
      <c r="AG274" s="1160"/>
    </row>
    <row r="275" ht="15.0" customHeight="1">
      <c r="A275" s="1209"/>
      <c r="B275" s="1209"/>
      <c r="C275" s="1210"/>
      <c r="D275" s="1160"/>
      <c r="E275" s="1160"/>
      <c r="F275" s="1160"/>
      <c r="G275" s="1160"/>
      <c r="H275" s="1160"/>
      <c r="I275" s="1160"/>
      <c r="J275" s="1160"/>
      <c r="K275" s="1160"/>
      <c r="L275" s="1160"/>
      <c r="M275" s="1160"/>
      <c r="N275" s="1160"/>
      <c r="O275" s="1160"/>
      <c r="P275" s="1160"/>
      <c r="Q275" s="1160"/>
      <c r="R275" s="1160"/>
      <c r="S275" s="1160"/>
      <c r="T275" s="1160"/>
      <c r="U275" s="1160"/>
      <c r="V275" s="1160"/>
      <c r="W275" s="1160"/>
      <c r="X275" s="1160"/>
      <c r="Y275" s="1160"/>
      <c r="Z275" s="1160"/>
      <c r="AA275" s="1160"/>
      <c r="AB275" s="1160"/>
      <c r="AC275" s="1160"/>
      <c r="AD275" s="1160"/>
      <c r="AE275" s="1160"/>
      <c r="AF275" s="1160"/>
      <c r="AG275" s="1160"/>
    </row>
    <row r="276" ht="15.0" customHeight="1">
      <c r="A276" s="1209"/>
      <c r="B276" s="1209"/>
      <c r="C276" s="1210"/>
      <c r="D276" s="1160"/>
      <c r="E276" s="1160"/>
      <c r="F276" s="1160"/>
      <c r="G276" s="1160"/>
      <c r="H276" s="1160"/>
      <c r="I276" s="1160"/>
      <c r="J276" s="1160"/>
      <c r="K276" s="1160"/>
      <c r="L276" s="1160"/>
      <c r="M276" s="1160"/>
      <c r="N276" s="1160"/>
      <c r="O276" s="1160"/>
      <c r="P276" s="1160"/>
      <c r="Q276" s="1160"/>
      <c r="R276" s="1160"/>
      <c r="S276" s="1160"/>
      <c r="T276" s="1160"/>
      <c r="U276" s="1160"/>
      <c r="V276" s="1160"/>
      <c r="W276" s="1160"/>
      <c r="X276" s="1160"/>
      <c r="Y276" s="1160"/>
      <c r="Z276" s="1160"/>
      <c r="AA276" s="1160"/>
      <c r="AB276" s="1160"/>
      <c r="AC276" s="1160"/>
      <c r="AD276" s="1160"/>
      <c r="AE276" s="1160"/>
      <c r="AF276" s="1160"/>
      <c r="AG276" s="1160"/>
    </row>
    <row r="277" ht="15.0" customHeight="1">
      <c r="A277" s="1209"/>
      <c r="B277" s="1209"/>
      <c r="C277" s="1210"/>
      <c r="D277" s="1160"/>
      <c r="E277" s="1160"/>
      <c r="F277" s="1160"/>
      <c r="G277" s="1160"/>
      <c r="H277" s="1160"/>
      <c r="I277" s="1160"/>
      <c r="J277" s="1160"/>
      <c r="K277" s="1160"/>
      <c r="L277" s="1160"/>
      <c r="M277" s="1160"/>
      <c r="N277" s="1160"/>
      <c r="O277" s="1160"/>
      <c r="P277" s="1160"/>
      <c r="Q277" s="1160"/>
      <c r="R277" s="1160"/>
      <c r="S277" s="1160"/>
      <c r="T277" s="1160"/>
      <c r="U277" s="1160"/>
      <c r="V277" s="1160"/>
      <c r="W277" s="1160"/>
      <c r="X277" s="1160"/>
      <c r="Y277" s="1160"/>
      <c r="Z277" s="1160"/>
      <c r="AA277" s="1160"/>
      <c r="AB277" s="1160"/>
      <c r="AC277" s="1160"/>
      <c r="AD277" s="1160"/>
      <c r="AE277" s="1160"/>
      <c r="AF277" s="1160"/>
      <c r="AG277" s="1160"/>
    </row>
    <row r="278" ht="15.0" customHeight="1">
      <c r="A278" s="1209"/>
      <c r="B278" s="1209"/>
      <c r="C278" s="1210"/>
      <c r="D278" s="1160"/>
      <c r="E278" s="1160"/>
      <c r="F278" s="1160"/>
      <c r="G278" s="1160"/>
      <c r="H278" s="1160"/>
      <c r="I278" s="1160"/>
      <c r="J278" s="1160"/>
      <c r="K278" s="1160"/>
      <c r="L278" s="1160"/>
      <c r="M278" s="1160"/>
      <c r="N278" s="1160"/>
      <c r="O278" s="1160"/>
      <c r="P278" s="1160"/>
      <c r="Q278" s="1160"/>
      <c r="R278" s="1160"/>
      <c r="S278" s="1160"/>
      <c r="T278" s="1160"/>
      <c r="U278" s="1160"/>
      <c r="V278" s="1160"/>
      <c r="W278" s="1160"/>
      <c r="X278" s="1160"/>
      <c r="Y278" s="1160"/>
      <c r="Z278" s="1160"/>
      <c r="AA278" s="1160"/>
      <c r="AB278" s="1160"/>
      <c r="AC278" s="1160"/>
      <c r="AD278" s="1160"/>
      <c r="AE278" s="1160"/>
      <c r="AF278" s="1160"/>
      <c r="AG278" s="1160"/>
    </row>
    <row r="279" ht="15.0" customHeight="1">
      <c r="A279" s="1209"/>
      <c r="B279" s="1209"/>
      <c r="C279" s="1210"/>
      <c r="D279" s="1160"/>
      <c r="E279" s="1160"/>
      <c r="F279" s="1160"/>
      <c r="G279" s="1160"/>
      <c r="H279" s="1160"/>
      <c r="I279" s="1160"/>
      <c r="J279" s="1160"/>
      <c r="K279" s="1160"/>
      <c r="L279" s="1160"/>
      <c r="M279" s="1160"/>
      <c r="N279" s="1160"/>
      <c r="O279" s="1160"/>
      <c r="P279" s="1160"/>
      <c r="Q279" s="1160"/>
      <c r="R279" s="1160"/>
      <c r="S279" s="1160"/>
      <c r="T279" s="1160"/>
      <c r="U279" s="1160"/>
      <c r="V279" s="1160"/>
      <c r="W279" s="1160"/>
      <c r="X279" s="1160"/>
      <c r="Y279" s="1160"/>
      <c r="Z279" s="1160"/>
      <c r="AA279" s="1160"/>
      <c r="AB279" s="1160"/>
      <c r="AC279" s="1160"/>
      <c r="AD279" s="1160"/>
      <c r="AE279" s="1160"/>
      <c r="AF279" s="1160"/>
      <c r="AG279" s="1160"/>
    </row>
    <row r="280" ht="15.0" customHeight="1">
      <c r="A280" s="1209"/>
      <c r="B280" s="1209"/>
      <c r="C280" s="1210"/>
      <c r="D280" s="1160"/>
      <c r="E280" s="1160"/>
      <c r="F280" s="1160"/>
      <c r="G280" s="1160"/>
      <c r="H280" s="1160"/>
      <c r="I280" s="1160"/>
      <c r="J280" s="1160"/>
      <c r="K280" s="1160"/>
      <c r="L280" s="1160"/>
      <c r="M280" s="1160"/>
      <c r="N280" s="1160"/>
      <c r="O280" s="1160"/>
      <c r="P280" s="1160"/>
      <c r="Q280" s="1160"/>
      <c r="R280" s="1160"/>
      <c r="S280" s="1160"/>
      <c r="T280" s="1160"/>
      <c r="U280" s="1160"/>
      <c r="V280" s="1160"/>
      <c r="W280" s="1160"/>
      <c r="X280" s="1160"/>
      <c r="Y280" s="1160"/>
      <c r="Z280" s="1160"/>
      <c r="AA280" s="1160"/>
      <c r="AB280" s="1160"/>
      <c r="AC280" s="1160"/>
      <c r="AD280" s="1160"/>
      <c r="AE280" s="1160"/>
      <c r="AF280" s="1160"/>
      <c r="AG280" s="1160"/>
    </row>
    <row r="281" ht="15.0" customHeight="1">
      <c r="A281" s="1209"/>
      <c r="B281" s="1209"/>
      <c r="C281" s="1210"/>
      <c r="D281" s="1160"/>
      <c r="E281" s="1160"/>
      <c r="F281" s="1160"/>
      <c r="G281" s="1160"/>
      <c r="H281" s="1160"/>
      <c r="I281" s="1160"/>
      <c r="J281" s="1160"/>
      <c r="K281" s="1160"/>
      <c r="L281" s="1160"/>
      <c r="M281" s="1160"/>
      <c r="N281" s="1160"/>
      <c r="O281" s="1160"/>
      <c r="P281" s="1160"/>
      <c r="Q281" s="1160"/>
      <c r="R281" s="1160"/>
      <c r="S281" s="1160"/>
      <c r="T281" s="1160"/>
      <c r="U281" s="1160"/>
      <c r="V281" s="1160"/>
      <c r="W281" s="1160"/>
      <c r="X281" s="1160"/>
      <c r="Y281" s="1160"/>
      <c r="Z281" s="1160"/>
      <c r="AA281" s="1160"/>
      <c r="AB281" s="1160"/>
      <c r="AC281" s="1160"/>
      <c r="AD281" s="1160"/>
      <c r="AE281" s="1160"/>
      <c r="AF281" s="1160"/>
      <c r="AG281" s="1160"/>
    </row>
    <row r="282" ht="15.0" customHeight="1">
      <c r="A282" s="1209"/>
      <c r="B282" s="1209"/>
      <c r="C282" s="1210"/>
      <c r="D282" s="1160"/>
      <c r="E282" s="1160"/>
      <c r="F282" s="1160"/>
      <c r="G282" s="1160"/>
      <c r="H282" s="1160"/>
      <c r="I282" s="1160"/>
      <c r="J282" s="1160"/>
      <c r="K282" s="1160"/>
      <c r="L282" s="1160"/>
      <c r="M282" s="1160"/>
      <c r="N282" s="1160"/>
      <c r="O282" s="1160"/>
      <c r="P282" s="1160"/>
      <c r="Q282" s="1160"/>
      <c r="R282" s="1160"/>
      <c r="S282" s="1160"/>
      <c r="T282" s="1160"/>
      <c r="U282" s="1160"/>
      <c r="V282" s="1160"/>
      <c r="W282" s="1160"/>
      <c r="X282" s="1160"/>
      <c r="Y282" s="1160"/>
      <c r="Z282" s="1160"/>
      <c r="AA282" s="1160"/>
      <c r="AB282" s="1160"/>
      <c r="AC282" s="1160"/>
      <c r="AD282" s="1160"/>
      <c r="AE282" s="1160"/>
      <c r="AF282" s="1160"/>
      <c r="AG282" s="1160"/>
    </row>
    <row r="283" ht="15.0" customHeight="1">
      <c r="A283" s="1209"/>
      <c r="B283" s="1209"/>
      <c r="C283" s="1210"/>
      <c r="D283" s="1160"/>
      <c r="E283" s="1160"/>
      <c r="F283" s="1160"/>
      <c r="G283" s="1160"/>
      <c r="H283" s="1160"/>
      <c r="I283" s="1160"/>
      <c r="J283" s="1160"/>
      <c r="K283" s="1160"/>
      <c r="L283" s="1160"/>
      <c r="M283" s="1160"/>
      <c r="N283" s="1160"/>
      <c r="O283" s="1160"/>
      <c r="P283" s="1160"/>
      <c r="Q283" s="1160"/>
      <c r="R283" s="1160"/>
      <c r="S283" s="1160"/>
      <c r="T283" s="1160"/>
      <c r="U283" s="1160"/>
      <c r="V283" s="1160"/>
      <c r="W283" s="1160"/>
      <c r="X283" s="1160"/>
      <c r="Y283" s="1160"/>
      <c r="Z283" s="1160"/>
      <c r="AA283" s="1160"/>
      <c r="AB283" s="1160"/>
      <c r="AC283" s="1160"/>
      <c r="AD283" s="1160"/>
      <c r="AE283" s="1160"/>
      <c r="AF283" s="1160"/>
      <c r="AG283" s="1160"/>
    </row>
    <row r="284" ht="15.0" customHeight="1">
      <c r="A284" s="1209"/>
      <c r="B284" s="1209"/>
      <c r="C284" s="1210"/>
      <c r="D284" s="1160"/>
      <c r="E284" s="1160"/>
      <c r="F284" s="1160"/>
      <c r="G284" s="1160"/>
      <c r="H284" s="1160"/>
      <c r="I284" s="1160"/>
      <c r="J284" s="1160"/>
      <c r="K284" s="1160"/>
      <c r="L284" s="1160"/>
      <c r="M284" s="1160"/>
      <c r="N284" s="1160"/>
      <c r="O284" s="1160"/>
      <c r="P284" s="1160"/>
      <c r="Q284" s="1160"/>
      <c r="R284" s="1160"/>
      <c r="S284" s="1160"/>
      <c r="T284" s="1160"/>
      <c r="U284" s="1160"/>
      <c r="V284" s="1160"/>
      <c r="W284" s="1160"/>
      <c r="X284" s="1160"/>
      <c r="Y284" s="1160"/>
      <c r="Z284" s="1160"/>
      <c r="AA284" s="1160"/>
      <c r="AB284" s="1160"/>
      <c r="AC284" s="1160"/>
      <c r="AD284" s="1160"/>
      <c r="AE284" s="1160"/>
      <c r="AF284" s="1160"/>
      <c r="AG284" s="1160"/>
    </row>
    <row r="285" ht="15.0" customHeight="1">
      <c r="A285" s="1209"/>
      <c r="B285" s="1209"/>
      <c r="C285" s="1210"/>
      <c r="D285" s="1160"/>
      <c r="E285" s="1160"/>
      <c r="F285" s="1160"/>
      <c r="G285" s="1160"/>
      <c r="H285" s="1160"/>
      <c r="I285" s="1160"/>
      <c r="J285" s="1160"/>
      <c r="K285" s="1160"/>
      <c r="L285" s="1160"/>
      <c r="M285" s="1160"/>
      <c r="N285" s="1160"/>
      <c r="O285" s="1160"/>
      <c r="P285" s="1160"/>
      <c r="Q285" s="1160"/>
      <c r="R285" s="1160"/>
      <c r="S285" s="1160"/>
      <c r="T285" s="1160"/>
      <c r="U285" s="1160"/>
      <c r="V285" s="1160"/>
      <c r="W285" s="1160"/>
      <c r="X285" s="1160"/>
      <c r="Y285" s="1160"/>
      <c r="Z285" s="1160"/>
      <c r="AA285" s="1160"/>
      <c r="AB285" s="1160"/>
      <c r="AC285" s="1160"/>
      <c r="AD285" s="1160"/>
      <c r="AE285" s="1160"/>
      <c r="AF285" s="1160"/>
      <c r="AG285" s="1160"/>
    </row>
    <row r="286" ht="15.0" customHeight="1">
      <c r="A286" s="1209"/>
      <c r="B286" s="1209"/>
      <c r="C286" s="1210"/>
      <c r="D286" s="1160"/>
      <c r="E286" s="1160"/>
      <c r="F286" s="1160"/>
      <c r="G286" s="1160"/>
      <c r="H286" s="1160"/>
      <c r="I286" s="1160"/>
      <c r="J286" s="1160"/>
      <c r="K286" s="1160"/>
      <c r="L286" s="1160"/>
      <c r="M286" s="1160"/>
      <c r="N286" s="1160"/>
      <c r="O286" s="1160"/>
      <c r="P286" s="1160"/>
      <c r="Q286" s="1160"/>
      <c r="R286" s="1160"/>
      <c r="S286" s="1160"/>
      <c r="T286" s="1160"/>
      <c r="U286" s="1160"/>
      <c r="V286" s="1160"/>
      <c r="W286" s="1160"/>
      <c r="X286" s="1160"/>
      <c r="Y286" s="1160"/>
      <c r="Z286" s="1160"/>
      <c r="AA286" s="1160"/>
      <c r="AB286" s="1160"/>
      <c r="AC286" s="1160"/>
      <c r="AD286" s="1160"/>
      <c r="AE286" s="1160"/>
      <c r="AF286" s="1160"/>
      <c r="AG286" s="1160"/>
    </row>
    <row r="287" ht="15.0" customHeight="1">
      <c r="A287" s="1209"/>
      <c r="B287" s="1209"/>
      <c r="C287" s="1210"/>
      <c r="D287" s="1160"/>
      <c r="E287" s="1160"/>
      <c r="F287" s="1160"/>
      <c r="G287" s="1160"/>
      <c r="H287" s="1160"/>
      <c r="I287" s="1160"/>
      <c r="J287" s="1160"/>
      <c r="K287" s="1160"/>
      <c r="L287" s="1160"/>
      <c r="M287" s="1160"/>
      <c r="N287" s="1160"/>
      <c r="O287" s="1160"/>
      <c r="P287" s="1160"/>
      <c r="Q287" s="1160"/>
      <c r="R287" s="1160"/>
      <c r="S287" s="1160"/>
      <c r="T287" s="1160"/>
      <c r="U287" s="1160"/>
      <c r="V287" s="1160"/>
      <c r="W287" s="1160"/>
      <c r="X287" s="1160"/>
      <c r="Y287" s="1160"/>
      <c r="Z287" s="1160"/>
      <c r="AA287" s="1160"/>
      <c r="AB287" s="1160"/>
      <c r="AC287" s="1160"/>
      <c r="AD287" s="1160"/>
      <c r="AE287" s="1160"/>
      <c r="AF287" s="1160"/>
      <c r="AG287" s="1160"/>
    </row>
    <row r="288" ht="15.0" customHeight="1">
      <c r="A288" s="1209"/>
      <c r="B288" s="1209"/>
      <c r="C288" s="1210"/>
      <c r="D288" s="1160"/>
      <c r="E288" s="1160"/>
      <c r="F288" s="1160"/>
      <c r="G288" s="1160"/>
      <c r="H288" s="1160"/>
      <c r="I288" s="1160"/>
      <c r="J288" s="1160"/>
      <c r="K288" s="1160"/>
      <c r="L288" s="1160"/>
      <c r="M288" s="1160"/>
      <c r="N288" s="1160"/>
      <c r="O288" s="1160"/>
      <c r="P288" s="1160"/>
      <c r="Q288" s="1160"/>
      <c r="R288" s="1160"/>
      <c r="S288" s="1160"/>
      <c r="T288" s="1160"/>
      <c r="U288" s="1160"/>
      <c r="V288" s="1160"/>
      <c r="W288" s="1160"/>
      <c r="X288" s="1160"/>
      <c r="Y288" s="1160"/>
      <c r="Z288" s="1160"/>
      <c r="AA288" s="1160"/>
      <c r="AB288" s="1160"/>
      <c r="AC288" s="1160"/>
      <c r="AD288" s="1160"/>
      <c r="AE288" s="1160"/>
      <c r="AF288" s="1160"/>
      <c r="AG288" s="1160"/>
    </row>
    <row r="289" ht="15.0" customHeight="1">
      <c r="A289" s="1209"/>
      <c r="B289" s="1209"/>
      <c r="C289" s="1210"/>
      <c r="D289" s="1160"/>
      <c r="E289" s="1160"/>
      <c r="F289" s="1160"/>
      <c r="G289" s="1160"/>
      <c r="H289" s="1160"/>
      <c r="I289" s="1160"/>
      <c r="J289" s="1160"/>
      <c r="K289" s="1160"/>
      <c r="L289" s="1160"/>
      <c r="M289" s="1160"/>
      <c r="N289" s="1160"/>
      <c r="O289" s="1160"/>
      <c r="P289" s="1160"/>
      <c r="Q289" s="1160"/>
      <c r="R289" s="1160"/>
      <c r="S289" s="1160"/>
      <c r="T289" s="1160"/>
      <c r="U289" s="1160"/>
      <c r="V289" s="1160"/>
      <c r="W289" s="1160"/>
      <c r="X289" s="1160"/>
      <c r="Y289" s="1160"/>
      <c r="Z289" s="1160"/>
      <c r="AA289" s="1160"/>
      <c r="AB289" s="1160"/>
      <c r="AC289" s="1160"/>
      <c r="AD289" s="1160"/>
      <c r="AE289" s="1160"/>
      <c r="AF289" s="1160"/>
      <c r="AG289" s="1160"/>
    </row>
    <row r="290" ht="15.0" customHeight="1">
      <c r="A290" s="1209"/>
      <c r="B290" s="1209"/>
      <c r="C290" s="1210"/>
      <c r="D290" s="1160"/>
      <c r="E290" s="1160"/>
      <c r="F290" s="1160"/>
      <c r="G290" s="1160"/>
      <c r="H290" s="1160"/>
      <c r="I290" s="1160"/>
      <c r="J290" s="1160"/>
      <c r="K290" s="1160"/>
      <c r="L290" s="1160"/>
      <c r="M290" s="1160"/>
      <c r="N290" s="1160"/>
      <c r="O290" s="1160"/>
      <c r="P290" s="1160"/>
      <c r="Q290" s="1160"/>
      <c r="R290" s="1160"/>
      <c r="S290" s="1160"/>
      <c r="T290" s="1160"/>
      <c r="U290" s="1160"/>
      <c r="V290" s="1160"/>
      <c r="W290" s="1160"/>
      <c r="X290" s="1160"/>
      <c r="Y290" s="1160"/>
      <c r="Z290" s="1160"/>
      <c r="AA290" s="1160"/>
      <c r="AB290" s="1160"/>
      <c r="AC290" s="1160"/>
      <c r="AD290" s="1160"/>
      <c r="AE290" s="1160"/>
      <c r="AF290" s="1160"/>
      <c r="AG290" s="1160"/>
    </row>
    <row r="291" ht="15.0" customHeight="1">
      <c r="A291" s="1209"/>
      <c r="B291" s="1209"/>
      <c r="C291" s="1210"/>
      <c r="D291" s="1160"/>
      <c r="E291" s="1160"/>
      <c r="F291" s="1160"/>
      <c r="G291" s="1160"/>
      <c r="H291" s="1160"/>
      <c r="I291" s="1160"/>
      <c r="J291" s="1160"/>
      <c r="K291" s="1160"/>
      <c r="L291" s="1160"/>
      <c r="M291" s="1160"/>
      <c r="N291" s="1160"/>
      <c r="O291" s="1160"/>
      <c r="P291" s="1160"/>
      <c r="Q291" s="1160"/>
      <c r="R291" s="1160"/>
      <c r="S291" s="1160"/>
      <c r="T291" s="1160"/>
      <c r="U291" s="1160"/>
      <c r="V291" s="1160"/>
      <c r="W291" s="1160"/>
      <c r="X291" s="1160"/>
      <c r="Y291" s="1160"/>
      <c r="Z291" s="1160"/>
      <c r="AA291" s="1160"/>
      <c r="AB291" s="1160"/>
      <c r="AC291" s="1160"/>
      <c r="AD291" s="1160"/>
      <c r="AE291" s="1160"/>
      <c r="AF291" s="1160"/>
      <c r="AG291" s="1160"/>
    </row>
    <row r="292" ht="15.0" customHeight="1">
      <c r="A292" s="1209"/>
      <c r="B292" s="1209"/>
      <c r="C292" s="1210"/>
      <c r="D292" s="1160"/>
      <c r="E292" s="1160"/>
      <c r="F292" s="1160"/>
      <c r="G292" s="1160"/>
      <c r="H292" s="1160"/>
      <c r="I292" s="1160"/>
      <c r="J292" s="1160"/>
      <c r="K292" s="1160"/>
      <c r="L292" s="1160"/>
      <c r="M292" s="1160"/>
      <c r="N292" s="1160"/>
      <c r="O292" s="1160"/>
      <c r="P292" s="1160"/>
      <c r="Q292" s="1160"/>
      <c r="R292" s="1160"/>
      <c r="S292" s="1160"/>
      <c r="T292" s="1160"/>
      <c r="U292" s="1160"/>
      <c r="V292" s="1160"/>
      <c r="W292" s="1160"/>
      <c r="X292" s="1160"/>
      <c r="Y292" s="1160"/>
      <c r="Z292" s="1160"/>
      <c r="AA292" s="1160"/>
      <c r="AB292" s="1160"/>
      <c r="AC292" s="1160"/>
      <c r="AD292" s="1160"/>
      <c r="AE292" s="1160"/>
      <c r="AF292" s="1160"/>
      <c r="AG292" s="1160"/>
    </row>
    <row r="293" ht="15.0" customHeight="1">
      <c r="A293" s="1209"/>
      <c r="B293" s="1209"/>
      <c r="C293" s="1210"/>
      <c r="D293" s="1160"/>
      <c r="E293" s="1160"/>
      <c r="F293" s="1160"/>
      <c r="G293" s="1160"/>
      <c r="H293" s="1160"/>
      <c r="I293" s="1160"/>
      <c r="J293" s="1160"/>
      <c r="K293" s="1160"/>
      <c r="L293" s="1160"/>
      <c r="M293" s="1160"/>
      <c r="N293" s="1160"/>
      <c r="O293" s="1160"/>
      <c r="P293" s="1160"/>
      <c r="Q293" s="1160"/>
      <c r="R293" s="1160"/>
      <c r="S293" s="1160"/>
      <c r="T293" s="1160"/>
      <c r="U293" s="1160"/>
      <c r="V293" s="1160"/>
      <c r="W293" s="1160"/>
      <c r="X293" s="1160"/>
      <c r="Y293" s="1160"/>
      <c r="Z293" s="1160"/>
      <c r="AA293" s="1160"/>
      <c r="AB293" s="1160"/>
      <c r="AC293" s="1160"/>
      <c r="AD293" s="1160"/>
      <c r="AE293" s="1160"/>
      <c r="AF293" s="1160"/>
      <c r="AG293" s="1160"/>
    </row>
    <row r="294" ht="15.0" customHeight="1">
      <c r="A294" s="1209"/>
      <c r="B294" s="1209"/>
      <c r="C294" s="1210"/>
      <c r="D294" s="1160"/>
      <c r="E294" s="1160"/>
      <c r="F294" s="1160"/>
      <c r="G294" s="1160"/>
      <c r="H294" s="1160"/>
      <c r="I294" s="1160"/>
      <c r="J294" s="1160"/>
      <c r="K294" s="1160"/>
      <c r="L294" s="1160"/>
      <c r="M294" s="1160"/>
      <c r="N294" s="1160"/>
      <c r="O294" s="1160"/>
      <c r="P294" s="1160"/>
      <c r="Q294" s="1160"/>
      <c r="R294" s="1160"/>
      <c r="S294" s="1160"/>
      <c r="T294" s="1160"/>
      <c r="U294" s="1160"/>
      <c r="V294" s="1160"/>
      <c r="W294" s="1160"/>
      <c r="X294" s="1160"/>
      <c r="Y294" s="1160"/>
      <c r="Z294" s="1160"/>
      <c r="AA294" s="1160"/>
      <c r="AB294" s="1160"/>
      <c r="AC294" s="1160"/>
      <c r="AD294" s="1160"/>
      <c r="AE294" s="1160"/>
      <c r="AF294" s="1160"/>
      <c r="AG294" s="1160"/>
    </row>
    <row r="295" ht="15.0" customHeight="1">
      <c r="A295" s="1209"/>
      <c r="B295" s="1209"/>
      <c r="C295" s="1210"/>
      <c r="D295" s="1160"/>
      <c r="E295" s="1160"/>
      <c r="F295" s="1160"/>
      <c r="G295" s="1160"/>
      <c r="H295" s="1160"/>
      <c r="I295" s="1160"/>
      <c r="J295" s="1160"/>
      <c r="K295" s="1160"/>
      <c r="L295" s="1160"/>
      <c r="M295" s="1160"/>
      <c r="N295" s="1160"/>
      <c r="O295" s="1160"/>
      <c r="P295" s="1160"/>
      <c r="Q295" s="1160"/>
      <c r="R295" s="1160"/>
      <c r="S295" s="1160"/>
      <c r="T295" s="1160"/>
      <c r="U295" s="1160"/>
      <c r="V295" s="1160"/>
      <c r="W295" s="1160"/>
      <c r="X295" s="1160"/>
      <c r="Y295" s="1160"/>
      <c r="Z295" s="1160"/>
      <c r="AA295" s="1160"/>
      <c r="AB295" s="1160"/>
      <c r="AC295" s="1160"/>
      <c r="AD295" s="1160"/>
      <c r="AE295" s="1160"/>
      <c r="AF295" s="1160"/>
      <c r="AG295" s="1160"/>
    </row>
    <row r="296" ht="15.0" customHeight="1">
      <c r="A296" s="1209"/>
      <c r="B296" s="1209"/>
      <c r="C296" s="1210"/>
      <c r="D296" s="1160"/>
      <c r="E296" s="1160"/>
      <c r="F296" s="1160"/>
      <c r="G296" s="1160"/>
      <c r="H296" s="1160"/>
      <c r="I296" s="1160"/>
      <c r="J296" s="1160"/>
      <c r="K296" s="1160"/>
      <c r="L296" s="1160"/>
      <c r="M296" s="1160"/>
      <c r="N296" s="1160"/>
      <c r="O296" s="1160"/>
      <c r="P296" s="1160"/>
      <c r="Q296" s="1160"/>
      <c r="R296" s="1160"/>
      <c r="S296" s="1160"/>
      <c r="T296" s="1160"/>
      <c r="U296" s="1160"/>
      <c r="V296" s="1160"/>
      <c r="W296" s="1160"/>
      <c r="X296" s="1160"/>
      <c r="Y296" s="1160"/>
      <c r="Z296" s="1160"/>
      <c r="AA296" s="1160"/>
      <c r="AB296" s="1160"/>
      <c r="AC296" s="1160"/>
      <c r="AD296" s="1160"/>
      <c r="AE296" s="1160"/>
      <c r="AF296" s="1160"/>
      <c r="AG296" s="1160"/>
    </row>
    <row r="297" ht="15.0" customHeight="1">
      <c r="A297" s="1209"/>
      <c r="B297" s="1209"/>
      <c r="C297" s="1210"/>
      <c r="D297" s="1160"/>
      <c r="E297" s="1160"/>
      <c r="F297" s="1160"/>
      <c r="G297" s="1160"/>
      <c r="H297" s="1160"/>
      <c r="I297" s="1160"/>
      <c r="J297" s="1160"/>
      <c r="K297" s="1160"/>
      <c r="L297" s="1160"/>
      <c r="M297" s="1160"/>
      <c r="N297" s="1160"/>
      <c r="O297" s="1160"/>
      <c r="P297" s="1160"/>
      <c r="Q297" s="1160"/>
      <c r="R297" s="1160"/>
      <c r="S297" s="1160"/>
      <c r="T297" s="1160"/>
      <c r="U297" s="1160"/>
      <c r="V297" s="1160"/>
      <c r="W297" s="1160"/>
      <c r="X297" s="1160"/>
      <c r="Y297" s="1160"/>
      <c r="Z297" s="1160"/>
      <c r="AA297" s="1160"/>
      <c r="AB297" s="1160"/>
      <c r="AC297" s="1160"/>
      <c r="AD297" s="1160"/>
      <c r="AE297" s="1160"/>
      <c r="AF297" s="1160"/>
      <c r="AG297" s="1160"/>
    </row>
    <row r="298" ht="15.0" customHeight="1">
      <c r="A298" s="1209"/>
      <c r="B298" s="1209"/>
      <c r="C298" s="1210"/>
      <c r="D298" s="1160"/>
      <c r="E298" s="1160"/>
      <c r="F298" s="1160"/>
      <c r="G298" s="1160"/>
      <c r="H298" s="1160"/>
      <c r="I298" s="1160"/>
      <c r="J298" s="1160"/>
      <c r="K298" s="1160"/>
      <c r="L298" s="1160"/>
      <c r="M298" s="1160"/>
      <c r="N298" s="1160"/>
      <c r="O298" s="1160"/>
      <c r="P298" s="1160"/>
      <c r="Q298" s="1160"/>
      <c r="R298" s="1160"/>
      <c r="S298" s="1160"/>
      <c r="T298" s="1160"/>
      <c r="U298" s="1160"/>
      <c r="V298" s="1160"/>
      <c r="W298" s="1160"/>
      <c r="X298" s="1160"/>
      <c r="Y298" s="1160"/>
      <c r="Z298" s="1160"/>
      <c r="AA298" s="1160"/>
      <c r="AB298" s="1160"/>
      <c r="AC298" s="1160"/>
      <c r="AD298" s="1160"/>
      <c r="AE298" s="1160"/>
      <c r="AF298" s="1160"/>
      <c r="AG298" s="1160"/>
    </row>
    <row r="299" ht="15.0" customHeight="1">
      <c r="A299" s="1209"/>
      <c r="B299" s="1209"/>
      <c r="C299" s="1210"/>
      <c r="D299" s="1160"/>
      <c r="E299" s="1160"/>
      <c r="F299" s="1160"/>
      <c r="G299" s="1160"/>
      <c r="H299" s="1160"/>
      <c r="I299" s="1160"/>
      <c r="J299" s="1160"/>
      <c r="K299" s="1160"/>
      <c r="L299" s="1160"/>
      <c r="M299" s="1160"/>
      <c r="N299" s="1160"/>
      <c r="O299" s="1160"/>
      <c r="P299" s="1160"/>
      <c r="Q299" s="1160"/>
      <c r="R299" s="1160"/>
      <c r="S299" s="1160"/>
      <c r="T299" s="1160"/>
      <c r="U299" s="1160"/>
      <c r="V299" s="1160"/>
      <c r="W299" s="1160"/>
      <c r="X299" s="1160"/>
      <c r="Y299" s="1160"/>
      <c r="Z299" s="1160"/>
      <c r="AA299" s="1160"/>
      <c r="AB299" s="1160"/>
      <c r="AC299" s="1160"/>
      <c r="AD299" s="1160"/>
      <c r="AE299" s="1160"/>
      <c r="AF299" s="1160"/>
      <c r="AG299" s="1160"/>
    </row>
    <row r="300" ht="15.0" customHeight="1">
      <c r="A300" s="1209"/>
      <c r="B300" s="1209"/>
      <c r="C300" s="1210"/>
      <c r="D300" s="1160"/>
      <c r="E300" s="1160"/>
      <c r="F300" s="1160"/>
      <c r="G300" s="1160"/>
      <c r="H300" s="1160"/>
      <c r="I300" s="1160"/>
      <c r="J300" s="1160"/>
      <c r="K300" s="1160"/>
      <c r="L300" s="1160"/>
      <c r="M300" s="1160"/>
      <c r="N300" s="1160"/>
      <c r="O300" s="1160"/>
      <c r="P300" s="1160"/>
      <c r="Q300" s="1160"/>
      <c r="R300" s="1160"/>
      <c r="S300" s="1160"/>
      <c r="T300" s="1160"/>
      <c r="U300" s="1160"/>
      <c r="V300" s="1160"/>
      <c r="W300" s="1160"/>
      <c r="X300" s="1160"/>
      <c r="Y300" s="1160"/>
      <c r="Z300" s="1160"/>
      <c r="AA300" s="1160"/>
      <c r="AB300" s="1160"/>
      <c r="AC300" s="1160"/>
      <c r="AD300" s="1160"/>
      <c r="AE300" s="1160"/>
      <c r="AF300" s="1160"/>
      <c r="AG300" s="1160"/>
    </row>
    <row r="301" ht="15.0" customHeight="1">
      <c r="A301" s="1209"/>
      <c r="B301" s="1209"/>
      <c r="C301" s="1210"/>
      <c r="D301" s="1160"/>
      <c r="E301" s="1160"/>
      <c r="F301" s="1160"/>
      <c r="G301" s="1160"/>
      <c r="H301" s="1160"/>
      <c r="I301" s="1160"/>
      <c r="J301" s="1160"/>
      <c r="K301" s="1160"/>
      <c r="L301" s="1160"/>
      <c r="M301" s="1160"/>
      <c r="N301" s="1160"/>
      <c r="O301" s="1160"/>
      <c r="P301" s="1160"/>
      <c r="Q301" s="1160"/>
      <c r="R301" s="1160"/>
      <c r="S301" s="1160"/>
      <c r="T301" s="1160"/>
      <c r="U301" s="1160"/>
      <c r="V301" s="1160"/>
      <c r="W301" s="1160"/>
      <c r="X301" s="1160"/>
      <c r="Y301" s="1160"/>
      <c r="Z301" s="1160"/>
      <c r="AA301" s="1160"/>
      <c r="AB301" s="1160"/>
      <c r="AC301" s="1160"/>
      <c r="AD301" s="1160"/>
      <c r="AE301" s="1160"/>
      <c r="AF301" s="1160"/>
      <c r="AG301" s="1160"/>
    </row>
    <row r="302" ht="15.0" customHeight="1">
      <c r="A302" s="1209"/>
      <c r="B302" s="1209"/>
      <c r="C302" s="1210"/>
      <c r="D302" s="1160"/>
      <c r="E302" s="1160"/>
      <c r="F302" s="1160"/>
      <c r="G302" s="1160"/>
      <c r="H302" s="1160"/>
      <c r="I302" s="1160"/>
      <c r="J302" s="1160"/>
      <c r="K302" s="1160"/>
      <c r="L302" s="1160"/>
      <c r="M302" s="1160"/>
      <c r="N302" s="1160"/>
      <c r="O302" s="1160"/>
      <c r="P302" s="1160"/>
      <c r="Q302" s="1160"/>
      <c r="R302" s="1160"/>
      <c r="S302" s="1160"/>
      <c r="T302" s="1160"/>
      <c r="U302" s="1160"/>
      <c r="V302" s="1160"/>
      <c r="W302" s="1160"/>
      <c r="X302" s="1160"/>
      <c r="Y302" s="1160"/>
      <c r="Z302" s="1160"/>
      <c r="AA302" s="1160"/>
      <c r="AB302" s="1160"/>
      <c r="AC302" s="1160"/>
      <c r="AD302" s="1160"/>
      <c r="AE302" s="1160"/>
      <c r="AF302" s="1160"/>
      <c r="AG302" s="1160"/>
    </row>
    <row r="303" ht="15.0" customHeight="1">
      <c r="A303" s="1209"/>
      <c r="B303" s="1209"/>
      <c r="C303" s="1210"/>
      <c r="D303" s="1160"/>
      <c r="E303" s="1160"/>
      <c r="F303" s="1160"/>
      <c r="G303" s="1160"/>
      <c r="H303" s="1160"/>
      <c r="I303" s="1160"/>
      <c r="J303" s="1160"/>
      <c r="K303" s="1160"/>
      <c r="L303" s="1160"/>
      <c r="M303" s="1160"/>
      <c r="N303" s="1160"/>
      <c r="O303" s="1160"/>
      <c r="P303" s="1160"/>
      <c r="Q303" s="1160"/>
      <c r="R303" s="1160"/>
      <c r="S303" s="1160"/>
      <c r="T303" s="1160"/>
      <c r="U303" s="1160"/>
      <c r="V303" s="1160"/>
      <c r="W303" s="1160"/>
      <c r="X303" s="1160"/>
      <c r="Y303" s="1160"/>
      <c r="Z303" s="1160"/>
      <c r="AA303" s="1160"/>
      <c r="AB303" s="1160"/>
      <c r="AC303" s="1160"/>
      <c r="AD303" s="1160"/>
      <c r="AE303" s="1160"/>
      <c r="AF303" s="1160"/>
      <c r="AG303" s="1160"/>
    </row>
    <row r="304" ht="15.0" customHeight="1">
      <c r="A304" s="1209"/>
      <c r="B304" s="1209"/>
      <c r="C304" s="1210"/>
      <c r="D304" s="1160"/>
      <c r="E304" s="1160"/>
      <c r="F304" s="1160"/>
      <c r="G304" s="1160"/>
      <c r="H304" s="1160"/>
      <c r="I304" s="1160"/>
      <c r="J304" s="1160"/>
      <c r="K304" s="1160"/>
      <c r="L304" s="1160"/>
      <c r="M304" s="1160"/>
      <c r="N304" s="1160"/>
      <c r="O304" s="1160"/>
      <c r="P304" s="1160"/>
      <c r="Q304" s="1160"/>
      <c r="R304" s="1160"/>
      <c r="S304" s="1160"/>
      <c r="T304" s="1160"/>
      <c r="U304" s="1160"/>
      <c r="V304" s="1160"/>
      <c r="W304" s="1160"/>
      <c r="X304" s="1160"/>
      <c r="Y304" s="1160"/>
      <c r="Z304" s="1160"/>
      <c r="AA304" s="1160"/>
      <c r="AB304" s="1160"/>
      <c r="AC304" s="1160"/>
      <c r="AD304" s="1160"/>
      <c r="AE304" s="1160"/>
      <c r="AF304" s="1160"/>
      <c r="AG304" s="1160"/>
    </row>
    <row r="305" ht="15.0" customHeight="1">
      <c r="A305" s="1209"/>
      <c r="B305" s="1209"/>
      <c r="C305" s="1210"/>
      <c r="D305" s="1160"/>
      <c r="E305" s="1160"/>
      <c r="F305" s="1160"/>
      <c r="G305" s="1160"/>
      <c r="H305" s="1160"/>
      <c r="I305" s="1160"/>
      <c r="J305" s="1160"/>
      <c r="K305" s="1160"/>
      <c r="L305" s="1160"/>
      <c r="M305" s="1160"/>
      <c r="N305" s="1160"/>
      <c r="O305" s="1160"/>
      <c r="P305" s="1160"/>
      <c r="Q305" s="1160"/>
      <c r="R305" s="1160"/>
      <c r="S305" s="1160"/>
      <c r="T305" s="1160"/>
      <c r="U305" s="1160"/>
      <c r="V305" s="1160"/>
      <c r="W305" s="1160"/>
      <c r="X305" s="1160"/>
      <c r="Y305" s="1160"/>
      <c r="Z305" s="1160"/>
      <c r="AA305" s="1160"/>
      <c r="AB305" s="1160"/>
      <c r="AC305" s="1160"/>
      <c r="AD305" s="1160"/>
      <c r="AE305" s="1160"/>
      <c r="AF305" s="1160"/>
      <c r="AG305" s="1160"/>
    </row>
    <row r="306" ht="15.0" customHeight="1">
      <c r="A306" s="1209"/>
      <c r="B306" s="1209"/>
      <c r="C306" s="1210"/>
      <c r="D306" s="1160"/>
      <c r="E306" s="1160"/>
      <c r="F306" s="1160"/>
      <c r="G306" s="1160"/>
      <c r="H306" s="1160"/>
      <c r="I306" s="1160"/>
      <c r="J306" s="1160"/>
      <c r="K306" s="1160"/>
      <c r="L306" s="1160"/>
      <c r="M306" s="1160"/>
      <c r="N306" s="1160"/>
      <c r="O306" s="1160"/>
      <c r="P306" s="1160"/>
      <c r="Q306" s="1160"/>
      <c r="R306" s="1160"/>
      <c r="S306" s="1160"/>
      <c r="T306" s="1160"/>
      <c r="U306" s="1160"/>
      <c r="V306" s="1160"/>
      <c r="W306" s="1160"/>
      <c r="X306" s="1160"/>
      <c r="Y306" s="1160"/>
      <c r="Z306" s="1160"/>
      <c r="AA306" s="1160"/>
      <c r="AB306" s="1160"/>
      <c r="AC306" s="1160"/>
      <c r="AD306" s="1160"/>
      <c r="AE306" s="1160"/>
      <c r="AF306" s="1160"/>
      <c r="AG306" s="1160"/>
    </row>
    <row r="307" ht="15.0" customHeight="1">
      <c r="A307" s="1209"/>
      <c r="B307" s="1209"/>
      <c r="C307" s="1210"/>
      <c r="D307" s="1160"/>
      <c r="E307" s="1160"/>
      <c r="F307" s="1160"/>
      <c r="G307" s="1160"/>
      <c r="H307" s="1160"/>
      <c r="I307" s="1160"/>
      <c r="J307" s="1160"/>
      <c r="K307" s="1160"/>
      <c r="L307" s="1160"/>
      <c r="M307" s="1160"/>
      <c r="N307" s="1160"/>
      <c r="O307" s="1160"/>
      <c r="P307" s="1160"/>
      <c r="Q307" s="1160"/>
      <c r="R307" s="1160"/>
      <c r="S307" s="1160"/>
      <c r="T307" s="1160"/>
      <c r="U307" s="1160"/>
      <c r="V307" s="1160"/>
      <c r="W307" s="1160"/>
      <c r="X307" s="1160"/>
      <c r="Y307" s="1160"/>
      <c r="Z307" s="1160"/>
      <c r="AA307" s="1160"/>
      <c r="AB307" s="1160"/>
      <c r="AC307" s="1160"/>
      <c r="AD307" s="1160"/>
      <c r="AE307" s="1160"/>
      <c r="AF307" s="1160"/>
      <c r="AG307" s="1160"/>
    </row>
    <row r="308" ht="15.0" customHeight="1">
      <c r="A308" s="1209"/>
      <c r="B308" s="1209"/>
      <c r="C308" s="1210"/>
      <c r="D308" s="1160"/>
      <c r="E308" s="1160"/>
      <c r="F308" s="1160"/>
      <c r="G308" s="1160"/>
      <c r="H308" s="1160"/>
      <c r="I308" s="1160"/>
      <c r="J308" s="1160"/>
      <c r="K308" s="1160"/>
      <c r="L308" s="1160"/>
      <c r="M308" s="1160"/>
      <c r="N308" s="1160"/>
      <c r="O308" s="1160"/>
      <c r="P308" s="1160"/>
      <c r="Q308" s="1160"/>
      <c r="R308" s="1160"/>
      <c r="S308" s="1160"/>
      <c r="T308" s="1160"/>
      <c r="U308" s="1160"/>
      <c r="V308" s="1160"/>
      <c r="W308" s="1160"/>
      <c r="X308" s="1160"/>
      <c r="Y308" s="1160"/>
      <c r="Z308" s="1160"/>
      <c r="AA308" s="1160"/>
      <c r="AB308" s="1160"/>
      <c r="AC308" s="1160"/>
      <c r="AD308" s="1160"/>
      <c r="AE308" s="1160"/>
      <c r="AF308" s="1160"/>
      <c r="AG308" s="1160"/>
    </row>
    <row r="309" ht="15.0" customHeight="1">
      <c r="A309" s="1209"/>
      <c r="B309" s="1209"/>
      <c r="C309" s="1210"/>
      <c r="D309" s="1160"/>
      <c r="E309" s="1160"/>
      <c r="F309" s="1160"/>
      <c r="G309" s="1160"/>
      <c r="H309" s="1160"/>
      <c r="I309" s="1160"/>
      <c r="J309" s="1160"/>
      <c r="K309" s="1160"/>
      <c r="L309" s="1160"/>
      <c r="M309" s="1160"/>
      <c r="N309" s="1160"/>
      <c r="O309" s="1160"/>
      <c r="P309" s="1160"/>
      <c r="Q309" s="1160"/>
      <c r="R309" s="1160"/>
      <c r="S309" s="1160"/>
      <c r="T309" s="1160"/>
      <c r="U309" s="1160"/>
      <c r="V309" s="1160"/>
      <c r="W309" s="1160"/>
      <c r="X309" s="1160"/>
      <c r="Y309" s="1160"/>
      <c r="Z309" s="1160"/>
      <c r="AA309" s="1160"/>
      <c r="AB309" s="1160"/>
      <c r="AC309" s="1160"/>
      <c r="AD309" s="1160"/>
      <c r="AE309" s="1160"/>
      <c r="AF309" s="1160"/>
      <c r="AG309" s="1160"/>
    </row>
    <row r="310" ht="15.0" customHeight="1">
      <c r="A310" s="1209"/>
      <c r="B310" s="1209"/>
      <c r="C310" s="1210"/>
      <c r="D310" s="1160"/>
      <c r="E310" s="1160"/>
      <c r="F310" s="1160"/>
      <c r="G310" s="1160"/>
      <c r="H310" s="1160"/>
      <c r="I310" s="1160"/>
      <c r="J310" s="1160"/>
      <c r="K310" s="1160"/>
      <c r="L310" s="1160"/>
      <c r="M310" s="1160"/>
      <c r="N310" s="1160"/>
      <c r="O310" s="1160"/>
      <c r="P310" s="1160"/>
      <c r="Q310" s="1160"/>
      <c r="R310" s="1160"/>
      <c r="S310" s="1160"/>
      <c r="T310" s="1160"/>
      <c r="U310" s="1160"/>
      <c r="V310" s="1160"/>
      <c r="W310" s="1160"/>
      <c r="X310" s="1160"/>
      <c r="Y310" s="1160"/>
      <c r="Z310" s="1160"/>
      <c r="AA310" s="1160"/>
      <c r="AB310" s="1160"/>
      <c r="AC310" s="1160"/>
      <c r="AD310" s="1160"/>
      <c r="AE310" s="1160"/>
      <c r="AF310" s="1160"/>
      <c r="AG310" s="1160"/>
    </row>
    <row r="311" ht="15.0" customHeight="1">
      <c r="A311" s="1209"/>
      <c r="B311" s="1209"/>
      <c r="C311" s="1210"/>
      <c r="D311" s="1160"/>
      <c r="E311" s="1160"/>
      <c r="F311" s="1160"/>
      <c r="G311" s="1160"/>
      <c r="H311" s="1160"/>
      <c r="I311" s="1160"/>
      <c r="J311" s="1160"/>
      <c r="K311" s="1160"/>
      <c r="L311" s="1160"/>
      <c r="M311" s="1160"/>
      <c r="N311" s="1160"/>
      <c r="O311" s="1160"/>
      <c r="P311" s="1160"/>
      <c r="Q311" s="1160"/>
      <c r="R311" s="1160"/>
      <c r="S311" s="1160"/>
      <c r="T311" s="1160"/>
      <c r="U311" s="1160"/>
      <c r="V311" s="1160"/>
      <c r="W311" s="1160"/>
      <c r="X311" s="1160"/>
      <c r="Y311" s="1160"/>
      <c r="Z311" s="1160"/>
      <c r="AA311" s="1160"/>
      <c r="AB311" s="1160"/>
      <c r="AC311" s="1160"/>
      <c r="AD311" s="1160"/>
      <c r="AE311" s="1160"/>
      <c r="AF311" s="1160"/>
      <c r="AG311" s="1160"/>
    </row>
    <row r="312" ht="15.0" customHeight="1">
      <c r="A312" s="1209"/>
      <c r="B312" s="1209"/>
      <c r="C312" s="1210"/>
      <c r="D312" s="1160"/>
      <c r="E312" s="1160"/>
      <c r="F312" s="1160"/>
      <c r="G312" s="1160"/>
      <c r="H312" s="1160"/>
      <c r="I312" s="1160"/>
      <c r="J312" s="1160"/>
      <c r="K312" s="1160"/>
      <c r="L312" s="1160"/>
      <c r="M312" s="1160"/>
      <c r="N312" s="1160"/>
      <c r="O312" s="1160"/>
      <c r="P312" s="1160"/>
      <c r="Q312" s="1160"/>
      <c r="R312" s="1160"/>
      <c r="S312" s="1160"/>
      <c r="T312" s="1160"/>
      <c r="U312" s="1160"/>
      <c r="V312" s="1160"/>
      <c r="W312" s="1160"/>
      <c r="X312" s="1160"/>
      <c r="Y312" s="1160"/>
      <c r="Z312" s="1160"/>
      <c r="AA312" s="1160"/>
      <c r="AB312" s="1160"/>
      <c r="AC312" s="1160"/>
      <c r="AD312" s="1160"/>
      <c r="AE312" s="1160"/>
      <c r="AF312" s="1160"/>
      <c r="AG312" s="1160"/>
    </row>
    <row r="313" ht="15.0" customHeight="1">
      <c r="A313" s="1209"/>
      <c r="B313" s="1209"/>
      <c r="C313" s="1210"/>
      <c r="D313" s="1160"/>
      <c r="E313" s="1160"/>
      <c r="F313" s="1160"/>
      <c r="G313" s="1160"/>
      <c r="H313" s="1160"/>
      <c r="I313" s="1160"/>
      <c r="J313" s="1160"/>
      <c r="K313" s="1160"/>
      <c r="L313" s="1160"/>
      <c r="M313" s="1160"/>
      <c r="N313" s="1160"/>
      <c r="O313" s="1160"/>
      <c r="P313" s="1160"/>
      <c r="Q313" s="1160"/>
      <c r="R313" s="1160"/>
      <c r="S313" s="1160"/>
      <c r="T313" s="1160"/>
      <c r="U313" s="1160"/>
      <c r="V313" s="1160"/>
      <c r="W313" s="1160"/>
      <c r="X313" s="1160"/>
      <c r="Y313" s="1160"/>
      <c r="Z313" s="1160"/>
      <c r="AA313" s="1160"/>
      <c r="AB313" s="1160"/>
      <c r="AC313" s="1160"/>
      <c r="AD313" s="1160"/>
      <c r="AE313" s="1160"/>
      <c r="AF313" s="1160"/>
      <c r="AG313" s="1160"/>
    </row>
    <row r="314" ht="15.0" customHeight="1">
      <c r="A314" s="1209"/>
      <c r="B314" s="1209"/>
      <c r="C314" s="1210"/>
      <c r="D314" s="1160"/>
      <c r="E314" s="1160"/>
      <c r="F314" s="1160"/>
      <c r="G314" s="1160"/>
      <c r="H314" s="1160"/>
      <c r="I314" s="1160"/>
      <c r="J314" s="1160"/>
      <c r="K314" s="1160"/>
      <c r="L314" s="1160"/>
      <c r="M314" s="1160"/>
      <c r="N314" s="1160"/>
      <c r="O314" s="1160"/>
      <c r="P314" s="1160"/>
      <c r="Q314" s="1160"/>
      <c r="R314" s="1160"/>
      <c r="S314" s="1160"/>
      <c r="T314" s="1160"/>
      <c r="U314" s="1160"/>
      <c r="V314" s="1160"/>
      <c r="W314" s="1160"/>
      <c r="X314" s="1160"/>
      <c r="Y314" s="1160"/>
      <c r="Z314" s="1160"/>
      <c r="AA314" s="1160"/>
      <c r="AB314" s="1160"/>
      <c r="AC314" s="1160"/>
      <c r="AD314" s="1160"/>
      <c r="AE314" s="1160"/>
      <c r="AF314" s="1160"/>
      <c r="AG314" s="1160"/>
    </row>
    <row r="315" ht="15.0" customHeight="1">
      <c r="A315" s="1209"/>
      <c r="B315" s="1209"/>
      <c r="C315" s="1210"/>
      <c r="D315" s="1160"/>
      <c r="E315" s="1160"/>
      <c r="F315" s="1160"/>
      <c r="G315" s="1160"/>
      <c r="H315" s="1160"/>
      <c r="I315" s="1160"/>
      <c r="J315" s="1160"/>
      <c r="K315" s="1160"/>
      <c r="L315" s="1160"/>
      <c r="M315" s="1160"/>
      <c r="N315" s="1160"/>
      <c r="O315" s="1160"/>
      <c r="P315" s="1160"/>
      <c r="Q315" s="1160"/>
      <c r="R315" s="1160"/>
      <c r="S315" s="1160"/>
      <c r="T315" s="1160"/>
      <c r="U315" s="1160"/>
      <c r="V315" s="1160"/>
      <c r="W315" s="1160"/>
      <c r="X315" s="1160"/>
      <c r="Y315" s="1160"/>
      <c r="Z315" s="1160"/>
      <c r="AA315" s="1160"/>
      <c r="AB315" s="1160"/>
      <c r="AC315" s="1160"/>
      <c r="AD315" s="1160"/>
      <c r="AE315" s="1160"/>
      <c r="AF315" s="1160"/>
      <c r="AG315" s="1160"/>
    </row>
    <row r="316" ht="15.0" customHeight="1">
      <c r="A316" s="1209"/>
      <c r="B316" s="1209"/>
      <c r="C316" s="1210"/>
      <c r="D316" s="1160"/>
      <c r="E316" s="1160"/>
      <c r="F316" s="1160"/>
      <c r="G316" s="1160"/>
      <c r="H316" s="1160"/>
      <c r="I316" s="1160"/>
      <c r="J316" s="1160"/>
      <c r="K316" s="1160"/>
      <c r="L316" s="1160"/>
      <c r="M316" s="1160"/>
      <c r="N316" s="1160"/>
      <c r="O316" s="1160"/>
      <c r="P316" s="1160"/>
      <c r="Q316" s="1160"/>
      <c r="R316" s="1160"/>
      <c r="S316" s="1160"/>
      <c r="T316" s="1160"/>
      <c r="U316" s="1160"/>
      <c r="V316" s="1160"/>
      <c r="W316" s="1160"/>
      <c r="X316" s="1160"/>
      <c r="Y316" s="1160"/>
      <c r="Z316" s="1160"/>
      <c r="AA316" s="1160"/>
      <c r="AB316" s="1160"/>
      <c r="AC316" s="1160"/>
      <c r="AD316" s="1160"/>
      <c r="AE316" s="1160"/>
      <c r="AF316" s="1160"/>
      <c r="AG316" s="1160"/>
    </row>
    <row r="317" ht="15.0" customHeight="1">
      <c r="A317" s="1209"/>
      <c r="B317" s="1209"/>
      <c r="C317" s="1210"/>
      <c r="D317" s="1160"/>
      <c r="E317" s="1160"/>
      <c r="F317" s="1160"/>
      <c r="G317" s="1160"/>
      <c r="H317" s="1160"/>
      <c r="I317" s="1160"/>
      <c r="J317" s="1160"/>
      <c r="K317" s="1160"/>
      <c r="L317" s="1160"/>
      <c r="M317" s="1160"/>
      <c r="N317" s="1160"/>
      <c r="O317" s="1160"/>
      <c r="P317" s="1160"/>
      <c r="Q317" s="1160"/>
      <c r="R317" s="1160"/>
      <c r="S317" s="1160"/>
      <c r="T317" s="1160"/>
      <c r="U317" s="1160"/>
      <c r="V317" s="1160"/>
      <c r="W317" s="1160"/>
      <c r="X317" s="1160"/>
      <c r="Y317" s="1160"/>
      <c r="Z317" s="1160"/>
      <c r="AA317" s="1160"/>
      <c r="AB317" s="1160"/>
      <c r="AC317" s="1160"/>
      <c r="AD317" s="1160"/>
      <c r="AE317" s="1160"/>
      <c r="AF317" s="1160"/>
      <c r="AG317" s="1160"/>
    </row>
    <row r="318" ht="15.0" customHeight="1">
      <c r="A318" s="1209"/>
      <c r="B318" s="1209"/>
      <c r="C318" s="1210"/>
      <c r="D318" s="1160"/>
      <c r="E318" s="1160"/>
      <c r="F318" s="1160"/>
      <c r="G318" s="1160"/>
      <c r="H318" s="1160"/>
      <c r="I318" s="1160"/>
      <c r="J318" s="1160"/>
      <c r="K318" s="1160"/>
      <c r="L318" s="1160"/>
      <c r="M318" s="1160"/>
      <c r="N318" s="1160"/>
      <c r="O318" s="1160"/>
      <c r="P318" s="1160"/>
      <c r="Q318" s="1160"/>
      <c r="R318" s="1160"/>
      <c r="S318" s="1160"/>
      <c r="T318" s="1160"/>
      <c r="U318" s="1160"/>
      <c r="V318" s="1160"/>
      <c r="W318" s="1160"/>
      <c r="X318" s="1160"/>
      <c r="Y318" s="1160"/>
      <c r="Z318" s="1160"/>
      <c r="AA318" s="1160"/>
      <c r="AB318" s="1160"/>
      <c r="AC318" s="1160"/>
      <c r="AD318" s="1160"/>
      <c r="AE318" s="1160"/>
      <c r="AF318" s="1160"/>
      <c r="AG318" s="1160"/>
    </row>
    <row r="319" ht="15.0" customHeight="1">
      <c r="A319" s="1209"/>
      <c r="B319" s="1209"/>
      <c r="C319" s="1210"/>
      <c r="D319" s="1160"/>
      <c r="E319" s="1160"/>
      <c r="F319" s="1160"/>
      <c r="G319" s="1160"/>
      <c r="H319" s="1160"/>
      <c r="I319" s="1160"/>
      <c r="J319" s="1160"/>
      <c r="K319" s="1160"/>
      <c r="L319" s="1160"/>
      <c r="M319" s="1160"/>
      <c r="N319" s="1160"/>
      <c r="O319" s="1160"/>
      <c r="P319" s="1160"/>
      <c r="Q319" s="1160"/>
      <c r="R319" s="1160"/>
      <c r="S319" s="1160"/>
      <c r="T319" s="1160"/>
      <c r="U319" s="1160"/>
      <c r="V319" s="1160"/>
      <c r="W319" s="1160"/>
      <c r="X319" s="1160"/>
      <c r="Y319" s="1160"/>
      <c r="Z319" s="1160"/>
      <c r="AA319" s="1160"/>
      <c r="AB319" s="1160"/>
      <c r="AC319" s="1160"/>
      <c r="AD319" s="1160"/>
      <c r="AE319" s="1160"/>
      <c r="AF319" s="1160"/>
      <c r="AG319" s="1160"/>
    </row>
    <row r="320" ht="15.0" customHeight="1">
      <c r="A320" s="1209"/>
      <c r="B320" s="1209"/>
      <c r="C320" s="1210"/>
      <c r="D320" s="1160"/>
      <c r="E320" s="1160"/>
      <c r="F320" s="1160"/>
      <c r="G320" s="1160"/>
      <c r="H320" s="1160"/>
      <c r="I320" s="1160"/>
      <c r="J320" s="1160"/>
      <c r="K320" s="1160"/>
      <c r="L320" s="1160"/>
      <c r="M320" s="1160"/>
      <c r="N320" s="1160"/>
      <c r="O320" s="1160"/>
      <c r="P320" s="1160"/>
      <c r="Q320" s="1160"/>
      <c r="R320" s="1160"/>
      <c r="S320" s="1160"/>
      <c r="T320" s="1160"/>
      <c r="U320" s="1160"/>
      <c r="V320" s="1160"/>
      <c r="W320" s="1160"/>
      <c r="X320" s="1160"/>
      <c r="Y320" s="1160"/>
      <c r="Z320" s="1160"/>
      <c r="AA320" s="1160"/>
      <c r="AB320" s="1160"/>
      <c r="AC320" s="1160"/>
      <c r="AD320" s="1160"/>
      <c r="AE320" s="1160"/>
      <c r="AF320" s="1160"/>
      <c r="AG320" s="1160"/>
    </row>
    <row r="321" ht="15.0" customHeight="1">
      <c r="A321" s="1209"/>
      <c r="B321" s="1209"/>
      <c r="C321" s="1210"/>
      <c r="D321" s="1160"/>
      <c r="E321" s="1160"/>
      <c r="F321" s="1160"/>
      <c r="G321" s="1160"/>
      <c r="H321" s="1160"/>
      <c r="I321" s="1160"/>
      <c r="J321" s="1160"/>
      <c r="K321" s="1160"/>
      <c r="L321" s="1160"/>
      <c r="M321" s="1160"/>
      <c r="N321" s="1160"/>
      <c r="O321" s="1160"/>
      <c r="P321" s="1160"/>
      <c r="Q321" s="1160"/>
      <c r="R321" s="1160"/>
      <c r="S321" s="1160"/>
      <c r="T321" s="1160"/>
      <c r="U321" s="1160"/>
      <c r="V321" s="1160"/>
      <c r="W321" s="1160"/>
      <c r="X321" s="1160"/>
      <c r="Y321" s="1160"/>
      <c r="Z321" s="1160"/>
      <c r="AA321" s="1160"/>
      <c r="AB321" s="1160"/>
      <c r="AC321" s="1160"/>
      <c r="AD321" s="1160"/>
      <c r="AE321" s="1160"/>
      <c r="AF321" s="1160"/>
      <c r="AG321" s="1160"/>
    </row>
    <row r="322" ht="15.0" customHeight="1">
      <c r="A322" s="1209"/>
      <c r="B322" s="1209"/>
      <c r="C322" s="1210"/>
      <c r="D322" s="1160"/>
      <c r="E322" s="1160"/>
      <c r="F322" s="1160"/>
      <c r="G322" s="1160"/>
      <c r="H322" s="1160"/>
      <c r="I322" s="1160"/>
      <c r="J322" s="1160"/>
      <c r="K322" s="1160"/>
      <c r="L322" s="1160"/>
      <c r="M322" s="1160"/>
      <c r="N322" s="1160"/>
      <c r="O322" s="1160"/>
      <c r="P322" s="1160"/>
      <c r="Q322" s="1160"/>
      <c r="R322" s="1160"/>
      <c r="S322" s="1160"/>
      <c r="T322" s="1160"/>
      <c r="U322" s="1160"/>
      <c r="V322" s="1160"/>
      <c r="W322" s="1160"/>
      <c r="X322" s="1160"/>
      <c r="Y322" s="1160"/>
      <c r="Z322" s="1160"/>
      <c r="AA322" s="1160"/>
      <c r="AB322" s="1160"/>
      <c r="AC322" s="1160"/>
      <c r="AD322" s="1160"/>
      <c r="AE322" s="1160"/>
      <c r="AF322" s="1160"/>
      <c r="AG322" s="1160"/>
    </row>
    <row r="323" ht="15.0" customHeight="1">
      <c r="A323" s="1209"/>
      <c r="B323" s="1209"/>
      <c r="C323" s="1210"/>
      <c r="D323" s="1160"/>
      <c r="E323" s="1160"/>
      <c r="F323" s="1160"/>
      <c r="G323" s="1160"/>
      <c r="H323" s="1160"/>
      <c r="I323" s="1160"/>
      <c r="J323" s="1160"/>
      <c r="K323" s="1160"/>
      <c r="L323" s="1160"/>
      <c r="M323" s="1160"/>
      <c r="N323" s="1160"/>
      <c r="O323" s="1160"/>
      <c r="P323" s="1160"/>
      <c r="Q323" s="1160"/>
      <c r="R323" s="1160"/>
      <c r="S323" s="1160"/>
      <c r="T323" s="1160"/>
      <c r="U323" s="1160"/>
      <c r="V323" s="1160"/>
      <c r="W323" s="1160"/>
      <c r="X323" s="1160"/>
      <c r="Y323" s="1160"/>
      <c r="Z323" s="1160"/>
      <c r="AA323" s="1160"/>
      <c r="AB323" s="1160"/>
      <c r="AC323" s="1160"/>
      <c r="AD323" s="1160"/>
      <c r="AE323" s="1160"/>
      <c r="AF323" s="1160"/>
      <c r="AG323" s="1160"/>
    </row>
    <row r="324" ht="15.0" customHeight="1">
      <c r="A324" s="1209"/>
      <c r="B324" s="1209"/>
      <c r="C324" s="1210"/>
      <c r="D324" s="1160"/>
      <c r="E324" s="1160"/>
      <c r="F324" s="1160"/>
      <c r="G324" s="1160"/>
      <c r="H324" s="1160"/>
      <c r="I324" s="1160"/>
      <c r="J324" s="1160"/>
      <c r="K324" s="1160"/>
      <c r="L324" s="1160"/>
      <c r="M324" s="1160"/>
      <c r="N324" s="1160"/>
      <c r="O324" s="1160"/>
      <c r="P324" s="1160"/>
      <c r="Q324" s="1160"/>
      <c r="R324" s="1160"/>
      <c r="S324" s="1160"/>
      <c r="T324" s="1160"/>
      <c r="U324" s="1160"/>
      <c r="V324" s="1160"/>
      <c r="W324" s="1160"/>
      <c r="X324" s="1160"/>
      <c r="Y324" s="1160"/>
      <c r="Z324" s="1160"/>
      <c r="AA324" s="1160"/>
      <c r="AB324" s="1160"/>
      <c r="AC324" s="1160"/>
      <c r="AD324" s="1160"/>
      <c r="AE324" s="1160"/>
      <c r="AF324" s="1160"/>
      <c r="AG324" s="1160"/>
    </row>
    <row r="325" ht="15.0" customHeight="1">
      <c r="A325" s="1209"/>
      <c r="B325" s="1209"/>
      <c r="C325" s="1210"/>
      <c r="D325" s="1160"/>
      <c r="E325" s="1160"/>
      <c r="F325" s="1160"/>
      <c r="G325" s="1160"/>
      <c r="H325" s="1160"/>
      <c r="I325" s="1160"/>
      <c r="J325" s="1160"/>
      <c r="K325" s="1160"/>
      <c r="L325" s="1160"/>
      <c r="M325" s="1160"/>
      <c r="N325" s="1160"/>
      <c r="O325" s="1160"/>
      <c r="P325" s="1160"/>
      <c r="Q325" s="1160"/>
      <c r="R325" s="1160"/>
      <c r="S325" s="1160"/>
      <c r="T325" s="1160"/>
      <c r="U325" s="1160"/>
      <c r="V325" s="1160"/>
      <c r="W325" s="1160"/>
      <c r="X325" s="1160"/>
      <c r="Y325" s="1160"/>
      <c r="Z325" s="1160"/>
      <c r="AA325" s="1160"/>
      <c r="AB325" s="1160"/>
      <c r="AC325" s="1160"/>
      <c r="AD325" s="1160"/>
      <c r="AE325" s="1160"/>
      <c r="AF325" s="1160"/>
      <c r="AG325" s="1160"/>
    </row>
    <row r="326" ht="15.0" customHeight="1">
      <c r="A326" s="1209"/>
      <c r="B326" s="1209"/>
      <c r="C326" s="1210"/>
      <c r="D326" s="1160"/>
      <c r="E326" s="1160"/>
      <c r="F326" s="1160"/>
      <c r="G326" s="1160"/>
      <c r="H326" s="1160"/>
      <c r="I326" s="1160"/>
      <c r="J326" s="1160"/>
      <c r="K326" s="1160"/>
      <c r="L326" s="1160"/>
      <c r="M326" s="1160"/>
      <c r="N326" s="1160"/>
      <c r="O326" s="1160"/>
      <c r="P326" s="1160"/>
      <c r="Q326" s="1160"/>
      <c r="R326" s="1160"/>
      <c r="S326" s="1160"/>
      <c r="T326" s="1160"/>
      <c r="U326" s="1160"/>
      <c r="V326" s="1160"/>
      <c r="W326" s="1160"/>
      <c r="X326" s="1160"/>
      <c r="Y326" s="1160"/>
      <c r="Z326" s="1160"/>
      <c r="AA326" s="1160"/>
      <c r="AB326" s="1160"/>
      <c r="AC326" s="1160"/>
      <c r="AD326" s="1160"/>
      <c r="AE326" s="1160"/>
      <c r="AF326" s="1160"/>
      <c r="AG326" s="1160"/>
    </row>
    <row r="327" ht="15.0" customHeight="1">
      <c r="A327" s="1209"/>
      <c r="B327" s="1209"/>
      <c r="C327" s="1210"/>
      <c r="D327" s="1160"/>
      <c r="E327" s="1160"/>
      <c r="F327" s="1160"/>
      <c r="G327" s="1160"/>
      <c r="H327" s="1160"/>
      <c r="I327" s="1160"/>
      <c r="J327" s="1160"/>
      <c r="K327" s="1160"/>
      <c r="L327" s="1160"/>
      <c r="M327" s="1160"/>
      <c r="N327" s="1160"/>
      <c r="O327" s="1160"/>
      <c r="P327" s="1160"/>
      <c r="Q327" s="1160"/>
      <c r="R327" s="1160"/>
      <c r="S327" s="1160"/>
      <c r="T327" s="1160"/>
      <c r="U327" s="1160"/>
      <c r="V327" s="1160"/>
      <c r="W327" s="1160"/>
      <c r="X327" s="1160"/>
      <c r="Y327" s="1160"/>
      <c r="Z327" s="1160"/>
      <c r="AA327" s="1160"/>
      <c r="AB327" s="1160"/>
      <c r="AC327" s="1160"/>
      <c r="AD327" s="1160"/>
      <c r="AE327" s="1160"/>
      <c r="AF327" s="1160"/>
      <c r="AG327" s="1160"/>
    </row>
    <row r="328" ht="15.0" customHeight="1">
      <c r="A328" s="1209"/>
      <c r="B328" s="1209"/>
      <c r="C328" s="1210"/>
      <c r="D328" s="1160"/>
      <c r="E328" s="1160"/>
      <c r="F328" s="1160"/>
      <c r="G328" s="1160"/>
      <c r="H328" s="1160"/>
      <c r="I328" s="1160"/>
      <c r="J328" s="1160"/>
      <c r="K328" s="1160"/>
      <c r="L328" s="1160"/>
      <c r="M328" s="1160"/>
      <c r="N328" s="1160"/>
      <c r="O328" s="1160"/>
      <c r="P328" s="1160"/>
      <c r="Q328" s="1160"/>
      <c r="R328" s="1160"/>
      <c r="S328" s="1160"/>
      <c r="T328" s="1160"/>
      <c r="U328" s="1160"/>
      <c r="V328" s="1160"/>
      <c r="W328" s="1160"/>
      <c r="X328" s="1160"/>
      <c r="Y328" s="1160"/>
      <c r="Z328" s="1160"/>
      <c r="AA328" s="1160"/>
      <c r="AB328" s="1160"/>
      <c r="AC328" s="1160"/>
      <c r="AD328" s="1160"/>
      <c r="AE328" s="1160"/>
      <c r="AF328" s="1160"/>
      <c r="AG328" s="1160"/>
    </row>
    <row r="329" ht="15.0" customHeight="1">
      <c r="A329" s="1209"/>
      <c r="B329" s="1209"/>
      <c r="C329" s="1210"/>
      <c r="D329" s="1160"/>
      <c r="E329" s="1160"/>
      <c r="F329" s="1160"/>
      <c r="G329" s="1160"/>
      <c r="H329" s="1160"/>
      <c r="I329" s="1160"/>
      <c r="J329" s="1160"/>
      <c r="K329" s="1160"/>
      <c r="L329" s="1160"/>
      <c r="M329" s="1160"/>
      <c r="N329" s="1160"/>
      <c r="O329" s="1160"/>
      <c r="P329" s="1160"/>
      <c r="Q329" s="1160"/>
      <c r="R329" s="1160"/>
      <c r="S329" s="1160"/>
      <c r="T329" s="1160"/>
      <c r="U329" s="1160"/>
      <c r="V329" s="1160"/>
      <c r="W329" s="1160"/>
      <c r="X329" s="1160"/>
      <c r="Y329" s="1160"/>
      <c r="Z329" s="1160"/>
      <c r="AA329" s="1160"/>
      <c r="AB329" s="1160"/>
      <c r="AC329" s="1160"/>
      <c r="AD329" s="1160"/>
      <c r="AE329" s="1160"/>
      <c r="AF329" s="1160"/>
      <c r="AG329" s="1160"/>
    </row>
    <row r="330" ht="15.0" customHeight="1">
      <c r="A330" s="1209"/>
      <c r="B330" s="1209"/>
      <c r="C330" s="1210"/>
      <c r="D330" s="1160"/>
      <c r="E330" s="1160"/>
      <c r="F330" s="1160"/>
      <c r="G330" s="1160"/>
      <c r="H330" s="1160"/>
      <c r="I330" s="1160"/>
      <c r="J330" s="1160"/>
      <c r="K330" s="1160"/>
      <c r="L330" s="1160"/>
      <c r="M330" s="1160"/>
      <c r="N330" s="1160"/>
      <c r="O330" s="1160"/>
      <c r="P330" s="1160"/>
      <c r="Q330" s="1160"/>
      <c r="R330" s="1160"/>
      <c r="S330" s="1160"/>
      <c r="T330" s="1160"/>
      <c r="U330" s="1160"/>
      <c r="V330" s="1160"/>
      <c r="W330" s="1160"/>
      <c r="X330" s="1160"/>
      <c r="Y330" s="1160"/>
      <c r="Z330" s="1160"/>
      <c r="AA330" s="1160"/>
      <c r="AB330" s="1160"/>
      <c r="AC330" s="1160"/>
      <c r="AD330" s="1160"/>
      <c r="AE330" s="1160"/>
      <c r="AF330" s="1160"/>
      <c r="AG330" s="1160"/>
    </row>
    <row r="331" ht="15.0" customHeight="1">
      <c r="A331" s="1209"/>
      <c r="B331" s="1209"/>
      <c r="C331" s="1210"/>
      <c r="D331" s="1160"/>
      <c r="E331" s="1160"/>
      <c r="F331" s="1160"/>
      <c r="G331" s="1160"/>
      <c r="H331" s="1160"/>
      <c r="I331" s="1160"/>
      <c r="J331" s="1160"/>
      <c r="K331" s="1160"/>
      <c r="L331" s="1160"/>
      <c r="M331" s="1160"/>
      <c r="N331" s="1160"/>
      <c r="O331" s="1160"/>
      <c r="P331" s="1160"/>
      <c r="Q331" s="1160"/>
      <c r="R331" s="1160"/>
      <c r="S331" s="1160"/>
      <c r="T331" s="1160"/>
      <c r="U331" s="1160"/>
      <c r="V331" s="1160"/>
      <c r="W331" s="1160"/>
      <c r="X331" s="1160"/>
      <c r="Y331" s="1160"/>
      <c r="Z331" s="1160"/>
      <c r="AA331" s="1160"/>
      <c r="AB331" s="1160"/>
      <c r="AC331" s="1160"/>
      <c r="AD331" s="1160"/>
      <c r="AE331" s="1160"/>
      <c r="AF331" s="1160"/>
      <c r="AG331" s="1160"/>
    </row>
    <row r="332" ht="15.0" customHeight="1">
      <c r="A332" s="1209"/>
      <c r="B332" s="1209"/>
      <c r="C332" s="1210"/>
      <c r="D332" s="1160"/>
      <c r="E332" s="1160"/>
      <c r="F332" s="1160"/>
      <c r="G332" s="1160"/>
      <c r="H332" s="1160"/>
      <c r="I332" s="1160"/>
      <c r="J332" s="1160"/>
      <c r="K332" s="1160"/>
      <c r="L332" s="1160"/>
      <c r="M332" s="1160"/>
      <c r="N332" s="1160"/>
      <c r="O332" s="1160"/>
      <c r="P332" s="1160"/>
      <c r="Q332" s="1160"/>
      <c r="R332" s="1160"/>
      <c r="S332" s="1160"/>
      <c r="T332" s="1160"/>
      <c r="U332" s="1160"/>
      <c r="V332" s="1160"/>
      <c r="W332" s="1160"/>
      <c r="X332" s="1160"/>
      <c r="Y332" s="1160"/>
      <c r="Z332" s="1160"/>
      <c r="AA332" s="1160"/>
      <c r="AB332" s="1160"/>
      <c r="AC332" s="1160"/>
      <c r="AD332" s="1160"/>
      <c r="AE332" s="1160"/>
      <c r="AF332" s="1160"/>
      <c r="AG332" s="1160"/>
    </row>
    <row r="333" ht="15.0" customHeight="1">
      <c r="A333" s="1209"/>
      <c r="B333" s="1209"/>
      <c r="C333" s="1210"/>
      <c r="D333" s="1160"/>
      <c r="E333" s="1160"/>
      <c r="F333" s="1160"/>
      <c r="G333" s="1160"/>
      <c r="H333" s="1160"/>
      <c r="I333" s="1160"/>
      <c r="J333" s="1160"/>
      <c r="K333" s="1160"/>
      <c r="L333" s="1160"/>
      <c r="M333" s="1160"/>
      <c r="N333" s="1160"/>
      <c r="O333" s="1160"/>
      <c r="P333" s="1160"/>
      <c r="Q333" s="1160"/>
      <c r="R333" s="1160"/>
      <c r="S333" s="1160"/>
      <c r="T333" s="1160"/>
      <c r="U333" s="1160"/>
      <c r="V333" s="1160"/>
      <c r="W333" s="1160"/>
      <c r="X333" s="1160"/>
      <c r="Y333" s="1160"/>
      <c r="Z333" s="1160"/>
      <c r="AA333" s="1160"/>
      <c r="AB333" s="1160"/>
      <c r="AC333" s="1160"/>
      <c r="AD333" s="1160"/>
      <c r="AE333" s="1160"/>
      <c r="AF333" s="1160"/>
      <c r="AG333" s="1160"/>
    </row>
    <row r="334" ht="15.0" customHeight="1">
      <c r="A334" s="1209"/>
      <c r="B334" s="1209"/>
      <c r="C334" s="1210"/>
      <c r="D334" s="1160"/>
      <c r="E334" s="1160"/>
      <c r="F334" s="1160"/>
      <c r="G334" s="1160"/>
      <c r="H334" s="1160"/>
      <c r="I334" s="1160"/>
      <c r="J334" s="1160"/>
      <c r="K334" s="1160"/>
      <c r="L334" s="1160"/>
      <c r="M334" s="1160"/>
      <c r="N334" s="1160"/>
      <c r="O334" s="1160"/>
      <c r="P334" s="1160"/>
      <c r="Q334" s="1160"/>
      <c r="R334" s="1160"/>
      <c r="S334" s="1160"/>
      <c r="T334" s="1160"/>
      <c r="U334" s="1160"/>
      <c r="V334" s="1160"/>
      <c r="W334" s="1160"/>
      <c r="X334" s="1160"/>
      <c r="Y334" s="1160"/>
      <c r="Z334" s="1160"/>
      <c r="AA334" s="1160"/>
      <c r="AB334" s="1160"/>
      <c r="AC334" s="1160"/>
      <c r="AD334" s="1160"/>
      <c r="AE334" s="1160"/>
      <c r="AF334" s="1160"/>
      <c r="AG334" s="1160"/>
    </row>
    <row r="335" ht="15.0" customHeight="1">
      <c r="A335" s="1209"/>
      <c r="B335" s="1209"/>
      <c r="C335" s="1210"/>
      <c r="D335" s="1160"/>
      <c r="E335" s="1160"/>
      <c r="F335" s="1160"/>
      <c r="G335" s="1160"/>
      <c r="H335" s="1160"/>
      <c r="I335" s="1160"/>
      <c r="J335" s="1160"/>
      <c r="K335" s="1160"/>
      <c r="L335" s="1160"/>
      <c r="M335" s="1160"/>
      <c r="N335" s="1160"/>
      <c r="O335" s="1160"/>
      <c r="P335" s="1160"/>
      <c r="Q335" s="1160"/>
      <c r="R335" s="1160"/>
      <c r="S335" s="1160"/>
      <c r="T335" s="1160"/>
      <c r="U335" s="1160"/>
      <c r="V335" s="1160"/>
      <c r="W335" s="1160"/>
      <c r="X335" s="1160"/>
      <c r="Y335" s="1160"/>
      <c r="Z335" s="1160"/>
      <c r="AA335" s="1160"/>
      <c r="AB335" s="1160"/>
      <c r="AC335" s="1160"/>
      <c r="AD335" s="1160"/>
      <c r="AE335" s="1160"/>
      <c r="AF335" s="1160"/>
      <c r="AG335" s="1160"/>
    </row>
    <row r="336" ht="15.0" customHeight="1">
      <c r="A336" s="1209"/>
      <c r="B336" s="1209"/>
      <c r="C336" s="1210"/>
      <c r="D336" s="1160"/>
      <c r="E336" s="1160"/>
      <c r="F336" s="1160"/>
      <c r="G336" s="1160"/>
      <c r="H336" s="1160"/>
      <c r="I336" s="1160"/>
      <c r="J336" s="1160"/>
      <c r="K336" s="1160"/>
      <c r="L336" s="1160"/>
      <c r="M336" s="1160"/>
      <c r="N336" s="1160"/>
      <c r="O336" s="1160"/>
      <c r="P336" s="1160"/>
      <c r="Q336" s="1160"/>
      <c r="R336" s="1160"/>
      <c r="S336" s="1160"/>
      <c r="T336" s="1160"/>
      <c r="U336" s="1160"/>
      <c r="V336" s="1160"/>
      <c r="W336" s="1160"/>
      <c r="X336" s="1160"/>
      <c r="Y336" s="1160"/>
      <c r="Z336" s="1160"/>
      <c r="AA336" s="1160"/>
      <c r="AB336" s="1160"/>
      <c r="AC336" s="1160"/>
      <c r="AD336" s="1160"/>
      <c r="AE336" s="1160"/>
      <c r="AF336" s="1160"/>
      <c r="AG336" s="1160"/>
    </row>
    <row r="337" ht="15.0" customHeight="1">
      <c r="A337" s="1209"/>
      <c r="B337" s="1209"/>
      <c r="C337" s="1210"/>
      <c r="D337" s="1160"/>
      <c r="E337" s="1160"/>
      <c r="F337" s="1160"/>
      <c r="G337" s="1160"/>
      <c r="H337" s="1160"/>
      <c r="I337" s="1160"/>
      <c r="J337" s="1160"/>
      <c r="K337" s="1160"/>
      <c r="L337" s="1160"/>
      <c r="M337" s="1160"/>
      <c r="N337" s="1160"/>
      <c r="O337" s="1160"/>
      <c r="P337" s="1160"/>
      <c r="Q337" s="1160"/>
      <c r="R337" s="1160"/>
      <c r="S337" s="1160"/>
      <c r="T337" s="1160"/>
      <c r="U337" s="1160"/>
      <c r="V337" s="1160"/>
      <c r="W337" s="1160"/>
      <c r="X337" s="1160"/>
      <c r="Y337" s="1160"/>
      <c r="Z337" s="1160"/>
      <c r="AA337" s="1160"/>
      <c r="AB337" s="1160"/>
      <c r="AC337" s="1160"/>
      <c r="AD337" s="1160"/>
      <c r="AE337" s="1160"/>
      <c r="AF337" s="1160"/>
      <c r="AG337" s="1160"/>
    </row>
    <row r="338" ht="15.0" customHeight="1">
      <c r="A338" s="1209"/>
      <c r="B338" s="1209"/>
      <c r="C338" s="1210"/>
      <c r="D338" s="1160"/>
      <c r="E338" s="1160"/>
      <c r="F338" s="1160"/>
      <c r="G338" s="1160"/>
      <c r="H338" s="1160"/>
      <c r="I338" s="1160"/>
      <c r="J338" s="1160"/>
      <c r="K338" s="1160"/>
      <c r="L338" s="1160"/>
      <c r="M338" s="1160"/>
      <c r="N338" s="1160"/>
      <c r="O338" s="1160"/>
      <c r="P338" s="1160"/>
      <c r="Q338" s="1160"/>
      <c r="R338" s="1160"/>
      <c r="S338" s="1160"/>
      <c r="T338" s="1160"/>
      <c r="U338" s="1160"/>
      <c r="V338" s="1160"/>
      <c r="W338" s="1160"/>
      <c r="X338" s="1160"/>
      <c r="Y338" s="1160"/>
      <c r="Z338" s="1160"/>
      <c r="AA338" s="1160"/>
      <c r="AB338" s="1160"/>
      <c r="AC338" s="1160"/>
      <c r="AD338" s="1160"/>
      <c r="AE338" s="1160"/>
      <c r="AF338" s="1160"/>
      <c r="AG338" s="1160"/>
    </row>
    <row r="339" ht="15.0" customHeight="1">
      <c r="A339" s="1209"/>
      <c r="B339" s="1209"/>
      <c r="C339" s="1210"/>
      <c r="D339" s="1160"/>
      <c r="E339" s="1160"/>
      <c r="F339" s="1160"/>
      <c r="G339" s="1160"/>
      <c r="H339" s="1160"/>
      <c r="I339" s="1160"/>
      <c r="J339" s="1160"/>
      <c r="K339" s="1160"/>
      <c r="L339" s="1160"/>
      <c r="M339" s="1160"/>
      <c r="N339" s="1160"/>
      <c r="O339" s="1160"/>
      <c r="P339" s="1160"/>
      <c r="Q339" s="1160"/>
      <c r="R339" s="1160"/>
      <c r="S339" s="1160"/>
      <c r="T339" s="1160"/>
      <c r="U339" s="1160"/>
      <c r="V339" s="1160"/>
      <c r="W339" s="1160"/>
      <c r="X339" s="1160"/>
      <c r="Y339" s="1160"/>
      <c r="Z339" s="1160"/>
      <c r="AA339" s="1160"/>
      <c r="AB339" s="1160"/>
      <c r="AC339" s="1160"/>
      <c r="AD339" s="1160"/>
      <c r="AE339" s="1160"/>
      <c r="AF339" s="1160"/>
      <c r="AG339" s="1160"/>
    </row>
    <row r="340" ht="15.0" customHeight="1">
      <c r="A340" s="1209"/>
      <c r="B340" s="1209"/>
      <c r="C340" s="1210"/>
      <c r="D340" s="1160"/>
      <c r="E340" s="1160"/>
      <c r="F340" s="1160"/>
      <c r="G340" s="1160"/>
      <c r="H340" s="1160"/>
      <c r="I340" s="1160"/>
      <c r="J340" s="1160"/>
      <c r="K340" s="1160"/>
      <c r="L340" s="1160"/>
      <c r="M340" s="1160"/>
      <c r="N340" s="1160"/>
      <c r="O340" s="1160"/>
      <c r="P340" s="1160"/>
      <c r="Q340" s="1160"/>
      <c r="R340" s="1160"/>
      <c r="S340" s="1160"/>
      <c r="T340" s="1160"/>
      <c r="U340" s="1160"/>
      <c r="V340" s="1160"/>
      <c r="W340" s="1160"/>
      <c r="X340" s="1160"/>
      <c r="Y340" s="1160"/>
      <c r="Z340" s="1160"/>
      <c r="AA340" s="1160"/>
      <c r="AB340" s="1160"/>
      <c r="AC340" s="1160"/>
      <c r="AD340" s="1160"/>
      <c r="AE340" s="1160"/>
      <c r="AF340" s="1160"/>
      <c r="AG340" s="1160"/>
    </row>
    <row r="341" ht="15.0" customHeight="1">
      <c r="A341" s="1209"/>
      <c r="B341" s="1209"/>
      <c r="C341" s="1210"/>
      <c r="D341" s="1160"/>
      <c r="E341" s="1160"/>
      <c r="F341" s="1160"/>
      <c r="G341" s="1160"/>
      <c r="H341" s="1160"/>
      <c r="I341" s="1160"/>
      <c r="J341" s="1160"/>
      <c r="K341" s="1160"/>
      <c r="L341" s="1160"/>
      <c r="M341" s="1160"/>
      <c r="N341" s="1160"/>
      <c r="O341" s="1160"/>
      <c r="P341" s="1160"/>
      <c r="Q341" s="1160"/>
      <c r="R341" s="1160"/>
      <c r="S341" s="1160"/>
      <c r="T341" s="1160"/>
      <c r="U341" s="1160"/>
      <c r="V341" s="1160"/>
      <c r="W341" s="1160"/>
      <c r="X341" s="1160"/>
      <c r="Y341" s="1160"/>
      <c r="Z341" s="1160"/>
      <c r="AA341" s="1160"/>
      <c r="AB341" s="1160"/>
      <c r="AC341" s="1160"/>
      <c r="AD341" s="1160"/>
      <c r="AE341" s="1160"/>
      <c r="AF341" s="1160"/>
      <c r="AG341" s="1160"/>
    </row>
    <row r="342" ht="15.0" customHeight="1">
      <c r="A342" s="1209"/>
      <c r="B342" s="1209"/>
      <c r="C342" s="1210"/>
      <c r="D342" s="1160"/>
      <c r="E342" s="1160"/>
      <c r="F342" s="1160"/>
      <c r="G342" s="1160"/>
      <c r="H342" s="1160"/>
      <c r="I342" s="1160"/>
      <c r="J342" s="1160"/>
      <c r="K342" s="1160"/>
      <c r="L342" s="1160"/>
      <c r="M342" s="1160"/>
      <c r="N342" s="1160"/>
      <c r="O342" s="1160"/>
      <c r="P342" s="1160"/>
      <c r="Q342" s="1160"/>
      <c r="R342" s="1160"/>
      <c r="S342" s="1160"/>
      <c r="T342" s="1160"/>
      <c r="U342" s="1160"/>
      <c r="V342" s="1160"/>
      <c r="W342" s="1160"/>
      <c r="X342" s="1160"/>
      <c r="Y342" s="1160"/>
      <c r="Z342" s="1160"/>
      <c r="AA342" s="1160"/>
      <c r="AB342" s="1160"/>
      <c r="AC342" s="1160"/>
      <c r="AD342" s="1160"/>
      <c r="AE342" s="1160"/>
      <c r="AF342" s="1160"/>
      <c r="AG342" s="1160"/>
    </row>
    <row r="343" ht="15.0" customHeight="1">
      <c r="A343" s="1209"/>
      <c r="B343" s="1209"/>
      <c r="C343" s="1210"/>
      <c r="D343" s="1160"/>
      <c r="E343" s="1160"/>
      <c r="F343" s="1160"/>
      <c r="G343" s="1160"/>
      <c r="H343" s="1160"/>
      <c r="I343" s="1160"/>
      <c r="J343" s="1160"/>
      <c r="K343" s="1160"/>
      <c r="L343" s="1160"/>
      <c r="M343" s="1160"/>
      <c r="N343" s="1160"/>
      <c r="O343" s="1160"/>
      <c r="P343" s="1160"/>
      <c r="Q343" s="1160"/>
      <c r="R343" s="1160"/>
      <c r="S343" s="1160"/>
      <c r="T343" s="1160"/>
      <c r="U343" s="1160"/>
      <c r="V343" s="1160"/>
      <c r="W343" s="1160"/>
      <c r="X343" s="1160"/>
      <c r="Y343" s="1160"/>
      <c r="Z343" s="1160"/>
      <c r="AA343" s="1160"/>
      <c r="AB343" s="1160"/>
      <c r="AC343" s="1160"/>
      <c r="AD343" s="1160"/>
      <c r="AE343" s="1160"/>
      <c r="AF343" s="1160"/>
      <c r="AG343" s="1160"/>
    </row>
    <row r="344" ht="15.0" customHeight="1">
      <c r="A344" s="1209"/>
      <c r="B344" s="1209"/>
      <c r="C344" s="1210"/>
      <c r="D344" s="1160"/>
      <c r="E344" s="1160"/>
      <c r="F344" s="1160"/>
      <c r="G344" s="1160"/>
      <c r="H344" s="1160"/>
      <c r="I344" s="1160"/>
      <c r="J344" s="1160"/>
      <c r="K344" s="1160"/>
      <c r="L344" s="1160"/>
      <c r="M344" s="1160"/>
      <c r="N344" s="1160"/>
      <c r="O344" s="1160"/>
      <c r="P344" s="1160"/>
      <c r="Q344" s="1160"/>
      <c r="R344" s="1160"/>
      <c r="S344" s="1160"/>
      <c r="T344" s="1160"/>
      <c r="U344" s="1160"/>
      <c r="V344" s="1160"/>
      <c r="W344" s="1160"/>
      <c r="X344" s="1160"/>
      <c r="Y344" s="1160"/>
      <c r="Z344" s="1160"/>
      <c r="AA344" s="1160"/>
      <c r="AB344" s="1160"/>
      <c r="AC344" s="1160"/>
      <c r="AD344" s="1160"/>
      <c r="AE344" s="1160"/>
      <c r="AF344" s="1160"/>
      <c r="AG344" s="1160"/>
    </row>
    <row r="345" ht="15.0" customHeight="1">
      <c r="A345" s="1209"/>
      <c r="B345" s="1209"/>
      <c r="C345" s="1210"/>
      <c r="D345" s="1160"/>
      <c r="E345" s="1160"/>
      <c r="F345" s="1160"/>
      <c r="G345" s="1160"/>
      <c r="H345" s="1160"/>
      <c r="I345" s="1160"/>
      <c r="J345" s="1160"/>
      <c r="K345" s="1160"/>
      <c r="L345" s="1160"/>
      <c r="M345" s="1160"/>
      <c r="N345" s="1160"/>
      <c r="O345" s="1160"/>
      <c r="P345" s="1160"/>
      <c r="Q345" s="1160"/>
      <c r="R345" s="1160"/>
      <c r="S345" s="1160"/>
      <c r="T345" s="1160"/>
      <c r="U345" s="1160"/>
      <c r="V345" s="1160"/>
      <c r="W345" s="1160"/>
      <c r="X345" s="1160"/>
      <c r="Y345" s="1160"/>
      <c r="Z345" s="1160"/>
      <c r="AA345" s="1160"/>
      <c r="AB345" s="1160"/>
      <c r="AC345" s="1160"/>
      <c r="AD345" s="1160"/>
      <c r="AE345" s="1160"/>
      <c r="AF345" s="1160"/>
      <c r="AG345" s="1160"/>
    </row>
    <row r="346" ht="15.0" customHeight="1">
      <c r="A346" s="1209"/>
      <c r="B346" s="1209"/>
      <c r="C346" s="1210"/>
      <c r="D346" s="1160"/>
      <c r="E346" s="1160"/>
      <c r="F346" s="1160"/>
      <c r="G346" s="1160"/>
      <c r="H346" s="1160"/>
      <c r="I346" s="1160"/>
      <c r="J346" s="1160"/>
      <c r="K346" s="1160"/>
      <c r="L346" s="1160"/>
      <c r="M346" s="1160"/>
      <c r="N346" s="1160"/>
      <c r="O346" s="1160"/>
      <c r="P346" s="1160"/>
      <c r="Q346" s="1160"/>
      <c r="R346" s="1160"/>
      <c r="S346" s="1160"/>
      <c r="T346" s="1160"/>
      <c r="U346" s="1160"/>
      <c r="V346" s="1160"/>
      <c r="W346" s="1160"/>
      <c r="X346" s="1160"/>
      <c r="Y346" s="1160"/>
      <c r="Z346" s="1160"/>
      <c r="AA346" s="1160"/>
      <c r="AB346" s="1160"/>
      <c r="AC346" s="1160"/>
      <c r="AD346" s="1160"/>
      <c r="AE346" s="1160"/>
      <c r="AF346" s="1160"/>
      <c r="AG346" s="1160"/>
    </row>
    <row r="347" ht="15.0" customHeight="1">
      <c r="A347" s="1209"/>
      <c r="B347" s="1209"/>
      <c r="C347" s="1210"/>
      <c r="D347" s="1160"/>
      <c r="E347" s="1160"/>
      <c r="F347" s="1160"/>
      <c r="G347" s="1160"/>
      <c r="H347" s="1160"/>
      <c r="I347" s="1160"/>
      <c r="J347" s="1160"/>
      <c r="K347" s="1160"/>
      <c r="L347" s="1160"/>
      <c r="M347" s="1160"/>
      <c r="N347" s="1160"/>
      <c r="O347" s="1160"/>
      <c r="P347" s="1160"/>
      <c r="Q347" s="1160"/>
      <c r="R347" s="1160"/>
      <c r="S347" s="1160"/>
      <c r="T347" s="1160"/>
      <c r="U347" s="1160"/>
      <c r="V347" s="1160"/>
      <c r="W347" s="1160"/>
      <c r="X347" s="1160"/>
      <c r="Y347" s="1160"/>
      <c r="Z347" s="1160"/>
      <c r="AA347" s="1160"/>
      <c r="AB347" s="1160"/>
      <c r="AC347" s="1160"/>
      <c r="AD347" s="1160"/>
      <c r="AE347" s="1160"/>
      <c r="AF347" s="1160"/>
      <c r="AG347" s="1160"/>
    </row>
    <row r="348" ht="15.0" customHeight="1">
      <c r="A348" s="1209"/>
      <c r="B348" s="1209"/>
      <c r="C348" s="1210"/>
      <c r="D348" s="1160"/>
      <c r="E348" s="1160"/>
      <c r="F348" s="1160"/>
      <c r="G348" s="1160"/>
      <c r="H348" s="1160"/>
      <c r="I348" s="1160"/>
      <c r="J348" s="1160"/>
      <c r="K348" s="1160"/>
      <c r="L348" s="1160"/>
      <c r="M348" s="1160"/>
      <c r="N348" s="1160"/>
      <c r="O348" s="1160"/>
      <c r="P348" s="1160"/>
      <c r="Q348" s="1160"/>
      <c r="R348" s="1160"/>
      <c r="S348" s="1160"/>
      <c r="T348" s="1160"/>
      <c r="U348" s="1160"/>
      <c r="V348" s="1160"/>
      <c r="W348" s="1160"/>
      <c r="X348" s="1160"/>
      <c r="Y348" s="1160"/>
      <c r="Z348" s="1160"/>
      <c r="AA348" s="1160"/>
      <c r="AB348" s="1160"/>
      <c r="AC348" s="1160"/>
      <c r="AD348" s="1160"/>
      <c r="AE348" s="1160"/>
      <c r="AF348" s="1160"/>
      <c r="AG348" s="1160"/>
    </row>
    <row r="349" ht="15.0" customHeight="1">
      <c r="A349" s="1209"/>
      <c r="B349" s="1209"/>
      <c r="C349" s="1210"/>
      <c r="D349" s="1160"/>
      <c r="E349" s="1160"/>
      <c r="F349" s="1160"/>
      <c r="G349" s="1160"/>
      <c r="H349" s="1160"/>
      <c r="I349" s="1160"/>
      <c r="J349" s="1160"/>
      <c r="K349" s="1160"/>
      <c r="L349" s="1160"/>
      <c r="M349" s="1160"/>
      <c r="N349" s="1160"/>
      <c r="O349" s="1160"/>
      <c r="P349" s="1160"/>
      <c r="Q349" s="1160"/>
      <c r="R349" s="1160"/>
      <c r="S349" s="1160"/>
      <c r="T349" s="1160"/>
      <c r="U349" s="1160"/>
      <c r="V349" s="1160"/>
      <c r="W349" s="1160"/>
      <c r="X349" s="1160"/>
      <c r="Y349" s="1160"/>
      <c r="Z349" s="1160"/>
      <c r="AA349" s="1160"/>
      <c r="AB349" s="1160"/>
      <c r="AC349" s="1160"/>
      <c r="AD349" s="1160"/>
      <c r="AE349" s="1160"/>
      <c r="AF349" s="1160"/>
      <c r="AG349" s="1160"/>
    </row>
    <row r="350" ht="15.0" customHeight="1">
      <c r="A350" s="1209"/>
      <c r="B350" s="1209"/>
      <c r="C350" s="1210"/>
      <c r="D350" s="1160"/>
      <c r="E350" s="1160"/>
      <c r="F350" s="1160"/>
      <c r="G350" s="1160"/>
      <c r="H350" s="1160"/>
      <c r="I350" s="1160"/>
      <c r="J350" s="1160"/>
      <c r="K350" s="1160"/>
      <c r="L350" s="1160"/>
      <c r="M350" s="1160"/>
      <c r="N350" s="1160"/>
      <c r="O350" s="1160"/>
      <c r="P350" s="1160"/>
      <c r="Q350" s="1160"/>
      <c r="R350" s="1160"/>
      <c r="S350" s="1160"/>
      <c r="T350" s="1160"/>
      <c r="U350" s="1160"/>
      <c r="V350" s="1160"/>
      <c r="W350" s="1160"/>
      <c r="X350" s="1160"/>
      <c r="Y350" s="1160"/>
      <c r="Z350" s="1160"/>
      <c r="AA350" s="1160"/>
      <c r="AB350" s="1160"/>
      <c r="AC350" s="1160"/>
      <c r="AD350" s="1160"/>
      <c r="AE350" s="1160"/>
      <c r="AF350" s="1160"/>
      <c r="AG350" s="1160"/>
    </row>
    <row r="351" ht="15.0" customHeight="1">
      <c r="A351" s="1209"/>
      <c r="B351" s="1209"/>
      <c r="C351" s="1210"/>
      <c r="D351" s="1160"/>
      <c r="E351" s="1160"/>
      <c r="F351" s="1160"/>
      <c r="G351" s="1160"/>
      <c r="H351" s="1160"/>
      <c r="I351" s="1160"/>
      <c r="J351" s="1160"/>
      <c r="K351" s="1160"/>
      <c r="L351" s="1160"/>
      <c r="M351" s="1160"/>
      <c r="N351" s="1160"/>
      <c r="O351" s="1160"/>
      <c r="P351" s="1160"/>
      <c r="Q351" s="1160"/>
      <c r="R351" s="1160"/>
      <c r="S351" s="1160"/>
      <c r="T351" s="1160"/>
      <c r="U351" s="1160"/>
      <c r="V351" s="1160"/>
      <c r="W351" s="1160"/>
      <c r="X351" s="1160"/>
      <c r="Y351" s="1160"/>
      <c r="Z351" s="1160"/>
      <c r="AA351" s="1160"/>
      <c r="AB351" s="1160"/>
      <c r="AC351" s="1160"/>
      <c r="AD351" s="1160"/>
      <c r="AE351" s="1160"/>
      <c r="AF351" s="1160"/>
      <c r="AG351" s="1160"/>
    </row>
    <row r="352" ht="15.0" customHeight="1">
      <c r="A352" s="1209"/>
      <c r="B352" s="1209"/>
      <c r="C352" s="1210"/>
      <c r="D352" s="1160"/>
      <c r="E352" s="1160"/>
      <c r="F352" s="1160"/>
      <c r="G352" s="1160"/>
      <c r="H352" s="1160"/>
      <c r="I352" s="1160"/>
      <c r="J352" s="1160"/>
      <c r="K352" s="1160"/>
      <c r="L352" s="1160"/>
      <c r="M352" s="1160"/>
      <c r="N352" s="1160"/>
      <c r="O352" s="1160"/>
      <c r="P352" s="1160"/>
      <c r="Q352" s="1160"/>
      <c r="R352" s="1160"/>
      <c r="S352" s="1160"/>
      <c r="T352" s="1160"/>
      <c r="U352" s="1160"/>
      <c r="V352" s="1160"/>
      <c r="W352" s="1160"/>
      <c r="X352" s="1160"/>
      <c r="Y352" s="1160"/>
      <c r="Z352" s="1160"/>
      <c r="AA352" s="1160"/>
      <c r="AB352" s="1160"/>
      <c r="AC352" s="1160"/>
      <c r="AD352" s="1160"/>
      <c r="AE352" s="1160"/>
      <c r="AF352" s="1160"/>
      <c r="AG352" s="1160"/>
    </row>
    <row r="353" ht="15.0" customHeight="1">
      <c r="A353" s="1209"/>
      <c r="B353" s="1209"/>
      <c r="C353" s="1210"/>
      <c r="D353" s="1160"/>
      <c r="E353" s="1160"/>
      <c r="F353" s="1160"/>
      <c r="G353" s="1160"/>
      <c r="H353" s="1160"/>
      <c r="I353" s="1160"/>
      <c r="J353" s="1160"/>
      <c r="K353" s="1160"/>
      <c r="L353" s="1160"/>
      <c r="M353" s="1160"/>
      <c r="N353" s="1160"/>
      <c r="O353" s="1160"/>
      <c r="P353" s="1160"/>
      <c r="Q353" s="1160"/>
      <c r="R353" s="1160"/>
      <c r="S353" s="1160"/>
      <c r="T353" s="1160"/>
      <c r="U353" s="1160"/>
      <c r="V353" s="1160"/>
      <c r="W353" s="1160"/>
      <c r="X353" s="1160"/>
      <c r="Y353" s="1160"/>
      <c r="Z353" s="1160"/>
      <c r="AA353" s="1160"/>
      <c r="AB353" s="1160"/>
      <c r="AC353" s="1160"/>
      <c r="AD353" s="1160"/>
      <c r="AE353" s="1160"/>
      <c r="AF353" s="1160"/>
      <c r="AG353" s="1160"/>
    </row>
    <row r="354" ht="15.0" customHeight="1">
      <c r="A354" s="1209"/>
      <c r="B354" s="1209"/>
      <c r="C354" s="1210"/>
      <c r="D354" s="1160"/>
      <c r="E354" s="1160"/>
      <c r="F354" s="1160"/>
      <c r="G354" s="1160"/>
      <c r="H354" s="1160"/>
      <c r="I354" s="1160"/>
      <c r="J354" s="1160"/>
      <c r="K354" s="1160"/>
      <c r="L354" s="1160"/>
      <c r="M354" s="1160"/>
      <c r="N354" s="1160"/>
      <c r="O354" s="1160"/>
      <c r="P354" s="1160"/>
      <c r="Q354" s="1160"/>
      <c r="R354" s="1160"/>
      <c r="S354" s="1160"/>
      <c r="T354" s="1160"/>
      <c r="U354" s="1160"/>
      <c r="V354" s="1160"/>
      <c r="W354" s="1160"/>
      <c r="X354" s="1160"/>
      <c r="Y354" s="1160"/>
      <c r="Z354" s="1160"/>
      <c r="AA354" s="1160"/>
      <c r="AB354" s="1160"/>
      <c r="AC354" s="1160"/>
      <c r="AD354" s="1160"/>
      <c r="AE354" s="1160"/>
      <c r="AF354" s="1160"/>
      <c r="AG354" s="1160"/>
    </row>
    <row r="355" ht="15.0" customHeight="1">
      <c r="A355" s="1209"/>
      <c r="B355" s="1209"/>
      <c r="C355" s="1210"/>
      <c r="D355" s="1160"/>
      <c r="E355" s="1160"/>
      <c r="F355" s="1160"/>
      <c r="G355" s="1160"/>
      <c r="H355" s="1160"/>
      <c r="I355" s="1160"/>
      <c r="J355" s="1160"/>
      <c r="K355" s="1160"/>
      <c r="L355" s="1160"/>
      <c r="M355" s="1160"/>
      <c r="N355" s="1160"/>
      <c r="O355" s="1160"/>
      <c r="P355" s="1160"/>
      <c r="Q355" s="1160"/>
      <c r="R355" s="1160"/>
      <c r="S355" s="1160"/>
      <c r="T355" s="1160"/>
      <c r="U355" s="1160"/>
      <c r="V355" s="1160"/>
      <c r="W355" s="1160"/>
      <c r="X355" s="1160"/>
      <c r="Y355" s="1160"/>
      <c r="Z355" s="1160"/>
      <c r="AA355" s="1160"/>
      <c r="AB355" s="1160"/>
      <c r="AC355" s="1160"/>
      <c r="AD355" s="1160"/>
      <c r="AE355" s="1160"/>
      <c r="AF355" s="1160"/>
      <c r="AG355" s="1160"/>
    </row>
    <row r="356" ht="15.0" customHeight="1">
      <c r="A356" s="1209"/>
      <c r="B356" s="1209"/>
      <c r="C356" s="1210"/>
      <c r="D356" s="1160"/>
      <c r="E356" s="1160"/>
      <c r="F356" s="1160"/>
      <c r="G356" s="1160"/>
      <c r="H356" s="1160"/>
      <c r="I356" s="1160"/>
      <c r="J356" s="1160"/>
      <c r="K356" s="1160"/>
      <c r="L356" s="1160"/>
      <c r="M356" s="1160"/>
      <c r="N356" s="1160"/>
      <c r="O356" s="1160"/>
      <c r="P356" s="1160"/>
      <c r="Q356" s="1160"/>
      <c r="R356" s="1160"/>
      <c r="S356" s="1160"/>
      <c r="T356" s="1160"/>
      <c r="U356" s="1160"/>
      <c r="V356" s="1160"/>
      <c r="W356" s="1160"/>
      <c r="X356" s="1160"/>
      <c r="Y356" s="1160"/>
      <c r="Z356" s="1160"/>
      <c r="AA356" s="1160"/>
      <c r="AB356" s="1160"/>
      <c r="AC356" s="1160"/>
      <c r="AD356" s="1160"/>
      <c r="AE356" s="1160"/>
      <c r="AF356" s="1160"/>
      <c r="AG356" s="1160"/>
    </row>
    <row r="357" ht="15.0" customHeight="1">
      <c r="A357" s="1209"/>
      <c r="B357" s="1209"/>
      <c r="C357" s="1210"/>
      <c r="D357" s="1160"/>
      <c r="E357" s="1160"/>
      <c r="F357" s="1160"/>
      <c r="G357" s="1160"/>
      <c r="H357" s="1160"/>
      <c r="I357" s="1160"/>
      <c r="J357" s="1160"/>
      <c r="K357" s="1160"/>
      <c r="L357" s="1160"/>
      <c r="M357" s="1160"/>
      <c r="N357" s="1160"/>
      <c r="O357" s="1160"/>
      <c r="P357" s="1160"/>
      <c r="Q357" s="1160"/>
      <c r="R357" s="1160"/>
      <c r="S357" s="1160"/>
      <c r="T357" s="1160"/>
      <c r="U357" s="1160"/>
      <c r="V357" s="1160"/>
      <c r="W357" s="1160"/>
      <c r="X357" s="1160"/>
      <c r="Y357" s="1160"/>
      <c r="Z357" s="1160"/>
      <c r="AA357" s="1160"/>
      <c r="AB357" s="1160"/>
      <c r="AC357" s="1160"/>
      <c r="AD357" s="1160"/>
      <c r="AE357" s="1160"/>
      <c r="AF357" s="1160"/>
      <c r="AG357" s="1160"/>
    </row>
    <row r="358" ht="15.0" customHeight="1">
      <c r="A358" s="1209"/>
      <c r="B358" s="1209"/>
      <c r="C358" s="1210"/>
      <c r="D358" s="1160"/>
      <c r="E358" s="1160"/>
      <c r="F358" s="1160"/>
      <c r="G358" s="1160"/>
      <c r="H358" s="1160"/>
      <c r="I358" s="1160"/>
      <c r="J358" s="1160"/>
      <c r="K358" s="1160"/>
      <c r="L358" s="1160"/>
      <c r="M358" s="1160"/>
      <c r="N358" s="1160"/>
      <c r="O358" s="1160"/>
      <c r="P358" s="1160"/>
      <c r="Q358" s="1160"/>
      <c r="R358" s="1160"/>
      <c r="S358" s="1160"/>
      <c r="T358" s="1160"/>
      <c r="U358" s="1160"/>
      <c r="V358" s="1160"/>
      <c r="W358" s="1160"/>
      <c r="X358" s="1160"/>
      <c r="Y358" s="1160"/>
      <c r="Z358" s="1160"/>
      <c r="AA358" s="1160"/>
      <c r="AB358" s="1160"/>
      <c r="AC358" s="1160"/>
      <c r="AD358" s="1160"/>
      <c r="AE358" s="1160"/>
      <c r="AF358" s="1160"/>
      <c r="AG358" s="1160"/>
    </row>
    <row r="359" ht="15.0" customHeight="1">
      <c r="A359" s="1209"/>
      <c r="B359" s="1209"/>
      <c r="C359" s="1210"/>
      <c r="D359" s="1160"/>
      <c r="E359" s="1160"/>
      <c r="F359" s="1160"/>
      <c r="G359" s="1160"/>
      <c r="H359" s="1160"/>
      <c r="I359" s="1160"/>
      <c r="J359" s="1160"/>
      <c r="K359" s="1160"/>
      <c r="L359" s="1160"/>
      <c r="M359" s="1160"/>
      <c r="N359" s="1160"/>
      <c r="O359" s="1160"/>
      <c r="P359" s="1160"/>
      <c r="Q359" s="1160"/>
      <c r="R359" s="1160"/>
      <c r="S359" s="1160"/>
      <c r="T359" s="1160"/>
      <c r="U359" s="1160"/>
      <c r="V359" s="1160"/>
      <c r="W359" s="1160"/>
      <c r="X359" s="1160"/>
      <c r="Y359" s="1160"/>
      <c r="Z359" s="1160"/>
      <c r="AA359" s="1160"/>
      <c r="AB359" s="1160"/>
      <c r="AC359" s="1160"/>
      <c r="AD359" s="1160"/>
      <c r="AE359" s="1160"/>
      <c r="AF359" s="1160"/>
      <c r="AG359" s="1160"/>
    </row>
    <row r="360" ht="15.0" customHeight="1">
      <c r="A360" s="1209"/>
      <c r="B360" s="1209"/>
      <c r="C360" s="1210"/>
      <c r="D360" s="1160"/>
      <c r="E360" s="1160"/>
      <c r="F360" s="1160"/>
      <c r="G360" s="1160"/>
      <c r="H360" s="1160"/>
      <c r="I360" s="1160"/>
      <c r="J360" s="1160"/>
      <c r="K360" s="1160"/>
      <c r="L360" s="1160"/>
      <c r="M360" s="1160"/>
      <c r="N360" s="1160"/>
      <c r="O360" s="1160"/>
      <c r="P360" s="1160"/>
      <c r="Q360" s="1160"/>
      <c r="R360" s="1160"/>
      <c r="S360" s="1160"/>
      <c r="T360" s="1160"/>
      <c r="U360" s="1160"/>
      <c r="V360" s="1160"/>
      <c r="W360" s="1160"/>
      <c r="X360" s="1160"/>
      <c r="Y360" s="1160"/>
      <c r="Z360" s="1160"/>
      <c r="AA360" s="1160"/>
      <c r="AB360" s="1160"/>
      <c r="AC360" s="1160"/>
      <c r="AD360" s="1160"/>
      <c r="AE360" s="1160"/>
      <c r="AF360" s="1160"/>
      <c r="AG360" s="1160"/>
    </row>
    <row r="361" ht="15.0" customHeight="1">
      <c r="A361" s="1209"/>
      <c r="B361" s="1209"/>
      <c r="C361" s="1210"/>
      <c r="D361" s="1160"/>
      <c r="E361" s="1160"/>
      <c r="F361" s="1160"/>
      <c r="G361" s="1160"/>
      <c r="H361" s="1160"/>
      <c r="I361" s="1160"/>
      <c r="J361" s="1160"/>
      <c r="K361" s="1160"/>
      <c r="L361" s="1160"/>
      <c r="M361" s="1160"/>
      <c r="N361" s="1160"/>
      <c r="O361" s="1160"/>
      <c r="P361" s="1160"/>
      <c r="Q361" s="1160"/>
      <c r="R361" s="1160"/>
      <c r="S361" s="1160"/>
      <c r="T361" s="1160"/>
      <c r="U361" s="1160"/>
      <c r="V361" s="1160"/>
      <c r="W361" s="1160"/>
      <c r="X361" s="1160"/>
      <c r="Y361" s="1160"/>
      <c r="Z361" s="1160"/>
      <c r="AA361" s="1160"/>
      <c r="AB361" s="1160"/>
      <c r="AC361" s="1160"/>
      <c r="AD361" s="1160"/>
      <c r="AE361" s="1160"/>
      <c r="AF361" s="1160"/>
      <c r="AG361" s="1160"/>
    </row>
    <row r="362" ht="15.0" customHeight="1">
      <c r="A362" s="1209"/>
      <c r="B362" s="1209"/>
      <c r="C362" s="1210"/>
      <c r="D362" s="1160"/>
      <c r="E362" s="1160"/>
      <c r="F362" s="1160"/>
      <c r="G362" s="1160"/>
      <c r="H362" s="1160"/>
      <c r="I362" s="1160"/>
      <c r="J362" s="1160"/>
      <c r="K362" s="1160"/>
      <c r="L362" s="1160"/>
      <c r="M362" s="1160"/>
      <c r="N362" s="1160"/>
      <c r="O362" s="1160"/>
      <c r="P362" s="1160"/>
      <c r="Q362" s="1160"/>
      <c r="R362" s="1160"/>
      <c r="S362" s="1160"/>
      <c r="T362" s="1160"/>
      <c r="U362" s="1160"/>
      <c r="V362" s="1160"/>
      <c r="W362" s="1160"/>
      <c r="X362" s="1160"/>
      <c r="Y362" s="1160"/>
      <c r="Z362" s="1160"/>
      <c r="AA362" s="1160"/>
      <c r="AB362" s="1160"/>
      <c r="AC362" s="1160"/>
      <c r="AD362" s="1160"/>
      <c r="AE362" s="1160"/>
      <c r="AF362" s="1160"/>
      <c r="AG362" s="1160"/>
    </row>
    <row r="363" ht="15.0" customHeight="1">
      <c r="A363" s="1209"/>
      <c r="B363" s="1209"/>
      <c r="C363" s="1210"/>
      <c r="D363" s="1160"/>
      <c r="E363" s="1160"/>
      <c r="F363" s="1160"/>
      <c r="G363" s="1160"/>
      <c r="H363" s="1160"/>
      <c r="I363" s="1160"/>
      <c r="J363" s="1160"/>
      <c r="K363" s="1160"/>
      <c r="L363" s="1160"/>
      <c r="M363" s="1160"/>
      <c r="N363" s="1160"/>
      <c r="O363" s="1160"/>
      <c r="P363" s="1160"/>
      <c r="Q363" s="1160"/>
      <c r="R363" s="1160"/>
      <c r="S363" s="1160"/>
      <c r="T363" s="1160"/>
      <c r="U363" s="1160"/>
      <c r="V363" s="1160"/>
      <c r="W363" s="1160"/>
      <c r="X363" s="1160"/>
      <c r="Y363" s="1160"/>
      <c r="Z363" s="1160"/>
      <c r="AA363" s="1160"/>
      <c r="AB363" s="1160"/>
      <c r="AC363" s="1160"/>
      <c r="AD363" s="1160"/>
      <c r="AE363" s="1160"/>
      <c r="AF363" s="1160"/>
      <c r="AG363" s="1160"/>
    </row>
    <row r="364" ht="15.0" customHeight="1">
      <c r="A364" s="1209"/>
      <c r="B364" s="1209"/>
      <c r="C364" s="1210"/>
      <c r="D364" s="1160"/>
      <c r="E364" s="1160"/>
      <c r="F364" s="1160"/>
      <c r="G364" s="1160"/>
      <c r="H364" s="1160"/>
      <c r="I364" s="1160"/>
      <c r="J364" s="1160"/>
      <c r="K364" s="1160"/>
      <c r="L364" s="1160"/>
      <c r="M364" s="1160"/>
      <c r="N364" s="1160"/>
      <c r="O364" s="1160"/>
      <c r="P364" s="1160"/>
      <c r="Q364" s="1160"/>
      <c r="R364" s="1160"/>
      <c r="S364" s="1160"/>
      <c r="T364" s="1160"/>
      <c r="U364" s="1160"/>
      <c r="V364" s="1160"/>
      <c r="W364" s="1160"/>
      <c r="X364" s="1160"/>
      <c r="Y364" s="1160"/>
      <c r="Z364" s="1160"/>
      <c r="AA364" s="1160"/>
      <c r="AB364" s="1160"/>
      <c r="AC364" s="1160"/>
      <c r="AD364" s="1160"/>
      <c r="AE364" s="1160"/>
      <c r="AF364" s="1160"/>
      <c r="AG364" s="1160"/>
    </row>
    <row r="365" ht="15.0" customHeight="1">
      <c r="A365" s="1209"/>
      <c r="B365" s="1209"/>
      <c r="C365" s="1210"/>
      <c r="D365" s="1160"/>
      <c r="E365" s="1160"/>
      <c r="F365" s="1160"/>
      <c r="G365" s="1160"/>
      <c r="H365" s="1160"/>
      <c r="I365" s="1160"/>
      <c r="J365" s="1160"/>
      <c r="K365" s="1160"/>
      <c r="L365" s="1160"/>
      <c r="M365" s="1160"/>
      <c r="N365" s="1160"/>
      <c r="O365" s="1160"/>
      <c r="P365" s="1160"/>
      <c r="Q365" s="1160"/>
      <c r="R365" s="1160"/>
      <c r="S365" s="1160"/>
      <c r="T365" s="1160"/>
      <c r="U365" s="1160"/>
      <c r="V365" s="1160"/>
      <c r="W365" s="1160"/>
      <c r="X365" s="1160"/>
      <c r="Y365" s="1160"/>
      <c r="Z365" s="1160"/>
      <c r="AA365" s="1160"/>
      <c r="AB365" s="1160"/>
      <c r="AC365" s="1160"/>
      <c r="AD365" s="1160"/>
      <c r="AE365" s="1160"/>
      <c r="AF365" s="1160"/>
      <c r="AG365" s="1160"/>
    </row>
    <row r="366" ht="15.0" customHeight="1">
      <c r="A366" s="1209"/>
      <c r="B366" s="1209"/>
      <c r="C366" s="1210"/>
      <c r="D366" s="1160"/>
      <c r="E366" s="1160"/>
      <c r="F366" s="1160"/>
      <c r="G366" s="1160"/>
      <c r="H366" s="1160"/>
      <c r="I366" s="1160"/>
      <c r="J366" s="1160"/>
      <c r="K366" s="1160"/>
      <c r="L366" s="1160"/>
      <c r="M366" s="1160"/>
      <c r="N366" s="1160"/>
      <c r="O366" s="1160"/>
      <c r="P366" s="1160"/>
      <c r="Q366" s="1160"/>
      <c r="R366" s="1160"/>
      <c r="S366" s="1160"/>
      <c r="T366" s="1160"/>
      <c r="U366" s="1160"/>
      <c r="V366" s="1160"/>
      <c r="W366" s="1160"/>
      <c r="X366" s="1160"/>
      <c r="Y366" s="1160"/>
      <c r="Z366" s="1160"/>
      <c r="AA366" s="1160"/>
      <c r="AB366" s="1160"/>
      <c r="AC366" s="1160"/>
      <c r="AD366" s="1160"/>
      <c r="AE366" s="1160"/>
      <c r="AF366" s="1160"/>
      <c r="AG366" s="1160"/>
    </row>
    <row r="367" ht="15.0" customHeight="1">
      <c r="A367" s="1209"/>
      <c r="B367" s="1209"/>
      <c r="C367" s="1210"/>
      <c r="D367" s="1160"/>
      <c r="E367" s="1160"/>
      <c r="F367" s="1160"/>
      <c r="G367" s="1160"/>
      <c r="H367" s="1160"/>
      <c r="I367" s="1160"/>
      <c r="J367" s="1160"/>
      <c r="K367" s="1160"/>
      <c r="L367" s="1160"/>
      <c r="M367" s="1160"/>
      <c r="N367" s="1160"/>
      <c r="O367" s="1160"/>
      <c r="P367" s="1160"/>
      <c r="Q367" s="1160"/>
      <c r="R367" s="1160"/>
      <c r="S367" s="1160"/>
      <c r="T367" s="1160"/>
      <c r="U367" s="1160"/>
      <c r="V367" s="1160"/>
      <c r="W367" s="1160"/>
      <c r="X367" s="1160"/>
      <c r="Y367" s="1160"/>
      <c r="Z367" s="1160"/>
      <c r="AA367" s="1160"/>
      <c r="AB367" s="1160"/>
      <c r="AC367" s="1160"/>
      <c r="AD367" s="1160"/>
      <c r="AE367" s="1160"/>
      <c r="AF367" s="1160"/>
      <c r="AG367" s="1160"/>
    </row>
    <row r="368" ht="15.0" customHeight="1">
      <c r="A368" s="1209"/>
      <c r="B368" s="1209"/>
      <c r="C368" s="1210"/>
      <c r="D368" s="1160"/>
      <c r="E368" s="1160"/>
      <c r="F368" s="1160"/>
      <c r="G368" s="1160"/>
      <c r="H368" s="1160"/>
      <c r="I368" s="1160"/>
      <c r="J368" s="1160"/>
      <c r="K368" s="1160"/>
      <c r="L368" s="1160"/>
      <c r="M368" s="1160"/>
      <c r="N368" s="1160"/>
      <c r="O368" s="1160"/>
      <c r="P368" s="1160"/>
      <c r="Q368" s="1160"/>
      <c r="R368" s="1160"/>
      <c r="S368" s="1160"/>
      <c r="T368" s="1160"/>
      <c r="U368" s="1160"/>
      <c r="V368" s="1160"/>
      <c r="W368" s="1160"/>
      <c r="X368" s="1160"/>
      <c r="Y368" s="1160"/>
      <c r="Z368" s="1160"/>
      <c r="AA368" s="1160"/>
      <c r="AB368" s="1160"/>
      <c r="AC368" s="1160"/>
      <c r="AD368" s="1160"/>
      <c r="AE368" s="1160"/>
      <c r="AF368" s="1160"/>
      <c r="AG368" s="1160"/>
    </row>
    <row r="369" ht="15.0" customHeight="1">
      <c r="A369" s="1209"/>
      <c r="B369" s="1209"/>
      <c r="C369" s="1210"/>
      <c r="D369" s="1160"/>
      <c r="E369" s="1160"/>
      <c r="F369" s="1160"/>
      <c r="G369" s="1160"/>
      <c r="H369" s="1160"/>
      <c r="I369" s="1160"/>
      <c r="J369" s="1160"/>
      <c r="K369" s="1160"/>
      <c r="L369" s="1160"/>
      <c r="M369" s="1160"/>
      <c r="N369" s="1160"/>
      <c r="O369" s="1160"/>
      <c r="P369" s="1160"/>
      <c r="Q369" s="1160"/>
      <c r="R369" s="1160"/>
      <c r="S369" s="1160"/>
      <c r="T369" s="1160"/>
      <c r="U369" s="1160"/>
      <c r="V369" s="1160"/>
      <c r="W369" s="1160"/>
      <c r="X369" s="1160"/>
      <c r="Y369" s="1160"/>
      <c r="Z369" s="1160"/>
      <c r="AA369" s="1160"/>
      <c r="AB369" s="1160"/>
      <c r="AC369" s="1160"/>
      <c r="AD369" s="1160"/>
      <c r="AE369" s="1160"/>
      <c r="AF369" s="1160"/>
      <c r="AG369" s="1160"/>
    </row>
    <row r="370" ht="15.0" customHeight="1">
      <c r="A370" s="1209"/>
      <c r="B370" s="1209"/>
      <c r="C370" s="1210"/>
      <c r="D370" s="1160"/>
      <c r="E370" s="1160"/>
      <c r="F370" s="1160"/>
      <c r="G370" s="1160"/>
      <c r="H370" s="1160"/>
      <c r="I370" s="1160"/>
      <c r="J370" s="1160"/>
      <c r="K370" s="1160"/>
      <c r="L370" s="1160"/>
      <c r="M370" s="1160"/>
      <c r="N370" s="1160"/>
      <c r="O370" s="1160"/>
      <c r="P370" s="1160"/>
      <c r="Q370" s="1160"/>
      <c r="R370" s="1160"/>
      <c r="S370" s="1160"/>
      <c r="T370" s="1160"/>
      <c r="U370" s="1160"/>
      <c r="V370" s="1160"/>
      <c r="W370" s="1160"/>
      <c r="X370" s="1160"/>
      <c r="Y370" s="1160"/>
      <c r="Z370" s="1160"/>
      <c r="AA370" s="1160"/>
      <c r="AB370" s="1160"/>
      <c r="AC370" s="1160"/>
      <c r="AD370" s="1160"/>
      <c r="AE370" s="1160"/>
      <c r="AF370" s="1160"/>
      <c r="AG370" s="1160"/>
    </row>
    <row r="371" ht="15.0" customHeight="1">
      <c r="A371" s="1209"/>
      <c r="B371" s="1209"/>
      <c r="C371" s="1210"/>
      <c r="D371" s="1160"/>
      <c r="E371" s="1160"/>
      <c r="F371" s="1160"/>
      <c r="G371" s="1160"/>
      <c r="H371" s="1160"/>
      <c r="I371" s="1160"/>
      <c r="J371" s="1160"/>
      <c r="K371" s="1160"/>
      <c r="L371" s="1160"/>
      <c r="M371" s="1160"/>
      <c r="N371" s="1160"/>
      <c r="O371" s="1160"/>
      <c r="P371" s="1160"/>
      <c r="Q371" s="1160"/>
      <c r="R371" s="1160"/>
      <c r="S371" s="1160"/>
      <c r="T371" s="1160"/>
      <c r="U371" s="1160"/>
      <c r="V371" s="1160"/>
      <c r="W371" s="1160"/>
      <c r="X371" s="1160"/>
      <c r="Y371" s="1160"/>
      <c r="Z371" s="1160"/>
      <c r="AA371" s="1160"/>
      <c r="AB371" s="1160"/>
      <c r="AC371" s="1160"/>
      <c r="AD371" s="1160"/>
      <c r="AE371" s="1160"/>
      <c r="AF371" s="1160"/>
      <c r="AG371" s="1160"/>
    </row>
    <row r="372" ht="15.0" customHeight="1">
      <c r="A372" s="1209"/>
      <c r="B372" s="1209"/>
      <c r="C372" s="1210"/>
      <c r="D372" s="1160"/>
      <c r="E372" s="1160"/>
      <c r="F372" s="1160"/>
      <c r="G372" s="1160"/>
      <c r="H372" s="1160"/>
      <c r="I372" s="1160"/>
      <c r="J372" s="1160"/>
      <c r="K372" s="1160"/>
      <c r="L372" s="1160"/>
      <c r="M372" s="1160"/>
      <c r="N372" s="1160"/>
      <c r="O372" s="1160"/>
      <c r="P372" s="1160"/>
      <c r="Q372" s="1160"/>
      <c r="R372" s="1160"/>
      <c r="S372" s="1160"/>
      <c r="T372" s="1160"/>
      <c r="U372" s="1160"/>
      <c r="V372" s="1160"/>
      <c r="W372" s="1160"/>
      <c r="X372" s="1160"/>
      <c r="Y372" s="1160"/>
      <c r="Z372" s="1160"/>
      <c r="AA372" s="1160"/>
      <c r="AB372" s="1160"/>
      <c r="AC372" s="1160"/>
      <c r="AD372" s="1160"/>
      <c r="AE372" s="1160"/>
      <c r="AF372" s="1160"/>
      <c r="AG372" s="1160"/>
    </row>
    <row r="373" ht="15.0" customHeight="1">
      <c r="A373" s="1209"/>
      <c r="B373" s="1209"/>
      <c r="C373" s="1210"/>
      <c r="D373" s="1160"/>
      <c r="E373" s="1160"/>
      <c r="F373" s="1160"/>
      <c r="G373" s="1160"/>
      <c r="H373" s="1160"/>
      <c r="I373" s="1160"/>
      <c r="J373" s="1160"/>
      <c r="K373" s="1160"/>
      <c r="L373" s="1160"/>
      <c r="M373" s="1160"/>
      <c r="N373" s="1160"/>
      <c r="O373" s="1160"/>
      <c r="P373" s="1160"/>
      <c r="Q373" s="1160"/>
      <c r="R373" s="1160"/>
      <c r="S373" s="1160"/>
      <c r="T373" s="1160"/>
      <c r="U373" s="1160"/>
      <c r="V373" s="1160"/>
      <c r="W373" s="1160"/>
      <c r="X373" s="1160"/>
      <c r="Y373" s="1160"/>
      <c r="Z373" s="1160"/>
      <c r="AA373" s="1160"/>
      <c r="AB373" s="1160"/>
      <c r="AC373" s="1160"/>
      <c r="AD373" s="1160"/>
      <c r="AE373" s="1160"/>
      <c r="AF373" s="1160"/>
      <c r="AG373" s="1160"/>
    </row>
    <row r="374" ht="15.0" customHeight="1">
      <c r="A374" s="1209"/>
      <c r="B374" s="1209"/>
      <c r="C374" s="1210"/>
      <c r="D374" s="1160"/>
      <c r="E374" s="1160"/>
      <c r="F374" s="1160"/>
      <c r="G374" s="1160"/>
      <c r="H374" s="1160"/>
      <c r="I374" s="1160"/>
      <c r="J374" s="1160"/>
      <c r="K374" s="1160"/>
      <c r="L374" s="1160"/>
      <c r="M374" s="1160"/>
      <c r="N374" s="1160"/>
      <c r="O374" s="1160"/>
      <c r="P374" s="1160"/>
      <c r="Q374" s="1160"/>
      <c r="R374" s="1160"/>
      <c r="S374" s="1160"/>
      <c r="T374" s="1160"/>
      <c r="U374" s="1160"/>
      <c r="V374" s="1160"/>
      <c r="W374" s="1160"/>
      <c r="X374" s="1160"/>
      <c r="Y374" s="1160"/>
      <c r="Z374" s="1160"/>
      <c r="AA374" s="1160"/>
      <c r="AB374" s="1160"/>
      <c r="AC374" s="1160"/>
      <c r="AD374" s="1160"/>
      <c r="AE374" s="1160"/>
      <c r="AF374" s="1160"/>
      <c r="AG374" s="1160"/>
    </row>
    <row r="375" ht="15.0" customHeight="1">
      <c r="A375" s="1209"/>
      <c r="B375" s="1209"/>
      <c r="C375" s="1210"/>
      <c r="D375" s="1160"/>
      <c r="E375" s="1160"/>
      <c r="F375" s="1160"/>
      <c r="G375" s="1160"/>
      <c r="H375" s="1160"/>
      <c r="I375" s="1160"/>
      <c r="J375" s="1160"/>
      <c r="K375" s="1160"/>
      <c r="L375" s="1160"/>
      <c r="M375" s="1160"/>
      <c r="N375" s="1160"/>
      <c r="O375" s="1160"/>
      <c r="P375" s="1160"/>
      <c r="Q375" s="1160"/>
      <c r="R375" s="1160"/>
      <c r="S375" s="1160"/>
      <c r="T375" s="1160"/>
      <c r="U375" s="1160"/>
      <c r="V375" s="1160"/>
      <c r="W375" s="1160"/>
      <c r="X375" s="1160"/>
      <c r="Y375" s="1160"/>
      <c r="Z375" s="1160"/>
      <c r="AA375" s="1160"/>
      <c r="AB375" s="1160"/>
      <c r="AC375" s="1160"/>
      <c r="AD375" s="1160"/>
      <c r="AE375" s="1160"/>
      <c r="AF375" s="1160"/>
      <c r="AG375" s="1160"/>
    </row>
    <row r="376" ht="15.0" customHeight="1">
      <c r="A376" s="1209"/>
      <c r="B376" s="1209"/>
      <c r="C376" s="1210"/>
      <c r="D376" s="1160"/>
      <c r="E376" s="1160"/>
      <c r="F376" s="1160"/>
      <c r="G376" s="1160"/>
      <c r="H376" s="1160"/>
      <c r="I376" s="1160"/>
      <c r="J376" s="1160"/>
      <c r="K376" s="1160"/>
      <c r="L376" s="1160"/>
      <c r="M376" s="1160"/>
      <c r="N376" s="1160"/>
      <c r="O376" s="1160"/>
      <c r="P376" s="1160"/>
      <c r="Q376" s="1160"/>
      <c r="R376" s="1160"/>
      <c r="S376" s="1160"/>
      <c r="T376" s="1160"/>
      <c r="U376" s="1160"/>
      <c r="V376" s="1160"/>
      <c r="W376" s="1160"/>
      <c r="X376" s="1160"/>
      <c r="Y376" s="1160"/>
      <c r="Z376" s="1160"/>
      <c r="AA376" s="1160"/>
      <c r="AB376" s="1160"/>
      <c r="AC376" s="1160"/>
      <c r="AD376" s="1160"/>
      <c r="AE376" s="1160"/>
      <c r="AF376" s="1160"/>
      <c r="AG376" s="1160"/>
    </row>
    <row r="377" ht="15.0" customHeight="1">
      <c r="A377" s="1209"/>
      <c r="B377" s="1209"/>
      <c r="C377" s="1210"/>
      <c r="D377" s="1160"/>
      <c r="E377" s="1160"/>
      <c r="F377" s="1160"/>
      <c r="G377" s="1160"/>
      <c r="H377" s="1160"/>
      <c r="I377" s="1160"/>
      <c r="J377" s="1160"/>
      <c r="K377" s="1160"/>
      <c r="L377" s="1160"/>
      <c r="M377" s="1160"/>
      <c r="N377" s="1160"/>
      <c r="O377" s="1160"/>
      <c r="P377" s="1160"/>
      <c r="Q377" s="1160"/>
      <c r="R377" s="1160"/>
      <c r="S377" s="1160"/>
      <c r="T377" s="1160"/>
      <c r="U377" s="1160"/>
      <c r="V377" s="1160"/>
      <c r="W377" s="1160"/>
      <c r="X377" s="1160"/>
      <c r="Y377" s="1160"/>
      <c r="Z377" s="1160"/>
      <c r="AA377" s="1160"/>
      <c r="AB377" s="1160"/>
      <c r="AC377" s="1160"/>
      <c r="AD377" s="1160"/>
      <c r="AE377" s="1160"/>
      <c r="AF377" s="1160"/>
      <c r="AG377" s="1160"/>
    </row>
    <row r="378" ht="15.0" customHeight="1">
      <c r="A378" s="1209"/>
      <c r="B378" s="1209"/>
      <c r="C378" s="1210"/>
      <c r="D378" s="1160"/>
      <c r="E378" s="1160"/>
      <c r="F378" s="1160"/>
      <c r="G378" s="1160"/>
      <c r="H378" s="1160"/>
      <c r="I378" s="1160"/>
      <c r="J378" s="1160"/>
      <c r="K378" s="1160"/>
      <c r="L378" s="1160"/>
      <c r="M378" s="1160"/>
      <c r="N378" s="1160"/>
      <c r="O378" s="1160"/>
      <c r="P378" s="1160"/>
      <c r="Q378" s="1160"/>
      <c r="R378" s="1160"/>
      <c r="S378" s="1160"/>
      <c r="T378" s="1160"/>
      <c r="U378" s="1160"/>
      <c r="V378" s="1160"/>
      <c r="W378" s="1160"/>
      <c r="X378" s="1160"/>
      <c r="Y378" s="1160"/>
      <c r="Z378" s="1160"/>
      <c r="AA378" s="1160"/>
      <c r="AB378" s="1160"/>
      <c r="AC378" s="1160"/>
      <c r="AD378" s="1160"/>
      <c r="AE378" s="1160"/>
      <c r="AF378" s="1160"/>
      <c r="AG378" s="1160"/>
    </row>
    <row r="379" ht="15.0" customHeight="1">
      <c r="A379" s="1209"/>
      <c r="B379" s="1209"/>
      <c r="C379" s="1210"/>
      <c r="D379" s="1160"/>
      <c r="E379" s="1160"/>
      <c r="F379" s="1160"/>
      <c r="G379" s="1160"/>
      <c r="H379" s="1160"/>
      <c r="I379" s="1160"/>
      <c r="J379" s="1160"/>
      <c r="K379" s="1160"/>
      <c r="L379" s="1160"/>
      <c r="M379" s="1160"/>
      <c r="N379" s="1160"/>
      <c r="O379" s="1160"/>
      <c r="P379" s="1160"/>
      <c r="Q379" s="1160"/>
      <c r="R379" s="1160"/>
      <c r="S379" s="1160"/>
      <c r="T379" s="1160"/>
      <c r="U379" s="1160"/>
      <c r="V379" s="1160"/>
      <c r="W379" s="1160"/>
      <c r="X379" s="1160"/>
      <c r="Y379" s="1160"/>
      <c r="Z379" s="1160"/>
      <c r="AA379" s="1160"/>
      <c r="AB379" s="1160"/>
      <c r="AC379" s="1160"/>
      <c r="AD379" s="1160"/>
      <c r="AE379" s="1160"/>
      <c r="AF379" s="1160"/>
      <c r="AG379" s="1160"/>
    </row>
    <row r="380" ht="15.0" customHeight="1">
      <c r="A380" s="1209"/>
      <c r="B380" s="1209"/>
      <c r="C380" s="1210"/>
      <c r="D380" s="1160"/>
      <c r="E380" s="1160"/>
      <c r="F380" s="1160"/>
      <c r="G380" s="1160"/>
      <c r="H380" s="1160"/>
      <c r="I380" s="1160"/>
      <c r="J380" s="1160"/>
      <c r="K380" s="1160"/>
      <c r="L380" s="1160"/>
      <c r="M380" s="1160"/>
      <c r="N380" s="1160"/>
      <c r="O380" s="1160"/>
      <c r="P380" s="1160"/>
      <c r="Q380" s="1160"/>
      <c r="R380" s="1160"/>
      <c r="S380" s="1160"/>
      <c r="T380" s="1160"/>
      <c r="U380" s="1160"/>
      <c r="V380" s="1160"/>
      <c r="W380" s="1160"/>
      <c r="X380" s="1160"/>
      <c r="Y380" s="1160"/>
      <c r="Z380" s="1160"/>
      <c r="AA380" s="1160"/>
      <c r="AB380" s="1160"/>
      <c r="AC380" s="1160"/>
      <c r="AD380" s="1160"/>
      <c r="AE380" s="1160"/>
      <c r="AF380" s="1160"/>
      <c r="AG380" s="1160"/>
    </row>
    <row r="381" ht="15.0" customHeight="1">
      <c r="A381" s="1209"/>
      <c r="B381" s="1209"/>
      <c r="C381" s="1210"/>
      <c r="D381" s="1160"/>
      <c r="E381" s="1160"/>
      <c r="F381" s="1160"/>
      <c r="G381" s="1160"/>
      <c r="H381" s="1160"/>
      <c r="I381" s="1160"/>
      <c r="J381" s="1160"/>
      <c r="K381" s="1160"/>
      <c r="L381" s="1160"/>
      <c r="M381" s="1160"/>
      <c r="N381" s="1160"/>
      <c r="O381" s="1160"/>
      <c r="P381" s="1160"/>
      <c r="Q381" s="1160"/>
      <c r="R381" s="1160"/>
      <c r="S381" s="1160"/>
      <c r="T381" s="1160"/>
      <c r="U381" s="1160"/>
      <c r="V381" s="1160"/>
      <c r="W381" s="1160"/>
      <c r="X381" s="1160"/>
      <c r="Y381" s="1160"/>
      <c r="Z381" s="1160"/>
      <c r="AA381" s="1160"/>
      <c r="AB381" s="1160"/>
      <c r="AC381" s="1160"/>
      <c r="AD381" s="1160"/>
      <c r="AE381" s="1160"/>
      <c r="AF381" s="1160"/>
      <c r="AG381" s="1160"/>
    </row>
    <row r="382" ht="15.0" customHeight="1">
      <c r="A382" s="1209"/>
      <c r="B382" s="1209"/>
      <c r="C382" s="1210"/>
      <c r="D382" s="1160"/>
      <c r="E382" s="1160"/>
      <c r="F382" s="1160"/>
      <c r="G382" s="1160"/>
      <c r="H382" s="1160"/>
      <c r="I382" s="1160"/>
      <c r="J382" s="1160"/>
      <c r="K382" s="1160"/>
      <c r="L382" s="1160"/>
      <c r="M382" s="1160"/>
      <c r="N382" s="1160"/>
      <c r="O382" s="1160"/>
      <c r="P382" s="1160"/>
      <c r="Q382" s="1160"/>
      <c r="R382" s="1160"/>
      <c r="S382" s="1160"/>
      <c r="T382" s="1160"/>
      <c r="U382" s="1160"/>
      <c r="V382" s="1160"/>
      <c r="W382" s="1160"/>
      <c r="X382" s="1160"/>
      <c r="Y382" s="1160"/>
      <c r="Z382" s="1160"/>
      <c r="AA382" s="1160"/>
      <c r="AB382" s="1160"/>
      <c r="AC382" s="1160"/>
      <c r="AD382" s="1160"/>
      <c r="AE382" s="1160"/>
      <c r="AF382" s="1160"/>
      <c r="AG382" s="1160"/>
    </row>
    <row r="383" ht="15.0" customHeight="1">
      <c r="A383" s="1209"/>
      <c r="B383" s="1209"/>
      <c r="C383" s="1210"/>
      <c r="D383" s="1160"/>
      <c r="E383" s="1160"/>
      <c r="F383" s="1160"/>
      <c r="G383" s="1160"/>
      <c r="H383" s="1160"/>
      <c r="I383" s="1160"/>
      <c r="J383" s="1160"/>
      <c r="K383" s="1160"/>
      <c r="L383" s="1160"/>
      <c r="M383" s="1160"/>
      <c r="N383" s="1160"/>
      <c r="O383" s="1160"/>
      <c r="P383" s="1160"/>
      <c r="Q383" s="1160"/>
      <c r="R383" s="1160"/>
      <c r="S383" s="1160"/>
      <c r="T383" s="1160"/>
      <c r="U383" s="1160"/>
      <c r="V383" s="1160"/>
      <c r="W383" s="1160"/>
      <c r="X383" s="1160"/>
      <c r="Y383" s="1160"/>
      <c r="Z383" s="1160"/>
      <c r="AA383" s="1160"/>
      <c r="AB383" s="1160"/>
      <c r="AC383" s="1160"/>
      <c r="AD383" s="1160"/>
      <c r="AE383" s="1160"/>
      <c r="AF383" s="1160"/>
      <c r="AG383" s="1160"/>
    </row>
    <row r="384" ht="15.0" customHeight="1">
      <c r="A384" s="1209"/>
      <c r="B384" s="1209"/>
      <c r="C384" s="1210"/>
      <c r="D384" s="1160"/>
      <c r="E384" s="1160"/>
      <c r="F384" s="1160"/>
      <c r="G384" s="1160"/>
      <c r="H384" s="1160"/>
      <c r="I384" s="1160"/>
      <c r="J384" s="1160"/>
      <c r="K384" s="1160"/>
      <c r="L384" s="1160"/>
      <c r="M384" s="1160"/>
      <c r="N384" s="1160"/>
      <c r="O384" s="1160"/>
      <c r="P384" s="1160"/>
      <c r="Q384" s="1160"/>
      <c r="R384" s="1160"/>
      <c r="S384" s="1160"/>
      <c r="T384" s="1160"/>
      <c r="U384" s="1160"/>
      <c r="V384" s="1160"/>
      <c r="W384" s="1160"/>
      <c r="X384" s="1160"/>
      <c r="Y384" s="1160"/>
      <c r="Z384" s="1160"/>
      <c r="AA384" s="1160"/>
      <c r="AB384" s="1160"/>
      <c r="AC384" s="1160"/>
      <c r="AD384" s="1160"/>
      <c r="AE384" s="1160"/>
      <c r="AF384" s="1160"/>
      <c r="AG384" s="1160"/>
    </row>
    <row r="385" ht="15.0" customHeight="1">
      <c r="A385" s="1209"/>
      <c r="B385" s="1209"/>
      <c r="C385" s="1210"/>
      <c r="D385" s="1160"/>
      <c r="E385" s="1160"/>
      <c r="F385" s="1160"/>
      <c r="G385" s="1160"/>
      <c r="H385" s="1160"/>
      <c r="I385" s="1160"/>
      <c r="J385" s="1160"/>
      <c r="K385" s="1160"/>
      <c r="L385" s="1160"/>
      <c r="M385" s="1160"/>
      <c r="N385" s="1160"/>
      <c r="O385" s="1160"/>
      <c r="P385" s="1160"/>
      <c r="Q385" s="1160"/>
      <c r="R385" s="1160"/>
      <c r="S385" s="1160"/>
      <c r="T385" s="1160"/>
      <c r="U385" s="1160"/>
      <c r="V385" s="1160"/>
      <c r="W385" s="1160"/>
      <c r="X385" s="1160"/>
      <c r="Y385" s="1160"/>
      <c r="Z385" s="1160"/>
      <c r="AA385" s="1160"/>
      <c r="AB385" s="1160"/>
      <c r="AC385" s="1160"/>
      <c r="AD385" s="1160"/>
      <c r="AE385" s="1160"/>
      <c r="AF385" s="1160"/>
      <c r="AG385" s="1160"/>
    </row>
    <row r="386" ht="15.0" customHeight="1">
      <c r="A386" s="1209"/>
      <c r="B386" s="1209"/>
      <c r="C386" s="1210"/>
      <c r="D386" s="1160"/>
      <c r="E386" s="1160"/>
      <c r="F386" s="1160"/>
      <c r="G386" s="1160"/>
      <c r="H386" s="1160"/>
      <c r="I386" s="1160"/>
      <c r="J386" s="1160"/>
      <c r="K386" s="1160"/>
      <c r="L386" s="1160"/>
      <c r="M386" s="1160"/>
      <c r="N386" s="1160"/>
      <c r="O386" s="1160"/>
      <c r="P386" s="1160"/>
      <c r="Q386" s="1160"/>
      <c r="R386" s="1160"/>
      <c r="S386" s="1160"/>
      <c r="T386" s="1160"/>
      <c r="U386" s="1160"/>
      <c r="V386" s="1160"/>
      <c r="W386" s="1160"/>
      <c r="X386" s="1160"/>
      <c r="Y386" s="1160"/>
      <c r="Z386" s="1160"/>
      <c r="AA386" s="1160"/>
      <c r="AB386" s="1160"/>
      <c r="AC386" s="1160"/>
      <c r="AD386" s="1160"/>
      <c r="AE386" s="1160"/>
      <c r="AF386" s="1160"/>
      <c r="AG386" s="1160"/>
    </row>
    <row r="387" ht="15.0" customHeight="1">
      <c r="A387" s="1209"/>
      <c r="B387" s="1209"/>
      <c r="C387" s="1210"/>
      <c r="D387" s="1160"/>
      <c r="E387" s="1160"/>
      <c r="F387" s="1160"/>
      <c r="G387" s="1160"/>
      <c r="H387" s="1160"/>
      <c r="I387" s="1160"/>
      <c r="J387" s="1160"/>
      <c r="K387" s="1160"/>
      <c r="L387" s="1160"/>
      <c r="M387" s="1160"/>
      <c r="N387" s="1160"/>
      <c r="O387" s="1160"/>
      <c r="P387" s="1160"/>
      <c r="Q387" s="1160"/>
      <c r="R387" s="1160"/>
      <c r="S387" s="1160"/>
      <c r="T387" s="1160"/>
      <c r="U387" s="1160"/>
      <c r="V387" s="1160"/>
      <c r="W387" s="1160"/>
      <c r="X387" s="1160"/>
      <c r="Y387" s="1160"/>
      <c r="Z387" s="1160"/>
      <c r="AA387" s="1160"/>
      <c r="AB387" s="1160"/>
      <c r="AC387" s="1160"/>
      <c r="AD387" s="1160"/>
      <c r="AE387" s="1160"/>
      <c r="AF387" s="1160"/>
      <c r="AG387" s="1160"/>
    </row>
    <row r="388" ht="15.0" customHeight="1">
      <c r="A388" s="1209"/>
      <c r="B388" s="1209"/>
      <c r="C388" s="1210"/>
      <c r="D388" s="1160"/>
      <c r="E388" s="1160"/>
      <c r="F388" s="1160"/>
      <c r="G388" s="1160"/>
      <c r="H388" s="1160"/>
      <c r="I388" s="1160"/>
      <c r="J388" s="1160"/>
      <c r="K388" s="1160"/>
      <c r="L388" s="1160"/>
      <c r="M388" s="1160"/>
      <c r="N388" s="1160"/>
      <c r="O388" s="1160"/>
      <c r="P388" s="1160"/>
      <c r="Q388" s="1160"/>
      <c r="R388" s="1160"/>
      <c r="S388" s="1160"/>
      <c r="T388" s="1160"/>
      <c r="U388" s="1160"/>
      <c r="V388" s="1160"/>
      <c r="W388" s="1160"/>
      <c r="X388" s="1160"/>
      <c r="Y388" s="1160"/>
      <c r="Z388" s="1160"/>
      <c r="AA388" s="1160"/>
      <c r="AB388" s="1160"/>
      <c r="AC388" s="1160"/>
      <c r="AD388" s="1160"/>
      <c r="AE388" s="1160"/>
      <c r="AF388" s="1160"/>
      <c r="AG388" s="1160"/>
    </row>
    <row r="389" ht="15.0" customHeight="1">
      <c r="A389" s="1209"/>
      <c r="B389" s="1209"/>
      <c r="C389" s="1210"/>
      <c r="D389" s="1160"/>
      <c r="E389" s="1160"/>
      <c r="F389" s="1160"/>
      <c r="G389" s="1160"/>
      <c r="H389" s="1160"/>
      <c r="I389" s="1160"/>
      <c r="J389" s="1160"/>
      <c r="K389" s="1160"/>
      <c r="L389" s="1160"/>
      <c r="M389" s="1160"/>
      <c r="N389" s="1160"/>
      <c r="O389" s="1160"/>
      <c r="P389" s="1160"/>
      <c r="Q389" s="1160"/>
      <c r="R389" s="1160"/>
      <c r="S389" s="1160"/>
      <c r="T389" s="1160"/>
      <c r="U389" s="1160"/>
      <c r="V389" s="1160"/>
      <c r="W389" s="1160"/>
      <c r="X389" s="1160"/>
      <c r="Y389" s="1160"/>
      <c r="Z389" s="1160"/>
      <c r="AA389" s="1160"/>
      <c r="AB389" s="1160"/>
      <c r="AC389" s="1160"/>
      <c r="AD389" s="1160"/>
      <c r="AE389" s="1160"/>
      <c r="AF389" s="1160"/>
      <c r="AG389" s="1160"/>
    </row>
    <row r="390" ht="15.0" customHeight="1">
      <c r="A390" s="1209"/>
      <c r="B390" s="1209"/>
      <c r="C390" s="1210"/>
      <c r="D390" s="1160"/>
      <c r="E390" s="1160"/>
      <c r="F390" s="1160"/>
      <c r="G390" s="1160"/>
      <c r="H390" s="1160"/>
      <c r="I390" s="1160"/>
      <c r="J390" s="1160"/>
      <c r="K390" s="1160"/>
      <c r="L390" s="1160"/>
      <c r="M390" s="1160"/>
      <c r="N390" s="1160"/>
      <c r="O390" s="1160"/>
      <c r="P390" s="1160"/>
      <c r="Q390" s="1160"/>
      <c r="R390" s="1160"/>
      <c r="S390" s="1160"/>
      <c r="T390" s="1160"/>
      <c r="U390" s="1160"/>
      <c r="V390" s="1160"/>
      <c r="W390" s="1160"/>
      <c r="X390" s="1160"/>
      <c r="Y390" s="1160"/>
      <c r="Z390" s="1160"/>
      <c r="AA390" s="1160"/>
      <c r="AB390" s="1160"/>
      <c r="AC390" s="1160"/>
      <c r="AD390" s="1160"/>
      <c r="AE390" s="1160"/>
      <c r="AF390" s="1160"/>
      <c r="AG390" s="1160"/>
    </row>
    <row r="391" ht="15.0" customHeight="1">
      <c r="A391" s="1209"/>
      <c r="B391" s="1209"/>
      <c r="C391" s="1210"/>
      <c r="D391" s="1160"/>
      <c r="E391" s="1160"/>
      <c r="F391" s="1160"/>
      <c r="G391" s="1160"/>
      <c r="H391" s="1160"/>
      <c r="I391" s="1160"/>
      <c r="J391" s="1160"/>
      <c r="K391" s="1160"/>
      <c r="L391" s="1160"/>
      <c r="M391" s="1160"/>
      <c r="N391" s="1160"/>
      <c r="O391" s="1160"/>
      <c r="P391" s="1160"/>
      <c r="Q391" s="1160"/>
      <c r="R391" s="1160"/>
      <c r="S391" s="1160"/>
      <c r="T391" s="1160"/>
      <c r="U391" s="1160"/>
      <c r="V391" s="1160"/>
      <c r="W391" s="1160"/>
      <c r="X391" s="1160"/>
      <c r="Y391" s="1160"/>
      <c r="Z391" s="1160"/>
      <c r="AA391" s="1160"/>
      <c r="AB391" s="1160"/>
      <c r="AC391" s="1160"/>
      <c r="AD391" s="1160"/>
      <c r="AE391" s="1160"/>
      <c r="AF391" s="1160"/>
      <c r="AG391" s="1160"/>
    </row>
    <row r="392" ht="15.0" customHeight="1">
      <c r="A392" s="1209"/>
      <c r="B392" s="1209"/>
      <c r="C392" s="1210"/>
      <c r="D392" s="1160"/>
      <c r="E392" s="1160"/>
      <c r="F392" s="1160"/>
      <c r="G392" s="1160"/>
      <c r="H392" s="1160"/>
      <c r="I392" s="1160"/>
      <c r="J392" s="1160"/>
      <c r="K392" s="1160"/>
      <c r="L392" s="1160"/>
      <c r="M392" s="1160"/>
      <c r="N392" s="1160"/>
      <c r="O392" s="1160"/>
      <c r="P392" s="1160"/>
      <c r="Q392" s="1160"/>
      <c r="R392" s="1160"/>
      <c r="S392" s="1160"/>
      <c r="T392" s="1160"/>
      <c r="U392" s="1160"/>
      <c r="V392" s="1160"/>
      <c r="W392" s="1160"/>
      <c r="X392" s="1160"/>
      <c r="Y392" s="1160"/>
      <c r="Z392" s="1160"/>
      <c r="AA392" s="1160"/>
      <c r="AB392" s="1160"/>
      <c r="AC392" s="1160"/>
      <c r="AD392" s="1160"/>
      <c r="AE392" s="1160"/>
      <c r="AF392" s="1160"/>
      <c r="AG392" s="1160"/>
    </row>
    <row r="393" ht="15.0" customHeight="1">
      <c r="A393" s="1209"/>
      <c r="B393" s="1209"/>
      <c r="C393" s="1210"/>
      <c r="D393" s="1160"/>
      <c r="E393" s="1160"/>
      <c r="F393" s="1160"/>
      <c r="G393" s="1160"/>
      <c r="H393" s="1160"/>
      <c r="I393" s="1160"/>
      <c r="J393" s="1160"/>
      <c r="K393" s="1160"/>
      <c r="L393" s="1160"/>
      <c r="M393" s="1160"/>
      <c r="N393" s="1160"/>
      <c r="O393" s="1160"/>
      <c r="P393" s="1160"/>
      <c r="Q393" s="1160"/>
      <c r="R393" s="1160"/>
      <c r="S393" s="1160"/>
      <c r="T393" s="1160"/>
      <c r="U393" s="1160"/>
      <c r="V393" s="1160"/>
      <c r="W393" s="1160"/>
      <c r="X393" s="1160"/>
      <c r="Y393" s="1160"/>
      <c r="Z393" s="1160"/>
      <c r="AA393" s="1160"/>
      <c r="AB393" s="1160"/>
      <c r="AC393" s="1160"/>
      <c r="AD393" s="1160"/>
      <c r="AE393" s="1160"/>
      <c r="AF393" s="1160"/>
      <c r="AG393" s="1160"/>
    </row>
    <row r="394" ht="15.0" customHeight="1">
      <c r="A394" s="1209"/>
      <c r="B394" s="1209"/>
      <c r="C394" s="1210"/>
      <c r="D394" s="1160"/>
      <c r="E394" s="1160"/>
      <c r="F394" s="1160"/>
      <c r="G394" s="1160"/>
      <c r="H394" s="1160"/>
      <c r="I394" s="1160"/>
      <c r="J394" s="1160"/>
      <c r="K394" s="1160"/>
      <c r="L394" s="1160"/>
      <c r="M394" s="1160"/>
      <c r="N394" s="1160"/>
      <c r="O394" s="1160"/>
      <c r="P394" s="1160"/>
      <c r="Q394" s="1160"/>
      <c r="R394" s="1160"/>
      <c r="S394" s="1160"/>
      <c r="T394" s="1160"/>
      <c r="U394" s="1160"/>
      <c r="V394" s="1160"/>
      <c r="W394" s="1160"/>
      <c r="X394" s="1160"/>
      <c r="Y394" s="1160"/>
      <c r="Z394" s="1160"/>
      <c r="AA394" s="1160"/>
      <c r="AB394" s="1160"/>
      <c r="AC394" s="1160"/>
      <c r="AD394" s="1160"/>
      <c r="AE394" s="1160"/>
      <c r="AF394" s="1160"/>
      <c r="AG394" s="1160"/>
    </row>
    <row r="395" ht="15.0" customHeight="1">
      <c r="A395" s="1209"/>
      <c r="B395" s="1209"/>
      <c r="C395" s="1210"/>
      <c r="D395" s="1160"/>
      <c r="E395" s="1160"/>
      <c r="F395" s="1160"/>
      <c r="G395" s="1160"/>
      <c r="H395" s="1160"/>
      <c r="I395" s="1160"/>
      <c r="J395" s="1160"/>
      <c r="K395" s="1160"/>
      <c r="L395" s="1160"/>
      <c r="M395" s="1160"/>
      <c r="N395" s="1160"/>
      <c r="O395" s="1160"/>
      <c r="P395" s="1160"/>
      <c r="Q395" s="1160"/>
      <c r="R395" s="1160"/>
      <c r="S395" s="1160"/>
      <c r="T395" s="1160"/>
      <c r="U395" s="1160"/>
      <c r="V395" s="1160"/>
      <c r="W395" s="1160"/>
      <c r="X395" s="1160"/>
      <c r="Y395" s="1160"/>
      <c r="Z395" s="1160"/>
      <c r="AA395" s="1160"/>
      <c r="AB395" s="1160"/>
      <c r="AC395" s="1160"/>
      <c r="AD395" s="1160"/>
      <c r="AE395" s="1160"/>
      <c r="AF395" s="1160"/>
      <c r="AG395" s="1160"/>
    </row>
    <row r="396" ht="15.0" customHeight="1">
      <c r="A396" s="1209"/>
      <c r="B396" s="1209"/>
      <c r="C396" s="1210"/>
      <c r="D396" s="1160"/>
      <c r="E396" s="1160"/>
      <c r="F396" s="1160"/>
      <c r="G396" s="1160"/>
      <c r="H396" s="1160"/>
      <c r="I396" s="1160"/>
      <c r="J396" s="1160"/>
      <c r="K396" s="1160"/>
      <c r="L396" s="1160"/>
      <c r="M396" s="1160"/>
      <c r="N396" s="1160"/>
      <c r="O396" s="1160"/>
      <c r="P396" s="1160"/>
      <c r="Q396" s="1160"/>
      <c r="R396" s="1160"/>
      <c r="S396" s="1160"/>
      <c r="T396" s="1160"/>
      <c r="U396" s="1160"/>
      <c r="V396" s="1160"/>
      <c r="W396" s="1160"/>
      <c r="X396" s="1160"/>
      <c r="Y396" s="1160"/>
      <c r="Z396" s="1160"/>
      <c r="AA396" s="1160"/>
      <c r="AB396" s="1160"/>
      <c r="AC396" s="1160"/>
      <c r="AD396" s="1160"/>
      <c r="AE396" s="1160"/>
      <c r="AF396" s="1160"/>
      <c r="AG396" s="1160"/>
    </row>
    <row r="397" ht="15.0" customHeight="1">
      <c r="A397" s="1209"/>
      <c r="B397" s="1209"/>
      <c r="C397" s="1210"/>
      <c r="D397" s="1160"/>
      <c r="E397" s="1160"/>
      <c r="F397" s="1160"/>
      <c r="G397" s="1160"/>
      <c r="H397" s="1160"/>
      <c r="I397" s="1160"/>
      <c r="J397" s="1160"/>
      <c r="K397" s="1160"/>
      <c r="L397" s="1160"/>
      <c r="M397" s="1160"/>
      <c r="N397" s="1160"/>
      <c r="O397" s="1160"/>
      <c r="P397" s="1160"/>
      <c r="Q397" s="1160"/>
      <c r="R397" s="1160"/>
      <c r="S397" s="1160"/>
      <c r="T397" s="1160"/>
      <c r="U397" s="1160"/>
      <c r="V397" s="1160"/>
      <c r="W397" s="1160"/>
      <c r="X397" s="1160"/>
      <c r="Y397" s="1160"/>
      <c r="Z397" s="1160"/>
      <c r="AA397" s="1160"/>
      <c r="AB397" s="1160"/>
      <c r="AC397" s="1160"/>
      <c r="AD397" s="1160"/>
      <c r="AE397" s="1160"/>
      <c r="AF397" s="1160"/>
      <c r="AG397" s="1160"/>
    </row>
    <row r="398" ht="15.0" customHeight="1">
      <c r="A398" s="1209"/>
      <c r="B398" s="1209"/>
      <c r="C398" s="1210"/>
      <c r="D398" s="1160"/>
      <c r="E398" s="1160"/>
      <c r="F398" s="1160"/>
      <c r="G398" s="1160"/>
      <c r="H398" s="1160"/>
      <c r="I398" s="1160"/>
      <c r="J398" s="1160"/>
      <c r="K398" s="1160"/>
      <c r="L398" s="1160"/>
      <c r="M398" s="1160"/>
      <c r="N398" s="1160"/>
      <c r="O398" s="1160"/>
      <c r="P398" s="1160"/>
      <c r="Q398" s="1160"/>
      <c r="R398" s="1160"/>
      <c r="S398" s="1160"/>
      <c r="T398" s="1160"/>
      <c r="U398" s="1160"/>
      <c r="V398" s="1160"/>
      <c r="W398" s="1160"/>
      <c r="X398" s="1160"/>
      <c r="Y398" s="1160"/>
      <c r="Z398" s="1160"/>
      <c r="AA398" s="1160"/>
      <c r="AB398" s="1160"/>
      <c r="AC398" s="1160"/>
      <c r="AD398" s="1160"/>
      <c r="AE398" s="1160"/>
      <c r="AF398" s="1160"/>
      <c r="AG398" s="1160"/>
    </row>
    <row r="399" ht="15.0" customHeight="1">
      <c r="A399" s="1209"/>
      <c r="B399" s="1209"/>
      <c r="C399" s="1210"/>
      <c r="D399" s="1160"/>
      <c r="E399" s="1160"/>
      <c r="F399" s="1160"/>
      <c r="G399" s="1160"/>
      <c r="H399" s="1160"/>
      <c r="I399" s="1160"/>
      <c r="J399" s="1160"/>
      <c r="K399" s="1160"/>
      <c r="L399" s="1160"/>
      <c r="M399" s="1160"/>
      <c r="N399" s="1160"/>
      <c r="O399" s="1160"/>
      <c r="P399" s="1160"/>
      <c r="Q399" s="1160"/>
      <c r="R399" s="1160"/>
      <c r="S399" s="1160"/>
      <c r="T399" s="1160"/>
      <c r="U399" s="1160"/>
      <c r="V399" s="1160"/>
      <c r="W399" s="1160"/>
      <c r="X399" s="1160"/>
      <c r="Y399" s="1160"/>
      <c r="Z399" s="1160"/>
      <c r="AA399" s="1160"/>
      <c r="AB399" s="1160"/>
      <c r="AC399" s="1160"/>
      <c r="AD399" s="1160"/>
      <c r="AE399" s="1160"/>
      <c r="AF399" s="1160"/>
      <c r="AG399" s="1160"/>
    </row>
    <row r="400" ht="15.0" customHeight="1">
      <c r="A400" s="1209"/>
      <c r="B400" s="1209"/>
      <c r="C400" s="1210"/>
      <c r="D400" s="1160"/>
      <c r="E400" s="1160"/>
      <c r="F400" s="1160"/>
      <c r="G400" s="1160"/>
      <c r="H400" s="1160"/>
      <c r="I400" s="1160"/>
      <c r="J400" s="1160"/>
      <c r="K400" s="1160"/>
      <c r="L400" s="1160"/>
      <c r="M400" s="1160"/>
      <c r="N400" s="1160"/>
      <c r="O400" s="1160"/>
      <c r="P400" s="1160"/>
      <c r="Q400" s="1160"/>
      <c r="R400" s="1160"/>
      <c r="S400" s="1160"/>
      <c r="T400" s="1160"/>
      <c r="U400" s="1160"/>
      <c r="V400" s="1160"/>
      <c r="W400" s="1160"/>
      <c r="X400" s="1160"/>
      <c r="Y400" s="1160"/>
      <c r="Z400" s="1160"/>
      <c r="AA400" s="1160"/>
      <c r="AB400" s="1160"/>
      <c r="AC400" s="1160"/>
      <c r="AD400" s="1160"/>
      <c r="AE400" s="1160"/>
      <c r="AF400" s="1160"/>
      <c r="AG400" s="1160"/>
    </row>
    <row r="401" ht="15.0" customHeight="1">
      <c r="A401" s="1209"/>
      <c r="B401" s="1209"/>
      <c r="C401" s="1210"/>
      <c r="D401" s="1160"/>
      <c r="E401" s="1160"/>
      <c r="F401" s="1160"/>
      <c r="G401" s="1160"/>
      <c r="H401" s="1160"/>
      <c r="I401" s="1160"/>
      <c r="J401" s="1160"/>
      <c r="K401" s="1160"/>
      <c r="L401" s="1160"/>
      <c r="M401" s="1160"/>
      <c r="N401" s="1160"/>
      <c r="O401" s="1160"/>
      <c r="P401" s="1160"/>
      <c r="Q401" s="1160"/>
      <c r="R401" s="1160"/>
      <c r="S401" s="1160"/>
      <c r="T401" s="1160"/>
      <c r="U401" s="1160"/>
      <c r="V401" s="1160"/>
      <c r="W401" s="1160"/>
      <c r="X401" s="1160"/>
      <c r="Y401" s="1160"/>
      <c r="Z401" s="1160"/>
      <c r="AA401" s="1160"/>
      <c r="AB401" s="1160"/>
      <c r="AC401" s="1160"/>
      <c r="AD401" s="1160"/>
      <c r="AE401" s="1160"/>
      <c r="AF401" s="1160"/>
      <c r="AG401" s="1160"/>
    </row>
    <row r="402" ht="15.0" customHeight="1">
      <c r="A402" s="1209"/>
      <c r="B402" s="1209"/>
      <c r="C402" s="1210"/>
      <c r="D402" s="1160"/>
      <c r="E402" s="1160"/>
      <c r="F402" s="1160"/>
      <c r="G402" s="1160"/>
      <c r="H402" s="1160"/>
      <c r="I402" s="1160"/>
      <c r="J402" s="1160"/>
      <c r="K402" s="1160"/>
      <c r="L402" s="1160"/>
      <c r="M402" s="1160"/>
      <c r="N402" s="1160"/>
      <c r="O402" s="1160"/>
      <c r="P402" s="1160"/>
      <c r="Q402" s="1160"/>
      <c r="R402" s="1160"/>
      <c r="S402" s="1160"/>
      <c r="T402" s="1160"/>
      <c r="U402" s="1160"/>
      <c r="V402" s="1160"/>
      <c r="W402" s="1160"/>
      <c r="X402" s="1160"/>
      <c r="Y402" s="1160"/>
      <c r="Z402" s="1160"/>
      <c r="AA402" s="1160"/>
      <c r="AB402" s="1160"/>
      <c r="AC402" s="1160"/>
      <c r="AD402" s="1160"/>
      <c r="AE402" s="1160"/>
      <c r="AF402" s="1160"/>
      <c r="AG402" s="1160"/>
    </row>
    <row r="403" ht="15.0" customHeight="1">
      <c r="A403" s="1209"/>
      <c r="B403" s="1209"/>
      <c r="C403" s="1210"/>
      <c r="D403" s="1160"/>
      <c r="E403" s="1160"/>
      <c r="F403" s="1160"/>
      <c r="G403" s="1160"/>
      <c r="H403" s="1160"/>
      <c r="I403" s="1160"/>
      <c r="J403" s="1160"/>
      <c r="K403" s="1160"/>
      <c r="L403" s="1160"/>
      <c r="M403" s="1160"/>
      <c r="N403" s="1160"/>
      <c r="O403" s="1160"/>
      <c r="P403" s="1160"/>
      <c r="Q403" s="1160"/>
      <c r="R403" s="1160"/>
      <c r="S403" s="1160"/>
      <c r="T403" s="1160"/>
      <c r="U403" s="1160"/>
      <c r="V403" s="1160"/>
      <c r="W403" s="1160"/>
      <c r="X403" s="1160"/>
      <c r="Y403" s="1160"/>
      <c r="Z403" s="1160"/>
      <c r="AA403" s="1160"/>
      <c r="AB403" s="1160"/>
      <c r="AC403" s="1160"/>
      <c r="AD403" s="1160"/>
      <c r="AE403" s="1160"/>
      <c r="AF403" s="1160"/>
      <c r="AG403" s="1160"/>
    </row>
    <row r="404" ht="15.0" customHeight="1">
      <c r="A404" s="1209"/>
      <c r="B404" s="1209"/>
      <c r="C404" s="1210"/>
      <c r="D404" s="1160"/>
      <c r="E404" s="1160"/>
      <c r="F404" s="1160"/>
      <c r="G404" s="1160"/>
      <c r="H404" s="1160"/>
      <c r="I404" s="1160"/>
      <c r="J404" s="1160"/>
      <c r="K404" s="1160"/>
      <c r="L404" s="1160"/>
      <c r="M404" s="1160"/>
      <c r="N404" s="1160"/>
      <c r="O404" s="1160"/>
      <c r="P404" s="1160"/>
      <c r="Q404" s="1160"/>
      <c r="R404" s="1160"/>
      <c r="S404" s="1160"/>
      <c r="T404" s="1160"/>
      <c r="U404" s="1160"/>
      <c r="V404" s="1160"/>
      <c r="W404" s="1160"/>
      <c r="X404" s="1160"/>
      <c r="Y404" s="1160"/>
      <c r="Z404" s="1160"/>
      <c r="AA404" s="1160"/>
      <c r="AB404" s="1160"/>
      <c r="AC404" s="1160"/>
      <c r="AD404" s="1160"/>
      <c r="AE404" s="1160"/>
      <c r="AF404" s="1160"/>
      <c r="AG404" s="1160"/>
    </row>
    <row r="405" ht="15.0" customHeight="1">
      <c r="A405" s="1209"/>
      <c r="B405" s="1209"/>
      <c r="C405" s="1210"/>
      <c r="D405" s="1160"/>
      <c r="E405" s="1160"/>
      <c r="F405" s="1160"/>
      <c r="G405" s="1160"/>
      <c r="H405" s="1160"/>
      <c r="I405" s="1160"/>
      <c r="J405" s="1160"/>
      <c r="K405" s="1160"/>
      <c r="L405" s="1160"/>
      <c r="M405" s="1160"/>
      <c r="N405" s="1160"/>
      <c r="O405" s="1160"/>
      <c r="P405" s="1160"/>
      <c r="Q405" s="1160"/>
      <c r="R405" s="1160"/>
      <c r="S405" s="1160"/>
      <c r="T405" s="1160"/>
      <c r="U405" s="1160"/>
      <c r="V405" s="1160"/>
      <c r="W405" s="1160"/>
      <c r="X405" s="1160"/>
      <c r="Y405" s="1160"/>
      <c r="Z405" s="1160"/>
      <c r="AA405" s="1160"/>
      <c r="AB405" s="1160"/>
      <c r="AC405" s="1160"/>
      <c r="AD405" s="1160"/>
      <c r="AE405" s="1160"/>
      <c r="AF405" s="1160"/>
      <c r="AG405" s="1160"/>
    </row>
    <row r="406" ht="15.0" customHeight="1">
      <c r="A406" s="1209"/>
      <c r="B406" s="1209"/>
      <c r="C406" s="1210"/>
      <c r="D406" s="1160"/>
      <c r="E406" s="1160"/>
      <c r="F406" s="1160"/>
      <c r="G406" s="1160"/>
      <c r="H406" s="1160"/>
      <c r="I406" s="1160"/>
      <c r="J406" s="1160"/>
      <c r="K406" s="1160"/>
      <c r="L406" s="1160"/>
      <c r="M406" s="1160"/>
      <c r="N406" s="1160"/>
      <c r="O406" s="1160"/>
      <c r="P406" s="1160"/>
      <c r="Q406" s="1160"/>
      <c r="R406" s="1160"/>
      <c r="S406" s="1160"/>
      <c r="T406" s="1160"/>
      <c r="U406" s="1160"/>
      <c r="V406" s="1160"/>
      <c r="W406" s="1160"/>
      <c r="X406" s="1160"/>
      <c r="Y406" s="1160"/>
      <c r="Z406" s="1160"/>
      <c r="AA406" s="1160"/>
      <c r="AB406" s="1160"/>
      <c r="AC406" s="1160"/>
      <c r="AD406" s="1160"/>
      <c r="AE406" s="1160"/>
      <c r="AF406" s="1160"/>
      <c r="AG406" s="1160"/>
    </row>
    <row r="407" ht="15.0" customHeight="1">
      <c r="A407" s="1209"/>
      <c r="B407" s="1209"/>
      <c r="C407" s="1210"/>
      <c r="D407" s="1160"/>
      <c r="E407" s="1160"/>
      <c r="F407" s="1160"/>
      <c r="G407" s="1160"/>
      <c r="H407" s="1160"/>
      <c r="I407" s="1160"/>
      <c r="J407" s="1160"/>
      <c r="K407" s="1160"/>
      <c r="L407" s="1160"/>
      <c r="M407" s="1160"/>
      <c r="N407" s="1160"/>
      <c r="O407" s="1160"/>
      <c r="P407" s="1160"/>
      <c r="Q407" s="1160"/>
      <c r="R407" s="1160"/>
      <c r="S407" s="1160"/>
      <c r="T407" s="1160"/>
      <c r="U407" s="1160"/>
      <c r="V407" s="1160"/>
      <c r="W407" s="1160"/>
      <c r="X407" s="1160"/>
      <c r="Y407" s="1160"/>
      <c r="Z407" s="1160"/>
      <c r="AA407" s="1160"/>
      <c r="AB407" s="1160"/>
      <c r="AC407" s="1160"/>
      <c r="AD407" s="1160"/>
      <c r="AE407" s="1160"/>
      <c r="AF407" s="1160"/>
      <c r="AG407" s="1160"/>
    </row>
    <row r="408" ht="15.0" customHeight="1">
      <c r="A408" s="1209"/>
      <c r="B408" s="1209"/>
      <c r="C408" s="1210"/>
      <c r="D408" s="1160"/>
      <c r="E408" s="1160"/>
      <c r="F408" s="1160"/>
      <c r="G408" s="1160"/>
      <c r="H408" s="1160"/>
      <c r="I408" s="1160"/>
      <c r="J408" s="1160"/>
      <c r="K408" s="1160"/>
      <c r="L408" s="1160"/>
      <c r="M408" s="1160"/>
      <c r="N408" s="1160"/>
      <c r="O408" s="1160"/>
      <c r="P408" s="1160"/>
      <c r="Q408" s="1160"/>
      <c r="R408" s="1160"/>
      <c r="S408" s="1160"/>
      <c r="T408" s="1160"/>
      <c r="U408" s="1160"/>
      <c r="V408" s="1160"/>
      <c r="W408" s="1160"/>
      <c r="X408" s="1160"/>
      <c r="Y408" s="1160"/>
      <c r="Z408" s="1160"/>
      <c r="AA408" s="1160"/>
      <c r="AB408" s="1160"/>
      <c r="AC408" s="1160"/>
      <c r="AD408" s="1160"/>
      <c r="AE408" s="1160"/>
      <c r="AF408" s="1160"/>
      <c r="AG408" s="1160"/>
    </row>
    <row r="409" ht="15.0" customHeight="1">
      <c r="A409" s="1209"/>
      <c r="B409" s="1209"/>
      <c r="C409" s="1210"/>
      <c r="D409" s="1160"/>
      <c r="E409" s="1160"/>
      <c r="F409" s="1160"/>
      <c r="G409" s="1160"/>
      <c r="H409" s="1160"/>
      <c r="I409" s="1160"/>
      <c r="J409" s="1160"/>
      <c r="K409" s="1160"/>
      <c r="L409" s="1160"/>
      <c r="M409" s="1160"/>
      <c r="N409" s="1160"/>
      <c r="O409" s="1160"/>
      <c r="P409" s="1160"/>
      <c r="Q409" s="1160"/>
      <c r="R409" s="1160"/>
      <c r="S409" s="1160"/>
      <c r="T409" s="1160"/>
      <c r="U409" s="1160"/>
      <c r="V409" s="1160"/>
      <c r="W409" s="1160"/>
      <c r="X409" s="1160"/>
      <c r="Y409" s="1160"/>
      <c r="Z409" s="1160"/>
      <c r="AA409" s="1160"/>
      <c r="AB409" s="1160"/>
      <c r="AC409" s="1160"/>
      <c r="AD409" s="1160"/>
      <c r="AE409" s="1160"/>
      <c r="AF409" s="1160"/>
      <c r="AG409" s="1160"/>
    </row>
    <row r="410" ht="15.0" customHeight="1">
      <c r="A410" s="1209"/>
      <c r="B410" s="1209"/>
      <c r="C410" s="1210"/>
      <c r="D410" s="1160"/>
      <c r="E410" s="1160"/>
      <c r="F410" s="1160"/>
      <c r="G410" s="1160"/>
      <c r="H410" s="1160"/>
      <c r="I410" s="1160"/>
      <c r="J410" s="1160"/>
      <c r="K410" s="1160"/>
      <c r="L410" s="1160"/>
      <c r="M410" s="1160"/>
      <c r="N410" s="1160"/>
      <c r="O410" s="1160"/>
      <c r="P410" s="1160"/>
      <c r="Q410" s="1160"/>
      <c r="R410" s="1160"/>
      <c r="S410" s="1160"/>
      <c r="T410" s="1160"/>
      <c r="U410" s="1160"/>
      <c r="V410" s="1160"/>
      <c r="W410" s="1160"/>
      <c r="X410" s="1160"/>
      <c r="Y410" s="1160"/>
      <c r="Z410" s="1160"/>
      <c r="AA410" s="1160"/>
      <c r="AB410" s="1160"/>
      <c r="AC410" s="1160"/>
      <c r="AD410" s="1160"/>
      <c r="AE410" s="1160"/>
      <c r="AF410" s="1160"/>
      <c r="AG410" s="1160"/>
    </row>
    <row r="411" ht="15.0" customHeight="1">
      <c r="A411" s="1209"/>
      <c r="B411" s="1209"/>
      <c r="C411" s="1210"/>
      <c r="D411" s="1160"/>
      <c r="E411" s="1160"/>
      <c r="F411" s="1160"/>
      <c r="G411" s="1160"/>
      <c r="H411" s="1160"/>
      <c r="I411" s="1160"/>
      <c r="J411" s="1160"/>
      <c r="K411" s="1160"/>
      <c r="L411" s="1160"/>
      <c r="M411" s="1160"/>
      <c r="N411" s="1160"/>
      <c r="O411" s="1160"/>
      <c r="P411" s="1160"/>
      <c r="Q411" s="1160"/>
      <c r="R411" s="1160"/>
      <c r="S411" s="1160"/>
      <c r="T411" s="1160"/>
      <c r="U411" s="1160"/>
      <c r="V411" s="1160"/>
      <c r="W411" s="1160"/>
      <c r="X411" s="1160"/>
      <c r="Y411" s="1160"/>
      <c r="Z411" s="1160"/>
      <c r="AA411" s="1160"/>
      <c r="AB411" s="1160"/>
      <c r="AC411" s="1160"/>
      <c r="AD411" s="1160"/>
      <c r="AE411" s="1160"/>
      <c r="AF411" s="1160"/>
      <c r="AG411" s="1160"/>
    </row>
    <row r="412" ht="15.0" customHeight="1">
      <c r="A412" s="1209"/>
      <c r="B412" s="1209"/>
      <c r="C412" s="1210"/>
      <c r="D412" s="1160"/>
      <c r="E412" s="1160"/>
      <c r="F412" s="1160"/>
      <c r="G412" s="1160"/>
      <c r="H412" s="1160"/>
      <c r="I412" s="1160"/>
      <c r="J412" s="1160"/>
      <c r="K412" s="1160"/>
      <c r="L412" s="1160"/>
      <c r="M412" s="1160"/>
      <c r="N412" s="1160"/>
      <c r="O412" s="1160"/>
      <c r="P412" s="1160"/>
      <c r="Q412" s="1160"/>
      <c r="R412" s="1160"/>
      <c r="S412" s="1160"/>
      <c r="T412" s="1160"/>
      <c r="U412" s="1160"/>
      <c r="V412" s="1160"/>
      <c r="W412" s="1160"/>
      <c r="X412" s="1160"/>
      <c r="Y412" s="1160"/>
      <c r="Z412" s="1160"/>
      <c r="AA412" s="1160"/>
      <c r="AB412" s="1160"/>
      <c r="AC412" s="1160"/>
      <c r="AD412" s="1160"/>
      <c r="AE412" s="1160"/>
      <c r="AF412" s="1160"/>
      <c r="AG412" s="1160"/>
    </row>
    <row r="413" ht="15.0" customHeight="1">
      <c r="A413" s="1209"/>
      <c r="B413" s="1209"/>
      <c r="C413" s="1210"/>
      <c r="D413" s="1160"/>
      <c r="E413" s="1160"/>
      <c r="F413" s="1160"/>
      <c r="G413" s="1160"/>
      <c r="H413" s="1160"/>
      <c r="I413" s="1160"/>
      <c r="J413" s="1160"/>
      <c r="K413" s="1160"/>
      <c r="L413" s="1160"/>
      <c r="M413" s="1160"/>
      <c r="N413" s="1160"/>
      <c r="O413" s="1160"/>
      <c r="P413" s="1160"/>
      <c r="Q413" s="1160"/>
      <c r="R413" s="1160"/>
      <c r="S413" s="1160"/>
      <c r="T413" s="1160"/>
      <c r="U413" s="1160"/>
      <c r="V413" s="1160"/>
      <c r="W413" s="1160"/>
      <c r="X413" s="1160"/>
      <c r="Y413" s="1160"/>
      <c r="Z413" s="1160"/>
      <c r="AA413" s="1160"/>
      <c r="AB413" s="1160"/>
      <c r="AC413" s="1160"/>
      <c r="AD413" s="1160"/>
      <c r="AE413" s="1160"/>
      <c r="AF413" s="1160"/>
      <c r="AG413" s="1160"/>
    </row>
    <row r="414" ht="15.0" customHeight="1">
      <c r="A414" s="1209"/>
      <c r="B414" s="1209"/>
      <c r="C414" s="1210"/>
      <c r="D414" s="1160"/>
      <c r="E414" s="1160"/>
      <c r="F414" s="1160"/>
      <c r="G414" s="1160"/>
      <c r="H414" s="1160"/>
      <c r="I414" s="1160"/>
      <c r="J414" s="1160"/>
      <c r="K414" s="1160"/>
      <c r="L414" s="1160"/>
      <c r="M414" s="1160"/>
      <c r="N414" s="1160"/>
      <c r="O414" s="1160"/>
      <c r="P414" s="1160"/>
      <c r="Q414" s="1160"/>
      <c r="R414" s="1160"/>
      <c r="S414" s="1160"/>
      <c r="T414" s="1160"/>
      <c r="U414" s="1160"/>
      <c r="V414" s="1160"/>
      <c r="W414" s="1160"/>
      <c r="X414" s="1160"/>
      <c r="Y414" s="1160"/>
      <c r="Z414" s="1160"/>
      <c r="AA414" s="1160"/>
      <c r="AB414" s="1160"/>
      <c r="AC414" s="1160"/>
      <c r="AD414" s="1160"/>
      <c r="AE414" s="1160"/>
      <c r="AF414" s="1160"/>
      <c r="AG414" s="1160"/>
    </row>
    <row r="415" ht="15.0" customHeight="1">
      <c r="A415" s="1209"/>
      <c r="B415" s="1209"/>
      <c r="C415" s="1210"/>
      <c r="D415" s="1160"/>
      <c r="E415" s="1160"/>
      <c r="F415" s="1160"/>
      <c r="G415" s="1160"/>
      <c r="H415" s="1160"/>
      <c r="I415" s="1160"/>
      <c r="J415" s="1160"/>
      <c r="K415" s="1160"/>
      <c r="L415" s="1160"/>
      <c r="M415" s="1160"/>
      <c r="N415" s="1160"/>
      <c r="O415" s="1160"/>
      <c r="P415" s="1160"/>
      <c r="Q415" s="1160"/>
      <c r="R415" s="1160"/>
      <c r="S415" s="1160"/>
      <c r="T415" s="1160"/>
      <c r="U415" s="1160"/>
      <c r="V415" s="1160"/>
      <c r="W415" s="1160"/>
      <c r="X415" s="1160"/>
      <c r="Y415" s="1160"/>
      <c r="Z415" s="1160"/>
      <c r="AA415" s="1160"/>
      <c r="AB415" s="1160"/>
      <c r="AC415" s="1160"/>
      <c r="AD415" s="1160"/>
      <c r="AE415" s="1160"/>
      <c r="AF415" s="1160"/>
      <c r="AG415" s="1160"/>
    </row>
    <row r="416" ht="15.0" customHeight="1">
      <c r="A416" s="1209"/>
      <c r="B416" s="1209"/>
      <c r="C416" s="1210"/>
      <c r="D416" s="1160"/>
      <c r="E416" s="1160"/>
      <c r="F416" s="1160"/>
      <c r="G416" s="1160"/>
      <c r="H416" s="1160"/>
      <c r="I416" s="1160"/>
      <c r="J416" s="1160"/>
      <c r="K416" s="1160"/>
      <c r="L416" s="1160"/>
      <c r="M416" s="1160"/>
      <c r="N416" s="1160"/>
      <c r="O416" s="1160"/>
      <c r="P416" s="1160"/>
      <c r="Q416" s="1160"/>
      <c r="R416" s="1160"/>
      <c r="S416" s="1160"/>
      <c r="T416" s="1160"/>
      <c r="U416" s="1160"/>
      <c r="V416" s="1160"/>
      <c r="W416" s="1160"/>
      <c r="X416" s="1160"/>
      <c r="Y416" s="1160"/>
      <c r="Z416" s="1160"/>
      <c r="AA416" s="1160"/>
      <c r="AB416" s="1160"/>
      <c r="AC416" s="1160"/>
      <c r="AD416" s="1160"/>
      <c r="AE416" s="1160"/>
      <c r="AF416" s="1160"/>
      <c r="AG416" s="1160"/>
    </row>
    <row r="417" ht="15.0" customHeight="1">
      <c r="A417" s="1209"/>
      <c r="B417" s="1209"/>
      <c r="C417" s="1210"/>
      <c r="D417" s="1160"/>
      <c r="E417" s="1160"/>
      <c r="F417" s="1160"/>
      <c r="G417" s="1160"/>
      <c r="H417" s="1160"/>
      <c r="I417" s="1160"/>
      <c r="J417" s="1160"/>
      <c r="K417" s="1160"/>
      <c r="L417" s="1160"/>
      <c r="M417" s="1160"/>
      <c r="N417" s="1160"/>
      <c r="O417" s="1160"/>
      <c r="P417" s="1160"/>
      <c r="Q417" s="1160"/>
      <c r="R417" s="1160"/>
      <c r="S417" s="1160"/>
      <c r="T417" s="1160"/>
      <c r="U417" s="1160"/>
      <c r="V417" s="1160"/>
      <c r="W417" s="1160"/>
      <c r="X417" s="1160"/>
      <c r="Y417" s="1160"/>
      <c r="Z417" s="1160"/>
      <c r="AA417" s="1160"/>
      <c r="AB417" s="1160"/>
      <c r="AC417" s="1160"/>
      <c r="AD417" s="1160"/>
      <c r="AE417" s="1160"/>
      <c r="AF417" s="1160"/>
      <c r="AG417" s="1160"/>
    </row>
    <row r="418" ht="15.0" customHeight="1">
      <c r="A418" s="1209"/>
      <c r="B418" s="1209"/>
      <c r="C418" s="1210"/>
      <c r="D418" s="1160"/>
      <c r="E418" s="1160"/>
      <c r="F418" s="1160"/>
      <c r="G418" s="1160"/>
      <c r="H418" s="1160"/>
      <c r="I418" s="1160"/>
      <c r="J418" s="1160"/>
      <c r="K418" s="1160"/>
      <c r="L418" s="1160"/>
      <c r="M418" s="1160"/>
      <c r="N418" s="1160"/>
      <c r="O418" s="1160"/>
      <c r="P418" s="1160"/>
      <c r="Q418" s="1160"/>
      <c r="R418" s="1160"/>
      <c r="S418" s="1160"/>
      <c r="T418" s="1160"/>
      <c r="U418" s="1160"/>
      <c r="V418" s="1160"/>
      <c r="W418" s="1160"/>
      <c r="X418" s="1160"/>
      <c r="Y418" s="1160"/>
      <c r="Z418" s="1160"/>
      <c r="AA418" s="1160"/>
      <c r="AB418" s="1160"/>
      <c r="AC418" s="1160"/>
      <c r="AD418" s="1160"/>
      <c r="AE418" s="1160"/>
      <c r="AF418" s="1160"/>
      <c r="AG418" s="1160"/>
    </row>
    <row r="419" ht="15.0" customHeight="1">
      <c r="A419" s="1209"/>
      <c r="B419" s="1209"/>
      <c r="C419" s="1210"/>
      <c r="D419" s="1160"/>
      <c r="E419" s="1160"/>
      <c r="F419" s="1160"/>
      <c r="G419" s="1160"/>
      <c r="H419" s="1160"/>
      <c r="I419" s="1160"/>
      <c r="J419" s="1160"/>
      <c r="K419" s="1160"/>
      <c r="L419" s="1160"/>
      <c r="M419" s="1160"/>
      <c r="N419" s="1160"/>
      <c r="O419" s="1160"/>
      <c r="P419" s="1160"/>
      <c r="Q419" s="1160"/>
      <c r="R419" s="1160"/>
      <c r="S419" s="1160"/>
      <c r="T419" s="1160"/>
      <c r="U419" s="1160"/>
      <c r="V419" s="1160"/>
      <c r="W419" s="1160"/>
      <c r="X419" s="1160"/>
      <c r="Y419" s="1160"/>
      <c r="Z419" s="1160"/>
      <c r="AA419" s="1160"/>
      <c r="AB419" s="1160"/>
      <c r="AC419" s="1160"/>
      <c r="AD419" s="1160"/>
      <c r="AE419" s="1160"/>
      <c r="AF419" s="1160"/>
      <c r="AG419" s="1160"/>
    </row>
    <row r="420" ht="15.0" customHeight="1">
      <c r="A420" s="1209"/>
      <c r="B420" s="1209"/>
      <c r="C420" s="1210"/>
      <c r="D420" s="1160"/>
      <c r="E420" s="1160"/>
      <c r="F420" s="1160"/>
      <c r="G420" s="1160"/>
      <c r="H420" s="1160"/>
      <c r="I420" s="1160"/>
      <c r="J420" s="1160"/>
      <c r="K420" s="1160"/>
      <c r="L420" s="1160"/>
      <c r="M420" s="1160"/>
      <c r="N420" s="1160"/>
      <c r="O420" s="1160"/>
      <c r="P420" s="1160"/>
      <c r="Q420" s="1160"/>
      <c r="R420" s="1160"/>
      <c r="S420" s="1160"/>
      <c r="T420" s="1160"/>
      <c r="U420" s="1160"/>
      <c r="V420" s="1160"/>
      <c r="W420" s="1160"/>
      <c r="X420" s="1160"/>
      <c r="Y420" s="1160"/>
      <c r="Z420" s="1160"/>
      <c r="AA420" s="1160"/>
      <c r="AB420" s="1160"/>
      <c r="AC420" s="1160"/>
      <c r="AD420" s="1160"/>
      <c r="AE420" s="1160"/>
      <c r="AF420" s="1160"/>
      <c r="AG420" s="1160"/>
    </row>
    <row r="421" ht="15.0" customHeight="1">
      <c r="A421" s="1209"/>
      <c r="B421" s="1209"/>
      <c r="C421" s="1210"/>
      <c r="D421" s="1160"/>
      <c r="E421" s="1160"/>
      <c r="F421" s="1160"/>
      <c r="G421" s="1160"/>
      <c r="H421" s="1160"/>
      <c r="I421" s="1160"/>
      <c r="J421" s="1160"/>
      <c r="K421" s="1160"/>
      <c r="L421" s="1160"/>
      <c r="M421" s="1160"/>
      <c r="N421" s="1160"/>
      <c r="O421" s="1160"/>
      <c r="P421" s="1160"/>
      <c r="Q421" s="1160"/>
      <c r="R421" s="1160"/>
      <c r="S421" s="1160"/>
      <c r="T421" s="1160"/>
      <c r="U421" s="1160"/>
      <c r="V421" s="1160"/>
      <c r="W421" s="1160"/>
      <c r="X421" s="1160"/>
      <c r="Y421" s="1160"/>
      <c r="Z421" s="1160"/>
      <c r="AA421" s="1160"/>
      <c r="AB421" s="1160"/>
      <c r="AC421" s="1160"/>
      <c r="AD421" s="1160"/>
      <c r="AE421" s="1160"/>
      <c r="AF421" s="1160"/>
      <c r="AG421" s="1160"/>
    </row>
    <row r="422" ht="15.0" customHeight="1">
      <c r="A422" s="1209"/>
      <c r="B422" s="1209"/>
      <c r="C422" s="1210"/>
      <c r="D422" s="1160"/>
      <c r="E422" s="1160"/>
      <c r="F422" s="1160"/>
      <c r="G422" s="1160"/>
      <c r="H422" s="1160"/>
      <c r="I422" s="1160"/>
      <c r="J422" s="1160"/>
      <c r="K422" s="1160"/>
      <c r="L422" s="1160"/>
      <c r="M422" s="1160"/>
      <c r="N422" s="1160"/>
      <c r="O422" s="1160"/>
      <c r="P422" s="1160"/>
      <c r="Q422" s="1160"/>
      <c r="R422" s="1160"/>
      <c r="S422" s="1160"/>
      <c r="T422" s="1160"/>
      <c r="U422" s="1160"/>
      <c r="V422" s="1160"/>
      <c r="W422" s="1160"/>
      <c r="X422" s="1160"/>
      <c r="Y422" s="1160"/>
      <c r="Z422" s="1160"/>
      <c r="AA422" s="1160"/>
      <c r="AB422" s="1160"/>
      <c r="AC422" s="1160"/>
      <c r="AD422" s="1160"/>
      <c r="AE422" s="1160"/>
      <c r="AF422" s="1160"/>
      <c r="AG422" s="1160"/>
    </row>
    <row r="423" ht="15.0" customHeight="1">
      <c r="A423" s="1209"/>
      <c r="B423" s="1209"/>
      <c r="C423" s="1210"/>
      <c r="D423" s="1160"/>
      <c r="E423" s="1160"/>
      <c r="F423" s="1160"/>
      <c r="G423" s="1160"/>
      <c r="H423" s="1160"/>
      <c r="I423" s="1160"/>
      <c r="J423" s="1160"/>
      <c r="K423" s="1160"/>
      <c r="L423" s="1160"/>
      <c r="M423" s="1160"/>
      <c r="N423" s="1160"/>
      <c r="O423" s="1160"/>
      <c r="P423" s="1160"/>
      <c r="Q423" s="1160"/>
      <c r="R423" s="1160"/>
      <c r="S423" s="1160"/>
      <c r="T423" s="1160"/>
      <c r="U423" s="1160"/>
      <c r="V423" s="1160"/>
      <c r="W423" s="1160"/>
      <c r="X423" s="1160"/>
      <c r="Y423" s="1160"/>
      <c r="Z423" s="1160"/>
      <c r="AA423" s="1160"/>
      <c r="AB423" s="1160"/>
      <c r="AC423" s="1160"/>
      <c r="AD423" s="1160"/>
      <c r="AE423" s="1160"/>
      <c r="AF423" s="1160"/>
      <c r="AG423" s="1160"/>
    </row>
    <row r="424" ht="15.0" customHeight="1">
      <c r="A424" s="1209"/>
      <c r="B424" s="1209"/>
      <c r="C424" s="1210"/>
      <c r="D424" s="1160"/>
      <c r="E424" s="1160"/>
      <c r="F424" s="1160"/>
      <c r="G424" s="1160"/>
      <c r="H424" s="1160"/>
      <c r="I424" s="1160"/>
      <c r="J424" s="1160"/>
      <c r="K424" s="1160"/>
      <c r="L424" s="1160"/>
      <c r="M424" s="1160"/>
      <c r="N424" s="1160"/>
      <c r="O424" s="1160"/>
      <c r="P424" s="1160"/>
      <c r="Q424" s="1160"/>
      <c r="R424" s="1160"/>
      <c r="S424" s="1160"/>
      <c r="T424" s="1160"/>
      <c r="U424" s="1160"/>
      <c r="V424" s="1160"/>
      <c r="W424" s="1160"/>
      <c r="X424" s="1160"/>
      <c r="Y424" s="1160"/>
      <c r="Z424" s="1160"/>
      <c r="AA424" s="1160"/>
      <c r="AB424" s="1160"/>
      <c r="AC424" s="1160"/>
      <c r="AD424" s="1160"/>
      <c r="AE424" s="1160"/>
      <c r="AF424" s="1160"/>
      <c r="AG424" s="1160"/>
    </row>
    <row r="425" ht="15.0" customHeight="1">
      <c r="A425" s="1209"/>
      <c r="B425" s="1209"/>
      <c r="C425" s="1210"/>
      <c r="D425" s="1160"/>
      <c r="E425" s="1160"/>
      <c r="F425" s="1160"/>
      <c r="G425" s="1160"/>
      <c r="H425" s="1160"/>
      <c r="I425" s="1160"/>
      <c r="J425" s="1160"/>
      <c r="K425" s="1160"/>
      <c r="L425" s="1160"/>
      <c r="M425" s="1160"/>
      <c r="N425" s="1160"/>
      <c r="O425" s="1160"/>
      <c r="P425" s="1160"/>
      <c r="Q425" s="1160"/>
      <c r="R425" s="1160"/>
      <c r="S425" s="1160"/>
      <c r="T425" s="1160"/>
      <c r="U425" s="1160"/>
      <c r="V425" s="1160"/>
      <c r="W425" s="1160"/>
      <c r="X425" s="1160"/>
      <c r="Y425" s="1160"/>
      <c r="Z425" s="1160"/>
      <c r="AA425" s="1160"/>
      <c r="AB425" s="1160"/>
      <c r="AC425" s="1160"/>
      <c r="AD425" s="1160"/>
      <c r="AE425" s="1160"/>
      <c r="AF425" s="1160"/>
      <c r="AG425" s="1160"/>
    </row>
    <row r="426" ht="15.0" customHeight="1">
      <c r="A426" s="1209"/>
      <c r="B426" s="1209"/>
      <c r="C426" s="1210"/>
      <c r="D426" s="1160"/>
      <c r="E426" s="1160"/>
      <c r="F426" s="1160"/>
      <c r="G426" s="1160"/>
      <c r="H426" s="1160"/>
      <c r="I426" s="1160"/>
      <c r="J426" s="1160"/>
      <c r="K426" s="1160"/>
      <c r="L426" s="1160"/>
      <c r="M426" s="1160"/>
      <c r="N426" s="1160"/>
      <c r="O426" s="1160"/>
      <c r="P426" s="1160"/>
      <c r="Q426" s="1160"/>
      <c r="R426" s="1160"/>
      <c r="S426" s="1160"/>
      <c r="T426" s="1160"/>
      <c r="U426" s="1160"/>
      <c r="V426" s="1160"/>
      <c r="W426" s="1160"/>
      <c r="X426" s="1160"/>
      <c r="Y426" s="1160"/>
      <c r="Z426" s="1160"/>
      <c r="AA426" s="1160"/>
      <c r="AB426" s="1160"/>
      <c r="AC426" s="1160"/>
      <c r="AD426" s="1160"/>
      <c r="AE426" s="1160"/>
      <c r="AF426" s="1160"/>
      <c r="AG426" s="1160"/>
    </row>
    <row r="427" ht="15.0" customHeight="1">
      <c r="A427" s="1209"/>
      <c r="B427" s="1209"/>
      <c r="C427" s="1210"/>
      <c r="D427" s="1160"/>
      <c r="E427" s="1160"/>
      <c r="F427" s="1160"/>
      <c r="G427" s="1160"/>
      <c r="H427" s="1160"/>
      <c r="I427" s="1160"/>
      <c r="J427" s="1160"/>
      <c r="K427" s="1160"/>
      <c r="L427" s="1160"/>
      <c r="M427" s="1160"/>
      <c r="N427" s="1160"/>
      <c r="O427" s="1160"/>
      <c r="P427" s="1160"/>
      <c r="Q427" s="1160"/>
      <c r="R427" s="1160"/>
      <c r="S427" s="1160"/>
      <c r="T427" s="1160"/>
      <c r="U427" s="1160"/>
      <c r="V427" s="1160"/>
      <c r="W427" s="1160"/>
      <c r="X427" s="1160"/>
      <c r="Y427" s="1160"/>
      <c r="Z427" s="1160"/>
      <c r="AA427" s="1160"/>
      <c r="AB427" s="1160"/>
      <c r="AC427" s="1160"/>
      <c r="AD427" s="1160"/>
      <c r="AE427" s="1160"/>
      <c r="AF427" s="1160"/>
      <c r="AG427" s="1160"/>
    </row>
    <row r="428" ht="15.0" customHeight="1">
      <c r="A428" s="1209"/>
      <c r="B428" s="1209"/>
      <c r="C428" s="1210"/>
      <c r="D428" s="1160"/>
      <c r="E428" s="1160"/>
      <c r="F428" s="1160"/>
      <c r="G428" s="1160"/>
      <c r="H428" s="1160"/>
      <c r="I428" s="1160"/>
      <c r="J428" s="1160"/>
      <c r="K428" s="1160"/>
      <c r="L428" s="1160"/>
      <c r="M428" s="1160"/>
      <c r="N428" s="1160"/>
      <c r="O428" s="1160"/>
      <c r="P428" s="1160"/>
      <c r="Q428" s="1160"/>
      <c r="R428" s="1160"/>
      <c r="S428" s="1160"/>
      <c r="T428" s="1160"/>
      <c r="U428" s="1160"/>
      <c r="V428" s="1160"/>
      <c r="W428" s="1160"/>
      <c r="X428" s="1160"/>
      <c r="Y428" s="1160"/>
      <c r="Z428" s="1160"/>
      <c r="AA428" s="1160"/>
      <c r="AB428" s="1160"/>
      <c r="AC428" s="1160"/>
      <c r="AD428" s="1160"/>
      <c r="AE428" s="1160"/>
      <c r="AF428" s="1160"/>
      <c r="AG428" s="1160"/>
    </row>
    <row r="429" ht="15.0" customHeight="1">
      <c r="A429" s="1209"/>
      <c r="B429" s="1209"/>
      <c r="C429" s="1210"/>
      <c r="D429" s="1160"/>
      <c r="E429" s="1160"/>
      <c r="F429" s="1160"/>
      <c r="G429" s="1160"/>
      <c r="H429" s="1160"/>
      <c r="I429" s="1160"/>
      <c r="J429" s="1160"/>
      <c r="K429" s="1160"/>
      <c r="L429" s="1160"/>
      <c r="M429" s="1160"/>
      <c r="N429" s="1160"/>
      <c r="O429" s="1160"/>
      <c r="P429" s="1160"/>
      <c r="Q429" s="1160"/>
      <c r="R429" s="1160"/>
      <c r="S429" s="1160"/>
      <c r="T429" s="1160"/>
      <c r="U429" s="1160"/>
      <c r="V429" s="1160"/>
      <c r="W429" s="1160"/>
      <c r="X429" s="1160"/>
      <c r="Y429" s="1160"/>
      <c r="Z429" s="1160"/>
      <c r="AA429" s="1160"/>
      <c r="AB429" s="1160"/>
      <c r="AC429" s="1160"/>
      <c r="AD429" s="1160"/>
      <c r="AE429" s="1160"/>
      <c r="AF429" s="1160"/>
      <c r="AG429" s="1160"/>
    </row>
    <row r="430" ht="15.0" customHeight="1">
      <c r="A430" s="1209"/>
      <c r="B430" s="1209"/>
      <c r="C430" s="1210"/>
      <c r="D430" s="1160"/>
      <c r="E430" s="1160"/>
      <c r="F430" s="1160"/>
      <c r="G430" s="1160"/>
      <c r="H430" s="1160"/>
      <c r="I430" s="1160"/>
      <c r="J430" s="1160"/>
      <c r="K430" s="1160"/>
      <c r="L430" s="1160"/>
      <c r="M430" s="1160"/>
      <c r="N430" s="1160"/>
      <c r="O430" s="1160"/>
      <c r="P430" s="1160"/>
      <c r="Q430" s="1160"/>
      <c r="R430" s="1160"/>
      <c r="S430" s="1160"/>
      <c r="T430" s="1160"/>
      <c r="U430" s="1160"/>
      <c r="V430" s="1160"/>
      <c r="W430" s="1160"/>
      <c r="X430" s="1160"/>
      <c r="Y430" s="1160"/>
      <c r="Z430" s="1160"/>
      <c r="AA430" s="1160"/>
      <c r="AB430" s="1160"/>
      <c r="AC430" s="1160"/>
      <c r="AD430" s="1160"/>
      <c r="AE430" s="1160"/>
      <c r="AF430" s="1160"/>
      <c r="AG430" s="1160"/>
    </row>
    <row r="431" ht="15.0" customHeight="1">
      <c r="A431" s="1209"/>
      <c r="B431" s="1209"/>
      <c r="C431" s="1210"/>
      <c r="D431" s="1160"/>
      <c r="E431" s="1160"/>
      <c r="F431" s="1160"/>
      <c r="G431" s="1160"/>
      <c r="H431" s="1160"/>
      <c r="I431" s="1160"/>
      <c r="J431" s="1160"/>
      <c r="K431" s="1160"/>
      <c r="L431" s="1160"/>
      <c r="M431" s="1160"/>
      <c r="N431" s="1160"/>
      <c r="O431" s="1160"/>
      <c r="P431" s="1160"/>
      <c r="Q431" s="1160"/>
      <c r="R431" s="1160"/>
      <c r="S431" s="1160"/>
      <c r="T431" s="1160"/>
      <c r="U431" s="1160"/>
      <c r="V431" s="1160"/>
      <c r="W431" s="1160"/>
      <c r="X431" s="1160"/>
      <c r="Y431" s="1160"/>
      <c r="Z431" s="1160"/>
      <c r="AA431" s="1160"/>
      <c r="AB431" s="1160"/>
      <c r="AC431" s="1160"/>
      <c r="AD431" s="1160"/>
      <c r="AE431" s="1160"/>
      <c r="AF431" s="1160"/>
      <c r="AG431" s="1160"/>
    </row>
    <row r="432" ht="15.0" customHeight="1">
      <c r="A432" s="1209"/>
      <c r="B432" s="1209"/>
      <c r="C432" s="1210"/>
      <c r="D432" s="1160"/>
      <c r="E432" s="1160"/>
      <c r="F432" s="1160"/>
      <c r="G432" s="1160"/>
      <c r="H432" s="1160"/>
      <c r="I432" s="1160"/>
      <c r="J432" s="1160"/>
      <c r="K432" s="1160"/>
      <c r="L432" s="1160"/>
      <c r="M432" s="1160"/>
      <c r="N432" s="1160"/>
      <c r="O432" s="1160"/>
      <c r="P432" s="1160"/>
      <c r="Q432" s="1160"/>
      <c r="R432" s="1160"/>
      <c r="S432" s="1160"/>
      <c r="T432" s="1160"/>
      <c r="U432" s="1160"/>
      <c r="V432" s="1160"/>
      <c r="W432" s="1160"/>
      <c r="X432" s="1160"/>
      <c r="Y432" s="1160"/>
      <c r="Z432" s="1160"/>
      <c r="AA432" s="1160"/>
      <c r="AB432" s="1160"/>
      <c r="AC432" s="1160"/>
      <c r="AD432" s="1160"/>
      <c r="AE432" s="1160"/>
      <c r="AF432" s="1160"/>
      <c r="AG432" s="1160"/>
    </row>
    <row r="433" ht="15.0" customHeight="1">
      <c r="A433" s="1209"/>
      <c r="B433" s="1209"/>
      <c r="C433" s="1210"/>
      <c r="D433" s="1160"/>
      <c r="E433" s="1160"/>
      <c r="F433" s="1160"/>
      <c r="G433" s="1160"/>
      <c r="H433" s="1160"/>
      <c r="I433" s="1160"/>
      <c r="J433" s="1160"/>
      <c r="K433" s="1160"/>
      <c r="L433" s="1160"/>
      <c r="M433" s="1160"/>
      <c r="N433" s="1160"/>
      <c r="O433" s="1160"/>
      <c r="P433" s="1160"/>
      <c r="Q433" s="1160"/>
      <c r="R433" s="1160"/>
      <c r="S433" s="1160"/>
      <c r="T433" s="1160"/>
      <c r="U433" s="1160"/>
      <c r="V433" s="1160"/>
      <c r="W433" s="1160"/>
      <c r="X433" s="1160"/>
      <c r="Y433" s="1160"/>
      <c r="Z433" s="1160"/>
      <c r="AA433" s="1160"/>
      <c r="AB433" s="1160"/>
      <c r="AC433" s="1160"/>
      <c r="AD433" s="1160"/>
      <c r="AE433" s="1160"/>
      <c r="AF433" s="1160"/>
      <c r="AG433" s="1160"/>
    </row>
    <row r="434" ht="15.0" customHeight="1">
      <c r="A434" s="1209"/>
      <c r="B434" s="1209"/>
      <c r="C434" s="1210"/>
      <c r="D434" s="1160"/>
      <c r="E434" s="1160"/>
      <c r="F434" s="1160"/>
      <c r="G434" s="1160"/>
      <c r="H434" s="1160"/>
      <c r="I434" s="1160"/>
      <c r="J434" s="1160"/>
      <c r="K434" s="1160"/>
      <c r="L434" s="1160"/>
      <c r="M434" s="1160"/>
      <c r="N434" s="1160"/>
      <c r="O434" s="1160"/>
      <c r="P434" s="1160"/>
      <c r="Q434" s="1160"/>
      <c r="R434" s="1160"/>
      <c r="S434" s="1160"/>
      <c r="T434" s="1160"/>
      <c r="U434" s="1160"/>
      <c r="V434" s="1160"/>
      <c r="W434" s="1160"/>
      <c r="X434" s="1160"/>
      <c r="Y434" s="1160"/>
      <c r="Z434" s="1160"/>
      <c r="AA434" s="1160"/>
      <c r="AB434" s="1160"/>
      <c r="AC434" s="1160"/>
      <c r="AD434" s="1160"/>
      <c r="AE434" s="1160"/>
      <c r="AF434" s="1160"/>
      <c r="AG434" s="1160"/>
    </row>
    <row r="435" ht="15.0" customHeight="1">
      <c r="A435" s="1209"/>
      <c r="B435" s="1209"/>
      <c r="C435" s="1210"/>
      <c r="D435" s="1160"/>
      <c r="E435" s="1160"/>
      <c r="F435" s="1160"/>
      <c r="G435" s="1160"/>
      <c r="H435" s="1160"/>
      <c r="I435" s="1160"/>
      <c r="J435" s="1160"/>
      <c r="K435" s="1160"/>
      <c r="L435" s="1160"/>
      <c r="M435" s="1160"/>
      <c r="N435" s="1160"/>
      <c r="O435" s="1160"/>
      <c r="P435" s="1160"/>
      <c r="Q435" s="1160"/>
      <c r="R435" s="1160"/>
      <c r="S435" s="1160"/>
      <c r="T435" s="1160"/>
      <c r="U435" s="1160"/>
      <c r="V435" s="1160"/>
      <c r="W435" s="1160"/>
      <c r="X435" s="1160"/>
      <c r="Y435" s="1160"/>
      <c r="Z435" s="1160"/>
      <c r="AA435" s="1160"/>
      <c r="AB435" s="1160"/>
      <c r="AC435" s="1160"/>
      <c r="AD435" s="1160"/>
      <c r="AE435" s="1160"/>
      <c r="AF435" s="1160"/>
      <c r="AG435" s="1160"/>
    </row>
    <row r="436" ht="15.0" customHeight="1">
      <c r="A436" s="1209"/>
      <c r="B436" s="1209"/>
      <c r="C436" s="1210"/>
      <c r="D436" s="1160"/>
      <c r="E436" s="1160"/>
      <c r="F436" s="1160"/>
      <c r="G436" s="1160"/>
      <c r="H436" s="1160"/>
      <c r="I436" s="1160"/>
      <c r="J436" s="1160"/>
      <c r="K436" s="1160"/>
      <c r="L436" s="1160"/>
      <c r="M436" s="1160"/>
      <c r="N436" s="1160"/>
      <c r="O436" s="1160"/>
      <c r="P436" s="1160"/>
      <c r="Q436" s="1160"/>
      <c r="R436" s="1160"/>
      <c r="S436" s="1160"/>
      <c r="T436" s="1160"/>
      <c r="U436" s="1160"/>
      <c r="V436" s="1160"/>
      <c r="W436" s="1160"/>
      <c r="X436" s="1160"/>
      <c r="Y436" s="1160"/>
      <c r="Z436" s="1160"/>
      <c r="AA436" s="1160"/>
      <c r="AB436" s="1160"/>
      <c r="AC436" s="1160"/>
      <c r="AD436" s="1160"/>
      <c r="AE436" s="1160"/>
      <c r="AF436" s="1160"/>
      <c r="AG436" s="1160"/>
    </row>
    <row r="437" ht="15.0" customHeight="1">
      <c r="A437" s="1209"/>
      <c r="B437" s="1209"/>
      <c r="C437" s="1210"/>
      <c r="D437" s="1160"/>
      <c r="E437" s="1160"/>
      <c r="F437" s="1160"/>
      <c r="G437" s="1160"/>
      <c r="H437" s="1160"/>
      <c r="I437" s="1160"/>
      <c r="J437" s="1160"/>
      <c r="K437" s="1160"/>
      <c r="L437" s="1160"/>
      <c r="M437" s="1160"/>
      <c r="N437" s="1160"/>
      <c r="O437" s="1160"/>
      <c r="P437" s="1160"/>
      <c r="Q437" s="1160"/>
      <c r="R437" s="1160"/>
      <c r="S437" s="1160"/>
      <c r="T437" s="1160"/>
      <c r="U437" s="1160"/>
      <c r="V437" s="1160"/>
      <c r="W437" s="1160"/>
      <c r="X437" s="1160"/>
      <c r="Y437" s="1160"/>
      <c r="Z437" s="1160"/>
      <c r="AA437" s="1160"/>
      <c r="AB437" s="1160"/>
      <c r="AC437" s="1160"/>
      <c r="AD437" s="1160"/>
      <c r="AE437" s="1160"/>
      <c r="AF437" s="1160"/>
      <c r="AG437" s="1160"/>
    </row>
    <row r="438" ht="15.0" customHeight="1">
      <c r="A438" s="1209"/>
      <c r="B438" s="1209"/>
      <c r="C438" s="1210"/>
      <c r="D438" s="1160"/>
      <c r="E438" s="1160"/>
      <c r="F438" s="1160"/>
      <c r="G438" s="1160"/>
      <c r="H438" s="1160"/>
      <c r="I438" s="1160"/>
      <c r="J438" s="1160"/>
      <c r="K438" s="1160"/>
      <c r="L438" s="1160"/>
      <c r="M438" s="1160"/>
      <c r="N438" s="1160"/>
      <c r="O438" s="1160"/>
      <c r="P438" s="1160"/>
      <c r="Q438" s="1160"/>
      <c r="R438" s="1160"/>
      <c r="S438" s="1160"/>
      <c r="T438" s="1160"/>
      <c r="U438" s="1160"/>
      <c r="V438" s="1160"/>
      <c r="W438" s="1160"/>
      <c r="X438" s="1160"/>
      <c r="Y438" s="1160"/>
      <c r="Z438" s="1160"/>
      <c r="AA438" s="1160"/>
      <c r="AB438" s="1160"/>
      <c r="AC438" s="1160"/>
      <c r="AD438" s="1160"/>
      <c r="AE438" s="1160"/>
      <c r="AF438" s="1160"/>
      <c r="AG438" s="1160"/>
    </row>
    <row r="439" ht="15.0" customHeight="1">
      <c r="A439" s="1209"/>
      <c r="B439" s="1209"/>
      <c r="C439" s="1210"/>
      <c r="D439" s="1160"/>
      <c r="E439" s="1160"/>
      <c r="F439" s="1160"/>
      <c r="G439" s="1160"/>
      <c r="H439" s="1160"/>
      <c r="I439" s="1160"/>
      <c r="J439" s="1160"/>
      <c r="K439" s="1160"/>
      <c r="L439" s="1160"/>
      <c r="M439" s="1160"/>
      <c r="N439" s="1160"/>
      <c r="O439" s="1160"/>
      <c r="P439" s="1160"/>
      <c r="Q439" s="1160"/>
      <c r="R439" s="1160"/>
      <c r="S439" s="1160"/>
      <c r="T439" s="1160"/>
      <c r="U439" s="1160"/>
      <c r="V439" s="1160"/>
      <c r="W439" s="1160"/>
      <c r="X439" s="1160"/>
      <c r="Y439" s="1160"/>
      <c r="Z439" s="1160"/>
      <c r="AA439" s="1160"/>
      <c r="AB439" s="1160"/>
      <c r="AC439" s="1160"/>
      <c r="AD439" s="1160"/>
      <c r="AE439" s="1160"/>
      <c r="AF439" s="1160"/>
      <c r="AG439" s="1160"/>
    </row>
    <row r="440" ht="15.0" customHeight="1">
      <c r="A440" s="1209"/>
      <c r="B440" s="1209"/>
      <c r="C440" s="1210"/>
      <c r="D440" s="1160"/>
      <c r="E440" s="1160"/>
      <c r="F440" s="1160"/>
      <c r="G440" s="1160"/>
      <c r="H440" s="1160"/>
      <c r="I440" s="1160"/>
      <c r="J440" s="1160"/>
      <c r="K440" s="1160"/>
      <c r="L440" s="1160"/>
      <c r="M440" s="1160"/>
      <c r="N440" s="1160"/>
      <c r="O440" s="1160"/>
      <c r="P440" s="1160"/>
      <c r="Q440" s="1160"/>
      <c r="R440" s="1160"/>
      <c r="S440" s="1160"/>
      <c r="T440" s="1160"/>
      <c r="U440" s="1160"/>
      <c r="V440" s="1160"/>
      <c r="W440" s="1160"/>
      <c r="X440" s="1160"/>
      <c r="Y440" s="1160"/>
      <c r="Z440" s="1160"/>
      <c r="AA440" s="1160"/>
      <c r="AB440" s="1160"/>
      <c r="AC440" s="1160"/>
      <c r="AD440" s="1160"/>
      <c r="AE440" s="1160"/>
      <c r="AF440" s="1160"/>
      <c r="AG440" s="1160"/>
    </row>
    <row r="441" ht="15.0" customHeight="1">
      <c r="A441" s="1209"/>
      <c r="B441" s="1209"/>
      <c r="C441" s="1210"/>
      <c r="D441" s="1160"/>
      <c r="E441" s="1160"/>
      <c r="F441" s="1160"/>
      <c r="G441" s="1160"/>
      <c r="H441" s="1160"/>
      <c r="I441" s="1160"/>
      <c r="J441" s="1160"/>
      <c r="K441" s="1160"/>
      <c r="L441" s="1160"/>
      <c r="M441" s="1160"/>
      <c r="N441" s="1160"/>
      <c r="O441" s="1160"/>
      <c r="P441" s="1160"/>
      <c r="Q441" s="1160"/>
      <c r="R441" s="1160"/>
      <c r="S441" s="1160"/>
      <c r="T441" s="1160"/>
      <c r="U441" s="1160"/>
      <c r="V441" s="1160"/>
      <c r="W441" s="1160"/>
      <c r="X441" s="1160"/>
      <c r="Y441" s="1160"/>
      <c r="Z441" s="1160"/>
      <c r="AA441" s="1160"/>
      <c r="AB441" s="1160"/>
      <c r="AC441" s="1160"/>
      <c r="AD441" s="1160"/>
      <c r="AE441" s="1160"/>
      <c r="AF441" s="1160"/>
      <c r="AG441" s="1160"/>
    </row>
    <row r="442" ht="15.0" customHeight="1">
      <c r="A442" s="1209"/>
      <c r="B442" s="1209"/>
      <c r="C442" s="1210"/>
      <c r="D442" s="1160"/>
      <c r="E442" s="1160"/>
      <c r="F442" s="1160"/>
      <c r="G442" s="1160"/>
      <c r="H442" s="1160"/>
      <c r="I442" s="1160"/>
      <c r="J442" s="1160"/>
      <c r="K442" s="1160"/>
      <c r="L442" s="1160"/>
      <c r="M442" s="1160"/>
      <c r="N442" s="1160"/>
      <c r="O442" s="1160"/>
      <c r="P442" s="1160"/>
      <c r="Q442" s="1160"/>
      <c r="R442" s="1160"/>
      <c r="S442" s="1160"/>
      <c r="T442" s="1160"/>
      <c r="U442" s="1160"/>
      <c r="V442" s="1160"/>
      <c r="W442" s="1160"/>
      <c r="X442" s="1160"/>
      <c r="Y442" s="1160"/>
      <c r="Z442" s="1160"/>
      <c r="AA442" s="1160"/>
      <c r="AB442" s="1160"/>
      <c r="AC442" s="1160"/>
      <c r="AD442" s="1160"/>
      <c r="AE442" s="1160"/>
      <c r="AF442" s="1160"/>
      <c r="AG442" s="1160"/>
    </row>
    <row r="443" ht="15.0" customHeight="1">
      <c r="A443" s="1209"/>
      <c r="B443" s="1209"/>
      <c r="C443" s="1210"/>
      <c r="D443" s="1160"/>
      <c r="E443" s="1160"/>
      <c r="F443" s="1160"/>
      <c r="G443" s="1160"/>
      <c r="H443" s="1160"/>
      <c r="I443" s="1160"/>
      <c r="J443" s="1160"/>
      <c r="K443" s="1160"/>
      <c r="L443" s="1160"/>
      <c r="M443" s="1160"/>
      <c r="N443" s="1160"/>
      <c r="O443" s="1160"/>
      <c r="P443" s="1160"/>
      <c r="Q443" s="1160"/>
      <c r="R443" s="1160"/>
      <c r="S443" s="1160"/>
      <c r="T443" s="1160"/>
      <c r="U443" s="1160"/>
      <c r="V443" s="1160"/>
      <c r="W443" s="1160"/>
      <c r="X443" s="1160"/>
      <c r="Y443" s="1160"/>
      <c r="Z443" s="1160"/>
      <c r="AA443" s="1160"/>
      <c r="AB443" s="1160"/>
      <c r="AC443" s="1160"/>
      <c r="AD443" s="1160"/>
      <c r="AE443" s="1160"/>
      <c r="AF443" s="1160"/>
      <c r="AG443" s="1160"/>
    </row>
    <row r="444" ht="15.0" customHeight="1">
      <c r="A444" s="1209"/>
      <c r="B444" s="1209"/>
      <c r="C444" s="1210"/>
      <c r="D444" s="1160"/>
      <c r="E444" s="1160"/>
      <c r="F444" s="1160"/>
      <c r="G444" s="1160"/>
      <c r="H444" s="1160"/>
      <c r="I444" s="1160"/>
      <c r="J444" s="1160"/>
      <c r="K444" s="1160"/>
      <c r="L444" s="1160"/>
      <c r="M444" s="1160"/>
      <c r="N444" s="1160"/>
      <c r="O444" s="1160"/>
      <c r="P444" s="1160"/>
      <c r="Q444" s="1160"/>
      <c r="R444" s="1160"/>
      <c r="S444" s="1160"/>
      <c r="T444" s="1160"/>
      <c r="U444" s="1160"/>
      <c r="V444" s="1160"/>
      <c r="W444" s="1160"/>
      <c r="X444" s="1160"/>
      <c r="Y444" s="1160"/>
      <c r="Z444" s="1160"/>
      <c r="AA444" s="1160"/>
      <c r="AB444" s="1160"/>
      <c r="AC444" s="1160"/>
      <c r="AD444" s="1160"/>
      <c r="AE444" s="1160"/>
      <c r="AF444" s="1160"/>
      <c r="AG444" s="1160"/>
    </row>
    <row r="445" ht="15.0" customHeight="1">
      <c r="A445" s="1209"/>
      <c r="B445" s="1209"/>
      <c r="C445" s="1210"/>
      <c r="D445" s="1160"/>
      <c r="E445" s="1160"/>
      <c r="F445" s="1160"/>
      <c r="G445" s="1160"/>
      <c r="H445" s="1160"/>
      <c r="I445" s="1160"/>
      <c r="J445" s="1160"/>
      <c r="K445" s="1160"/>
      <c r="L445" s="1160"/>
      <c r="M445" s="1160"/>
      <c r="N445" s="1160"/>
      <c r="O445" s="1160"/>
      <c r="P445" s="1160"/>
      <c r="Q445" s="1160"/>
      <c r="R445" s="1160"/>
      <c r="S445" s="1160"/>
      <c r="T445" s="1160"/>
      <c r="U445" s="1160"/>
      <c r="V445" s="1160"/>
      <c r="W445" s="1160"/>
      <c r="X445" s="1160"/>
      <c r="Y445" s="1160"/>
      <c r="Z445" s="1160"/>
      <c r="AA445" s="1160"/>
      <c r="AB445" s="1160"/>
      <c r="AC445" s="1160"/>
      <c r="AD445" s="1160"/>
      <c r="AE445" s="1160"/>
      <c r="AF445" s="1160"/>
      <c r="AG445" s="1160"/>
    </row>
    <row r="446" ht="15.0" customHeight="1">
      <c r="A446" s="1209"/>
      <c r="B446" s="1209"/>
      <c r="C446" s="1210"/>
      <c r="D446" s="1160"/>
      <c r="E446" s="1160"/>
      <c r="F446" s="1160"/>
      <c r="G446" s="1160"/>
      <c r="H446" s="1160"/>
      <c r="I446" s="1160"/>
      <c r="J446" s="1160"/>
      <c r="K446" s="1160"/>
      <c r="L446" s="1160"/>
      <c r="M446" s="1160"/>
      <c r="N446" s="1160"/>
      <c r="O446" s="1160"/>
      <c r="P446" s="1160"/>
      <c r="Q446" s="1160"/>
      <c r="R446" s="1160"/>
      <c r="S446" s="1160"/>
      <c r="T446" s="1160"/>
      <c r="U446" s="1160"/>
      <c r="V446" s="1160"/>
      <c r="W446" s="1160"/>
      <c r="X446" s="1160"/>
      <c r="Y446" s="1160"/>
      <c r="Z446" s="1160"/>
      <c r="AA446" s="1160"/>
      <c r="AB446" s="1160"/>
      <c r="AC446" s="1160"/>
      <c r="AD446" s="1160"/>
      <c r="AE446" s="1160"/>
      <c r="AF446" s="1160"/>
      <c r="AG446" s="1160"/>
    </row>
    <row r="447" ht="15.0" customHeight="1">
      <c r="A447" s="1209"/>
      <c r="B447" s="1209"/>
      <c r="C447" s="1210"/>
      <c r="D447" s="1160"/>
      <c r="E447" s="1160"/>
      <c r="F447" s="1160"/>
      <c r="G447" s="1160"/>
      <c r="H447" s="1160"/>
      <c r="I447" s="1160"/>
      <c r="J447" s="1160"/>
      <c r="K447" s="1160"/>
      <c r="L447" s="1160"/>
      <c r="M447" s="1160"/>
      <c r="N447" s="1160"/>
      <c r="O447" s="1160"/>
      <c r="P447" s="1160"/>
      <c r="Q447" s="1160"/>
      <c r="R447" s="1160"/>
      <c r="S447" s="1160"/>
      <c r="T447" s="1160"/>
      <c r="U447" s="1160"/>
      <c r="V447" s="1160"/>
      <c r="W447" s="1160"/>
      <c r="X447" s="1160"/>
      <c r="Y447" s="1160"/>
      <c r="Z447" s="1160"/>
      <c r="AA447" s="1160"/>
      <c r="AB447" s="1160"/>
      <c r="AC447" s="1160"/>
      <c r="AD447" s="1160"/>
      <c r="AE447" s="1160"/>
      <c r="AF447" s="1160"/>
      <c r="AG447" s="1160"/>
    </row>
    <row r="448" ht="15.0" customHeight="1">
      <c r="A448" s="1209"/>
      <c r="B448" s="1209"/>
      <c r="C448" s="1210"/>
      <c r="D448" s="1160"/>
      <c r="E448" s="1160"/>
      <c r="F448" s="1160"/>
      <c r="G448" s="1160"/>
      <c r="H448" s="1160"/>
      <c r="I448" s="1160"/>
      <c r="J448" s="1160"/>
      <c r="K448" s="1160"/>
      <c r="L448" s="1160"/>
      <c r="M448" s="1160"/>
      <c r="N448" s="1160"/>
      <c r="O448" s="1160"/>
      <c r="P448" s="1160"/>
      <c r="Q448" s="1160"/>
      <c r="R448" s="1160"/>
      <c r="S448" s="1160"/>
      <c r="T448" s="1160"/>
      <c r="U448" s="1160"/>
      <c r="V448" s="1160"/>
      <c r="W448" s="1160"/>
      <c r="X448" s="1160"/>
      <c r="Y448" s="1160"/>
      <c r="Z448" s="1160"/>
      <c r="AA448" s="1160"/>
      <c r="AB448" s="1160"/>
      <c r="AC448" s="1160"/>
      <c r="AD448" s="1160"/>
      <c r="AE448" s="1160"/>
      <c r="AF448" s="1160"/>
      <c r="AG448" s="1160"/>
    </row>
    <row r="449" ht="15.0" customHeight="1">
      <c r="A449" s="1209"/>
      <c r="B449" s="1209"/>
      <c r="C449" s="1210"/>
      <c r="D449" s="1160"/>
      <c r="E449" s="1160"/>
      <c r="F449" s="1160"/>
      <c r="G449" s="1160"/>
      <c r="H449" s="1160"/>
      <c r="I449" s="1160"/>
      <c r="J449" s="1160"/>
      <c r="K449" s="1160"/>
      <c r="L449" s="1160"/>
      <c r="M449" s="1160"/>
      <c r="N449" s="1160"/>
      <c r="O449" s="1160"/>
      <c r="P449" s="1160"/>
      <c r="Q449" s="1160"/>
      <c r="R449" s="1160"/>
      <c r="S449" s="1160"/>
      <c r="T449" s="1160"/>
      <c r="U449" s="1160"/>
      <c r="V449" s="1160"/>
      <c r="W449" s="1160"/>
      <c r="X449" s="1160"/>
      <c r="Y449" s="1160"/>
      <c r="Z449" s="1160"/>
      <c r="AA449" s="1160"/>
      <c r="AB449" s="1160"/>
      <c r="AC449" s="1160"/>
      <c r="AD449" s="1160"/>
      <c r="AE449" s="1160"/>
      <c r="AF449" s="1160"/>
      <c r="AG449" s="1160"/>
    </row>
    <row r="450" ht="15.0" customHeight="1">
      <c r="A450" s="1209"/>
      <c r="B450" s="1209"/>
      <c r="C450" s="1210"/>
      <c r="D450" s="1160"/>
      <c r="E450" s="1160"/>
      <c r="F450" s="1160"/>
      <c r="G450" s="1160"/>
      <c r="H450" s="1160"/>
      <c r="I450" s="1160"/>
      <c r="J450" s="1160"/>
      <c r="K450" s="1160"/>
      <c r="L450" s="1160"/>
      <c r="M450" s="1160"/>
      <c r="N450" s="1160"/>
      <c r="O450" s="1160"/>
      <c r="P450" s="1160"/>
      <c r="Q450" s="1160"/>
      <c r="R450" s="1160"/>
      <c r="S450" s="1160"/>
      <c r="T450" s="1160"/>
      <c r="U450" s="1160"/>
      <c r="V450" s="1160"/>
      <c r="W450" s="1160"/>
      <c r="X450" s="1160"/>
      <c r="Y450" s="1160"/>
      <c r="Z450" s="1160"/>
      <c r="AA450" s="1160"/>
      <c r="AB450" s="1160"/>
      <c r="AC450" s="1160"/>
      <c r="AD450" s="1160"/>
      <c r="AE450" s="1160"/>
      <c r="AF450" s="1160"/>
      <c r="AG450" s="1160"/>
    </row>
    <row r="451" ht="15.0" customHeight="1">
      <c r="A451" s="1209"/>
      <c r="B451" s="1209"/>
      <c r="C451" s="1210"/>
      <c r="D451" s="1160"/>
      <c r="E451" s="1160"/>
      <c r="F451" s="1160"/>
      <c r="G451" s="1160"/>
      <c r="H451" s="1160"/>
      <c r="I451" s="1160"/>
      <c r="J451" s="1160"/>
      <c r="K451" s="1160"/>
      <c r="L451" s="1160"/>
      <c r="M451" s="1160"/>
      <c r="N451" s="1160"/>
      <c r="O451" s="1160"/>
      <c r="P451" s="1160"/>
      <c r="Q451" s="1160"/>
      <c r="R451" s="1160"/>
      <c r="S451" s="1160"/>
      <c r="T451" s="1160"/>
      <c r="U451" s="1160"/>
      <c r="V451" s="1160"/>
      <c r="W451" s="1160"/>
      <c r="X451" s="1160"/>
      <c r="Y451" s="1160"/>
      <c r="Z451" s="1160"/>
      <c r="AA451" s="1160"/>
      <c r="AB451" s="1160"/>
      <c r="AC451" s="1160"/>
      <c r="AD451" s="1160"/>
      <c r="AE451" s="1160"/>
      <c r="AF451" s="1160"/>
      <c r="AG451" s="1160"/>
    </row>
    <row r="452" ht="15.0" customHeight="1">
      <c r="A452" s="1209"/>
      <c r="B452" s="1209"/>
      <c r="C452" s="1210"/>
      <c r="D452" s="1160"/>
      <c r="E452" s="1160"/>
      <c r="F452" s="1160"/>
      <c r="G452" s="1160"/>
      <c r="H452" s="1160"/>
      <c r="I452" s="1160"/>
      <c r="J452" s="1160"/>
      <c r="K452" s="1160"/>
      <c r="L452" s="1160"/>
      <c r="M452" s="1160"/>
      <c r="N452" s="1160"/>
      <c r="O452" s="1160"/>
      <c r="P452" s="1160"/>
      <c r="Q452" s="1160"/>
      <c r="R452" s="1160"/>
      <c r="S452" s="1160"/>
      <c r="T452" s="1160"/>
      <c r="U452" s="1160"/>
      <c r="V452" s="1160"/>
      <c r="W452" s="1160"/>
      <c r="X452" s="1160"/>
      <c r="Y452" s="1160"/>
      <c r="Z452" s="1160"/>
      <c r="AA452" s="1160"/>
      <c r="AB452" s="1160"/>
      <c r="AC452" s="1160"/>
      <c r="AD452" s="1160"/>
      <c r="AE452" s="1160"/>
      <c r="AF452" s="1160"/>
      <c r="AG452" s="1160"/>
    </row>
    <row r="453" ht="15.0" customHeight="1">
      <c r="A453" s="1209"/>
      <c r="B453" s="1209"/>
      <c r="C453" s="1210"/>
      <c r="D453" s="1160"/>
      <c r="E453" s="1160"/>
      <c r="F453" s="1160"/>
      <c r="G453" s="1160"/>
      <c r="H453" s="1160"/>
      <c r="I453" s="1160"/>
      <c r="J453" s="1160"/>
      <c r="K453" s="1160"/>
      <c r="L453" s="1160"/>
      <c r="M453" s="1160"/>
      <c r="N453" s="1160"/>
      <c r="O453" s="1160"/>
      <c r="P453" s="1160"/>
      <c r="Q453" s="1160"/>
      <c r="R453" s="1160"/>
      <c r="S453" s="1160"/>
      <c r="T453" s="1160"/>
      <c r="U453" s="1160"/>
      <c r="V453" s="1160"/>
      <c r="W453" s="1160"/>
      <c r="X453" s="1160"/>
      <c r="Y453" s="1160"/>
      <c r="Z453" s="1160"/>
      <c r="AA453" s="1160"/>
      <c r="AB453" s="1160"/>
      <c r="AC453" s="1160"/>
      <c r="AD453" s="1160"/>
      <c r="AE453" s="1160"/>
      <c r="AF453" s="1160"/>
      <c r="AG453" s="1160"/>
    </row>
    <row r="454" ht="15.0" customHeight="1">
      <c r="A454" s="1209"/>
      <c r="B454" s="1209"/>
      <c r="C454" s="1210"/>
      <c r="D454" s="1160"/>
      <c r="E454" s="1160"/>
      <c r="F454" s="1160"/>
      <c r="G454" s="1160"/>
      <c r="H454" s="1160"/>
      <c r="I454" s="1160"/>
      <c r="J454" s="1160"/>
      <c r="K454" s="1160"/>
      <c r="L454" s="1160"/>
      <c r="M454" s="1160"/>
      <c r="N454" s="1160"/>
      <c r="O454" s="1160"/>
      <c r="P454" s="1160"/>
      <c r="Q454" s="1160"/>
      <c r="R454" s="1160"/>
      <c r="S454" s="1160"/>
      <c r="T454" s="1160"/>
      <c r="U454" s="1160"/>
      <c r="V454" s="1160"/>
      <c r="W454" s="1160"/>
      <c r="X454" s="1160"/>
      <c r="Y454" s="1160"/>
      <c r="Z454" s="1160"/>
      <c r="AA454" s="1160"/>
      <c r="AB454" s="1160"/>
      <c r="AC454" s="1160"/>
      <c r="AD454" s="1160"/>
      <c r="AE454" s="1160"/>
      <c r="AF454" s="1160"/>
      <c r="AG454" s="1160"/>
    </row>
    <row r="455" ht="15.0" customHeight="1">
      <c r="A455" s="1209"/>
      <c r="B455" s="1209"/>
      <c r="C455" s="1210"/>
      <c r="D455" s="1160"/>
      <c r="E455" s="1160"/>
      <c r="F455" s="1160"/>
      <c r="G455" s="1160"/>
      <c r="H455" s="1160"/>
      <c r="I455" s="1160"/>
      <c r="J455" s="1160"/>
      <c r="K455" s="1160"/>
      <c r="L455" s="1160"/>
      <c r="M455" s="1160"/>
      <c r="N455" s="1160"/>
      <c r="O455" s="1160"/>
      <c r="P455" s="1160"/>
      <c r="Q455" s="1160"/>
      <c r="R455" s="1160"/>
      <c r="S455" s="1160"/>
      <c r="T455" s="1160"/>
      <c r="U455" s="1160"/>
      <c r="V455" s="1160"/>
      <c r="W455" s="1160"/>
      <c r="X455" s="1160"/>
      <c r="Y455" s="1160"/>
      <c r="Z455" s="1160"/>
      <c r="AA455" s="1160"/>
      <c r="AB455" s="1160"/>
      <c r="AC455" s="1160"/>
      <c r="AD455" s="1160"/>
      <c r="AE455" s="1160"/>
      <c r="AF455" s="1160"/>
      <c r="AG455" s="1160"/>
    </row>
    <row r="456" ht="15.0" customHeight="1">
      <c r="A456" s="1209"/>
      <c r="B456" s="1209"/>
      <c r="C456" s="1210"/>
      <c r="D456" s="1160"/>
      <c r="E456" s="1160"/>
      <c r="F456" s="1160"/>
      <c r="G456" s="1160"/>
      <c r="H456" s="1160"/>
      <c r="I456" s="1160"/>
      <c r="J456" s="1160"/>
      <c r="K456" s="1160"/>
      <c r="L456" s="1160"/>
      <c r="M456" s="1160"/>
      <c r="N456" s="1160"/>
      <c r="O456" s="1160"/>
      <c r="P456" s="1160"/>
      <c r="Q456" s="1160"/>
      <c r="R456" s="1160"/>
      <c r="S456" s="1160"/>
      <c r="T456" s="1160"/>
      <c r="U456" s="1160"/>
      <c r="V456" s="1160"/>
      <c r="W456" s="1160"/>
      <c r="X456" s="1160"/>
      <c r="Y456" s="1160"/>
      <c r="Z456" s="1160"/>
      <c r="AA456" s="1160"/>
      <c r="AB456" s="1160"/>
      <c r="AC456" s="1160"/>
      <c r="AD456" s="1160"/>
      <c r="AE456" s="1160"/>
      <c r="AF456" s="1160"/>
      <c r="AG456" s="1160"/>
    </row>
    <row r="457" ht="15.0" customHeight="1">
      <c r="A457" s="1209"/>
      <c r="B457" s="1209"/>
      <c r="C457" s="1210"/>
      <c r="D457" s="1160"/>
      <c r="E457" s="1160"/>
      <c r="F457" s="1160"/>
      <c r="G457" s="1160"/>
      <c r="H457" s="1160"/>
      <c r="I457" s="1160"/>
      <c r="J457" s="1160"/>
      <c r="K457" s="1160"/>
      <c r="L457" s="1160"/>
      <c r="M457" s="1160"/>
      <c r="N457" s="1160"/>
      <c r="O457" s="1160"/>
      <c r="P457" s="1160"/>
      <c r="Q457" s="1160"/>
      <c r="R457" s="1160"/>
      <c r="S457" s="1160"/>
      <c r="T457" s="1160"/>
      <c r="U457" s="1160"/>
      <c r="V457" s="1160"/>
      <c r="W457" s="1160"/>
      <c r="X457" s="1160"/>
      <c r="Y457" s="1160"/>
      <c r="Z457" s="1160"/>
      <c r="AA457" s="1160"/>
      <c r="AB457" s="1160"/>
      <c r="AC457" s="1160"/>
      <c r="AD457" s="1160"/>
      <c r="AE457" s="1160"/>
      <c r="AF457" s="1160"/>
      <c r="AG457" s="1160"/>
    </row>
    <row r="458" ht="15.0" customHeight="1">
      <c r="A458" s="1209"/>
      <c r="B458" s="1209"/>
      <c r="C458" s="1210"/>
      <c r="D458" s="1160"/>
      <c r="E458" s="1160"/>
      <c r="F458" s="1160"/>
      <c r="G458" s="1160"/>
      <c r="H458" s="1160"/>
      <c r="I458" s="1160"/>
      <c r="J458" s="1160"/>
      <c r="K458" s="1160"/>
      <c r="L458" s="1160"/>
      <c r="M458" s="1160"/>
      <c r="N458" s="1160"/>
      <c r="O458" s="1160"/>
      <c r="P458" s="1160"/>
      <c r="Q458" s="1160"/>
      <c r="R458" s="1160"/>
      <c r="S458" s="1160"/>
      <c r="T458" s="1160"/>
      <c r="U458" s="1160"/>
      <c r="V458" s="1160"/>
      <c r="W458" s="1160"/>
      <c r="X458" s="1160"/>
      <c r="Y458" s="1160"/>
      <c r="Z458" s="1160"/>
      <c r="AA458" s="1160"/>
      <c r="AB458" s="1160"/>
      <c r="AC458" s="1160"/>
      <c r="AD458" s="1160"/>
      <c r="AE458" s="1160"/>
      <c r="AF458" s="1160"/>
      <c r="AG458" s="1160"/>
    </row>
    <row r="459" ht="15.0" customHeight="1">
      <c r="A459" s="1209"/>
      <c r="B459" s="1209"/>
      <c r="C459" s="1210"/>
      <c r="D459" s="1160"/>
      <c r="E459" s="1160"/>
      <c r="F459" s="1160"/>
      <c r="G459" s="1160"/>
      <c r="H459" s="1160"/>
      <c r="I459" s="1160"/>
      <c r="J459" s="1160"/>
      <c r="K459" s="1160"/>
      <c r="L459" s="1160"/>
      <c r="M459" s="1160"/>
      <c r="N459" s="1160"/>
      <c r="O459" s="1160"/>
      <c r="P459" s="1160"/>
      <c r="Q459" s="1160"/>
      <c r="R459" s="1160"/>
      <c r="S459" s="1160"/>
      <c r="T459" s="1160"/>
      <c r="U459" s="1160"/>
      <c r="V459" s="1160"/>
      <c r="W459" s="1160"/>
      <c r="X459" s="1160"/>
      <c r="Y459" s="1160"/>
      <c r="Z459" s="1160"/>
      <c r="AA459" s="1160"/>
      <c r="AB459" s="1160"/>
      <c r="AC459" s="1160"/>
      <c r="AD459" s="1160"/>
      <c r="AE459" s="1160"/>
      <c r="AF459" s="1160"/>
      <c r="AG459" s="1160"/>
    </row>
    <row r="460" ht="15.0" customHeight="1">
      <c r="A460" s="1209"/>
      <c r="B460" s="1209"/>
      <c r="C460" s="1210"/>
      <c r="D460" s="1160"/>
      <c r="E460" s="1160"/>
      <c r="F460" s="1160"/>
      <c r="G460" s="1160"/>
      <c r="H460" s="1160"/>
      <c r="I460" s="1160"/>
      <c r="J460" s="1160"/>
      <c r="K460" s="1160"/>
      <c r="L460" s="1160"/>
      <c r="M460" s="1160"/>
      <c r="N460" s="1160"/>
      <c r="O460" s="1160"/>
      <c r="P460" s="1160"/>
      <c r="Q460" s="1160"/>
      <c r="R460" s="1160"/>
      <c r="S460" s="1160"/>
      <c r="T460" s="1160"/>
      <c r="U460" s="1160"/>
      <c r="V460" s="1160"/>
      <c r="W460" s="1160"/>
      <c r="X460" s="1160"/>
      <c r="Y460" s="1160"/>
      <c r="Z460" s="1160"/>
      <c r="AA460" s="1160"/>
      <c r="AB460" s="1160"/>
      <c r="AC460" s="1160"/>
      <c r="AD460" s="1160"/>
      <c r="AE460" s="1160"/>
      <c r="AF460" s="1160"/>
      <c r="AG460" s="1160"/>
    </row>
    <row r="461" ht="15.0" customHeight="1">
      <c r="A461" s="1209"/>
      <c r="B461" s="1209"/>
      <c r="C461" s="1210"/>
      <c r="D461" s="1160"/>
      <c r="E461" s="1160"/>
      <c r="F461" s="1160"/>
      <c r="G461" s="1160"/>
      <c r="H461" s="1160"/>
      <c r="I461" s="1160"/>
      <c r="J461" s="1160"/>
      <c r="K461" s="1160"/>
      <c r="L461" s="1160"/>
      <c r="M461" s="1160"/>
      <c r="N461" s="1160"/>
      <c r="O461" s="1160"/>
      <c r="P461" s="1160"/>
      <c r="Q461" s="1160"/>
      <c r="R461" s="1160"/>
      <c r="S461" s="1160"/>
      <c r="T461" s="1160"/>
      <c r="U461" s="1160"/>
      <c r="V461" s="1160"/>
      <c r="W461" s="1160"/>
      <c r="X461" s="1160"/>
      <c r="Y461" s="1160"/>
      <c r="Z461" s="1160"/>
      <c r="AA461" s="1160"/>
      <c r="AB461" s="1160"/>
      <c r="AC461" s="1160"/>
      <c r="AD461" s="1160"/>
      <c r="AE461" s="1160"/>
      <c r="AF461" s="1160"/>
      <c r="AG461" s="1160"/>
    </row>
    <row r="462" ht="15.0" customHeight="1">
      <c r="A462" s="1209"/>
      <c r="B462" s="1209"/>
      <c r="C462" s="1210"/>
      <c r="D462" s="1160"/>
      <c r="E462" s="1160"/>
      <c r="F462" s="1160"/>
      <c r="G462" s="1160"/>
      <c r="H462" s="1160"/>
      <c r="I462" s="1160"/>
      <c r="J462" s="1160"/>
      <c r="K462" s="1160"/>
      <c r="L462" s="1160"/>
      <c r="M462" s="1160"/>
      <c r="N462" s="1160"/>
      <c r="O462" s="1160"/>
      <c r="P462" s="1160"/>
      <c r="Q462" s="1160"/>
      <c r="R462" s="1160"/>
      <c r="S462" s="1160"/>
      <c r="T462" s="1160"/>
      <c r="U462" s="1160"/>
      <c r="V462" s="1160"/>
      <c r="W462" s="1160"/>
      <c r="X462" s="1160"/>
      <c r="Y462" s="1160"/>
      <c r="Z462" s="1160"/>
      <c r="AA462" s="1160"/>
      <c r="AB462" s="1160"/>
      <c r="AC462" s="1160"/>
      <c r="AD462" s="1160"/>
      <c r="AE462" s="1160"/>
      <c r="AF462" s="1160"/>
      <c r="AG462" s="1160"/>
    </row>
    <row r="463" ht="15.0" customHeight="1">
      <c r="A463" s="1209"/>
      <c r="B463" s="1209"/>
      <c r="C463" s="1210"/>
      <c r="D463" s="1160"/>
      <c r="E463" s="1160"/>
      <c r="F463" s="1160"/>
      <c r="G463" s="1160"/>
      <c r="H463" s="1160"/>
      <c r="I463" s="1160"/>
      <c r="J463" s="1160"/>
      <c r="K463" s="1160"/>
      <c r="L463" s="1160"/>
      <c r="M463" s="1160"/>
      <c r="N463" s="1160"/>
      <c r="O463" s="1160"/>
      <c r="P463" s="1160"/>
      <c r="Q463" s="1160"/>
      <c r="R463" s="1160"/>
      <c r="S463" s="1160"/>
      <c r="T463" s="1160"/>
      <c r="U463" s="1160"/>
      <c r="V463" s="1160"/>
      <c r="W463" s="1160"/>
      <c r="X463" s="1160"/>
      <c r="Y463" s="1160"/>
      <c r="Z463" s="1160"/>
      <c r="AA463" s="1160"/>
      <c r="AB463" s="1160"/>
      <c r="AC463" s="1160"/>
      <c r="AD463" s="1160"/>
      <c r="AE463" s="1160"/>
      <c r="AF463" s="1160"/>
      <c r="AG463" s="1160"/>
    </row>
    <row r="464" ht="15.0" customHeight="1">
      <c r="A464" s="1209"/>
      <c r="B464" s="1209"/>
      <c r="C464" s="1210"/>
      <c r="D464" s="1160"/>
      <c r="E464" s="1160"/>
      <c r="F464" s="1160"/>
      <c r="G464" s="1160"/>
      <c r="H464" s="1160"/>
      <c r="I464" s="1160"/>
      <c r="J464" s="1160"/>
      <c r="K464" s="1160"/>
      <c r="L464" s="1160"/>
      <c r="M464" s="1160"/>
      <c r="N464" s="1160"/>
      <c r="O464" s="1160"/>
      <c r="P464" s="1160"/>
      <c r="Q464" s="1160"/>
      <c r="R464" s="1160"/>
      <c r="S464" s="1160"/>
      <c r="T464" s="1160"/>
      <c r="U464" s="1160"/>
      <c r="V464" s="1160"/>
      <c r="W464" s="1160"/>
      <c r="X464" s="1160"/>
      <c r="Y464" s="1160"/>
      <c r="Z464" s="1160"/>
      <c r="AA464" s="1160"/>
      <c r="AB464" s="1160"/>
      <c r="AC464" s="1160"/>
      <c r="AD464" s="1160"/>
      <c r="AE464" s="1160"/>
      <c r="AF464" s="1160"/>
      <c r="AG464" s="1160"/>
    </row>
    <row r="465" ht="15.0" customHeight="1">
      <c r="A465" s="1209"/>
      <c r="B465" s="1209"/>
      <c r="C465" s="1210"/>
      <c r="D465" s="1160"/>
      <c r="E465" s="1160"/>
      <c r="F465" s="1160"/>
      <c r="G465" s="1160"/>
      <c r="H465" s="1160"/>
      <c r="I465" s="1160"/>
      <c r="J465" s="1160"/>
      <c r="K465" s="1160"/>
      <c r="L465" s="1160"/>
      <c r="M465" s="1160"/>
      <c r="N465" s="1160"/>
      <c r="O465" s="1160"/>
      <c r="P465" s="1160"/>
      <c r="Q465" s="1160"/>
      <c r="R465" s="1160"/>
      <c r="S465" s="1160"/>
      <c r="T465" s="1160"/>
      <c r="U465" s="1160"/>
      <c r="V465" s="1160"/>
      <c r="W465" s="1160"/>
      <c r="X465" s="1160"/>
      <c r="Y465" s="1160"/>
      <c r="Z465" s="1160"/>
      <c r="AA465" s="1160"/>
      <c r="AB465" s="1160"/>
      <c r="AC465" s="1160"/>
      <c r="AD465" s="1160"/>
      <c r="AE465" s="1160"/>
      <c r="AF465" s="1160"/>
      <c r="AG465" s="1160"/>
    </row>
    <row r="466" ht="15.0" customHeight="1">
      <c r="A466" s="1209"/>
      <c r="B466" s="1209"/>
      <c r="C466" s="1210"/>
      <c r="D466" s="1160"/>
      <c r="E466" s="1160"/>
      <c r="F466" s="1160"/>
      <c r="G466" s="1160"/>
      <c r="H466" s="1160"/>
      <c r="I466" s="1160"/>
      <c r="J466" s="1160"/>
      <c r="K466" s="1160"/>
      <c r="L466" s="1160"/>
      <c r="M466" s="1160"/>
      <c r="N466" s="1160"/>
      <c r="O466" s="1160"/>
      <c r="P466" s="1160"/>
      <c r="Q466" s="1160"/>
      <c r="R466" s="1160"/>
      <c r="S466" s="1160"/>
      <c r="T466" s="1160"/>
      <c r="U466" s="1160"/>
      <c r="V466" s="1160"/>
      <c r="W466" s="1160"/>
      <c r="X466" s="1160"/>
      <c r="Y466" s="1160"/>
      <c r="Z466" s="1160"/>
      <c r="AA466" s="1160"/>
      <c r="AB466" s="1160"/>
      <c r="AC466" s="1160"/>
      <c r="AD466" s="1160"/>
      <c r="AE466" s="1160"/>
      <c r="AF466" s="1160"/>
      <c r="AG466" s="1160"/>
    </row>
    <row r="467" ht="15.0" customHeight="1">
      <c r="A467" s="1209"/>
      <c r="B467" s="1209"/>
      <c r="C467" s="1210"/>
      <c r="D467" s="1160"/>
      <c r="E467" s="1160"/>
      <c r="F467" s="1160"/>
      <c r="G467" s="1160"/>
      <c r="H467" s="1160"/>
      <c r="I467" s="1160"/>
      <c r="J467" s="1160"/>
      <c r="K467" s="1160"/>
      <c r="L467" s="1160"/>
      <c r="M467" s="1160"/>
      <c r="N467" s="1160"/>
      <c r="O467" s="1160"/>
      <c r="P467" s="1160"/>
      <c r="Q467" s="1160"/>
      <c r="R467" s="1160"/>
      <c r="S467" s="1160"/>
      <c r="T467" s="1160"/>
      <c r="U467" s="1160"/>
      <c r="V467" s="1160"/>
      <c r="W467" s="1160"/>
      <c r="X467" s="1160"/>
      <c r="Y467" s="1160"/>
      <c r="Z467" s="1160"/>
      <c r="AA467" s="1160"/>
      <c r="AB467" s="1160"/>
      <c r="AC467" s="1160"/>
      <c r="AD467" s="1160"/>
      <c r="AE467" s="1160"/>
      <c r="AF467" s="1160"/>
      <c r="AG467" s="1160"/>
    </row>
    <row r="468" ht="15.0" customHeight="1">
      <c r="A468" s="1209"/>
      <c r="B468" s="1209"/>
      <c r="C468" s="1210"/>
      <c r="D468" s="1160"/>
      <c r="E468" s="1160"/>
      <c r="F468" s="1160"/>
      <c r="G468" s="1160"/>
      <c r="H468" s="1160"/>
      <c r="I468" s="1160"/>
      <c r="J468" s="1160"/>
      <c r="K468" s="1160"/>
      <c r="L468" s="1160"/>
      <c r="M468" s="1160"/>
      <c r="N468" s="1160"/>
      <c r="O468" s="1160"/>
      <c r="P468" s="1160"/>
      <c r="Q468" s="1160"/>
      <c r="R468" s="1160"/>
      <c r="S468" s="1160"/>
      <c r="T468" s="1160"/>
      <c r="U468" s="1160"/>
      <c r="V468" s="1160"/>
      <c r="W468" s="1160"/>
      <c r="X468" s="1160"/>
      <c r="Y468" s="1160"/>
      <c r="Z468" s="1160"/>
      <c r="AA468" s="1160"/>
      <c r="AB468" s="1160"/>
      <c r="AC468" s="1160"/>
      <c r="AD468" s="1160"/>
      <c r="AE468" s="1160"/>
      <c r="AF468" s="1160"/>
      <c r="AG468" s="1160"/>
    </row>
    <row r="469" ht="15.0" customHeight="1">
      <c r="A469" s="1209"/>
      <c r="B469" s="1209"/>
      <c r="C469" s="1210"/>
      <c r="D469" s="1160"/>
      <c r="E469" s="1160"/>
      <c r="F469" s="1160"/>
      <c r="G469" s="1160"/>
      <c r="H469" s="1160"/>
      <c r="I469" s="1160"/>
      <c r="J469" s="1160"/>
      <c r="K469" s="1160"/>
      <c r="L469" s="1160"/>
      <c r="M469" s="1160"/>
      <c r="N469" s="1160"/>
      <c r="O469" s="1160"/>
      <c r="P469" s="1160"/>
      <c r="Q469" s="1160"/>
      <c r="R469" s="1160"/>
      <c r="S469" s="1160"/>
      <c r="T469" s="1160"/>
      <c r="U469" s="1160"/>
      <c r="V469" s="1160"/>
      <c r="W469" s="1160"/>
      <c r="X469" s="1160"/>
      <c r="Y469" s="1160"/>
      <c r="Z469" s="1160"/>
      <c r="AA469" s="1160"/>
      <c r="AB469" s="1160"/>
      <c r="AC469" s="1160"/>
      <c r="AD469" s="1160"/>
      <c r="AE469" s="1160"/>
      <c r="AF469" s="1160"/>
      <c r="AG469" s="1160"/>
    </row>
    <row r="470" ht="15.0" customHeight="1">
      <c r="A470" s="1209"/>
      <c r="B470" s="1209"/>
      <c r="C470" s="1210"/>
      <c r="D470" s="1160"/>
      <c r="E470" s="1160"/>
      <c r="F470" s="1160"/>
      <c r="G470" s="1160"/>
      <c r="H470" s="1160"/>
      <c r="I470" s="1160"/>
      <c r="J470" s="1160"/>
      <c r="K470" s="1160"/>
      <c r="L470" s="1160"/>
      <c r="M470" s="1160"/>
      <c r="N470" s="1160"/>
      <c r="O470" s="1160"/>
      <c r="P470" s="1160"/>
      <c r="Q470" s="1160"/>
      <c r="R470" s="1160"/>
      <c r="S470" s="1160"/>
      <c r="T470" s="1160"/>
      <c r="U470" s="1160"/>
      <c r="V470" s="1160"/>
      <c r="W470" s="1160"/>
      <c r="X470" s="1160"/>
      <c r="Y470" s="1160"/>
      <c r="Z470" s="1160"/>
      <c r="AA470" s="1160"/>
      <c r="AB470" s="1160"/>
      <c r="AC470" s="1160"/>
      <c r="AD470" s="1160"/>
      <c r="AE470" s="1160"/>
      <c r="AF470" s="1160"/>
      <c r="AG470" s="1160"/>
    </row>
    <row r="471" ht="15.0" customHeight="1">
      <c r="A471" s="1209"/>
      <c r="B471" s="1209"/>
      <c r="C471" s="1210"/>
      <c r="D471" s="1160"/>
      <c r="E471" s="1160"/>
      <c r="F471" s="1160"/>
      <c r="G471" s="1160"/>
      <c r="H471" s="1160"/>
      <c r="I471" s="1160"/>
      <c r="J471" s="1160"/>
      <c r="K471" s="1160"/>
      <c r="L471" s="1160"/>
      <c r="M471" s="1160"/>
      <c r="N471" s="1160"/>
      <c r="O471" s="1160"/>
      <c r="P471" s="1160"/>
      <c r="Q471" s="1160"/>
      <c r="R471" s="1160"/>
      <c r="S471" s="1160"/>
      <c r="T471" s="1160"/>
      <c r="U471" s="1160"/>
      <c r="V471" s="1160"/>
      <c r="W471" s="1160"/>
      <c r="X471" s="1160"/>
      <c r="Y471" s="1160"/>
      <c r="Z471" s="1160"/>
      <c r="AA471" s="1160"/>
      <c r="AB471" s="1160"/>
      <c r="AC471" s="1160"/>
      <c r="AD471" s="1160"/>
      <c r="AE471" s="1160"/>
      <c r="AF471" s="1160"/>
      <c r="AG471" s="1160"/>
    </row>
    <row r="472" ht="15.0" customHeight="1">
      <c r="A472" s="1209"/>
      <c r="B472" s="1209"/>
      <c r="C472" s="1210"/>
      <c r="D472" s="1160"/>
      <c r="E472" s="1160"/>
      <c r="F472" s="1160"/>
      <c r="G472" s="1160"/>
      <c r="H472" s="1160"/>
      <c r="I472" s="1160"/>
      <c r="J472" s="1160"/>
      <c r="K472" s="1160"/>
      <c r="L472" s="1160"/>
      <c r="M472" s="1160"/>
      <c r="N472" s="1160"/>
      <c r="O472" s="1160"/>
      <c r="P472" s="1160"/>
      <c r="Q472" s="1160"/>
      <c r="R472" s="1160"/>
      <c r="S472" s="1160"/>
      <c r="T472" s="1160"/>
      <c r="U472" s="1160"/>
      <c r="V472" s="1160"/>
      <c r="W472" s="1160"/>
      <c r="X472" s="1160"/>
      <c r="Y472" s="1160"/>
      <c r="Z472" s="1160"/>
      <c r="AA472" s="1160"/>
      <c r="AB472" s="1160"/>
      <c r="AC472" s="1160"/>
      <c r="AD472" s="1160"/>
      <c r="AE472" s="1160"/>
      <c r="AF472" s="1160"/>
      <c r="AG472" s="1160"/>
    </row>
    <row r="473" ht="15.0" customHeight="1">
      <c r="A473" s="1209"/>
      <c r="B473" s="1209"/>
      <c r="C473" s="1210"/>
      <c r="D473" s="1160"/>
      <c r="E473" s="1160"/>
      <c r="F473" s="1160"/>
      <c r="G473" s="1160"/>
      <c r="H473" s="1160"/>
      <c r="I473" s="1160"/>
      <c r="J473" s="1160"/>
      <c r="K473" s="1160"/>
      <c r="L473" s="1160"/>
      <c r="M473" s="1160"/>
      <c r="N473" s="1160"/>
      <c r="O473" s="1160"/>
      <c r="P473" s="1160"/>
      <c r="Q473" s="1160"/>
      <c r="R473" s="1160"/>
      <c r="S473" s="1160"/>
      <c r="T473" s="1160"/>
      <c r="U473" s="1160"/>
      <c r="V473" s="1160"/>
      <c r="W473" s="1160"/>
      <c r="X473" s="1160"/>
      <c r="Y473" s="1160"/>
      <c r="Z473" s="1160"/>
      <c r="AA473" s="1160"/>
      <c r="AB473" s="1160"/>
      <c r="AC473" s="1160"/>
      <c r="AD473" s="1160"/>
      <c r="AE473" s="1160"/>
      <c r="AF473" s="1160"/>
      <c r="AG473" s="1160"/>
    </row>
    <row r="474" ht="15.0" customHeight="1">
      <c r="A474" s="1209"/>
      <c r="B474" s="1209"/>
      <c r="C474" s="1210"/>
      <c r="D474" s="1160"/>
      <c r="E474" s="1160"/>
      <c r="F474" s="1160"/>
      <c r="G474" s="1160"/>
      <c r="H474" s="1160"/>
      <c r="I474" s="1160"/>
      <c r="J474" s="1160"/>
      <c r="K474" s="1160"/>
      <c r="L474" s="1160"/>
      <c r="M474" s="1160"/>
      <c r="N474" s="1160"/>
      <c r="O474" s="1160"/>
      <c r="P474" s="1160"/>
      <c r="Q474" s="1160"/>
      <c r="R474" s="1160"/>
      <c r="S474" s="1160"/>
      <c r="T474" s="1160"/>
      <c r="U474" s="1160"/>
      <c r="V474" s="1160"/>
      <c r="W474" s="1160"/>
      <c r="X474" s="1160"/>
      <c r="Y474" s="1160"/>
      <c r="Z474" s="1160"/>
      <c r="AA474" s="1160"/>
      <c r="AB474" s="1160"/>
      <c r="AC474" s="1160"/>
      <c r="AD474" s="1160"/>
      <c r="AE474" s="1160"/>
      <c r="AF474" s="1160"/>
      <c r="AG474" s="1160"/>
    </row>
    <row r="475" ht="15.0" customHeight="1">
      <c r="A475" s="1209"/>
      <c r="B475" s="1209"/>
      <c r="C475" s="1210"/>
      <c r="D475" s="1160"/>
      <c r="E475" s="1160"/>
      <c r="F475" s="1160"/>
      <c r="G475" s="1160"/>
      <c r="H475" s="1160"/>
      <c r="I475" s="1160"/>
      <c r="J475" s="1160"/>
      <c r="K475" s="1160"/>
      <c r="L475" s="1160"/>
      <c r="M475" s="1160"/>
      <c r="N475" s="1160"/>
      <c r="O475" s="1160"/>
      <c r="P475" s="1160"/>
      <c r="Q475" s="1160"/>
      <c r="R475" s="1160"/>
      <c r="S475" s="1160"/>
      <c r="T475" s="1160"/>
      <c r="U475" s="1160"/>
      <c r="V475" s="1160"/>
      <c r="W475" s="1160"/>
      <c r="X475" s="1160"/>
      <c r="Y475" s="1160"/>
      <c r="Z475" s="1160"/>
      <c r="AA475" s="1160"/>
      <c r="AB475" s="1160"/>
      <c r="AC475" s="1160"/>
      <c r="AD475" s="1160"/>
      <c r="AE475" s="1160"/>
      <c r="AF475" s="1160"/>
      <c r="AG475" s="1160"/>
    </row>
    <row r="476" ht="15.0" customHeight="1">
      <c r="A476" s="1209"/>
      <c r="B476" s="1209"/>
      <c r="C476" s="1210"/>
      <c r="D476" s="1160"/>
      <c r="E476" s="1160"/>
      <c r="F476" s="1160"/>
      <c r="G476" s="1160"/>
      <c r="H476" s="1160"/>
      <c r="I476" s="1160"/>
      <c r="J476" s="1160"/>
      <c r="K476" s="1160"/>
      <c r="L476" s="1160"/>
      <c r="M476" s="1160"/>
      <c r="N476" s="1160"/>
      <c r="O476" s="1160"/>
      <c r="P476" s="1160"/>
      <c r="Q476" s="1160"/>
      <c r="R476" s="1160"/>
      <c r="S476" s="1160"/>
      <c r="T476" s="1160"/>
      <c r="U476" s="1160"/>
      <c r="V476" s="1160"/>
      <c r="W476" s="1160"/>
      <c r="X476" s="1160"/>
      <c r="Y476" s="1160"/>
      <c r="Z476" s="1160"/>
      <c r="AA476" s="1160"/>
      <c r="AB476" s="1160"/>
      <c r="AC476" s="1160"/>
      <c r="AD476" s="1160"/>
      <c r="AE476" s="1160"/>
      <c r="AF476" s="1160"/>
      <c r="AG476" s="1160"/>
    </row>
    <row r="477" ht="15.0" customHeight="1">
      <c r="A477" s="1209"/>
      <c r="B477" s="1209"/>
      <c r="C477" s="1210"/>
      <c r="D477" s="1160"/>
      <c r="E477" s="1160"/>
      <c r="F477" s="1160"/>
      <c r="G477" s="1160"/>
      <c r="H477" s="1160"/>
      <c r="I477" s="1160"/>
      <c r="J477" s="1160"/>
      <c r="K477" s="1160"/>
      <c r="L477" s="1160"/>
      <c r="M477" s="1160"/>
      <c r="N477" s="1160"/>
      <c r="O477" s="1160"/>
      <c r="P477" s="1160"/>
      <c r="Q477" s="1160"/>
      <c r="R477" s="1160"/>
      <c r="S477" s="1160"/>
      <c r="T477" s="1160"/>
      <c r="U477" s="1160"/>
      <c r="V477" s="1160"/>
      <c r="W477" s="1160"/>
      <c r="X477" s="1160"/>
      <c r="Y477" s="1160"/>
      <c r="Z477" s="1160"/>
      <c r="AA477" s="1160"/>
      <c r="AB477" s="1160"/>
      <c r="AC477" s="1160"/>
      <c r="AD477" s="1160"/>
      <c r="AE477" s="1160"/>
      <c r="AF477" s="1160"/>
      <c r="AG477" s="1160"/>
    </row>
    <row r="478" ht="15.0" customHeight="1">
      <c r="A478" s="1209"/>
      <c r="B478" s="1209"/>
      <c r="C478" s="1210"/>
      <c r="D478" s="1160"/>
      <c r="E478" s="1160"/>
      <c r="F478" s="1160"/>
      <c r="G478" s="1160"/>
      <c r="H478" s="1160"/>
      <c r="I478" s="1160"/>
      <c r="J478" s="1160"/>
      <c r="K478" s="1160"/>
      <c r="L478" s="1160"/>
      <c r="M478" s="1160"/>
      <c r="N478" s="1160"/>
      <c r="O478" s="1160"/>
      <c r="P478" s="1160"/>
      <c r="Q478" s="1160"/>
      <c r="R478" s="1160"/>
      <c r="S478" s="1160"/>
      <c r="T478" s="1160"/>
      <c r="U478" s="1160"/>
      <c r="V478" s="1160"/>
      <c r="W478" s="1160"/>
      <c r="X478" s="1160"/>
      <c r="Y478" s="1160"/>
      <c r="Z478" s="1160"/>
      <c r="AA478" s="1160"/>
      <c r="AB478" s="1160"/>
      <c r="AC478" s="1160"/>
      <c r="AD478" s="1160"/>
      <c r="AE478" s="1160"/>
      <c r="AF478" s="1160"/>
      <c r="AG478" s="1160"/>
    </row>
    <row r="479" ht="15.0" customHeight="1">
      <c r="A479" s="1209"/>
      <c r="B479" s="1209"/>
      <c r="C479" s="1210"/>
      <c r="D479" s="1160"/>
      <c r="E479" s="1160"/>
      <c r="F479" s="1160"/>
      <c r="G479" s="1160"/>
      <c r="H479" s="1160"/>
      <c r="I479" s="1160"/>
      <c r="J479" s="1160"/>
      <c r="K479" s="1160"/>
      <c r="L479" s="1160"/>
      <c r="M479" s="1160"/>
      <c r="N479" s="1160"/>
      <c r="O479" s="1160"/>
      <c r="P479" s="1160"/>
      <c r="Q479" s="1160"/>
      <c r="R479" s="1160"/>
      <c r="S479" s="1160"/>
      <c r="T479" s="1160"/>
      <c r="U479" s="1160"/>
      <c r="V479" s="1160"/>
      <c r="W479" s="1160"/>
      <c r="X479" s="1160"/>
      <c r="Y479" s="1160"/>
      <c r="Z479" s="1160"/>
      <c r="AA479" s="1160"/>
      <c r="AB479" s="1160"/>
      <c r="AC479" s="1160"/>
      <c r="AD479" s="1160"/>
      <c r="AE479" s="1160"/>
      <c r="AF479" s="1160"/>
      <c r="AG479" s="1160"/>
    </row>
    <row r="480" ht="15.0" customHeight="1">
      <c r="A480" s="1209"/>
      <c r="B480" s="1209"/>
      <c r="C480" s="1210"/>
      <c r="D480" s="1160"/>
      <c r="E480" s="1160"/>
      <c r="F480" s="1160"/>
      <c r="G480" s="1160"/>
      <c r="H480" s="1160"/>
      <c r="I480" s="1160"/>
      <c r="J480" s="1160"/>
      <c r="K480" s="1160"/>
      <c r="L480" s="1160"/>
      <c r="M480" s="1160"/>
      <c r="N480" s="1160"/>
      <c r="O480" s="1160"/>
      <c r="P480" s="1160"/>
      <c r="Q480" s="1160"/>
      <c r="R480" s="1160"/>
      <c r="S480" s="1160"/>
      <c r="T480" s="1160"/>
      <c r="U480" s="1160"/>
      <c r="V480" s="1160"/>
      <c r="W480" s="1160"/>
      <c r="X480" s="1160"/>
      <c r="Y480" s="1160"/>
      <c r="Z480" s="1160"/>
      <c r="AA480" s="1160"/>
      <c r="AB480" s="1160"/>
      <c r="AC480" s="1160"/>
      <c r="AD480" s="1160"/>
      <c r="AE480" s="1160"/>
      <c r="AF480" s="1160"/>
      <c r="AG480" s="1160"/>
    </row>
    <row r="481" ht="15.0" customHeight="1">
      <c r="A481" s="1209"/>
      <c r="B481" s="1209"/>
      <c r="C481" s="1210"/>
      <c r="D481" s="1160"/>
      <c r="E481" s="1160"/>
      <c r="F481" s="1160"/>
      <c r="G481" s="1160"/>
      <c r="H481" s="1160"/>
      <c r="I481" s="1160"/>
      <c r="J481" s="1160"/>
      <c r="K481" s="1160"/>
      <c r="L481" s="1160"/>
      <c r="M481" s="1160"/>
      <c r="N481" s="1160"/>
      <c r="O481" s="1160"/>
      <c r="P481" s="1160"/>
      <c r="Q481" s="1160"/>
      <c r="R481" s="1160"/>
      <c r="S481" s="1160"/>
      <c r="T481" s="1160"/>
      <c r="U481" s="1160"/>
      <c r="V481" s="1160"/>
      <c r="W481" s="1160"/>
      <c r="X481" s="1160"/>
      <c r="Y481" s="1160"/>
      <c r="Z481" s="1160"/>
      <c r="AA481" s="1160"/>
      <c r="AB481" s="1160"/>
      <c r="AC481" s="1160"/>
      <c r="AD481" s="1160"/>
      <c r="AE481" s="1160"/>
      <c r="AF481" s="1160"/>
      <c r="AG481" s="1160"/>
    </row>
    <row r="482" ht="15.0" customHeight="1">
      <c r="A482" s="1209"/>
      <c r="B482" s="1209"/>
      <c r="C482" s="1210"/>
      <c r="D482" s="1160"/>
      <c r="E482" s="1160"/>
      <c r="F482" s="1160"/>
      <c r="G482" s="1160"/>
      <c r="H482" s="1160"/>
      <c r="I482" s="1160"/>
      <c r="J482" s="1160"/>
      <c r="K482" s="1160"/>
      <c r="L482" s="1160"/>
      <c r="M482" s="1160"/>
      <c r="N482" s="1160"/>
      <c r="O482" s="1160"/>
      <c r="P482" s="1160"/>
      <c r="Q482" s="1160"/>
      <c r="R482" s="1160"/>
      <c r="S482" s="1160"/>
      <c r="T482" s="1160"/>
      <c r="U482" s="1160"/>
      <c r="V482" s="1160"/>
      <c r="W482" s="1160"/>
      <c r="X482" s="1160"/>
      <c r="Y482" s="1160"/>
      <c r="Z482" s="1160"/>
      <c r="AA482" s="1160"/>
      <c r="AB482" s="1160"/>
      <c r="AC482" s="1160"/>
      <c r="AD482" s="1160"/>
      <c r="AE482" s="1160"/>
      <c r="AF482" s="1160"/>
      <c r="AG482" s="1160"/>
    </row>
    <row r="483" ht="15.0" customHeight="1">
      <c r="A483" s="1209"/>
      <c r="B483" s="1209"/>
      <c r="C483" s="1210"/>
      <c r="D483" s="1160"/>
      <c r="E483" s="1160"/>
      <c r="F483" s="1160"/>
      <c r="G483" s="1160"/>
      <c r="H483" s="1160"/>
      <c r="I483" s="1160"/>
      <c r="J483" s="1160"/>
      <c r="K483" s="1160"/>
      <c r="L483" s="1160"/>
      <c r="M483" s="1160"/>
      <c r="N483" s="1160"/>
      <c r="O483" s="1160"/>
      <c r="P483" s="1160"/>
      <c r="Q483" s="1160"/>
      <c r="R483" s="1160"/>
      <c r="S483" s="1160"/>
      <c r="T483" s="1160"/>
      <c r="U483" s="1160"/>
      <c r="V483" s="1160"/>
      <c r="W483" s="1160"/>
      <c r="X483" s="1160"/>
      <c r="Y483" s="1160"/>
      <c r="Z483" s="1160"/>
      <c r="AA483" s="1160"/>
      <c r="AB483" s="1160"/>
      <c r="AC483" s="1160"/>
      <c r="AD483" s="1160"/>
      <c r="AE483" s="1160"/>
      <c r="AF483" s="1160"/>
      <c r="AG483" s="1160"/>
    </row>
    <row r="484" ht="15.0" customHeight="1">
      <c r="A484" s="1209"/>
      <c r="B484" s="1209"/>
      <c r="C484" s="1210"/>
      <c r="D484" s="1160"/>
      <c r="E484" s="1160"/>
      <c r="F484" s="1160"/>
      <c r="G484" s="1160"/>
      <c r="H484" s="1160"/>
      <c r="I484" s="1160"/>
      <c r="J484" s="1160"/>
      <c r="K484" s="1160"/>
      <c r="L484" s="1160"/>
      <c r="M484" s="1160"/>
      <c r="N484" s="1160"/>
      <c r="O484" s="1160"/>
      <c r="P484" s="1160"/>
      <c r="Q484" s="1160"/>
      <c r="R484" s="1160"/>
      <c r="S484" s="1160"/>
      <c r="T484" s="1160"/>
      <c r="U484" s="1160"/>
      <c r="V484" s="1160"/>
      <c r="W484" s="1160"/>
      <c r="X484" s="1160"/>
      <c r="Y484" s="1160"/>
      <c r="Z484" s="1160"/>
      <c r="AA484" s="1160"/>
      <c r="AB484" s="1160"/>
      <c r="AC484" s="1160"/>
      <c r="AD484" s="1160"/>
      <c r="AE484" s="1160"/>
      <c r="AF484" s="1160"/>
      <c r="AG484" s="1160"/>
    </row>
    <row r="485" ht="15.0" customHeight="1">
      <c r="A485" s="1209"/>
      <c r="B485" s="1209"/>
      <c r="C485" s="1210"/>
      <c r="D485" s="1160"/>
      <c r="E485" s="1160"/>
      <c r="F485" s="1160"/>
      <c r="G485" s="1160"/>
      <c r="H485" s="1160"/>
      <c r="I485" s="1160"/>
      <c r="J485" s="1160"/>
      <c r="K485" s="1160"/>
      <c r="L485" s="1160"/>
      <c r="M485" s="1160"/>
      <c r="N485" s="1160"/>
      <c r="O485" s="1160"/>
      <c r="P485" s="1160"/>
      <c r="Q485" s="1160"/>
      <c r="R485" s="1160"/>
      <c r="S485" s="1160"/>
      <c r="T485" s="1160"/>
      <c r="U485" s="1160"/>
      <c r="V485" s="1160"/>
      <c r="W485" s="1160"/>
      <c r="X485" s="1160"/>
      <c r="Y485" s="1160"/>
      <c r="Z485" s="1160"/>
      <c r="AA485" s="1160"/>
      <c r="AB485" s="1160"/>
      <c r="AC485" s="1160"/>
      <c r="AD485" s="1160"/>
      <c r="AE485" s="1160"/>
      <c r="AF485" s="1160"/>
      <c r="AG485" s="1160"/>
    </row>
    <row r="486" ht="15.0" customHeight="1">
      <c r="A486" s="1209"/>
      <c r="B486" s="1209"/>
      <c r="C486" s="1210"/>
      <c r="D486" s="1160"/>
      <c r="E486" s="1160"/>
      <c r="F486" s="1160"/>
      <c r="G486" s="1160"/>
      <c r="H486" s="1160"/>
      <c r="I486" s="1160"/>
      <c r="J486" s="1160"/>
      <c r="K486" s="1160"/>
      <c r="L486" s="1160"/>
      <c r="M486" s="1160"/>
      <c r="N486" s="1160"/>
      <c r="O486" s="1160"/>
      <c r="P486" s="1160"/>
      <c r="Q486" s="1160"/>
      <c r="R486" s="1160"/>
      <c r="S486" s="1160"/>
      <c r="T486" s="1160"/>
      <c r="U486" s="1160"/>
      <c r="V486" s="1160"/>
      <c r="W486" s="1160"/>
      <c r="X486" s="1160"/>
      <c r="Y486" s="1160"/>
      <c r="Z486" s="1160"/>
      <c r="AA486" s="1160"/>
      <c r="AB486" s="1160"/>
      <c r="AC486" s="1160"/>
      <c r="AD486" s="1160"/>
      <c r="AE486" s="1160"/>
      <c r="AF486" s="1160"/>
      <c r="AG486" s="1160"/>
    </row>
    <row r="487" ht="15.0" customHeight="1">
      <c r="A487" s="1209"/>
      <c r="B487" s="1209"/>
      <c r="C487" s="1210"/>
      <c r="D487" s="1160"/>
      <c r="E487" s="1160"/>
      <c r="F487" s="1160"/>
      <c r="G487" s="1160"/>
      <c r="H487" s="1160"/>
      <c r="I487" s="1160"/>
      <c r="J487" s="1160"/>
      <c r="K487" s="1160"/>
      <c r="L487" s="1160"/>
      <c r="M487" s="1160"/>
      <c r="N487" s="1160"/>
      <c r="O487" s="1160"/>
      <c r="P487" s="1160"/>
      <c r="Q487" s="1160"/>
      <c r="R487" s="1160"/>
      <c r="S487" s="1160"/>
      <c r="T487" s="1160"/>
      <c r="U487" s="1160"/>
      <c r="V487" s="1160"/>
      <c r="W487" s="1160"/>
      <c r="X487" s="1160"/>
      <c r="Y487" s="1160"/>
      <c r="Z487" s="1160"/>
      <c r="AA487" s="1160"/>
      <c r="AB487" s="1160"/>
      <c r="AC487" s="1160"/>
      <c r="AD487" s="1160"/>
      <c r="AE487" s="1160"/>
      <c r="AF487" s="1160"/>
      <c r="AG487" s="1160"/>
    </row>
    <row r="488" ht="15.0" customHeight="1">
      <c r="A488" s="1209"/>
      <c r="B488" s="1209"/>
      <c r="C488" s="1210"/>
      <c r="D488" s="1160"/>
      <c r="E488" s="1160"/>
      <c r="F488" s="1160"/>
      <c r="G488" s="1160"/>
      <c r="H488" s="1160"/>
      <c r="I488" s="1160"/>
      <c r="J488" s="1160"/>
      <c r="K488" s="1160"/>
      <c r="L488" s="1160"/>
      <c r="M488" s="1160"/>
      <c r="N488" s="1160"/>
      <c r="O488" s="1160"/>
      <c r="P488" s="1160"/>
      <c r="Q488" s="1160"/>
      <c r="R488" s="1160"/>
      <c r="S488" s="1160"/>
      <c r="T488" s="1160"/>
      <c r="U488" s="1160"/>
      <c r="V488" s="1160"/>
      <c r="W488" s="1160"/>
      <c r="X488" s="1160"/>
      <c r="Y488" s="1160"/>
      <c r="Z488" s="1160"/>
      <c r="AA488" s="1160"/>
      <c r="AB488" s="1160"/>
      <c r="AC488" s="1160"/>
      <c r="AD488" s="1160"/>
      <c r="AE488" s="1160"/>
      <c r="AF488" s="1160"/>
      <c r="AG488" s="1160"/>
    </row>
    <row r="489" ht="15.0" customHeight="1">
      <c r="A489" s="1209"/>
      <c r="B489" s="1209"/>
      <c r="C489" s="1210"/>
      <c r="D489" s="1160"/>
      <c r="E489" s="1160"/>
      <c r="F489" s="1160"/>
      <c r="G489" s="1160"/>
      <c r="H489" s="1160"/>
      <c r="I489" s="1160"/>
      <c r="J489" s="1160"/>
      <c r="K489" s="1160"/>
      <c r="L489" s="1160"/>
      <c r="M489" s="1160"/>
      <c r="N489" s="1160"/>
      <c r="O489" s="1160"/>
      <c r="P489" s="1160"/>
      <c r="Q489" s="1160"/>
      <c r="R489" s="1160"/>
      <c r="S489" s="1160"/>
      <c r="T489" s="1160"/>
      <c r="U489" s="1160"/>
      <c r="V489" s="1160"/>
      <c r="W489" s="1160"/>
      <c r="X489" s="1160"/>
      <c r="Y489" s="1160"/>
      <c r="Z489" s="1160"/>
      <c r="AA489" s="1160"/>
      <c r="AB489" s="1160"/>
      <c r="AC489" s="1160"/>
      <c r="AD489" s="1160"/>
      <c r="AE489" s="1160"/>
      <c r="AF489" s="1160"/>
      <c r="AG489" s="1160"/>
    </row>
    <row r="490" ht="15.0" customHeight="1">
      <c r="A490" s="1209"/>
      <c r="B490" s="1209"/>
      <c r="C490" s="1210"/>
      <c r="D490" s="1160"/>
      <c r="E490" s="1160"/>
      <c r="F490" s="1160"/>
      <c r="G490" s="1160"/>
      <c r="H490" s="1160"/>
      <c r="I490" s="1160"/>
      <c r="J490" s="1160"/>
      <c r="K490" s="1160"/>
      <c r="L490" s="1160"/>
      <c r="M490" s="1160"/>
      <c r="N490" s="1160"/>
      <c r="O490" s="1160"/>
      <c r="P490" s="1160"/>
      <c r="Q490" s="1160"/>
      <c r="R490" s="1160"/>
      <c r="S490" s="1160"/>
      <c r="T490" s="1160"/>
      <c r="U490" s="1160"/>
      <c r="V490" s="1160"/>
      <c r="W490" s="1160"/>
      <c r="X490" s="1160"/>
      <c r="Y490" s="1160"/>
      <c r="Z490" s="1160"/>
      <c r="AA490" s="1160"/>
      <c r="AB490" s="1160"/>
      <c r="AC490" s="1160"/>
      <c r="AD490" s="1160"/>
      <c r="AE490" s="1160"/>
      <c r="AF490" s="1160"/>
      <c r="AG490" s="1160"/>
    </row>
    <row r="491" ht="15.0" customHeight="1">
      <c r="A491" s="1209"/>
      <c r="B491" s="1209"/>
      <c r="C491" s="1210"/>
      <c r="D491" s="1160"/>
      <c r="E491" s="1160"/>
      <c r="F491" s="1160"/>
      <c r="G491" s="1160"/>
      <c r="H491" s="1160"/>
      <c r="I491" s="1160"/>
      <c r="J491" s="1160"/>
      <c r="K491" s="1160"/>
      <c r="L491" s="1160"/>
      <c r="M491" s="1160"/>
      <c r="N491" s="1160"/>
      <c r="O491" s="1160"/>
      <c r="P491" s="1160"/>
      <c r="Q491" s="1160"/>
      <c r="R491" s="1160"/>
      <c r="S491" s="1160"/>
      <c r="T491" s="1160"/>
      <c r="U491" s="1160"/>
      <c r="V491" s="1160"/>
      <c r="W491" s="1160"/>
      <c r="X491" s="1160"/>
      <c r="Y491" s="1160"/>
      <c r="Z491" s="1160"/>
      <c r="AA491" s="1160"/>
      <c r="AB491" s="1160"/>
      <c r="AC491" s="1160"/>
      <c r="AD491" s="1160"/>
      <c r="AE491" s="1160"/>
      <c r="AF491" s="1160"/>
      <c r="AG491" s="1160"/>
    </row>
    <row r="492" ht="15.0" customHeight="1">
      <c r="A492" s="1209"/>
      <c r="B492" s="1209"/>
      <c r="C492" s="1210"/>
      <c r="D492" s="1160"/>
      <c r="E492" s="1160"/>
      <c r="F492" s="1160"/>
      <c r="G492" s="1160"/>
      <c r="H492" s="1160"/>
      <c r="I492" s="1160"/>
      <c r="J492" s="1160"/>
      <c r="K492" s="1160"/>
      <c r="L492" s="1160"/>
      <c r="M492" s="1160"/>
      <c r="N492" s="1160"/>
      <c r="O492" s="1160"/>
      <c r="P492" s="1160"/>
      <c r="Q492" s="1160"/>
      <c r="R492" s="1160"/>
      <c r="S492" s="1160"/>
      <c r="T492" s="1160"/>
      <c r="U492" s="1160"/>
      <c r="V492" s="1160"/>
      <c r="W492" s="1160"/>
      <c r="X492" s="1160"/>
      <c r="Y492" s="1160"/>
      <c r="Z492" s="1160"/>
      <c r="AA492" s="1160"/>
      <c r="AB492" s="1160"/>
      <c r="AC492" s="1160"/>
      <c r="AD492" s="1160"/>
      <c r="AE492" s="1160"/>
      <c r="AF492" s="1160"/>
      <c r="AG492" s="1160"/>
    </row>
    <row r="493" ht="15.0" customHeight="1">
      <c r="A493" s="1209"/>
      <c r="B493" s="1209"/>
      <c r="C493" s="1210"/>
      <c r="D493" s="1160"/>
      <c r="E493" s="1160"/>
      <c r="F493" s="1160"/>
      <c r="G493" s="1160"/>
      <c r="H493" s="1160"/>
      <c r="I493" s="1160"/>
      <c r="J493" s="1160"/>
      <c r="K493" s="1160"/>
      <c r="L493" s="1160"/>
      <c r="M493" s="1160"/>
      <c r="N493" s="1160"/>
      <c r="O493" s="1160"/>
      <c r="P493" s="1160"/>
      <c r="Q493" s="1160"/>
      <c r="R493" s="1160"/>
      <c r="S493" s="1160"/>
      <c r="T493" s="1160"/>
      <c r="U493" s="1160"/>
      <c r="V493" s="1160"/>
      <c r="W493" s="1160"/>
      <c r="X493" s="1160"/>
      <c r="Y493" s="1160"/>
      <c r="Z493" s="1160"/>
      <c r="AA493" s="1160"/>
      <c r="AB493" s="1160"/>
      <c r="AC493" s="1160"/>
      <c r="AD493" s="1160"/>
      <c r="AE493" s="1160"/>
      <c r="AF493" s="1160"/>
      <c r="AG493" s="1160"/>
    </row>
    <row r="494" ht="15.0" customHeight="1">
      <c r="A494" s="1209"/>
      <c r="B494" s="1209"/>
      <c r="C494" s="1210"/>
      <c r="D494" s="1160"/>
      <c r="E494" s="1160"/>
      <c r="F494" s="1160"/>
      <c r="G494" s="1160"/>
      <c r="H494" s="1160"/>
      <c r="I494" s="1160"/>
      <c r="J494" s="1160"/>
      <c r="K494" s="1160"/>
      <c r="L494" s="1160"/>
      <c r="M494" s="1160"/>
      <c r="N494" s="1160"/>
      <c r="O494" s="1160"/>
      <c r="P494" s="1160"/>
      <c r="Q494" s="1160"/>
      <c r="R494" s="1160"/>
      <c r="S494" s="1160"/>
      <c r="T494" s="1160"/>
      <c r="U494" s="1160"/>
      <c r="V494" s="1160"/>
      <c r="W494" s="1160"/>
      <c r="X494" s="1160"/>
      <c r="Y494" s="1160"/>
      <c r="Z494" s="1160"/>
      <c r="AA494" s="1160"/>
      <c r="AB494" s="1160"/>
      <c r="AC494" s="1160"/>
      <c r="AD494" s="1160"/>
      <c r="AE494" s="1160"/>
      <c r="AF494" s="1160"/>
      <c r="AG494" s="1160"/>
    </row>
    <row r="495" ht="15.0" customHeight="1">
      <c r="A495" s="1209"/>
      <c r="B495" s="1209"/>
      <c r="C495" s="1210"/>
      <c r="D495" s="1160"/>
      <c r="E495" s="1160"/>
      <c r="F495" s="1160"/>
      <c r="G495" s="1160"/>
      <c r="H495" s="1160"/>
      <c r="I495" s="1160"/>
      <c r="J495" s="1160"/>
      <c r="K495" s="1160"/>
      <c r="L495" s="1160"/>
      <c r="M495" s="1160"/>
      <c r="N495" s="1160"/>
      <c r="O495" s="1160"/>
      <c r="P495" s="1160"/>
      <c r="Q495" s="1160"/>
      <c r="R495" s="1160"/>
      <c r="S495" s="1160"/>
      <c r="T495" s="1160"/>
      <c r="U495" s="1160"/>
      <c r="V495" s="1160"/>
      <c r="W495" s="1160"/>
      <c r="X495" s="1160"/>
      <c r="Y495" s="1160"/>
      <c r="Z495" s="1160"/>
      <c r="AA495" s="1160"/>
      <c r="AB495" s="1160"/>
      <c r="AC495" s="1160"/>
      <c r="AD495" s="1160"/>
      <c r="AE495" s="1160"/>
      <c r="AF495" s="1160"/>
      <c r="AG495" s="1160"/>
    </row>
    <row r="496" ht="15.0" customHeight="1">
      <c r="A496" s="1209"/>
      <c r="B496" s="1209"/>
      <c r="C496" s="1210"/>
      <c r="D496" s="1160"/>
      <c r="E496" s="1160"/>
      <c r="F496" s="1160"/>
      <c r="G496" s="1160"/>
      <c r="H496" s="1160"/>
      <c r="I496" s="1160"/>
      <c r="J496" s="1160"/>
      <c r="K496" s="1160"/>
      <c r="L496" s="1160"/>
      <c r="M496" s="1160"/>
      <c r="N496" s="1160"/>
      <c r="O496" s="1160"/>
      <c r="P496" s="1160"/>
      <c r="Q496" s="1160"/>
      <c r="R496" s="1160"/>
      <c r="S496" s="1160"/>
      <c r="T496" s="1160"/>
      <c r="U496" s="1160"/>
      <c r="V496" s="1160"/>
      <c r="W496" s="1160"/>
      <c r="X496" s="1160"/>
      <c r="Y496" s="1160"/>
      <c r="Z496" s="1160"/>
      <c r="AA496" s="1160"/>
      <c r="AB496" s="1160"/>
      <c r="AC496" s="1160"/>
      <c r="AD496" s="1160"/>
      <c r="AE496" s="1160"/>
      <c r="AF496" s="1160"/>
      <c r="AG496" s="1160"/>
    </row>
    <row r="497" ht="15.0" customHeight="1">
      <c r="A497" s="1209"/>
      <c r="B497" s="1209"/>
      <c r="C497" s="1210"/>
      <c r="D497" s="1160"/>
      <c r="E497" s="1160"/>
      <c r="F497" s="1160"/>
      <c r="G497" s="1160"/>
      <c r="H497" s="1160"/>
      <c r="I497" s="1160"/>
      <c r="J497" s="1160"/>
      <c r="K497" s="1160"/>
      <c r="L497" s="1160"/>
      <c r="M497" s="1160"/>
      <c r="N497" s="1160"/>
      <c r="O497" s="1160"/>
      <c r="P497" s="1160"/>
      <c r="Q497" s="1160"/>
      <c r="R497" s="1160"/>
      <c r="S497" s="1160"/>
      <c r="T497" s="1160"/>
      <c r="U497" s="1160"/>
      <c r="V497" s="1160"/>
      <c r="W497" s="1160"/>
      <c r="X497" s="1160"/>
      <c r="Y497" s="1160"/>
      <c r="Z497" s="1160"/>
      <c r="AA497" s="1160"/>
      <c r="AB497" s="1160"/>
      <c r="AC497" s="1160"/>
      <c r="AD497" s="1160"/>
      <c r="AE497" s="1160"/>
      <c r="AF497" s="1160"/>
      <c r="AG497" s="1160"/>
    </row>
    <row r="498" ht="15.0" customHeight="1">
      <c r="A498" s="1209"/>
      <c r="B498" s="1209"/>
      <c r="C498" s="1210"/>
      <c r="D498" s="1160"/>
      <c r="E498" s="1160"/>
      <c r="F498" s="1160"/>
      <c r="G498" s="1160"/>
      <c r="H498" s="1160"/>
      <c r="I498" s="1160"/>
      <c r="J498" s="1160"/>
      <c r="K498" s="1160"/>
      <c r="L498" s="1160"/>
      <c r="M498" s="1160"/>
      <c r="N498" s="1160"/>
      <c r="O498" s="1160"/>
      <c r="P498" s="1160"/>
      <c r="Q498" s="1160"/>
      <c r="R498" s="1160"/>
      <c r="S498" s="1160"/>
      <c r="T498" s="1160"/>
      <c r="U498" s="1160"/>
      <c r="V498" s="1160"/>
      <c r="W498" s="1160"/>
      <c r="X498" s="1160"/>
      <c r="Y498" s="1160"/>
      <c r="Z498" s="1160"/>
      <c r="AA498" s="1160"/>
      <c r="AB498" s="1160"/>
      <c r="AC498" s="1160"/>
      <c r="AD498" s="1160"/>
      <c r="AE498" s="1160"/>
      <c r="AF498" s="1160"/>
      <c r="AG498" s="1160"/>
    </row>
    <row r="499" ht="15.0" customHeight="1">
      <c r="A499" s="1209"/>
      <c r="B499" s="1209"/>
      <c r="C499" s="1210"/>
      <c r="D499" s="1160"/>
      <c r="E499" s="1160"/>
      <c r="F499" s="1160"/>
      <c r="G499" s="1160"/>
      <c r="H499" s="1160"/>
      <c r="I499" s="1160"/>
      <c r="J499" s="1160"/>
      <c r="K499" s="1160"/>
      <c r="L499" s="1160"/>
      <c r="M499" s="1160"/>
      <c r="N499" s="1160"/>
      <c r="O499" s="1160"/>
      <c r="P499" s="1160"/>
      <c r="Q499" s="1160"/>
      <c r="R499" s="1160"/>
      <c r="S499" s="1160"/>
      <c r="T499" s="1160"/>
      <c r="U499" s="1160"/>
      <c r="V499" s="1160"/>
      <c r="W499" s="1160"/>
      <c r="X499" s="1160"/>
      <c r="Y499" s="1160"/>
      <c r="Z499" s="1160"/>
      <c r="AA499" s="1160"/>
      <c r="AB499" s="1160"/>
      <c r="AC499" s="1160"/>
      <c r="AD499" s="1160"/>
      <c r="AE499" s="1160"/>
      <c r="AF499" s="1160"/>
      <c r="AG499" s="1160"/>
    </row>
    <row r="500" ht="15.0" customHeight="1">
      <c r="A500" s="1212" t="s">
        <v>1790</v>
      </c>
      <c r="B500" s="1160"/>
      <c r="C500" s="1210"/>
      <c r="D500" s="1160"/>
      <c r="E500" s="1160"/>
      <c r="F500" s="1160"/>
      <c r="G500" s="1160"/>
      <c r="H500" s="1160"/>
      <c r="I500" s="1160"/>
      <c r="J500" s="1160"/>
      <c r="K500" s="1160"/>
      <c r="L500" s="1160"/>
      <c r="M500" s="1160"/>
      <c r="N500" s="1160"/>
      <c r="O500" s="1160"/>
      <c r="P500" s="1160"/>
      <c r="Q500" s="1160"/>
      <c r="R500" s="1160"/>
      <c r="S500" s="1160"/>
      <c r="T500" s="1160"/>
      <c r="U500" s="1160"/>
      <c r="V500" s="1160"/>
      <c r="W500" s="1160"/>
      <c r="X500" s="1160"/>
      <c r="Y500" s="1160"/>
      <c r="Z500" s="1160"/>
      <c r="AA500" s="1160"/>
      <c r="AB500" s="1160"/>
      <c r="AC500" s="1160"/>
      <c r="AD500" s="1160"/>
      <c r="AE500" s="1160"/>
      <c r="AF500" s="1160"/>
      <c r="AG500" s="1160"/>
    </row>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5.57"/>
    <col customWidth="1" min="2" max="2" width="41.0"/>
    <col customWidth="1" min="3" max="3" width="34.29"/>
    <col customWidth="1" min="4" max="4" width="9.86"/>
    <col customWidth="1" min="5" max="5" width="16.57"/>
    <col customWidth="1" min="6" max="6" width="11.29"/>
    <col customWidth="1" min="7" max="7" width="14.14"/>
    <col customWidth="1" min="8" max="8" width="11.0"/>
    <col customWidth="1" min="9" max="9" width="15.0"/>
  </cols>
  <sheetData>
    <row r="1">
      <c r="A1" s="1256"/>
      <c r="B1" s="359"/>
      <c r="C1" s="1257"/>
      <c r="D1" s="1258"/>
      <c r="E1" s="1257"/>
      <c r="F1" s="1257"/>
      <c r="G1" s="1257"/>
      <c r="H1" s="359"/>
      <c r="I1" s="359"/>
      <c r="J1" s="359"/>
      <c r="K1" s="359"/>
      <c r="L1" s="359"/>
      <c r="M1" s="359"/>
      <c r="N1" s="359"/>
      <c r="O1" s="359"/>
      <c r="P1" s="359"/>
      <c r="Q1" s="359"/>
    </row>
    <row r="2" ht="18.75" customHeight="1">
      <c r="A2" s="1045"/>
      <c r="B2" s="1259" t="s">
        <v>2040</v>
      </c>
      <c r="C2" s="360"/>
      <c r="D2" s="1258"/>
      <c r="E2" s="1257"/>
      <c r="F2" s="1257"/>
      <c r="G2" s="1257"/>
      <c r="H2" s="359"/>
      <c r="I2" s="359"/>
      <c r="J2" s="359"/>
      <c r="K2" s="359"/>
      <c r="L2" s="359"/>
      <c r="M2" s="359"/>
      <c r="N2" s="359"/>
      <c r="O2" s="359"/>
      <c r="P2" s="359"/>
      <c r="Q2" s="359"/>
    </row>
    <row r="3" ht="16.5" customHeight="1">
      <c r="A3" s="1260"/>
      <c r="B3" s="1261" t="s">
        <v>2041</v>
      </c>
      <c r="C3" s="1262">
        <v>435.0</v>
      </c>
      <c r="D3" s="1258"/>
      <c r="E3" s="1257"/>
      <c r="F3" s="1257"/>
      <c r="G3" s="1257"/>
      <c r="H3" s="359"/>
      <c r="I3" s="359"/>
      <c r="J3" s="359"/>
      <c r="K3" s="359"/>
      <c r="L3" s="359"/>
      <c r="M3" s="359"/>
      <c r="N3" s="359"/>
      <c r="O3" s="359"/>
      <c r="P3" s="359"/>
      <c r="Q3" s="359"/>
    </row>
    <row r="4" ht="16.5" customHeight="1">
      <c r="A4" s="1260"/>
      <c r="B4" s="1263" t="s">
        <v>2042</v>
      </c>
      <c r="C4" s="1264">
        <v>30.0</v>
      </c>
      <c r="D4" s="1258"/>
      <c r="E4" s="1257"/>
      <c r="F4" s="1257"/>
      <c r="G4" s="1257"/>
      <c r="H4" s="359"/>
      <c r="I4" s="359"/>
      <c r="J4" s="359"/>
      <c r="K4" s="359"/>
      <c r="L4" s="359"/>
      <c r="M4" s="359"/>
      <c r="N4" s="359"/>
      <c r="O4" s="359"/>
      <c r="P4" s="359"/>
      <c r="Q4" s="359"/>
    </row>
    <row r="5" ht="16.5" customHeight="1">
      <c r="A5" s="1260"/>
      <c r="B5" s="1263" t="s">
        <v>2043</v>
      </c>
      <c r="C5" s="1265">
        <v>15.0</v>
      </c>
      <c r="D5" s="1258"/>
      <c r="E5" s="1257"/>
      <c r="F5" s="1257"/>
      <c r="G5" s="1257"/>
      <c r="H5" s="359"/>
      <c r="I5" s="359"/>
      <c r="J5" s="359"/>
      <c r="K5" s="359"/>
      <c r="L5" s="359"/>
      <c r="M5" s="359"/>
      <c r="N5" s="359"/>
      <c r="O5" s="359"/>
      <c r="P5" s="359"/>
      <c r="Q5" s="359"/>
    </row>
    <row r="6" ht="16.5" customHeight="1">
      <c r="A6" s="1260"/>
      <c r="B6" s="1263" t="s">
        <v>2044</v>
      </c>
      <c r="C6" s="1266" t="s">
        <v>2045</v>
      </c>
      <c r="D6" s="1258" t="str">
        <f t="array" ref="D6">INDEX('Показники для розрахунку генера'!Q1:Q952,MATCH(C6,'Показники для розрахунку генера'!A2:A26,0),0)</f>
        <v/>
      </c>
      <c r="E6" s="1257"/>
      <c r="F6" s="1257"/>
      <c r="G6" s="1257"/>
      <c r="H6" s="1257"/>
      <c r="I6" s="1257"/>
      <c r="J6" s="359"/>
      <c r="K6" s="359"/>
      <c r="L6" s="359"/>
      <c r="M6" s="359"/>
      <c r="N6" s="359"/>
      <c r="O6" s="359"/>
      <c r="P6" s="359"/>
      <c r="Q6" s="359"/>
    </row>
    <row r="7" ht="16.5" customHeight="1">
      <c r="A7" s="1260"/>
      <c r="B7" s="1267" t="s">
        <v>2046</v>
      </c>
      <c r="C7" s="1268" t="s">
        <v>2047</v>
      </c>
      <c r="D7" s="1269"/>
      <c r="E7" s="1270"/>
      <c r="F7" s="1270"/>
      <c r="G7" s="1270"/>
      <c r="H7" s="1270"/>
      <c r="I7" s="1270"/>
      <c r="J7" s="1271"/>
      <c r="K7" s="1271"/>
      <c r="L7" s="1271"/>
      <c r="M7" s="1271"/>
      <c r="N7" s="1271"/>
      <c r="O7" s="1271"/>
      <c r="P7" s="1271"/>
      <c r="Q7" s="1271"/>
    </row>
    <row r="8" ht="16.5" customHeight="1">
      <c r="A8" s="1256"/>
      <c r="B8" s="359"/>
      <c r="C8" s="1257"/>
      <c r="D8" s="1258"/>
      <c r="E8" s="1257"/>
      <c r="F8" s="1257"/>
      <c r="G8" s="1257"/>
      <c r="H8" s="359"/>
      <c r="I8" s="359"/>
      <c r="J8" s="359"/>
      <c r="K8" s="359"/>
      <c r="L8" s="359"/>
      <c r="M8" s="359"/>
      <c r="N8" s="359"/>
      <c r="O8" s="359"/>
      <c r="P8" s="359"/>
      <c r="Q8" s="359"/>
    </row>
    <row r="9" ht="16.5" customHeight="1">
      <c r="A9" s="1256"/>
      <c r="B9" s="359"/>
      <c r="C9" s="1257"/>
      <c r="D9" s="1258"/>
      <c r="E9" s="1257"/>
      <c r="F9" s="1272"/>
      <c r="G9" s="1272"/>
      <c r="H9" s="358"/>
      <c r="I9" s="359"/>
      <c r="J9" s="359"/>
      <c r="K9" s="359"/>
      <c r="L9" s="359"/>
      <c r="M9" s="359"/>
      <c r="N9" s="359"/>
      <c r="O9" s="359"/>
      <c r="P9" s="359"/>
      <c r="Q9" s="359"/>
    </row>
    <row r="10" ht="16.5" customHeight="1">
      <c r="A10" s="1269">
        <v>1.0</v>
      </c>
      <c r="B10" s="1273" t="s">
        <v>1570</v>
      </c>
      <c r="C10" s="1274">
        <f t="array" ref="C10">365*$C$5*((INDEX('Показники для розрахунку генера'!B33:B40,MATCH(C7,'Показники для розрахунку генера'!A33:A40,0),0))/100)*(INDEX('Показники для розрахунку генера'!B2:B26,MATCH(C6,'Показники для розрахунку генера'!A2:A26,0),0))/12</f>
        <v>456.25</v>
      </c>
      <c r="D10" s="1256"/>
      <c r="E10" s="359"/>
      <c r="F10" s="1275"/>
      <c r="G10" s="359"/>
      <c r="H10" s="1276"/>
      <c r="I10" s="1270"/>
      <c r="J10" s="359"/>
      <c r="K10" s="359"/>
      <c r="L10" s="359"/>
      <c r="M10" s="359"/>
      <c r="N10" s="359"/>
      <c r="O10" s="359"/>
      <c r="P10" s="359"/>
      <c r="Q10" s="359"/>
    </row>
    <row r="11" ht="16.5" customHeight="1">
      <c r="A11" s="1269">
        <v>2.0</v>
      </c>
      <c r="B11" s="1277" t="s">
        <v>2048</v>
      </c>
      <c r="C11" s="1278">
        <f t="array" ref="C11">365*$C$5*((INDEX('Показники для розрахунку генера'!B33:B40,MATCH(C7,'Показники для розрахунку генера'!A33:A40,0),0))/100)*(INDEX('Показники для розрахунку генера'!C2:C26,MATCH(C6,'Показники для розрахунку генера'!A2:A26,0),0))/12</f>
        <v>770.15</v>
      </c>
      <c r="D11" s="1256"/>
      <c r="E11" s="359"/>
      <c r="F11" s="1275"/>
      <c r="G11" s="1276"/>
      <c r="H11" s="359"/>
      <c r="I11" s="1270"/>
      <c r="J11" s="359"/>
      <c r="K11" s="359"/>
      <c r="L11" s="359"/>
      <c r="M11" s="359"/>
      <c r="N11" s="359"/>
      <c r="O11" s="359"/>
      <c r="P11" s="359"/>
      <c r="Q11" s="359"/>
    </row>
    <row r="12" ht="16.5" customHeight="1">
      <c r="A12" s="1269">
        <v>3.0</v>
      </c>
      <c r="B12" s="1277" t="s">
        <v>59</v>
      </c>
      <c r="C12" s="1278">
        <f t="array" ref="C12">365*$C$5*((INDEX('Показники для розрахунку генера'!B33:B40,MATCH(C7,'Показники для розрахунку генера'!A33:A40,0),0))/100)*(INDEX('Показники для розрахунку генера'!D2:D26,MATCH(C6,'Показники для розрахунку генера'!A2:A26,0),0))/12</f>
        <v>1124.2</v>
      </c>
      <c r="D12" s="1258"/>
      <c r="E12" s="1257"/>
      <c r="F12" s="1275"/>
      <c r="G12" s="1276"/>
      <c r="H12" s="359"/>
      <c r="I12" s="1270"/>
      <c r="J12" s="359"/>
      <c r="K12" s="359"/>
      <c r="L12" s="359"/>
      <c r="M12" s="359"/>
      <c r="N12" s="359"/>
      <c r="O12" s="359"/>
      <c r="P12" s="359"/>
      <c r="Q12" s="359"/>
    </row>
    <row r="13" ht="16.5" customHeight="1">
      <c r="A13" s="1269">
        <v>4.0</v>
      </c>
      <c r="B13" s="1277" t="s">
        <v>60</v>
      </c>
      <c r="C13" s="1278">
        <f t="array" ref="C13">365*$C$5*((INDEX('Показники для розрахунку генера'!B33:B40,MATCH(C7,'Показники для розрахунку генера'!A33:A40,0),0))/100)*(INDEX('Показники для розрахунку генера'!E2:E26,MATCH(C6,'Показники для розрахунку генера'!A2:A26,0),0))/12</f>
        <v>1598.7</v>
      </c>
      <c r="D13" s="1258"/>
      <c r="E13" s="1257"/>
      <c r="F13" s="1275"/>
      <c r="G13" s="1276"/>
      <c r="H13" s="359"/>
      <c r="I13" s="1270"/>
      <c r="J13" s="359"/>
      <c r="K13" s="359"/>
      <c r="L13" s="359"/>
      <c r="M13" s="359"/>
      <c r="N13" s="359"/>
      <c r="O13" s="359"/>
      <c r="P13" s="359"/>
      <c r="Q13" s="359"/>
    </row>
    <row r="14" ht="16.5" customHeight="1">
      <c r="A14" s="1269">
        <v>5.0</v>
      </c>
      <c r="B14" s="1277" t="s">
        <v>61</v>
      </c>
      <c r="C14" s="1278">
        <f t="array" ref="C14">365*$C$5*((INDEX('Показники для розрахунку генера'!B33:B40,MATCH(C7,'Показники для розрахунку генера'!A33:A40,0),0))/100)*(INDEX('Показники для розрахунку генера'!F2:F26,MATCH(C6,'Показники для розрахунку генера'!A2:A26,0),0))/12</f>
        <v>2062.25</v>
      </c>
      <c r="D14" s="1258"/>
      <c r="E14" s="1257"/>
      <c r="F14" s="1275"/>
      <c r="G14" s="1276"/>
      <c r="H14" s="359"/>
      <c r="I14" s="1270"/>
      <c r="J14" s="359"/>
      <c r="K14" s="359"/>
      <c r="L14" s="359"/>
      <c r="M14" s="359"/>
      <c r="N14" s="359"/>
      <c r="O14" s="359"/>
      <c r="P14" s="359"/>
      <c r="Q14" s="359"/>
    </row>
    <row r="15" ht="16.5" customHeight="1">
      <c r="A15" s="1269">
        <v>6.0</v>
      </c>
      <c r="B15" s="1279" t="s">
        <v>62</v>
      </c>
      <c r="C15" s="1278">
        <f t="array" ref="C15">365*$C$5*((INDEX('Показники для розрахунку генера'!B33:B40,MATCH(C7,'Показники для розрахунку генера'!A33:A40,0),0))/100)*(INDEX('Показники для розрахунку генера'!G2:G26,MATCH(C6,'Показники для розрахунку генера'!A2:A26,0),0))/12</f>
        <v>2135.25</v>
      </c>
      <c r="D15" s="1258"/>
      <c r="E15" s="1257"/>
      <c r="F15" s="1275"/>
      <c r="G15" s="1276"/>
      <c r="H15" s="359"/>
      <c r="I15" s="1270"/>
      <c r="J15" s="359"/>
      <c r="K15" s="359"/>
      <c r="L15" s="359"/>
      <c r="M15" s="359"/>
      <c r="N15" s="359"/>
      <c r="O15" s="359"/>
      <c r="P15" s="359"/>
      <c r="Q15" s="359"/>
    </row>
    <row r="16" ht="16.5" customHeight="1">
      <c r="A16" s="1269">
        <v>7.0</v>
      </c>
      <c r="B16" s="1279" t="s">
        <v>53</v>
      </c>
      <c r="C16" s="1278">
        <f t="array" ref="C16">365*$C$5*((INDEX('Показники для розрахунку генера'!B33:B40,MATCH(C7,'Показники для розрахунку генера'!A33:A40,0),0))/100)*(INDEX('Показники для розрахунку генера'!H2:H26,MATCH(C6,'Показники для розрахунку генера'!A2:A26,0),0))/12</f>
        <v>2204.6</v>
      </c>
      <c r="D16" s="1258"/>
      <c r="E16" s="1257"/>
      <c r="F16" s="1275"/>
      <c r="G16" s="1276"/>
      <c r="H16" s="359"/>
      <c r="I16" s="1270"/>
      <c r="J16" s="359"/>
      <c r="K16" s="359"/>
      <c r="L16" s="359"/>
      <c r="M16" s="359"/>
      <c r="N16" s="359"/>
      <c r="O16" s="359"/>
      <c r="P16" s="359"/>
      <c r="Q16" s="359"/>
    </row>
    <row r="17" ht="16.5" customHeight="1">
      <c r="A17" s="1269">
        <v>8.0</v>
      </c>
      <c r="B17" s="1279" t="s">
        <v>63</v>
      </c>
      <c r="C17" s="1278">
        <f t="array" ref="C17">365*$C$5*((INDEX('Показники для розрахунку генера'!B33:B40,MATCH(C7,'Показники для розрахунку генера'!A33:A40,0),0))/100)*(INDEX('Показники для розрахунку генера'!I2:I26,MATCH(C6,'Показники для розрахунку генера'!A2:A26,0),0))/12</f>
        <v>1945.45</v>
      </c>
      <c r="D17" s="1258"/>
      <c r="E17" s="1257"/>
      <c r="F17" s="1275"/>
      <c r="G17" s="1276"/>
      <c r="H17" s="359"/>
      <c r="I17" s="1270"/>
      <c r="J17" s="359"/>
      <c r="K17" s="359"/>
      <c r="L17" s="359"/>
      <c r="M17" s="359"/>
      <c r="N17" s="359"/>
      <c r="O17" s="359"/>
      <c r="P17" s="359"/>
      <c r="Q17" s="359"/>
    </row>
    <row r="18" ht="16.5" customHeight="1">
      <c r="A18" s="1269">
        <v>9.0</v>
      </c>
      <c r="B18" s="1279" t="s">
        <v>65</v>
      </c>
      <c r="C18" s="1278">
        <f t="array" ref="C18">365*$C$5*((INDEX('Показники для розрахунку генера'!B33:B40,MATCH(C7,'Показники для розрахунку генера'!A33:A40,0),0))/100)*(INDEX('Показники для розрахунку генера'!J2:J26,MATCH(C6,'Показники для розрахунку генера'!A2:A26,0),0))/12</f>
        <v>1434.45</v>
      </c>
      <c r="D18" s="1258"/>
      <c r="E18" s="1257"/>
      <c r="F18" s="1275"/>
      <c r="G18" s="1276"/>
      <c r="H18" s="359"/>
      <c r="I18" s="1270"/>
      <c r="J18" s="359"/>
      <c r="K18" s="359"/>
      <c r="L18" s="359"/>
      <c r="M18" s="359"/>
      <c r="N18" s="359"/>
      <c r="O18" s="359"/>
      <c r="P18" s="359"/>
      <c r="Q18" s="359"/>
    </row>
    <row r="19" ht="16.5" customHeight="1">
      <c r="A19" s="1269">
        <v>10.0</v>
      </c>
      <c r="B19" s="1279" t="s">
        <v>64</v>
      </c>
      <c r="C19" s="1278">
        <f t="array" ref="C19">365*$C$5*((INDEX('Показники для розрахунку генера'!B33:B40,MATCH(C7,'Показники для розрахунку генера'!A33:A40,0),0))/100)*(INDEX('Показники для розрахунку генера'!K2:K26,MATCH(C6,'Показники для розрахунку генера'!A2:A26,0),0))/12</f>
        <v>919.8</v>
      </c>
      <c r="D19" s="1258"/>
      <c r="E19" s="1257"/>
      <c r="F19" s="1275"/>
      <c r="G19" s="1276"/>
      <c r="H19" s="359"/>
      <c r="I19" s="1270"/>
      <c r="J19" s="359"/>
      <c r="K19" s="359"/>
      <c r="L19" s="359"/>
      <c r="M19" s="359"/>
      <c r="N19" s="359"/>
      <c r="O19" s="359"/>
      <c r="P19" s="359"/>
      <c r="Q19" s="359"/>
    </row>
    <row r="20" ht="16.5" customHeight="1">
      <c r="A20" s="1269">
        <v>11.0</v>
      </c>
      <c r="B20" s="1279" t="s">
        <v>66</v>
      </c>
      <c r="C20" s="1278">
        <f t="array" ref="C20">365*$C$5*((INDEX('Показники для розрахунку генера'!B33:B40,MATCH(C7,'Показники для розрахунку генера'!A33:A40,0),0))/100)*(INDEX('Показники для розрахунку генера'!L2:L26,MATCH(C6,'Показники для розрахунку генера'!A2:A26,0),0))/12</f>
        <v>496.4</v>
      </c>
      <c r="D20" s="1258"/>
      <c r="E20" s="1257"/>
      <c r="F20" s="1275"/>
      <c r="G20" s="1276"/>
      <c r="H20" s="359"/>
      <c r="I20" s="1270"/>
      <c r="J20" s="359"/>
      <c r="K20" s="359"/>
      <c r="L20" s="359"/>
      <c r="M20" s="359"/>
      <c r="N20" s="359"/>
      <c r="O20" s="359"/>
      <c r="P20" s="359"/>
      <c r="Q20" s="359"/>
    </row>
    <row r="21" ht="16.5" customHeight="1">
      <c r="A21" s="1269">
        <v>12.0</v>
      </c>
      <c r="B21" s="1279" t="s">
        <v>67</v>
      </c>
      <c r="C21" s="1278">
        <f t="array" ref="C21">365*$C$5*((INDEX('Показники для розрахунку генера'!B33:B40,MATCH(C7,'Показники для розрахунку генера'!A33:A40,0),0))/100)*(INDEX('Показники для розрахунку генера'!M2:M26,MATCH(C6,'Показники для розрахунку генера'!A2:A26,0),0))/12</f>
        <v>379.6</v>
      </c>
      <c r="D21" s="1258"/>
      <c r="E21" s="1257"/>
      <c r="F21" s="1275"/>
      <c r="G21" s="1276"/>
      <c r="H21" s="359"/>
      <c r="I21" s="1270"/>
      <c r="J21" s="359"/>
      <c r="K21" s="359"/>
      <c r="L21" s="359"/>
      <c r="M21" s="359"/>
      <c r="N21" s="359"/>
      <c r="O21" s="359"/>
      <c r="P21" s="359"/>
      <c r="Q21" s="359"/>
    </row>
    <row r="22" ht="16.5" customHeight="1">
      <c r="A22" s="1260"/>
      <c r="B22" s="1279"/>
      <c r="C22" s="1280"/>
      <c r="D22" s="1258"/>
      <c r="E22" s="1257"/>
      <c r="F22" s="1257"/>
      <c r="G22" s="1257"/>
      <c r="H22" s="359"/>
      <c r="I22" s="1270"/>
      <c r="J22" s="359"/>
      <c r="K22" s="359"/>
      <c r="L22" s="359"/>
      <c r="M22" s="359"/>
      <c r="N22" s="359"/>
      <c r="O22" s="359"/>
      <c r="P22" s="359"/>
      <c r="Q22" s="359"/>
    </row>
    <row r="23" ht="16.5" customHeight="1">
      <c r="A23" s="1260"/>
      <c r="B23" s="1279" t="s">
        <v>2049</v>
      </c>
      <c r="C23" s="1278">
        <f>SUM(C10:C21)</f>
        <v>15527.1</v>
      </c>
      <c r="D23" s="1258"/>
      <c r="E23" s="1257"/>
      <c r="F23" s="1281"/>
      <c r="G23" s="1257"/>
      <c r="H23" s="359"/>
      <c r="I23" s="1270"/>
      <c r="J23" s="359"/>
      <c r="K23" s="359"/>
      <c r="L23" s="359"/>
      <c r="M23" s="359"/>
      <c r="N23" s="359"/>
      <c r="O23" s="359"/>
      <c r="P23" s="359"/>
      <c r="Q23" s="359"/>
    </row>
    <row r="24" ht="16.5" customHeight="1">
      <c r="A24" s="1260"/>
      <c r="B24" s="1282" t="s">
        <v>2050</v>
      </c>
      <c r="C24" s="1283">
        <f>C23/C5</f>
        <v>1035.14</v>
      </c>
      <c r="D24" s="1258"/>
      <c r="E24" s="1257"/>
      <c r="F24" s="1281"/>
      <c r="G24" s="1257"/>
      <c r="H24" s="359"/>
      <c r="I24" s="1270"/>
      <c r="J24" s="359"/>
      <c r="K24" s="359"/>
      <c r="L24" s="359"/>
      <c r="M24" s="359"/>
      <c r="N24" s="359"/>
      <c r="O24" s="359"/>
      <c r="P24" s="359"/>
      <c r="Q24" s="359"/>
    </row>
    <row r="25">
      <c r="A25" s="1256"/>
      <c r="B25" s="359"/>
      <c r="C25" s="1257"/>
      <c r="D25" s="1258"/>
      <c r="E25" s="1257"/>
      <c r="F25" s="1257"/>
      <c r="G25" s="1257"/>
      <c r="H25" s="359"/>
      <c r="I25" s="359"/>
      <c r="J25" s="359"/>
      <c r="K25" s="359"/>
      <c r="L25" s="359"/>
      <c r="M25" s="359"/>
      <c r="N25" s="359"/>
      <c r="O25" s="359"/>
      <c r="P25" s="359"/>
      <c r="Q25" s="359"/>
    </row>
    <row r="26">
      <c r="A26" s="1256"/>
      <c r="B26" s="359"/>
      <c r="C26" s="1257"/>
      <c r="D26" s="1258"/>
      <c r="E26" s="1257"/>
      <c r="F26" s="1257"/>
      <c r="G26" s="1257"/>
      <c r="H26" s="359"/>
      <c r="I26" s="359"/>
      <c r="J26" s="359"/>
      <c r="K26" s="359"/>
      <c r="L26" s="359"/>
      <c r="M26" s="359"/>
      <c r="N26" s="359"/>
      <c r="O26" s="359"/>
      <c r="P26" s="359"/>
      <c r="Q26" s="359"/>
    </row>
    <row r="27">
      <c r="A27" s="1256"/>
      <c r="B27" s="359"/>
      <c r="C27" s="1257"/>
      <c r="D27" s="1258"/>
      <c r="E27" s="1257"/>
      <c r="F27" s="1257"/>
      <c r="G27" s="1257"/>
      <c r="H27" s="359"/>
      <c r="I27" s="359"/>
      <c r="J27" s="359"/>
      <c r="K27" s="359"/>
      <c r="L27" s="359"/>
      <c r="M27" s="359"/>
      <c r="N27" s="359"/>
      <c r="O27" s="359"/>
      <c r="P27" s="359"/>
      <c r="Q27" s="359"/>
    </row>
    <row r="28">
      <c r="A28" s="1256"/>
      <c r="B28" s="359"/>
      <c r="C28" s="1257"/>
      <c r="D28" s="1258"/>
      <c r="E28" s="1257"/>
      <c r="F28" s="1257"/>
      <c r="G28" s="1257"/>
      <c r="H28" s="359"/>
      <c r="I28" s="359"/>
      <c r="J28" s="359"/>
      <c r="K28" s="359"/>
      <c r="L28" s="359"/>
      <c r="M28" s="359"/>
      <c r="N28" s="359"/>
      <c r="O28" s="359"/>
      <c r="P28" s="359"/>
      <c r="Q28" s="359"/>
    </row>
    <row r="29">
      <c r="A29" s="1256"/>
      <c r="B29" s="359"/>
      <c r="C29" s="1257"/>
      <c r="D29" s="1258"/>
      <c r="E29" s="1257"/>
      <c r="F29" s="1257"/>
      <c r="G29" s="1257"/>
      <c r="H29" s="359"/>
      <c r="I29" s="359"/>
      <c r="J29" s="359"/>
      <c r="K29" s="359"/>
      <c r="L29" s="359"/>
      <c r="M29" s="359"/>
      <c r="N29" s="359"/>
      <c r="O29" s="359"/>
      <c r="P29" s="359"/>
      <c r="Q29" s="359"/>
    </row>
    <row r="30">
      <c r="A30" s="1256"/>
      <c r="B30" s="359"/>
      <c r="C30" s="1257"/>
      <c r="D30" s="1258"/>
      <c r="E30" s="1257"/>
      <c r="F30" s="1257"/>
      <c r="G30" s="1257"/>
      <c r="H30" s="359"/>
      <c r="I30" s="359"/>
      <c r="J30" s="359"/>
      <c r="K30" s="359"/>
      <c r="L30" s="359"/>
      <c r="M30" s="359"/>
      <c r="N30" s="359"/>
      <c r="O30" s="359"/>
      <c r="P30" s="359"/>
      <c r="Q30" s="359"/>
    </row>
    <row r="31">
      <c r="A31" s="1256"/>
      <c r="B31" s="359"/>
      <c r="C31" s="1257"/>
      <c r="D31" s="1258"/>
      <c r="E31" s="1257"/>
      <c r="F31" s="1257"/>
      <c r="G31" s="1257"/>
      <c r="H31" s="359"/>
      <c r="I31" s="359"/>
      <c r="J31" s="359"/>
      <c r="K31" s="359"/>
      <c r="L31" s="359"/>
      <c r="M31" s="359"/>
      <c r="N31" s="359"/>
      <c r="O31" s="359"/>
      <c r="P31" s="359"/>
      <c r="Q31" s="359"/>
    </row>
    <row r="32">
      <c r="A32" s="1256"/>
      <c r="B32" s="359"/>
      <c r="C32" s="1257"/>
      <c r="D32" s="1258"/>
      <c r="E32" s="1257"/>
      <c r="F32" s="1257"/>
      <c r="G32" s="1257"/>
      <c r="H32" s="359"/>
      <c r="I32" s="359"/>
      <c r="J32" s="359"/>
      <c r="K32" s="359"/>
      <c r="L32" s="359"/>
      <c r="M32" s="359"/>
      <c r="N32" s="359"/>
      <c r="O32" s="359"/>
      <c r="P32" s="359"/>
      <c r="Q32" s="359"/>
    </row>
    <row r="33">
      <c r="A33" s="1256"/>
      <c r="B33" s="359"/>
      <c r="C33" s="1257"/>
      <c r="D33" s="1258"/>
      <c r="E33" s="1257"/>
      <c r="F33" s="1257"/>
      <c r="G33" s="1257"/>
      <c r="H33" s="359"/>
      <c r="I33" s="359"/>
      <c r="J33" s="359"/>
      <c r="K33" s="359"/>
      <c r="L33" s="359"/>
      <c r="M33" s="359"/>
      <c r="N33" s="359"/>
      <c r="O33" s="359"/>
      <c r="P33" s="359"/>
      <c r="Q33" s="359"/>
    </row>
    <row r="34">
      <c r="A34" s="1256"/>
      <c r="B34" s="359"/>
      <c r="C34" s="1257"/>
      <c r="D34" s="1258"/>
      <c r="E34" s="1257"/>
      <c r="F34" s="1257"/>
      <c r="G34" s="1257"/>
      <c r="H34" s="359"/>
      <c r="I34" s="359"/>
      <c r="J34" s="359"/>
      <c r="K34" s="359"/>
      <c r="L34" s="359"/>
      <c r="M34" s="359"/>
      <c r="N34" s="359"/>
      <c r="O34" s="359"/>
      <c r="P34" s="359"/>
      <c r="Q34" s="359"/>
    </row>
    <row r="35">
      <c r="A35" s="1256"/>
      <c r="B35" s="359"/>
      <c r="C35" s="1257"/>
      <c r="D35" s="1258"/>
      <c r="E35" s="1257"/>
      <c r="F35" s="1257"/>
      <c r="G35" s="1257"/>
      <c r="H35" s="359"/>
      <c r="I35" s="359"/>
      <c r="J35" s="359"/>
      <c r="K35" s="359"/>
      <c r="L35" s="359"/>
      <c r="M35" s="359"/>
      <c r="N35" s="359"/>
      <c r="O35" s="359"/>
      <c r="P35" s="359"/>
      <c r="Q35" s="359"/>
    </row>
    <row r="36">
      <c r="A36" s="1256"/>
      <c r="B36" s="359"/>
      <c r="C36" s="1257"/>
      <c r="D36" s="1258"/>
      <c r="E36" s="1257"/>
      <c r="F36" s="1257"/>
      <c r="G36" s="1257"/>
      <c r="H36" s="359"/>
      <c r="I36" s="359"/>
      <c r="J36" s="359"/>
      <c r="K36" s="359"/>
      <c r="L36" s="359"/>
      <c r="M36" s="359"/>
      <c r="N36" s="359"/>
      <c r="O36" s="359"/>
      <c r="P36" s="359"/>
      <c r="Q36" s="359"/>
    </row>
    <row r="37">
      <c r="A37" s="1256"/>
      <c r="B37" s="359"/>
      <c r="C37" s="1257"/>
      <c r="D37" s="1258"/>
      <c r="E37" s="1257"/>
      <c r="F37" s="1257"/>
      <c r="G37" s="1257"/>
      <c r="H37" s="359"/>
      <c r="I37" s="359"/>
      <c r="J37" s="359"/>
      <c r="K37" s="359"/>
      <c r="L37" s="359"/>
      <c r="M37" s="359"/>
      <c r="N37" s="359"/>
      <c r="O37" s="359"/>
      <c r="P37" s="359"/>
      <c r="Q37" s="359"/>
    </row>
    <row r="38">
      <c r="A38" s="1256"/>
      <c r="B38" s="359"/>
      <c r="C38" s="1257"/>
      <c r="D38" s="1258"/>
      <c r="E38" s="1257"/>
      <c r="F38" s="1257"/>
      <c r="G38" s="1257"/>
      <c r="H38" s="359"/>
      <c r="I38" s="359"/>
      <c r="J38" s="359"/>
      <c r="K38" s="359"/>
      <c r="L38" s="359"/>
      <c r="M38" s="359"/>
      <c r="N38" s="359"/>
      <c r="O38" s="359"/>
      <c r="P38" s="359"/>
      <c r="Q38" s="359"/>
    </row>
    <row r="39">
      <c r="A39" s="1256"/>
      <c r="B39" s="359"/>
      <c r="C39" s="1257"/>
      <c r="D39" s="1258"/>
      <c r="E39" s="1257"/>
      <c r="F39" s="1257"/>
      <c r="G39" s="1257"/>
      <c r="H39" s="359"/>
      <c r="I39" s="359"/>
      <c r="J39" s="359"/>
      <c r="K39" s="359"/>
      <c r="L39" s="359"/>
      <c r="M39" s="359"/>
      <c r="N39" s="359"/>
      <c r="O39" s="359"/>
      <c r="P39" s="359"/>
      <c r="Q39" s="359"/>
    </row>
    <row r="40">
      <c r="A40" s="1256"/>
      <c r="B40" s="359"/>
      <c r="C40" s="1257"/>
      <c r="D40" s="1258"/>
      <c r="E40" s="1257"/>
      <c r="F40" s="1257"/>
      <c r="G40" s="1257"/>
      <c r="H40" s="359"/>
      <c r="I40" s="359"/>
      <c r="J40" s="359"/>
      <c r="K40" s="359"/>
      <c r="L40" s="359"/>
      <c r="M40" s="359"/>
      <c r="N40" s="359"/>
      <c r="O40" s="359"/>
      <c r="P40" s="359"/>
      <c r="Q40" s="359"/>
    </row>
    <row r="41">
      <c r="A41" s="1256"/>
      <c r="B41" s="359"/>
      <c r="C41" s="1257"/>
      <c r="D41" s="1258"/>
      <c r="E41" s="1257"/>
      <c r="F41" s="1257"/>
      <c r="G41" s="1257"/>
      <c r="H41" s="359"/>
      <c r="I41" s="359"/>
      <c r="J41" s="359"/>
      <c r="K41" s="359"/>
      <c r="L41" s="359"/>
      <c r="M41" s="359"/>
      <c r="N41" s="359"/>
      <c r="O41" s="359"/>
      <c r="P41" s="359"/>
      <c r="Q41" s="359"/>
    </row>
    <row r="42">
      <c r="A42" s="1256"/>
      <c r="B42" s="359"/>
      <c r="C42" s="1257"/>
      <c r="D42" s="1258"/>
      <c r="E42" s="1257"/>
      <c r="F42" s="1257"/>
      <c r="G42" s="1257"/>
      <c r="H42" s="359"/>
      <c r="I42" s="359"/>
      <c r="J42" s="359"/>
      <c r="K42" s="359"/>
      <c r="L42" s="359"/>
      <c r="M42" s="359"/>
      <c r="N42" s="359"/>
      <c r="O42" s="359"/>
      <c r="P42" s="359"/>
      <c r="Q42" s="359"/>
    </row>
    <row r="43">
      <c r="A43" s="1256"/>
      <c r="B43" s="359"/>
      <c r="C43" s="1257"/>
      <c r="D43" s="1258"/>
      <c r="E43" s="1257"/>
      <c r="F43" s="1257"/>
      <c r="G43" s="1257"/>
      <c r="H43" s="359"/>
      <c r="I43" s="359"/>
      <c r="J43" s="359"/>
      <c r="K43" s="359"/>
      <c r="L43" s="359"/>
      <c r="M43" s="359"/>
      <c r="N43" s="359"/>
      <c r="O43" s="359"/>
      <c r="P43" s="359"/>
      <c r="Q43" s="359"/>
    </row>
    <row r="44">
      <c r="A44" s="1256"/>
      <c r="B44" s="359"/>
      <c r="C44" s="1257"/>
      <c r="D44" s="1258"/>
      <c r="E44" s="1257"/>
      <c r="F44" s="1257"/>
      <c r="G44" s="1257"/>
      <c r="H44" s="359"/>
      <c r="I44" s="359"/>
      <c r="J44" s="359"/>
      <c r="K44" s="359"/>
      <c r="L44" s="359"/>
      <c r="M44" s="359"/>
      <c r="N44" s="359"/>
      <c r="O44" s="359"/>
      <c r="P44" s="359"/>
      <c r="Q44" s="359"/>
    </row>
    <row r="45">
      <c r="A45" s="1256"/>
      <c r="B45" s="359"/>
      <c r="C45" s="1257"/>
      <c r="D45" s="1258"/>
      <c r="E45" s="1257"/>
      <c r="F45" s="1257"/>
      <c r="G45" s="1257"/>
      <c r="H45" s="359"/>
      <c r="I45" s="359"/>
      <c r="J45" s="359"/>
      <c r="K45" s="359"/>
      <c r="L45" s="359"/>
      <c r="M45" s="359"/>
      <c r="N45" s="359"/>
      <c r="O45" s="359"/>
      <c r="P45" s="359"/>
      <c r="Q45" s="359"/>
    </row>
    <row r="46">
      <c r="A46" s="1256"/>
      <c r="B46" s="359"/>
      <c r="C46" s="1257"/>
      <c r="D46" s="1258"/>
      <c r="E46" s="1257"/>
      <c r="F46" s="1257"/>
      <c r="G46" s="1257"/>
      <c r="H46" s="359"/>
      <c r="I46" s="359"/>
      <c r="J46" s="359"/>
      <c r="K46" s="359"/>
      <c r="L46" s="359"/>
      <c r="M46" s="359"/>
      <c r="N46" s="359"/>
      <c r="O46" s="359"/>
      <c r="P46" s="359"/>
      <c r="Q46" s="359"/>
    </row>
    <row r="47">
      <c r="A47" s="1256"/>
      <c r="B47" s="359"/>
      <c r="C47" s="1257"/>
      <c r="D47" s="1258"/>
      <c r="E47" s="1257"/>
      <c r="F47" s="1257"/>
      <c r="G47" s="1257"/>
      <c r="H47" s="359"/>
      <c r="I47" s="359"/>
      <c r="J47" s="359"/>
      <c r="K47" s="359"/>
      <c r="L47" s="359"/>
      <c r="M47" s="359"/>
      <c r="N47" s="359"/>
      <c r="O47" s="359"/>
      <c r="P47" s="359"/>
      <c r="Q47" s="359"/>
    </row>
    <row r="48">
      <c r="A48" s="1256"/>
      <c r="B48" s="359"/>
      <c r="C48" s="1257"/>
      <c r="D48" s="1258"/>
      <c r="E48" s="1257"/>
      <c r="F48" s="1257"/>
      <c r="G48" s="1257"/>
      <c r="H48" s="359"/>
      <c r="I48" s="359"/>
      <c r="J48" s="359"/>
      <c r="K48" s="359"/>
      <c r="L48" s="359"/>
      <c r="M48" s="359"/>
      <c r="N48" s="359"/>
      <c r="O48" s="359"/>
      <c r="P48" s="359"/>
      <c r="Q48" s="359"/>
    </row>
    <row r="49">
      <c r="A49" s="1256"/>
      <c r="B49" s="359"/>
      <c r="C49" s="1257"/>
      <c r="D49" s="1258"/>
      <c r="E49" s="1257"/>
      <c r="F49" s="1257"/>
      <c r="G49" s="1257"/>
      <c r="H49" s="359"/>
      <c r="I49" s="359"/>
      <c r="J49" s="359"/>
      <c r="K49" s="359"/>
      <c r="L49" s="359"/>
      <c r="M49" s="359"/>
      <c r="N49" s="359"/>
      <c r="O49" s="359"/>
      <c r="P49" s="359"/>
      <c r="Q49" s="359"/>
    </row>
    <row r="50">
      <c r="A50" s="1256"/>
      <c r="B50" s="359"/>
      <c r="C50" s="1257"/>
      <c r="D50" s="1258"/>
      <c r="E50" s="1257"/>
      <c r="F50" s="1257"/>
      <c r="G50" s="1257"/>
      <c r="H50" s="359"/>
      <c r="I50" s="359"/>
      <c r="J50" s="359"/>
      <c r="K50" s="359"/>
      <c r="L50" s="359"/>
      <c r="M50" s="359"/>
      <c r="N50" s="359"/>
      <c r="O50" s="359"/>
      <c r="P50" s="359"/>
      <c r="Q50" s="359"/>
    </row>
  </sheetData>
  <dataValidations>
    <dataValidation type="list" allowBlank="1" showErrorMessage="1" sqref="C7">
      <formula1>'Показники для розрахунку генера'!$A$33:$A$40</formula1>
    </dataValidation>
    <dataValidation type="list" allowBlank="1" showErrorMessage="1" sqref="C6">
      <formula1>'Показники для розрахунку генера'!$A$2:$A$26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 width="14.43"/>
  </cols>
  <sheetData>
    <row r="1">
      <c r="A1" s="1284"/>
      <c r="B1" s="1285" t="s">
        <v>1570</v>
      </c>
      <c r="C1" s="1285" t="s">
        <v>2048</v>
      </c>
      <c r="D1" s="1285" t="s">
        <v>59</v>
      </c>
      <c r="E1" s="1285" t="s">
        <v>60</v>
      </c>
      <c r="F1" s="1285" t="s">
        <v>61</v>
      </c>
      <c r="G1" s="1285" t="s">
        <v>62</v>
      </c>
      <c r="H1" s="1285" t="s">
        <v>53</v>
      </c>
      <c r="I1" s="1285" t="s">
        <v>63</v>
      </c>
      <c r="J1" s="1285" t="s">
        <v>65</v>
      </c>
      <c r="K1" s="1285" t="s">
        <v>64</v>
      </c>
      <c r="L1" s="1285" t="s">
        <v>66</v>
      </c>
      <c r="M1" s="1285" t="s">
        <v>67</v>
      </c>
      <c r="N1" s="1285" t="s">
        <v>2049</v>
      </c>
    </row>
    <row r="2">
      <c r="A2" s="1285" t="s">
        <v>2051</v>
      </c>
      <c r="B2" s="1284">
        <v>1.27</v>
      </c>
      <c r="C2" s="1284">
        <v>2.06</v>
      </c>
      <c r="D2" s="1284">
        <v>3.05</v>
      </c>
      <c r="E2" s="1284">
        <v>4.3</v>
      </c>
      <c r="F2" s="1284">
        <v>5.44</v>
      </c>
      <c r="G2" s="1284">
        <v>5.84</v>
      </c>
      <c r="H2" s="1284">
        <v>6.2</v>
      </c>
      <c r="I2" s="1284">
        <v>5.34</v>
      </c>
      <c r="J2" s="1284">
        <v>4.07</v>
      </c>
      <c r="K2" s="1284">
        <v>2.67</v>
      </c>
      <c r="L2" s="1284">
        <v>1.55</v>
      </c>
      <c r="M2" s="1284">
        <v>1.07</v>
      </c>
      <c r="N2" s="1285">
        <v>3.58</v>
      </c>
    </row>
    <row r="3">
      <c r="A3" s="1285" t="s">
        <v>2052</v>
      </c>
      <c r="B3" s="1284">
        <v>1.07</v>
      </c>
      <c r="C3" s="1284">
        <v>1.89</v>
      </c>
      <c r="D3" s="1284">
        <v>2.94</v>
      </c>
      <c r="E3" s="1284">
        <v>3.92</v>
      </c>
      <c r="F3" s="1284">
        <v>5.19</v>
      </c>
      <c r="G3" s="1284">
        <v>5.3</v>
      </c>
      <c r="H3" s="1284">
        <v>5.16</v>
      </c>
      <c r="I3" s="1284">
        <v>4.68</v>
      </c>
      <c r="J3" s="1284">
        <v>3.21</v>
      </c>
      <c r="K3" s="1284">
        <v>1.97</v>
      </c>
      <c r="L3" s="1284">
        <v>1.1</v>
      </c>
      <c r="M3" s="1284">
        <v>0.9</v>
      </c>
      <c r="N3" s="1285">
        <v>3.11</v>
      </c>
    </row>
    <row r="4">
      <c r="A4" s="1285" t="s">
        <v>2053</v>
      </c>
      <c r="B4" s="1284">
        <v>1.02</v>
      </c>
      <c r="C4" s="1284">
        <v>1.77</v>
      </c>
      <c r="D4" s="1284">
        <v>2.83</v>
      </c>
      <c r="E4" s="1284">
        <v>3.91</v>
      </c>
      <c r="F4" s="1284">
        <v>5.05</v>
      </c>
      <c r="G4" s="1284">
        <v>5.08</v>
      </c>
      <c r="H4" s="1284">
        <v>4.94</v>
      </c>
      <c r="I4" s="1284">
        <v>4.55</v>
      </c>
      <c r="J4" s="1284">
        <v>3.01</v>
      </c>
      <c r="K4" s="1284">
        <v>1.83</v>
      </c>
      <c r="L4" s="1284">
        <v>1.05</v>
      </c>
      <c r="M4" s="1284">
        <v>0.79</v>
      </c>
      <c r="N4" s="1285">
        <v>2.99</v>
      </c>
    </row>
    <row r="5">
      <c r="A5" s="1285" t="s">
        <v>2054</v>
      </c>
      <c r="B5" s="1284">
        <v>1.21</v>
      </c>
      <c r="C5" s="1284">
        <v>1.99</v>
      </c>
      <c r="D5" s="1284">
        <v>2.98</v>
      </c>
      <c r="E5" s="1284">
        <v>4.05</v>
      </c>
      <c r="F5" s="1284">
        <v>5.55</v>
      </c>
      <c r="G5" s="1284">
        <v>5.57</v>
      </c>
      <c r="H5" s="1284">
        <v>5.7</v>
      </c>
      <c r="I5" s="1284">
        <v>5.08</v>
      </c>
      <c r="J5" s="1284">
        <v>3.66</v>
      </c>
      <c r="K5" s="1284">
        <v>2.27</v>
      </c>
      <c r="L5" s="1284">
        <v>1.2</v>
      </c>
      <c r="M5" s="1284">
        <v>0.96</v>
      </c>
      <c r="N5" s="1285">
        <v>3.36</v>
      </c>
    </row>
    <row r="6">
      <c r="A6" s="1285" t="s">
        <v>2055</v>
      </c>
      <c r="B6" s="1284">
        <v>1.21</v>
      </c>
      <c r="C6" s="1284">
        <v>1.99</v>
      </c>
      <c r="D6" s="1284">
        <v>2.94</v>
      </c>
      <c r="E6" s="1284">
        <v>4.04</v>
      </c>
      <c r="F6" s="1284">
        <v>5.48</v>
      </c>
      <c r="G6" s="1284">
        <v>5.55</v>
      </c>
      <c r="H6" s="1284">
        <v>5.66</v>
      </c>
      <c r="I6" s="1284">
        <v>5.09</v>
      </c>
      <c r="J6" s="1284">
        <v>3.67</v>
      </c>
      <c r="K6" s="1284">
        <v>2.24</v>
      </c>
      <c r="L6" s="1284">
        <v>1.23</v>
      </c>
      <c r="M6" s="1284">
        <v>0.96</v>
      </c>
      <c r="N6" s="1285">
        <v>3.34</v>
      </c>
    </row>
    <row r="7">
      <c r="A7" s="1285" t="s">
        <v>2056</v>
      </c>
      <c r="B7" s="1284">
        <v>1.01</v>
      </c>
      <c r="C7" s="1284">
        <v>1.82</v>
      </c>
      <c r="D7" s="1284">
        <v>2.87</v>
      </c>
      <c r="E7" s="1284">
        <v>3.88</v>
      </c>
      <c r="F7" s="1284">
        <v>5.16</v>
      </c>
      <c r="G7" s="1284">
        <v>5.19</v>
      </c>
      <c r="H7" s="1284">
        <v>5.04</v>
      </c>
      <c r="I7" s="1284">
        <v>4.66</v>
      </c>
      <c r="J7" s="1284">
        <v>3.06</v>
      </c>
      <c r="K7" s="1284">
        <v>1.87</v>
      </c>
      <c r="L7" s="1284">
        <v>1.04</v>
      </c>
      <c r="M7" s="1284">
        <v>0.83</v>
      </c>
      <c r="N7" s="1285">
        <v>3.04</v>
      </c>
    </row>
    <row r="8">
      <c r="A8" s="1285" t="s">
        <v>2057</v>
      </c>
      <c r="B8" s="1284">
        <v>1.13</v>
      </c>
      <c r="C8" s="1284">
        <v>1.91</v>
      </c>
      <c r="D8" s="1284">
        <v>3.01</v>
      </c>
      <c r="E8" s="1284">
        <v>4.03</v>
      </c>
      <c r="F8" s="1284">
        <v>5.01</v>
      </c>
      <c r="G8" s="1284">
        <v>5.31</v>
      </c>
      <c r="H8" s="1284">
        <v>5.25</v>
      </c>
      <c r="I8" s="1284">
        <v>4.82</v>
      </c>
      <c r="J8" s="1284">
        <v>3.33</v>
      </c>
      <c r="K8" s="1284">
        <v>2.02</v>
      </c>
      <c r="L8" s="1284">
        <v>1.19</v>
      </c>
      <c r="M8" s="1284">
        <v>0.88</v>
      </c>
      <c r="N8" s="1285">
        <v>3.16</v>
      </c>
    </row>
    <row r="9">
      <c r="A9" s="1285" t="s">
        <v>2058</v>
      </c>
      <c r="B9" s="1284">
        <v>1.21</v>
      </c>
      <c r="C9" s="1284">
        <v>2.0</v>
      </c>
      <c r="D9" s="1284">
        <v>2.91</v>
      </c>
      <c r="E9" s="1284">
        <v>4.2</v>
      </c>
      <c r="F9" s="1284">
        <v>5.62</v>
      </c>
      <c r="G9" s="1284">
        <v>5.72</v>
      </c>
      <c r="H9" s="1284">
        <v>5.88</v>
      </c>
      <c r="I9" s="1284">
        <v>5.18</v>
      </c>
      <c r="J9" s="1284">
        <v>3.87</v>
      </c>
      <c r="K9" s="1284">
        <v>2.44</v>
      </c>
      <c r="L9" s="1284">
        <v>1.25</v>
      </c>
      <c r="M9" s="1284">
        <v>0.95</v>
      </c>
      <c r="N9" s="1285">
        <v>3.44</v>
      </c>
    </row>
    <row r="10">
      <c r="A10" s="1285" t="s">
        <v>2059</v>
      </c>
      <c r="B10" s="1284">
        <v>1.19</v>
      </c>
      <c r="C10" s="1284">
        <v>1.93</v>
      </c>
      <c r="D10" s="1284">
        <v>2.84</v>
      </c>
      <c r="E10" s="1284">
        <v>3.68</v>
      </c>
      <c r="F10" s="1284">
        <v>4.54</v>
      </c>
      <c r="G10" s="1284">
        <v>4.75</v>
      </c>
      <c r="H10" s="1284">
        <v>4.76</v>
      </c>
      <c r="I10" s="1284">
        <v>4.4</v>
      </c>
      <c r="J10" s="1284">
        <v>3.06</v>
      </c>
      <c r="K10" s="1284">
        <v>2.0</v>
      </c>
      <c r="L10" s="1284">
        <v>1.2</v>
      </c>
      <c r="M10" s="1284">
        <v>0.94</v>
      </c>
      <c r="N10" s="1285">
        <v>2.94</v>
      </c>
      <c r="S10" s="1286" t="s">
        <v>2060</v>
      </c>
    </row>
    <row r="11">
      <c r="A11" s="1285" t="s">
        <v>2061</v>
      </c>
      <c r="B11" s="1284">
        <v>1.07</v>
      </c>
      <c r="C11" s="1284">
        <v>1.87</v>
      </c>
      <c r="D11" s="1284">
        <v>2.95</v>
      </c>
      <c r="E11" s="1284">
        <v>3.96</v>
      </c>
      <c r="F11" s="1284">
        <v>5.25</v>
      </c>
      <c r="G11" s="1284">
        <v>5.22</v>
      </c>
      <c r="H11" s="1284">
        <v>5.25</v>
      </c>
      <c r="I11" s="1284">
        <v>4.67</v>
      </c>
      <c r="J11" s="1284">
        <v>3.12</v>
      </c>
      <c r="K11" s="1284">
        <v>1.94</v>
      </c>
      <c r="L11" s="1284">
        <v>1.02</v>
      </c>
      <c r="M11" s="1284">
        <v>0.86</v>
      </c>
      <c r="N11" s="1285">
        <v>3.1</v>
      </c>
      <c r="S11" s="1287" t="s">
        <v>2062</v>
      </c>
    </row>
    <row r="12">
      <c r="A12" s="1285" t="s">
        <v>2063</v>
      </c>
      <c r="B12" s="1284">
        <v>1.2</v>
      </c>
      <c r="C12" s="1284">
        <v>1.95</v>
      </c>
      <c r="D12" s="1284">
        <v>2.96</v>
      </c>
      <c r="E12" s="1284">
        <v>4.07</v>
      </c>
      <c r="F12" s="1284">
        <v>5.47</v>
      </c>
      <c r="G12" s="1284">
        <v>5.49</v>
      </c>
      <c r="H12" s="1284">
        <v>5.57</v>
      </c>
      <c r="I12" s="1284">
        <v>4.92</v>
      </c>
      <c r="J12" s="1284">
        <v>3.57</v>
      </c>
      <c r="K12" s="1284">
        <v>2.24</v>
      </c>
      <c r="L12" s="1284">
        <v>1.14</v>
      </c>
      <c r="M12" s="1284">
        <v>0.96</v>
      </c>
      <c r="N12" s="1285">
        <v>3.3</v>
      </c>
      <c r="S12" s="1287" t="s">
        <v>2064</v>
      </c>
    </row>
    <row r="13">
      <c r="A13" s="1285" t="s">
        <v>2065</v>
      </c>
      <c r="B13" s="1284">
        <v>1.23</v>
      </c>
      <c r="C13" s="1284">
        <v>2.06</v>
      </c>
      <c r="D13" s="1284">
        <v>3.05</v>
      </c>
      <c r="E13" s="1284">
        <v>4.05</v>
      </c>
      <c r="F13" s="1284">
        <v>5.46</v>
      </c>
      <c r="G13" s="1284">
        <v>5.57</v>
      </c>
      <c r="H13" s="1284">
        <v>5.65</v>
      </c>
      <c r="I13" s="1284">
        <v>4.99</v>
      </c>
      <c r="J13" s="1284">
        <v>3.62</v>
      </c>
      <c r="K13" s="1284">
        <v>2.23</v>
      </c>
      <c r="L13" s="1284">
        <v>1.26</v>
      </c>
      <c r="M13" s="1284">
        <v>0.93</v>
      </c>
      <c r="N13" s="1285">
        <v>3.34</v>
      </c>
      <c r="S13" s="1287" t="s">
        <v>2066</v>
      </c>
    </row>
    <row r="14">
      <c r="A14" s="1285" t="s">
        <v>2067</v>
      </c>
      <c r="B14" s="1284">
        <v>1.08</v>
      </c>
      <c r="C14" s="1284">
        <v>1.83</v>
      </c>
      <c r="D14" s="1284">
        <v>2.82</v>
      </c>
      <c r="E14" s="1284">
        <v>3.78</v>
      </c>
      <c r="F14" s="1284">
        <v>4.67</v>
      </c>
      <c r="G14" s="1284">
        <v>4.83</v>
      </c>
      <c r="H14" s="1284">
        <v>4.83</v>
      </c>
      <c r="I14" s="1284">
        <v>4.45</v>
      </c>
      <c r="J14" s="1284">
        <v>3.0</v>
      </c>
      <c r="K14" s="1284">
        <v>1.85</v>
      </c>
      <c r="L14" s="1284">
        <v>1.06</v>
      </c>
      <c r="M14" s="1284">
        <v>0.83</v>
      </c>
      <c r="N14" s="1285">
        <v>2.92</v>
      </c>
      <c r="S14" s="1286"/>
    </row>
    <row r="15">
      <c r="A15" s="1285" t="s">
        <v>2068</v>
      </c>
      <c r="B15" s="1284">
        <v>1.25</v>
      </c>
      <c r="C15" s="1284">
        <v>2.1</v>
      </c>
      <c r="D15" s="1284">
        <v>3.07</v>
      </c>
      <c r="E15" s="1284">
        <v>4.38</v>
      </c>
      <c r="F15" s="1284">
        <v>5.65</v>
      </c>
      <c r="G15" s="1284">
        <v>5.85</v>
      </c>
      <c r="H15" s="1284">
        <v>6.03</v>
      </c>
      <c r="I15" s="1284">
        <v>5.34</v>
      </c>
      <c r="J15" s="1284">
        <v>3.93</v>
      </c>
      <c r="K15" s="1284">
        <v>2.52</v>
      </c>
      <c r="L15" s="1284">
        <v>1.36</v>
      </c>
      <c r="M15" s="1284">
        <v>1.04</v>
      </c>
      <c r="N15" s="1285">
        <v>3.55</v>
      </c>
      <c r="S15" s="1287" t="s">
        <v>2069</v>
      </c>
    </row>
    <row r="16">
      <c r="A16" s="1285" t="s">
        <v>2045</v>
      </c>
      <c r="B16" s="1284">
        <v>1.25</v>
      </c>
      <c r="C16" s="1284">
        <v>2.11</v>
      </c>
      <c r="D16" s="1284">
        <v>3.08</v>
      </c>
      <c r="E16" s="1284">
        <v>4.38</v>
      </c>
      <c r="F16" s="1284">
        <v>5.65</v>
      </c>
      <c r="G16" s="1284">
        <v>5.85</v>
      </c>
      <c r="H16" s="1284">
        <v>6.04</v>
      </c>
      <c r="I16" s="1284">
        <v>5.33</v>
      </c>
      <c r="J16" s="1284">
        <v>3.93</v>
      </c>
      <c r="K16" s="1284">
        <v>2.52</v>
      </c>
      <c r="L16" s="1284">
        <v>1.36</v>
      </c>
      <c r="M16" s="1284">
        <v>1.04</v>
      </c>
      <c r="N16" s="1285">
        <v>3.55</v>
      </c>
    </row>
    <row r="17">
      <c r="A17" s="1285" t="s">
        <v>2070</v>
      </c>
      <c r="B17" s="1284">
        <v>1.18</v>
      </c>
      <c r="C17" s="1284">
        <v>1.96</v>
      </c>
      <c r="D17" s="1284">
        <v>3.05</v>
      </c>
      <c r="E17" s="1284">
        <v>4.0</v>
      </c>
      <c r="F17" s="1284">
        <v>5.4</v>
      </c>
      <c r="G17" s="1284">
        <v>5.44</v>
      </c>
      <c r="H17" s="1284">
        <v>5.51</v>
      </c>
      <c r="I17" s="1284">
        <v>4.87</v>
      </c>
      <c r="J17" s="1284">
        <v>3.42</v>
      </c>
      <c r="K17" s="1284">
        <v>2.11</v>
      </c>
      <c r="L17" s="1284">
        <v>1.15</v>
      </c>
      <c r="M17" s="1284">
        <v>0.91</v>
      </c>
      <c r="N17" s="1285">
        <v>3.25</v>
      </c>
    </row>
    <row r="18">
      <c r="A18" s="1285" t="s">
        <v>2071</v>
      </c>
      <c r="B18" s="1284">
        <v>1.01</v>
      </c>
      <c r="C18" s="1284">
        <v>1.81</v>
      </c>
      <c r="D18" s="1284">
        <v>2.83</v>
      </c>
      <c r="E18" s="1284">
        <v>3.87</v>
      </c>
      <c r="F18" s="1284">
        <v>5.08</v>
      </c>
      <c r="G18" s="1284">
        <v>5.17</v>
      </c>
      <c r="H18" s="1284">
        <v>4.98</v>
      </c>
      <c r="I18" s="1284">
        <v>4.58</v>
      </c>
      <c r="J18" s="1284">
        <v>3.02</v>
      </c>
      <c r="K18" s="1284">
        <v>1.87</v>
      </c>
      <c r="L18" s="1284">
        <v>1.04</v>
      </c>
      <c r="M18" s="1284">
        <v>0.81</v>
      </c>
      <c r="N18" s="1285">
        <v>3.01</v>
      </c>
    </row>
    <row r="19">
      <c r="A19" s="1285" t="s">
        <v>2072</v>
      </c>
      <c r="B19" s="1284">
        <v>1.13</v>
      </c>
      <c r="C19" s="1284">
        <v>1.93</v>
      </c>
      <c r="D19" s="1284">
        <v>3.05</v>
      </c>
      <c r="E19" s="1284">
        <v>3.98</v>
      </c>
      <c r="F19" s="1284">
        <v>5.27</v>
      </c>
      <c r="G19" s="1284">
        <v>5.32</v>
      </c>
      <c r="H19" s="1284">
        <v>5.38</v>
      </c>
      <c r="I19" s="1284">
        <v>4.67</v>
      </c>
      <c r="J19" s="1284">
        <v>3.19</v>
      </c>
      <c r="K19" s="1284">
        <v>1.98</v>
      </c>
      <c r="L19" s="1284">
        <v>1.1</v>
      </c>
      <c r="M19" s="1284">
        <v>0.86</v>
      </c>
      <c r="N19" s="1285">
        <v>3.16</v>
      </c>
    </row>
    <row r="20">
      <c r="A20" s="1285" t="s">
        <v>2073</v>
      </c>
      <c r="B20" s="1284">
        <v>1.09</v>
      </c>
      <c r="C20" s="1284">
        <v>1.86</v>
      </c>
      <c r="D20" s="1284">
        <v>2.85</v>
      </c>
      <c r="E20" s="1284">
        <v>3.85</v>
      </c>
      <c r="F20" s="1284">
        <v>4.84</v>
      </c>
      <c r="G20" s="1284">
        <v>5.0</v>
      </c>
      <c r="H20" s="1284">
        <v>4.93</v>
      </c>
      <c r="I20" s="1284">
        <v>4.51</v>
      </c>
      <c r="J20" s="1284">
        <v>3.08</v>
      </c>
      <c r="K20" s="1284">
        <v>1.91</v>
      </c>
      <c r="L20" s="1284">
        <v>1.09</v>
      </c>
      <c r="M20" s="1284">
        <v>0.85</v>
      </c>
      <c r="N20" s="1285">
        <v>2.99</v>
      </c>
    </row>
    <row r="21" ht="15.75" customHeight="1">
      <c r="A21" s="1285" t="s">
        <v>2074</v>
      </c>
      <c r="B21" s="1284">
        <v>1.19</v>
      </c>
      <c r="C21" s="1284">
        <v>2.02</v>
      </c>
      <c r="D21" s="1284">
        <v>3.05</v>
      </c>
      <c r="E21" s="1284">
        <v>3.92</v>
      </c>
      <c r="F21" s="1284">
        <v>5.38</v>
      </c>
      <c r="G21" s="1284">
        <v>5.46</v>
      </c>
      <c r="H21" s="1284">
        <v>5.56</v>
      </c>
      <c r="I21" s="1284">
        <v>4.88</v>
      </c>
      <c r="J21" s="1284">
        <v>3.49</v>
      </c>
      <c r="K21" s="1284">
        <v>2.1</v>
      </c>
      <c r="L21" s="1284">
        <v>1.19</v>
      </c>
      <c r="M21" s="1284">
        <v>0.9</v>
      </c>
      <c r="N21" s="1285">
        <v>3.26</v>
      </c>
    </row>
    <row r="22" ht="15.75" customHeight="1">
      <c r="A22" s="1285" t="s">
        <v>2075</v>
      </c>
      <c r="B22" s="1284">
        <v>1.3</v>
      </c>
      <c r="C22" s="1284">
        <v>2.13</v>
      </c>
      <c r="D22" s="1284">
        <v>3.08</v>
      </c>
      <c r="E22" s="1284">
        <v>4.36</v>
      </c>
      <c r="F22" s="1284">
        <v>5.68</v>
      </c>
      <c r="G22" s="1284">
        <v>5.76</v>
      </c>
      <c r="H22" s="1284">
        <v>6.0</v>
      </c>
      <c r="I22" s="1284">
        <v>5.29</v>
      </c>
      <c r="J22" s="1284">
        <v>4.0</v>
      </c>
      <c r="K22" s="1284">
        <v>2.57</v>
      </c>
      <c r="L22" s="1284">
        <v>1.36</v>
      </c>
      <c r="M22" s="1284">
        <v>1.04</v>
      </c>
      <c r="N22" s="1285">
        <v>3.55</v>
      </c>
    </row>
    <row r="23" ht="15.75" customHeight="1">
      <c r="A23" s="1285" t="s">
        <v>2076</v>
      </c>
      <c r="B23" s="1284">
        <v>1.09</v>
      </c>
      <c r="C23" s="1284">
        <v>1.86</v>
      </c>
      <c r="D23" s="1284">
        <v>2.87</v>
      </c>
      <c r="E23" s="1284">
        <v>3.85</v>
      </c>
      <c r="F23" s="1284">
        <v>5.08</v>
      </c>
      <c r="G23" s="1284">
        <v>5.21</v>
      </c>
      <c r="H23" s="1284">
        <v>5.04</v>
      </c>
      <c r="I23" s="1284">
        <v>4.58</v>
      </c>
      <c r="J23" s="1284">
        <v>3.14</v>
      </c>
      <c r="K23" s="1284">
        <v>1.98</v>
      </c>
      <c r="L23" s="1284">
        <v>1.1</v>
      </c>
      <c r="M23" s="1284">
        <v>0.87</v>
      </c>
      <c r="N23" s="1285">
        <v>3.06</v>
      </c>
    </row>
    <row r="24" ht="15.75" customHeight="1">
      <c r="A24" s="1285" t="s">
        <v>2077</v>
      </c>
      <c r="B24" s="1284">
        <v>1.15</v>
      </c>
      <c r="C24" s="1284">
        <v>1.91</v>
      </c>
      <c r="D24" s="1284">
        <v>2.94</v>
      </c>
      <c r="E24" s="1284">
        <v>3.99</v>
      </c>
      <c r="F24" s="1284">
        <v>5.44</v>
      </c>
      <c r="G24" s="1284">
        <v>5.46</v>
      </c>
      <c r="H24" s="1284">
        <v>5.54</v>
      </c>
      <c r="I24" s="1284">
        <v>4.87</v>
      </c>
      <c r="J24" s="1284">
        <v>3.4</v>
      </c>
      <c r="K24" s="1284">
        <v>2.13</v>
      </c>
      <c r="L24" s="1284">
        <v>1.09</v>
      </c>
      <c r="M24" s="1284">
        <v>0.91</v>
      </c>
      <c r="N24" s="1285">
        <v>3.24</v>
      </c>
    </row>
    <row r="25" ht="15.75" customHeight="1">
      <c r="A25" s="1285" t="s">
        <v>2078</v>
      </c>
      <c r="B25" s="1284">
        <v>0.99</v>
      </c>
      <c r="C25" s="1284">
        <v>1.8</v>
      </c>
      <c r="D25" s="1284">
        <v>2.92</v>
      </c>
      <c r="E25" s="1284">
        <v>3.96</v>
      </c>
      <c r="F25" s="1284">
        <v>5.17</v>
      </c>
      <c r="G25" s="1284">
        <v>5.19</v>
      </c>
      <c r="H25" s="1284">
        <v>5.12</v>
      </c>
      <c r="I25" s="1284">
        <v>4.54</v>
      </c>
      <c r="J25" s="1284">
        <v>3.0</v>
      </c>
      <c r="K25" s="1284">
        <v>1.86</v>
      </c>
      <c r="L25" s="1284">
        <v>0.98</v>
      </c>
      <c r="M25" s="1284">
        <v>0.75</v>
      </c>
      <c r="N25" s="1285">
        <v>3.03</v>
      </c>
    </row>
    <row r="26" ht="15.75" customHeight="1">
      <c r="A26" s="1285" t="s">
        <v>2079</v>
      </c>
      <c r="B26" s="1284">
        <v>1.19</v>
      </c>
      <c r="C26" s="1284">
        <v>1.93</v>
      </c>
      <c r="D26" s="1284">
        <v>2.84</v>
      </c>
      <c r="E26" s="1284">
        <v>3.68</v>
      </c>
      <c r="F26" s="1284">
        <v>4.54</v>
      </c>
      <c r="G26" s="1284">
        <v>4.75</v>
      </c>
      <c r="H26" s="1284">
        <v>4.76</v>
      </c>
      <c r="I26" s="1284">
        <v>4.4</v>
      </c>
      <c r="J26" s="1284">
        <v>3.06</v>
      </c>
      <c r="K26" s="1284">
        <v>2.0</v>
      </c>
      <c r="L26" s="1284">
        <v>1.2</v>
      </c>
      <c r="M26" s="1284">
        <v>0.94</v>
      </c>
      <c r="N26" s="1285">
        <v>2.94</v>
      </c>
    </row>
    <row r="27" ht="15.75" customHeight="1">
      <c r="A27" s="1285"/>
      <c r="B27" s="1284"/>
      <c r="C27" s="1284"/>
      <c r="D27" s="1284"/>
      <c r="E27" s="1284"/>
      <c r="F27" s="1284"/>
      <c r="G27" s="1284"/>
      <c r="H27" s="1284"/>
      <c r="I27" s="1284"/>
      <c r="J27" s="1284"/>
      <c r="K27" s="1284"/>
      <c r="L27" s="1284"/>
      <c r="M27" s="1284"/>
      <c r="N27" s="1285"/>
    </row>
    <row r="28" ht="15.75" customHeight="1">
      <c r="A28" s="1285"/>
      <c r="B28" s="1284"/>
      <c r="C28" s="1284"/>
      <c r="D28" s="1284"/>
      <c r="E28" s="1284"/>
      <c r="F28" s="1284"/>
      <c r="G28" s="1284"/>
      <c r="H28" s="1284"/>
      <c r="I28" s="1284"/>
      <c r="J28" s="1284"/>
      <c r="K28" s="1284"/>
      <c r="L28" s="1284"/>
      <c r="M28" s="1284"/>
      <c r="N28" s="1285"/>
    </row>
    <row r="29" ht="15.75" customHeight="1">
      <c r="A29" s="1285"/>
      <c r="B29" s="1284"/>
      <c r="C29" s="1284"/>
      <c r="D29" s="1284"/>
      <c r="E29" s="1284"/>
      <c r="F29" s="1284"/>
      <c r="G29" s="1284"/>
      <c r="H29" s="1284"/>
      <c r="I29" s="1284"/>
      <c r="J29" s="1284"/>
      <c r="K29" s="1284"/>
      <c r="L29" s="1284"/>
      <c r="M29" s="1284"/>
      <c r="N29" s="1285"/>
    </row>
    <row r="30" ht="15.75" customHeight="1">
      <c r="A30" s="1285"/>
      <c r="B30" s="1284"/>
      <c r="C30" s="1284"/>
      <c r="D30" s="1284"/>
      <c r="E30" s="1284"/>
      <c r="F30" s="1284"/>
      <c r="G30" s="1284"/>
      <c r="H30" s="1284"/>
      <c r="I30" s="1284"/>
      <c r="J30" s="1284"/>
      <c r="K30" s="1284"/>
      <c r="L30" s="1284"/>
      <c r="M30" s="1284"/>
      <c r="N30" s="1285"/>
    </row>
    <row r="31" ht="15.75" customHeight="1">
      <c r="A31" s="1285"/>
      <c r="B31" s="1284"/>
      <c r="C31" s="1284"/>
      <c r="D31" s="1284"/>
      <c r="E31" s="1284"/>
      <c r="F31" s="1284"/>
      <c r="G31" s="1284"/>
      <c r="H31" s="1284"/>
      <c r="I31" s="1284"/>
      <c r="J31" s="1284"/>
      <c r="K31" s="1284"/>
      <c r="L31" s="1284"/>
      <c r="M31" s="1284"/>
      <c r="N31" s="1285"/>
    </row>
    <row r="32" ht="15.75" customHeight="1">
      <c r="A32" s="1288" t="s">
        <v>2080</v>
      </c>
      <c r="B32" s="1289" t="s">
        <v>1661</v>
      </c>
      <c r="C32" s="1290"/>
      <c r="D32" s="1291"/>
      <c r="E32" s="1291"/>
      <c r="F32" s="1291"/>
      <c r="G32" s="1291"/>
      <c r="H32" s="1291"/>
      <c r="I32" s="1292"/>
      <c r="J32" s="1292"/>
      <c r="K32" s="1292"/>
      <c r="L32" s="1292"/>
      <c r="M32" s="1292"/>
      <c r="N32" s="1292"/>
      <c r="O32" s="1292"/>
      <c r="P32" s="1292"/>
    </row>
    <row r="33" ht="15.75" customHeight="1">
      <c r="A33" s="1293" t="s">
        <v>2081</v>
      </c>
      <c r="B33" s="1294">
        <v>80.0</v>
      </c>
      <c r="C33" s="1284"/>
      <c r="D33" s="1284"/>
      <c r="E33" s="1284"/>
      <c r="F33" s="1284"/>
      <c r="G33" s="1284"/>
      <c r="H33" s="1284"/>
      <c r="I33" s="1284"/>
      <c r="J33" s="1284"/>
      <c r="K33" s="1284"/>
      <c r="L33" s="1284"/>
      <c r="M33" s="1284"/>
      <c r="N33" s="1285"/>
    </row>
    <row r="34" ht="15.75" customHeight="1">
      <c r="A34" s="1293" t="s">
        <v>2082</v>
      </c>
      <c r="B34" s="1294">
        <v>80.0</v>
      </c>
      <c r="C34" s="1284"/>
      <c r="D34" s="1284"/>
      <c r="E34" s="1284"/>
      <c r="F34" s="1284"/>
      <c r="G34" s="1284"/>
      <c r="H34" s="1284"/>
      <c r="I34" s="1284"/>
      <c r="J34" s="1284"/>
      <c r="K34" s="1284"/>
      <c r="L34" s="1284"/>
      <c r="M34" s="1284"/>
      <c r="N34" s="1285"/>
    </row>
    <row r="35" ht="15.75" customHeight="1">
      <c r="A35" s="1293" t="s">
        <v>2047</v>
      </c>
      <c r="B35" s="1294">
        <v>80.0</v>
      </c>
      <c r="C35" s="1284"/>
      <c r="D35" s="1284"/>
      <c r="E35" s="1284"/>
      <c r="F35" s="1284"/>
      <c r="G35" s="1284"/>
      <c r="H35" s="1284"/>
      <c r="I35" s="1284"/>
      <c r="J35" s="1284"/>
      <c r="K35" s="1284"/>
      <c r="L35" s="1284"/>
      <c r="M35" s="1284"/>
      <c r="N35" s="1285"/>
    </row>
    <row r="36" ht="15.75" customHeight="1">
      <c r="A36" s="1293" t="s">
        <v>2083</v>
      </c>
      <c r="B36" s="1294">
        <v>100.0</v>
      </c>
      <c r="C36" s="1284"/>
      <c r="D36" s="1284"/>
      <c r="E36" s="1284"/>
      <c r="F36" s="1284"/>
      <c r="G36" s="1284"/>
      <c r="H36" s="1284"/>
      <c r="I36" s="1284"/>
      <c r="J36" s="1284"/>
      <c r="K36" s="1284"/>
      <c r="L36" s="1284"/>
      <c r="M36" s="1284"/>
      <c r="N36" s="1285"/>
    </row>
    <row r="37" ht="15.75" customHeight="1">
      <c r="A37" s="1295"/>
      <c r="B37" s="1296"/>
      <c r="C37" s="1284"/>
      <c r="D37" s="1284"/>
      <c r="E37" s="1284"/>
      <c r="F37" s="1284"/>
      <c r="G37" s="1284"/>
      <c r="H37" s="1284"/>
      <c r="I37" s="1284"/>
      <c r="J37" s="1284"/>
      <c r="K37" s="1284"/>
      <c r="L37" s="1284"/>
      <c r="M37" s="1284"/>
      <c r="N37" s="1285"/>
    </row>
    <row r="38" ht="15.75" customHeight="1">
      <c r="A38" s="1295"/>
      <c r="B38" s="1296"/>
      <c r="C38" s="1284"/>
      <c r="D38" s="1284"/>
      <c r="E38" s="1284"/>
      <c r="F38" s="1284"/>
      <c r="G38" s="1284"/>
      <c r="H38" s="1284"/>
      <c r="I38" s="1284"/>
      <c r="J38" s="1284"/>
      <c r="K38" s="1284"/>
      <c r="L38" s="1284"/>
      <c r="M38" s="1284"/>
      <c r="N38" s="1285"/>
    </row>
    <row r="39" ht="15.75" customHeight="1">
      <c r="A39" s="1297"/>
      <c r="B39" s="1297"/>
    </row>
    <row r="40" ht="15.75" customHeight="1">
      <c r="A40" s="1297"/>
      <c r="B40" s="1297"/>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pageSetUpPr fitToPage="1"/>
  </sheetPr>
  <sheetViews>
    <sheetView workbookViewId="0"/>
  </sheetViews>
  <sheetFormatPr customHeight="1" defaultColWidth="14.43" defaultRowHeight="15.0"/>
  <cols>
    <col customWidth="1" min="1" max="1" width="14.43"/>
    <col customWidth="1" min="2" max="2" width="3.0"/>
    <col customWidth="1" min="3" max="3" width="15.86"/>
    <col customWidth="1" min="4" max="4" width="3.0"/>
    <col customWidth="1" min="5" max="5" width="14.43"/>
    <col customWidth="1" min="6" max="6" width="3.0"/>
    <col customWidth="1" min="9" max="9" width="3.0"/>
    <col customWidth="1" min="12" max="12" width="3.0"/>
    <col customWidth="1" min="13" max="13" width="11.57"/>
    <col customWidth="1" min="14" max="14" width="3.0"/>
    <col customWidth="1" min="15" max="15" width="11.57"/>
  </cols>
  <sheetData>
    <row r="1">
      <c r="A1" s="1298" t="s">
        <v>2084</v>
      </c>
      <c r="L1" s="462"/>
      <c r="M1" s="462"/>
      <c r="N1" s="462"/>
      <c r="O1" s="1298"/>
      <c r="P1" s="462"/>
      <c r="Q1" s="462"/>
      <c r="R1" s="462"/>
      <c r="S1" s="462"/>
      <c r="T1" s="462"/>
      <c r="U1" s="462"/>
      <c r="V1" s="462"/>
      <c r="W1" s="462"/>
      <c r="X1" s="462"/>
      <c r="Y1" s="462"/>
      <c r="Z1" s="462"/>
      <c r="AA1" s="462"/>
      <c r="AB1" s="462"/>
      <c r="AC1" s="462"/>
      <c r="AD1" s="462"/>
      <c r="AE1" s="462"/>
    </row>
    <row r="2" ht="15.0" customHeight="1">
      <c r="A2" s="1299" t="s">
        <v>2085</v>
      </c>
      <c r="B2" s="1300"/>
      <c r="C2" s="1301" t="s">
        <v>2086</v>
      </c>
      <c r="D2" s="1300"/>
      <c r="E2" s="1301" t="s">
        <v>2087</v>
      </c>
      <c r="F2" s="1300"/>
      <c r="G2" s="1302" t="s">
        <v>2088</v>
      </c>
      <c r="H2" s="1085"/>
      <c r="I2" s="1300"/>
      <c r="J2" s="1302" t="s">
        <v>2089</v>
      </c>
      <c r="K2" s="1303"/>
      <c r="L2" s="1304"/>
      <c r="M2" s="1305" t="s">
        <v>2090</v>
      </c>
      <c r="N2" s="1304"/>
      <c r="O2" s="1305" t="s">
        <v>2091</v>
      </c>
      <c r="P2" s="1304"/>
      <c r="Q2" s="1304"/>
      <c r="R2" s="1304"/>
      <c r="S2" s="1304"/>
      <c r="T2" s="1304"/>
      <c r="U2" s="1304"/>
      <c r="V2" s="1304"/>
      <c r="W2" s="1304"/>
      <c r="X2" s="1304"/>
      <c r="Y2" s="1304"/>
      <c r="Z2" s="1304"/>
      <c r="AA2" s="1304"/>
      <c r="AB2" s="1304"/>
      <c r="AC2" s="1304"/>
      <c r="AD2" s="1304"/>
      <c r="AE2" s="1304"/>
    </row>
    <row r="3" ht="15.0" customHeight="1">
      <c r="A3" s="1306"/>
      <c r="B3" s="1307"/>
      <c r="C3" s="1308" t="s">
        <v>2092</v>
      </c>
      <c r="D3" s="1307"/>
      <c r="E3" s="1308" t="s">
        <v>2093</v>
      </c>
      <c r="F3" s="1307"/>
      <c r="G3" s="1308" t="s">
        <v>2094</v>
      </c>
      <c r="H3" s="1308" t="s">
        <v>2095</v>
      </c>
      <c r="I3" s="1307"/>
      <c r="J3" s="1308" t="s">
        <v>2094</v>
      </c>
      <c r="K3" s="1309" t="s">
        <v>2095</v>
      </c>
      <c r="L3" s="1304"/>
      <c r="M3" s="1310" t="s">
        <v>2093</v>
      </c>
      <c r="N3" s="1304"/>
      <c r="O3" s="1310" t="s">
        <v>2096</v>
      </c>
      <c r="P3" s="1304"/>
      <c r="Q3" s="1304"/>
      <c r="R3" s="1304"/>
      <c r="S3" s="1304"/>
      <c r="T3" s="1304"/>
      <c r="U3" s="1304"/>
      <c r="V3" s="1304"/>
      <c r="W3" s="1304"/>
      <c r="X3" s="1304"/>
      <c r="Y3" s="1304"/>
      <c r="Z3" s="1304"/>
      <c r="AA3" s="1304"/>
      <c r="AB3" s="1304"/>
      <c r="AC3" s="1304"/>
      <c r="AD3" s="1304"/>
      <c r="AE3" s="1304"/>
    </row>
    <row r="4" ht="15.0" customHeight="1">
      <c r="A4" s="1311"/>
      <c r="B4" s="1304"/>
      <c r="C4" s="1311"/>
      <c r="D4" s="1304"/>
      <c r="E4" s="1311"/>
      <c r="F4" s="1304"/>
      <c r="G4" s="1312"/>
      <c r="H4" s="1313"/>
      <c r="I4" s="1304"/>
      <c r="J4" s="1312"/>
      <c r="K4" s="1313"/>
      <c r="L4" s="1304"/>
      <c r="M4" s="1314"/>
      <c r="N4" s="1304"/>
      <c r="O4" s="1314"/>
      <c r="P4" s="1304"/>
      <c r="Q4" s="1304"/>
      <c r="R4" s="1304"/>
      <c r="S4" s="1304"/>
      <c r="T4" s="1304"/>
      <c r="U4" s="1304"/>
      <c r="V4" s="1304"/>
      <c r="W4" s="1304"/>
      <c r="X4" s="1304"/>
      <c r="Y4" s="1304"/>
      <c r="Z4" s="1304"/>
      <c r="AA4" s="1304"/>
      <c r="AB4" s="1304"/>
      <c r="AC4" s="1304"/>
      <c r="AD4" s="1304"/>
      <c r="AE4" s="1304"/>
    </row>
    <row r="5" ht="15.0" customHeight="1">
      <c r="A5" s="1299" t="s">
        <v>2097</v>
      </c>
      <c r="B5" s="1300"/>
      <c r="C5" s="1301">
        <v>5.0</v>
      </c>
      <c r="D5" s="1300"/>
      <c r="E5" s="1301">
        <v>26.7</v>
      </c>
      <c r="F5" s="1300"/>
      <c r="G5" s="1315">
        <v>4.0</v>
      </c>
      <c r="H5" s="1316">
        <v>6.0</v>
      </c>
      <c r="I5" s="1300"/>
      <c r="J5" s="1315">
        <v>6.0</v>
      </c>
      <c r="K5" s="1317">
        <v>10.0</v>
      </c>
      <c r="L5" s="1304"/>
      <c r="M5" s="1131">
        <v>25.0</v>
      </c>
      <c r="N5" s="1304"/>
      <c r="O5" s="1131"/>
      <c r="P5" s="1304"/>
      <c r="Q5" s="1304"/>
      <c r="R5" s="1304"/>
      <c r="S5" s="1304"/>
      <c r="T5" s="1304"/>
      <c r="U5" s="1304"/>
      <c r="V5" s="1304"/>
      <c r="W5" s="1304"/>
      <c r="X5" s="1304"/>
      <c r="Y5" s="1304"/>
      <c r="Z5" s="1304"/>
      <c r="AA5" s="1304"/>
      <c r="AB5" s="1304"/>
      <c r="AC5" s="1304"/>
      <c r="AD5" s="1304"/>
      <c r="AE5" s="1304"/>
    </row>
    <row r="6" ht="15.0" customHeight="1">
      <c r="A6" s="1318"/>
      <c r="B6" s="1304"/>
      <c r="C6" s="1131">
        <v>6.0</v>
      </c>
      <c r="D6" s="1304"/>
      <c r="E6" s="1131">
        <v>32.1</v>
      </c>
      <c r="F6" s="1304"/>
      <c r="G6" s="1319">
        <v>6.0</v>
      </c>
      <c r="H6" s="1320">
        <v>10.0</v>
      </c>
      <c r="I6" s="1304"/>
      <c r="J6" s="1319">
        <v>10.0</v>
      </c>
      <c r="K6" s="1321">
        <v>10.0</v>
      </c>
      <c r="L6" s="1304"/>
      <c r="M6" s="1131">
        <v>32.0</v>
      </c>
      <c r="N6" s="1304"/>
      <c r="O6" s="1131"/>
      <c r="P6" s="1304"/>
      <c r="Q6" s="1304"/>
      <c r="R6" s="1304"/>
      <c r="S6" s="1304"/>
      <c r="T6" s="1304"/>
      <c r="U6" s="1304"/>
      <c r="V6" s="1304"/>
      <c r="W6" s="1304"/>
      <c r="X6" s="1304"/>
      <c r="Y6" s="1304"/>
      <c r="Z6" s="1304"/>
      <c r="AA6" s="1304"/>
      <c r="AB6" s="1304"/>
      <c r="AC6" s="1304"/>
      <c r="AD6" s="1304"/>
      <c r="AE6" s="1304"/>
    </row>
    <row r="7" ht="15.0" customHeight="1">
      <c r="A7" s="1318"/>
      <c r="B7" s="1304"/>
      <c r="C7" s="1131">
        <v>8.0</v>
      </c>
      <c r="D7" s="1304"/>
      <c r="E7" s="1131">
        <v>42.7</v>
      </c>
      <c r="F7" s="1304"/>
      <c r="G7" s="1319">
        <v>6.0</v>
      </c>
      <c r="H7" s="1320">
        <v>10.0</v>
      </c>
      <c r="I7" s="1304"/>
      <c r="J7" s="1319">
        <v>10.0</v>
      </c>
      <c r="K7" s="1321">
        <v>16.0</v>
      </c>
      <c r="L7" s="1304"/>
      <c r="M7" s="1131">
        <v>40.0</v>
      </c>
      <c r="N7" s="1304"/>
      <c r="O7" s="1131"/>
      <c r="P7" s="1304"/>
      <c r="Q7" s="1304"/>
      <c r="R7" s="1304"/>
      <c r="S7" s="1304"/>
      <c r="T7" s="1304"/>
      <c r="U7" s="1304"/>
      <c r="V7" s="1304"/>
      <c r="W7" s="1304"/>
      <c r="X7" s="1304"/>
      <c r="Y7" s="1304"/>
      <c r="Z7" s="1304"/>
      <c r="AA7" s="1304"/>
      <c r="AB7" s="1304"/>
      <c r="AC7" s="1304"/>
      <c r="AD7" s="1304"/>
      <c r="AE7" s="1304"/>
    </row>
    <row r="8" ht="15.0" customHeight="1">
      <c r="A8" s="1318"/>
      <c r="B8" s="1304" t="s">
        <v>2098</v>
      </c>
      <c r="C8" s="1131">
        <v>7.0</v>
      </c>
      <c r="D8" s="1304"/>
      <c r="E8" s="1131">
        <v>31.82</v>
      </c>
      <c r="F8" s="1304"/>
      <c r="G8" s="1319">
        <v>6.0</v>
      </c>
      <c r="H8" s="1320">
        <v>10.0</v>
      </c>
      <c r="I8" s="1304"/>
      <c r="J8" s="1319">
        <v>10.0</v>
      </c>
      <c r="K8" s="1321">
        <v>16.0</v>
      </c>
      <c r="L8" s="1304"/>
      <c r="M8" s="1131">
        <v>32.0</v>
      </c>
      <c r="N8" s="1304"/>
      <c r="O8" s="1131">
        <v>40.0</v>
      </c>
      <c r="P8" s="1304"/>
      <c r="Q8" s="1304"/>
      <c r="R8" s="1304"/>
      <c r="S8" s="1304"/>
      <c r="T8" s="1304"/>
      <c r="U8" s="1304"/>
      <c r="V8" s="1304"/>
      <c r="W8" s="1304"/>
      <c r="X8" s="1304"/>
      <c r="Y8" s="1304"/>
      <c r="Z8" s="1304"/>
      <c r="AA8" s="1304"/>
      <c r="AB8" s="1304"/>
      <c r="AC8" s="1304"/>
      <c r="AD8" s="1304"/>
      <c r="AE8" s="1304"/>
    </row>
    <row r="9" ht="15.0" customHeight="1">
      <c r="A9" s="1318"/>
      <c r="B9" s="1304"/>
      <c r="C9" s="1131"/>
      <c r="D9" s="1304"/>
      <c r="E9" s="1131"/>
      <c r="F9" s="1304"/>
      <c r="G9" s="1319"/>
      <c r="H9" s="1320"/>
      <c r="I9" s="1304"/>
      <c r="J9" s="1319"/>
      <c r="K9" s="1321"/>
      <c r="L9" s="1304"/>
      <c r="M9" s="1131"/>
      <c r="N9" s="1304"/>
      <c r="O9" s="1131"/>
      <c r="P9" s="1304"/>
      <c r="Q9" s="1304"/>
      <c r="R9" s="1304"/>
      <c r="S9" s="1304"/>
      <c r="T9" s="1304"/>
      <c r="U9" s="1304"/>
      <c r="V9" s="1304"/>
      <c r="W9" s="1304"/>
      <c r="X9" s="1304"/>
      <c r="Y9" s="1304"/>
      <c r="Z9" s="1304"/>
      <c r="AA9" s="1304"/>
      <c r="AB9" s="1304"/>
      <c r="AC9" s="1304"/>
      <c r="AD9" s="1304"/>
      <c r="AE9" s="1304"/>
    </row>
    <row r="10" ht="15.0" customHeight="1">
      <c r="A10" s="1318"/>
      <c r="B10" s="1304"/>
      <c r="C10" s="1131"/>
      <c r="D10" s="1304"/>
      <c r="E10" s="1131"/>
      <c r="F10" s="1304"/>
      <c r="G10" s="1319"/>
      <c r="H10" s="1320"/>
      <c r="I10" s="1304"/>
      <c r="J10" s="1319"/>
      <c r="K10" s="1321"/>
      <c r="L10" s="1304"/>
      <c r="M10" s="1131"/>
      <c r="N10" s="1304"/>
      <c r="O10" s="1131"/>
      <c r="P10" s="1304"/>
      <c r="Q10" s="1304"/>
      <c r="R10" s="1304"/>
      <c r="S10" s="1304"/>
      <c r="T10" s="1304"/>
      <c r="U10" s="1304"/>
      <c r="V10" s="1304"/>
      <c r="W10" s="1304"/>
      <c r="X10" s="1304"/>
      <c r="Y10" s="1304"/>
      <c r="Z10" s="1304"/>
      <c r="AA10" s="1304"/>
      <c r="AB10" s="1304"/>
      <c r="AC10" s="1304"/>
      <c r="AD10" s="1304"/>
      <c r="AE10" s="1304"/>
    </row>
    <row r="11" ht="15.0" customHeight="1">
      <c r="A11" s="1318"/>
      <c r="B11" s="1304"/>
      <c r="C11" s="1131"/>
      <c r="D11" s="1304"/>
      <c r="E11" s="1131"/>
      <c r="F11" s="1304"/>
      <c r="G11" s="1319"/>
      <c r="H11" s="1320"/>
      <c r="I11" s="1304"/>
      <c r="J11" s="1319"/>
      <c r="K11" s="1321"/>
      <c r="L11" s="1304"/>
      <c r="M11" s="1131"/>
      <c r="N11" s="1304"/>
      <c r="O11" s="1131"/>
      <c r="P11" s="1304"/>
      <c r="Q11" s="1304"/>
      <c r="R11" s="1304"/>
      <c r="S11" s="1304"/>
      <c r="T11" s="1304"/>
      <c r="U11" s="1304"/>
      <c r="V11" s="1304"/>
      <c r="W11" s="1304"/>
      <c r="X11" s="1304"/>
      <c r="Y11" s="1304"/>
      <c r="Z11" s="1304"/>
      <c r="AA11" s="1304"/>
      <c r="AB11" s="1304"/>
      <c r="AC11" s="1304"/>
      <c r="AD11" s="1304"/>
      <c r="AE11" s="1304"/>
    </row>
    <row r="12" ht="15.0" customHeight="1">
      <c r="A12" s="1318"/>
      <c r="B12" s="1304"/>
      <c r="C12" s="1131"/>
      <c r="D12" s="1304"/>
      <c r="E12" s="1131"/>
      <c r="F12" s="1304"/>
      <c r="G12" s="1319"/>
      <c r="H12" s="1320"/>
      <c r="I12" s="1304"/>
      <c r="J12" s="1319"/>
      <c r="K12" s="1321"/>
      <c r="L12" s="1304"/>
      <c r="M12" s="1131"/>
      <c r="N12" s="1304"/>
      <c r="O12" s="1131"/>
      <c r="P12" s="1304"/>
      <c r="Q12" s="1304"/>
      <c r="R12" s="1304"/>
      <c r="S12" s="1304"/>
      <c r="T12" s="1304"/>
      <c r="U12" s="1304"/>
      <c r="V12" s="1304"/>
      <c r="W12" s="1304"/>
      <c r="X12" s="1304"/>
      <c r="Y12" s="1304"/>
      <c r="Z12" s="1304"/>
      <c r="AA12" s="1304"/>
      <c r="AB12" s="1304"/>
      <c r="AC12" s="1304"/>
      <c r="AD12" s="1304"/>
      <c r="AE12" s="1304"/>
    </row>
    <row r="13" ht="15.0" customHeight="1">
      <c r="A13" s="1306"/>
      <c r="B13" s="1307"/>
      <c r="C13" s="1308"/>
      <c r="D13" s="1307"/>
      <c r="E13" s="1308"/>
      <c r="F13" s="1307"/>
      <c r="G13" s="1322"/>
      <c r="H13" s="1323"/>
      <c r="I13" s="1307"/>
      <c r="J13" s="1322"/>
      <c r="K13" s="1324"/>
      <c r="L13" s="1304"/>
      <c r="M13" s="1308"/>
      <c r="N13" s="1304"/>
      <c r="O13" s="1308"/>
      <c r="P13" s="1304"/>
      <c r="Q13" s="1304"/>
      <c r="R13" s="1304"/>
      <c r="S13" s="1304"/>
      <c r="T13" s="1304"/>
      <c r="U13" s="1304"/>
      <c r="V13" s="1304"/>
      <c r="W13" s="1304"/>
      <c r="X13" s="1304"/>
      <c r="Y13" s="1304"/>
      <c r="Z13" s="1304"/>
      <c r="AA13" s="1304"/>
      <c r="AB13" s="1304"/>
      <c r="AC13" s="1304"/>
      <c r="AD13" s="1304"/>
      <c r="AE13" s="1304"/>
    </row>
    <row r="14" ht="15.0" customHeight="1">
      <c r="A14" s="1311"/>
      <c r="B14" s="1304"/>
      <c r="C14" s="1311"/>
      <c r="D14" s="1304"/>
      <c r="E14" s="1311"/>
      <c r="F14" s="1304"/>
      <c r="G14" s="1312"/>
      <c r="H14" s="1313"/>
      <c r="I14" s="1304"/>
      <c r="J14" s="1312"/>
      <c r="K14" s="1313"/>
      <c r="L14" s="1304"/>
      <c r="M14" s="1304"/>
      <c r="N14" s="1304"/>
      <c r="O14" s="1304"/>
      <c r="P14" s="1304"/>
      <c r="Q14" s="1304"/>
      <c r="R14" s="1304"/>
      <c r="S14" s="1304"/>
      <c r="T14" s="1304"/>
      <c r="U14" s="1304"/>
      <c r="V14" s="1304"/>
      <c r="W14" s="1304"/>
      <c r="X14" s="1304"/>
      <c r="Y14" s="1304"/>
      <c r="Z14" s="1304"/>
      <c r="AA14" s="1304"/>
      <c r="AB14" s="1304"/>
      <c r="AC14" s="1304"/>
      <c r="AD14" s="1304"/>
      <c r="AE14" s="1304"/>
    </row>
    <row r="15" ht="15.0" customHeight="1">
      <c r="A15" s="1299" t="s">
        <v>2099</v>
      </c>
      <c r="B15" s="1300"/>
      <c r="C15" s="1301">
        <v>5.0</v>
      </c>
      <c r="D15" s="1300"/>
      <c r="E15" s="1301">
        <v>8.9</v>
      </c>
      <c r="F15" s="1300"/>
      <c r="G15" s="1315">
        <v>1.5</v>
      </c>
      <c r="H15" s="1316">
        <v>1.5</v>
      </c>
      <c r="I15" s="1300"/>
      <c r="J15" s="1315">
        <v>2.5</v>
      </c>
      <c r="K15" s="1317">
        <v>2.5</v>
      </c>
      <c r="L15" s="1304"/>
      <c r="M15" s="1301">
        <v>10.0</v>
      </c>
      <c r="N15" s="1304"/>
      <c r="O15" s="1301">
        <v>10.0</v>
      </c>
      <c r="P15" s="1304"/>
      <c r="Q15" s="1304"/>
      <c r="R15" s="1304"/>
      <c r="S15" s="1304"/>
      <c r="T15" s="1304"/>
      <c r="U15" s="1304"/>
      <c r="V15" s="1304"/>
      <c r="W15" s="1304"/>
      <c r="X15" s="1304"/>
      <c r="Y15" s="1304"/>
      <c r="Z15" s="1304"/>
      <c r="AA15" s="1304"/>
      <c r="AB15" s="1304"/>
      <c r="AC15" s="1304"/>
      <c r="AD15" s="1304"/>
      <c r="AE15" s="1304"/>
    </row>
    <row r="16" ht="15.0" customHeight="1">
      <c r="A16" s="1318"/>
      <c r="B16" s="1304"/>
      <c r="C16" s="1131">
        <v>6.0</v>
      </c>
      <c r="D16" s="1304"/>
      <c r="E16" s="1131">
        <v>10.7</v>
      </c>
      <c r="F16" s="1304"/>
      <c r="G16" s="1319">
        <v>1.5</v>
      </c>
      <c r="H16" s="1320">
        <v>1.5</v>
      </c>
      <c r="I16" s="1304"/>
      <c r="J16" s="1319">
        <v>2.5</v>
      </c>
      <c r="K16" s="1321">
        <v>2.5</v>
      </c>
      <c r="L16" s="1304"/>
      <c r="M16" s="1131">
        <v>13.0</v>
      </c>
      <c r="N16" s="1304"/>
      <c r="O16" s="1131">
        <v>10.0</v>
      </c>
      <c r="P16" s="1304"/>
      <c r="Q16" s="1304"/>
      <c r="R16" s="1304"/>
      <c r="S16" s="1304"/>
      <c r="T16" s="1304"/>
      <c r="U16" s="1304"/>
      <c r="V16" s="1304"/>
      <c r="W16" s="1304"/>
      <c r="X16" s="1304"/>
      <c r="Y16" s="1304"/>
      <c r="Z16" s="1304"/>
      <c r="AA16" s="1304"/>
      <c r="AB16" s="1304"/>
      <c r="AC16" s="1304"/>
      <c r="AD16" s="1304"/>
      <c r="AE16" s="1304"/>
    </row>
    <row r="17" ht="15.0" customHeight="1">
      <c r="A17" s="1318"/>
      <c r="B17" s="1304"/>
      <c r="C17" s="1131">
        <v>8.0</v>
      </c>
      <c r="D17" s="1304"/>
      <c r="E17" s="1131">
        <v>14.3</v>
      </c>
      <c r="F17" s="1304"/>
      <c r="G17" s="1319">
        <v>1.5</v>
      </c>
      <c r="H17" s="1320">
        <v>2.5</v>
      </c>
      <c r="I17" s="1304"/>
      <c r="J17" s="1319">
        <v>2.5</v>
      </c>
      <c r="K17" s="1321">
        <v>4.0</v>
      </c>
      <c r="L17" s="1304"/>
      <c r="M17" s="1131">
        <v>16.0</v>
      </c>
      <c r="N17" s="1304"/>
      <c r="O17" s="1131">
        <v>16.0</v>
      </c>
      <c r="P17" s="1304"/>
      <c r="Q17" s="1304"/>
      <c r="R17" s="1304"/>
      <c r="S17" s="1304"/>
      <c r="T17" s="1304"/>
      <c r="U17" s="1304"/>
      <c r="V17" s="1304"/>
      <c r="W17" s="1304"/>
      <c r="X17" s="1304"/>
      <c r="Y17" s="1304"/>
      <c r="Z17" s="1304"/>
      <c r="AA17" s="1304"/>
      <c r="AB17" s="1304"/>
      <c r="AC17" s="1304"/>
      <c r="AD17" s="1304"/>
      <c r="AE17" s="1304"/>
    </row>
    <row r="18" ht="15.0" customHeight="1">
      <c r="A18" s="1318"/>
      <c r="B18" s="1304"/>
      <c r="C18" s="1131">
        <v>10.0</v>
      </c>
      <c r="D18" s="1304"/>
      <c r="E18" s="1131">
        <v>17.9</v>
      </c>
      <c r="F18" s="1304"/>
      <c r="G18" s="1319">
        <v>1.5</v>
      </c>
      <c r="H18" s="1320">
        <v>4.0</v>
      </c>
      <c r="I18" s="1304"/>
      <c r="J18" s="1319">
        <v>2.5</v>
      </c>
      <c r="K18" s="1321">
        <v>4.0</v>
      </c>
      <c r="L18" s="1304"/>
      <c r="M18" s="1131">
        <v>20.0</v>
      </c>
      <c r="N18" s="1304"/>
      <c r="O18" s="1131">
        <v>20.0</v>
      </c>
      <c r="P18" s="1304"/>
      <c r="Q18" s="1304"/>
      <c r="R18" s="1304"/>
      <c r="S18" s="1304"/>
      <c r="T18" s="1304"/>
      <c r="U18" s="1304"/>
      <c r="V18" s="1304"/>
      <c r="W18" s="1304"/>
      <c r="X18" s="1304"/>
      <c r="Y18" s="1304"/>
      <c r="Z18" s="1304"/>
      <c r="AA18" s="1304"/>
      <c r="AB18" s="1304"/>
      <c r="AC18" s="1304"/>
      <c r="AD18" s="1304"/>
      <c r="AE18" s="1304"/>
    </row>
    <row r="19" ht="15.0" customHeight="1">
      <c r="A19" s="1318"/>
      <c r="B19" s="1304"/>
      <c r="C19" s="1131">
        <v>12.0</v>
      </c>
      <c r="D19" s="1304"/>
      <c r="E19" s="1131">
        <v>21.4</v>
      </c>
      <c r="F19" s="1304"/>
      <c r="G19" s="1319">
        <v>2.5</v>
      </c>
      <c r="H19" s="1320">
        <v>4.0</v>
      </c>
      <c r="I19" s="1304"/>
      <c r="J19" s="1319">
        <v>4.0</v>
      </c>
      <c r="K19" s="1321">
        <v>10.0</v>
      </c>
      <c r="L19" s="1304"/>
      <c r="M19" s="1131">
        <v>25.0</v>
      </c>
      <c r="N19" s="1304"/>
      <c r="O19" s="1131">
        <v>20.0</v>
      </c>
      <c r="P19" s="1304"/>
      <c r="Q19" s="1304"/>
      <c r="R19" s="1304"/>
      <c r="S19" s="1304"/>
      <c r="T19" s="1304"/>
      <c r="U19" s="1304"/>
      <c r="V19" s="1304"/>
      <c r="W19" s="1304"/>
      <c r="X19" s="1304"/>
      <c r="Y19" s="1304"/>
      <c r="Z19" s="1304"/>
      <c r="AA19" s="1304"/>
      <c r="AB19" s="1304"/>
      <c r="AC19" s="1304"/>
      <c r="AD19" s="1304"/>
      <c r="AE19" s="1304"/>
    </row>
    <row r="20" ht="15.0" customHeight="1">
      <c r="A20" s="1318"/>
      <c r="B20" s="1304"/>
      <c r="C20" s="1131">
        <v>15.0</v>
      </c>
      <c r="D20" s="1304"/>
      <c r="E20" s="1131">
        <v>26.8</v>
      </c>
      <c r="F20" s="1304"/>
      <c r="G20" s="1319">
        <v>4.0</v>
      </c>
      <c r="H20" s="1320">
        <v>10.0</v>
      </c>
      <c r="I20" s="1304"/>
      <c r="J20" s="1319">
        <v>4.0</v>
      </c>
      <c r="K20" s="1321">
        <v>16.0</v>
      </c>
      <c r="L20" s="1304"/>
      <c r="M20" s="1131">
        <v>32.0</v>
      </c>
      <c r="N20" s="1304"/>
      <c r="O20" s="1131">
        <v>25.0</v>
      </c>
      <c r="P20" s="1304"/>
      <c r="Q20" s="1304"/>
      <c r="R20" s="1304"/>
      <c r="S20" s="1304"/>
      <c r="T20" s="1304"/>
      <c r="U20" s="1304"/>
      <c r="V20" s="1304"/>
      <c r="W20" s="1304"/>
      <c r="X20" s="1304"/>
      <c r="Y20" s="1304"/>
      <c r="Z20" s="1304"/>
      <c r="AA20" s="1304"/>
      <c r="AB20" s="1304"/>
      <c r="AC20" s="1304"/>
      <c r="AD20" s="1304"/>
      <c r="AE20" s="1304"/>
    </row>
    <row r="21" ht="15.0" customHeight="1">
      <c r="A21" s="1318"/>
      <c r="B21" s="1304"/>
      <c r="C21" s="1131">
        <v>17.0</v>
      </c>
      <c r="D21" s="1304"/>
      <c r="E21" s="1131">
        <v>30.4</v>
      </c>
      <c r="F21" s="1304"/>
      <c r="G21" s="1319">
        <v>4.0</v>
      </c>
      <c r="H21" s="1320">
        <v>10.0</v>
      </c>
      <c r="I21" s="1304"/>
      <c r="J21" s="1319">
        <v>6.0</v>
      </c>
      <c r="K21" s="1321">
        <v>16.0</v>
      </c>
      <c r="L21" s="1304"/>
      <c r="M21" s="1131">
        <v>40.0</v>
      </c>
      <c r="N21" s="1304"/>
      <c r="O21" s="1131">
        <v>32.0</v>
      </c>
      <c r="P21" s="1304"/>
      <c r="Q21" s="1304"/>
      <c r="R21" s="1304"/>
      <c r="S21" s="1304"/>
      <c r="T21" s="1304"/>
      <c r="U21" s="1304"/>
      <c r="V21" s="1304"/>
      <c r="W21" s="1304"/>
      <c r="X21" s="1304"/>
      <c r="Y21" s="1304"/>
      <c r="Z21" s="1304"/>
      <c r="AA21" s="1304"/>
      <c r="AB21" s="1304"/>
      <c r="AC21" s="1304"/>
      <c r="AD21" s="1304"/>
      <c r="AE21" s="1304"/>
    </row>
    <row r="22" ht="15.0" customHeight="1">
      <c r="A22" s="1318"/>
      <c r="B22" s="1304"/>
      <c r="C22" s="1131">
        <v>18.0</v>
      </c>
      <c r="D22" s="1304"/>
      <c r="E22" s="1131">
        <v>32.3</v>
      </c>
      <c r="F22" s="1304"/>
      <c r="G22" s="1319">
        <v>4.0</v>
      </c>
      <c r="H22" s="1320">
        <v>10.0</v>
      </c>
      <c r="I22" s="1304"/>
      <c r="J22" s="1319">
        <v>10.0</v>
      </c>
      <c r="K22" s="1321">
        <v>16.0</v>
      </c>
      <c r="L22" s="1304"/>
      <c r="M22" s="1131">
        <v>40.0</v>
      </c>
      <c r="N22" s="1304"/>
      <c r="O22" s="1131">
        <v>32.0</v>
      </c>
      <c r="P22" s="1304"/>
      <c r="Q22" s="1304"/>
      <c r="R22" s="1304"/>
      <c r="S22" s="1304"/>
      <c r="T22" s="1304"/>
      <c r="U22" s="1304"/>
      <c r="V22" s="1304"/>
      <c r="W22" s="1304"/>
      <c r="X22" s="1304"/>
      <c r="Y22" s="1304"/>
      <c r="Z22" s="1304"/>
      <c r="AA22" s="1304"/>
      <c r="AB22" s="1304"/>
      <c r="AC22" s="1304"/>
      <c r="AD22" s="1304"/>
      <c r="AE22" s="1304"/>
    </row>
    <row r="23" ht="15.0" customHeight="1">
      <c r="A23" s="1318"/>
      <c r="B23" s="1304"/>
      <c r="C23" s="1131">
        <v>20.0</v>
      </c>
      <c r="D23" s="1304"/>
      <c r="E23" s="1131">
        <v>35.7</v>
      </c>
      <c r="F23" s="1304"/>
      <c r="G23" s="1319">
        <v>6.0</v>
      </c>
      <c r="H23" s="1320">
        <v>10.0</v>
      </c>
      <c r="I23" s="1304"/>
      <c r="J23" s="1319">
        <v>10.0</v>
      </c>
      <c r="K23" s="1321">
        <v>16.0</v>
      </c>
      <c r="L23" s="1304"/>
      <c r="M23" s="1131">
        <v>40.0</v>
      </c>
      <c r="N23" s="1304"/>
      <c r="O23" s="1131" t="s">
        <v>2100</v>
      </c>
      <c r="P23" s="1304"/>
      <c r="Q23" s="1304"/>
      <c r="R23" s="1304"/>
      <c r="S23" s="1304"/>
      <c r="T23" s="1304"/>
      <c r="U23" s="1304"/>
      <c r="V23" s="1304"/>
      <c r="W23" s="1304"/>
      <c r="X23" s="1304"/>
      <c r="Y23" s="1304"/>
      <c r="Z23" s="1304"/>
      <c r="AA23" s="1304"/>
      <c r="AB23" s="1304"/>
      <c r="AC23" s="1304"/>
      <c r="AD23" s="1304"/>
      <c r="AE23" s="1304"/>
    </row>
    <row r="24" ht="15.0" customHeight="1">
      <c r="A24" s="1318"/>
      <c r="B24" s="1304"/>
      <c r="C24" s="1131">
        <v>25.0</v>
      </c>
      <c r="D24" s="1304"/>
      <c r="E24" s="1131">
        <v>44.7</v>
      </c>
      <c r="F24" s="1304"/>
      <c r="G24" s="1319">
        <v>10.0</v>
      </c>
      <c r="H24" s="1320">
        <v>16.0</v>
      </c>
      <c r="I24" s="1304"/>
      <c r="J24" s="1319">
        <v>16.0</v>
      </c>
      <c r="K24" s="1321">
        <v>25.0</v>
      </c>
      <c r="L24" s="1304"/>
      <c r="M24" s="1131">
        <v>50.0</v>
      </c>
      <c r="N24" s="1304"/>
      <c r="O24" s="1131" t="s">
        <v>2101</v>
      </c>
      <c r="P24" s="1304"/>
      <c r="Q24" s="1304"/>
      <c r="R24" s="1304"/>
      <c r="S24" s="1304"/>
      <c r="T24" s="1304"/>
      <c r="U24" s="1304"/>
      <c r="V24" s="1304"/>
      <c r="W24" s="1304"/>
      <c r="X24" s="1304"/>
      <c r="Y24" s="1304"/>
      <c r="Z24" s="1304"/>
      <c r="AA24" s="1304"/>
      <c r="AB24" s="1304"/>
      <c r="AC24" s="1304"/>
      <c r="AD24" s="1304"/>
      <c r="AE24" s="1304"/>
    </row>
    <row r="25" ht="15.0" customHeight="1">
      <c r="A25" s="1318"/>
      <c r="B25" s="1304"/>
      <c r="C25" s="1131">
        <v>30.0</v>
      </c>
      <c r="D25" s="1304"/>
      <c r="E25" s="1131">
        <v>53.6</v>
      </c>
      <c r="F25" s="1304"/>
      <c r="G25" s="1319">
        <v>10.0</v>
      </c>
      <c r="H25" s="1320">
        <v>25.0</v>
      </c>
      <c r="I25" s="1304"/>
      <c r="J25" s="1319">
        <v>16.0</v>
      </c>
      <c r="K25" s="1321">
        <v>35.0</v>
      </c>
      <c r="L25" s="1304"/>
      <c r="M25" s="1131">
        <v>63.0</v>
      </c>
      <c r="N25" s="1304"/>
      <c r="O25" s="1131">
        <v>50.0</v>
      </c>
      <c r="P25" s="1304"/>
      <c r="Q25" s="1304"/>
      <c r="R25" s="1304"/>
      <c r="S25" s="1304"/>
      <c r="T25" s="1304"/>
      <c r="U25" s="1304"/>
      <c r="V25" s="1304"/>
      <c r="W25" s="1304"/>
      <c r="X25" s="1304"/>
      <c r="Y25" s="1304"/>
      <c r="Z25" s="1304"/>
      <c r="AA25" s="1304"/>
      <c r="AB25" s="1304"/>
      <c r="AC25" s="1304"/>
      <c r="AD25" s="1304"/>
      <c r="AE25" s="1304"/>
    </row>
    <row r="26" ht="15.0" customHeight="1">
      <c r="A26" s="1318"/>
      <c r="B26" s="1304"/>
      <c r="C26" s="1131">
        <v>35.0</v>
      </c>
      <c r="D26" s="1304"/>
      <c r="E26" s="1325">
        <f t="shared" ref="E26:E53" si="1">C26*1000/(3*186)</f>
        <v>62.72401434</v>
      </c>
      <c r="F26" s="1304"/>
      <c r="G26" s="1319">
        <v>16.0</v>
      </c>
      <c r="H26" s="1320">
        <v>35.0</v>
      </c>
      <c r="I26" s="1304"/>
      <c r="J26" s="1319">
        <v>25.0</v>
      </c>
      <c r="K26" s="1321">
        <v>50.0</v>
      </c>
      <c r="L26" s="1304"/>
      <c r="M26" s="1131"/>
      <c r="N26" s="1304"/>
      <c r="O26" s="1131"/>
      <c r="P26" s="1304"/>
      <c r="Q26" s="1304"/>
      <c r="R26" s="1304"/>
      <c r="S26" s="1304"/>
      <c r="T26" s="1304"/>
      <c r="U26" s="1304"/>
      <c r="V26" s="1304"/>
      <c r="W26" s="1304"/>
      <c r="X26" s="1304"/>
      <c r="Y26" s="1304"/>
      <c r="Z26" s="1304"/>
      <c r="AA26" s="1304"/>
      <c r="AB26" s="1304"/>
      <c r="AC26" s="1304"/>
      <c r="AD26" s="1304"/>
      <c r="AE26" s="1304"/>
    </row>
    <row r="27" ht="15.0" customHeight="1">
      <c r="A27" s="1318"/>
      <c r="B27" s="1304"/>
      <c r="C27" s="1131">
        <v>40.0</v>
      </c>
      <c r="D27" s="1304"/>
      <c r="E27" s="1325">
        <f t="shared" si="1"/>
        <v>71.68458781</v>
      </c>
      <c r="F27" s="1304"/>
      <c r="G27" s="1319">
        <v>16.0</v>
      </c>
      <c r="H27" s="1320">
        <v>35.0</v>
      </c>
      <c r="I27" s="1304"/>
      <c r="J27" s="1319">
        <v>25.0</v>
      </c>
      <c r="K27" s="1321">
        <v>50.0</v>
      </c>
      <c r="L27" s="1304"/>
      <c r="M27" s="1131"/>
      <c r="N27" s="1304"/>
      <c r="O27" s="1131"/>
      <c r="P27" s="1304"/>
      <c r="Q27" s="1304"/>
      <c r="R27" s="1304"/>
      <c r="S27" s="1304"/>
      <c r="T27" s="1304"/>
      <c r="U27" s="1304"/>
      <c r="V27" s="1304"/>
      <c r="W27" s="1304"/>
      <c r="X27" s="1304"/>
      <c r="Y27" s="1304"/>
      <c r="Z27" s="1304"/>
      <c r="AA27" s="1304"/>
      <c r="AB27" s="1304"/>
      <c r="AC27" s="1304"/>
      <c r="AD27" s="1304"/>
      <c r="AE27" s="1304"/>
    </row>
    <row r="28" ht="15.0" customHeight="1">
      <c r="A28" s="1318"/>
      <c r="B28" s="1304"/>
      <c r="C28" s="1131">
        <v>45.0</v>
      </c>
      <c r="D28" s="1304"/>
      <c r="E28" s="1325">
        <f t="shared" si="1"/>
        <v>80.64516129</v>
      </c>
      <c r="F28" s="1304"/>
      <c r="G28" s="1319">
        <v>25.0</v>
      </c>
      <c r="H28" s="1320">
        <v>50.0</v>
      </c>
      <c r="I28" s="1304"/>
      <c r="J28" s="1319">
        <v>35.0</v>
      </c>
      <c r="K28" s="1321">
        <v>70.0</v>
      </c>
      <c r="L28" s="1304"/>
      <c r="M28" s="1131"/>
      <c r="N28" s="1304"/>
      <c r="O28" s="1131"/>
      <c r="P28" s="1304"/>
      <c r="Q28" s="1304"/>
      <c r="R28" s="1304"/>
      <c r="S28" s="1304"/>
      <c r="T28" s="1304"/>
      <c r="U28" s="1304"/>
      <c r="V28" s="1304"/>
      <c r="W28" s="1304"/>
      <c r="X28" s="1304"/>
      <c r="Y28" s="1304"/>
      <c r="Z28" s="1304"/>
      <c r="AA28" s="1304"/>
      <c r="AB28" s="1304"/>
      <c r="AC28" s="1304"/>
      <c r="AD28" s="1304"/>
      <c r="AE28" s="1304"/>
    </row>
    <row r="29" ht="15.0" customHeight="1">
      <c r="A29" s="1318"/>
      <c r="B29" s="1304"/>
      <c r="C29" s="1131">
        <v>50.0</v>
      </c>
      <c r="D29" s="1304"/>
      <c r="E29" s="1325">
        <f t="shared" si="1"/>
        <v>89.60573477</v>
      </c>
      <c r="F29" s="1304"/>
      <c r="G29" s="1319">
        <v>25.0</v>
      </c>
      <c r="H29" s="1320">
        <v>50.0</v>
      </c>
      <c r="I29" s="1304"/>
      <c r="J29" s="1319">
        <v>35.0</v>
      </c>
      <c r="K29" s="1321">
        <v>70.0</v>
      </c>
      <c r="L29" s="1304"/>
      <c r="M29" s="1131"/>
      <c r="N29" s="1304"/>
      <c r="O29" s="1131"/>
      <c r="P29" s="1304"/>
      <c r="Q29" s="1304"/>
      <c r="R29" s="1304"/>
      <c r="S29" s="1304"/>
      <c r="T29" s="1304"/>
      <c r="U29" s="1304"/>
      <c r="V29" s="1304"/>
      <c r="W29" s="1304"/>
      <c r="X29" s="1304"/>
      <c r="Y29" s="1304"/>
      <c r="Z29" s="1304"/>
      <c r="AA29" s="1304"/>
      <c r="AB29" s="1304"/>
      <c r="AC29" s="1304"/>
      <c r="AD29" s="1304"/>
      <c r="AE29" s="1304"/>
    </row>
    <row r="30" ht="15.0" customHeight="1">
      <c r="A30" s="1318"/>
      <c r="B30" s="1304"/>
      <c r="C30" s="1131">
        <v>55.0</v>
      </c>
      <c r="D30" s="1304"/>
      <c r="E30" s="1325">
        <f t="shared" si="1"/>
        <v>98.56630824</v>
      </c>
      <c r="F30" s="1304"/>
      <c r="G30" s="1319">
        <v>35.0</v>
      </c>
      <c r="H30" s="1320">
        <v>70.0</v>
      </c>
      <c r="I30" s="1304"/>
      <c r="J30" s="1319">
        <v>50.0</v>
      </c>
      <c r="K30" s="1321">
        <v>95.0</v>
      </c>
      <c r="L30" s="1304"/>
      <c r="M30" s="1131"/>
      <c r="N30" s="1304"/>
      <c r="O30" s="1131"/>
      <c r="P30" s="1304"/>
      <c r="Q30" s="1304"/>
      <c r="R30" s="1304"/>
      <c r="S30" s="1304"/>
      <c r="T30" s="1304"/>
      <c r="U30" s="1304"/>
      <c r="V30" s="1304"/>
      <c r="W30" s="1304"/>
      <c r="X30" s="1304"/>
      <c r="Y30" s="1304"/>
      <c r="Z30" s="1304"/>
      <c r="AA30" s="1304"/>
      <c r="AB30" s="1304"/>
      <c r="AC30" s="1304"/>
      <c r="AD30" s="1304"/>
      <c r="AE30" s="1304"/>
    </row>
    <row r="31" ht="15.0" customHeight="1">
      <c r="A31" s="1318"/>
      <c r="B31" s="1304"/>
      <c r="C31" s="1131">
        <v>60.0</v>
      </c>
      <c r="D31" s="1304"/>
      <c r="E31" s="1325">
        <f t="shared" si="1"/>
        <v>107.5268817</v>
      </c>
      <c r="F31" s="1304"/>
      <c r="G31" s="1319">
        <v>35.0</v>
      </c>
      <c r="H31" s="1320">
        <v>70.0</v>
      </c>
      <c r="I31" s="1304"/>
      <c r="J31" s="1319">
        <v>50.0</v>
      </c>
      <c r="K31" s="1321">
        <v>95.0</v>
      </c>
      <c r="L31" s="1304"/>
      <c r="M31" s="1131"/>
      <c r="N31" s="1304"/>
      <c r="O31" s="1131"/>
      <c r="P31" s="1304"/>
      <c r="Q31" s="1304"/>
      <c r="R31" s="1304"/>
      <c r="S31" s="1304"/>
      <c r="T31" s="1304"/>
      <c r="U31" s="1304"/>
      <c r="V31" s="1304"/>
      <c r="W31" s="1304"/>
      <c r="X31" s="1304"/>
      <c r="Y31" s="1304"/>
      <c r="Z31" s="1304"/>
      <c r="AA31" s="1304"/>
      <c r="AB31" s="1304"/>
      <c r="AC31" s="1304"/>
      <c r="AD31" s="1304"/>
      <c r="AE31" s="1304"/>
    </row>
    <row r="32" ht="15.0" customHeight="1">
      <c r="A32" s="1318"/>
      <c r="B32" s="1304"/>
      <c r="C32" s="1131">
        <v>65.0</v>
      </c>
      <c r="D32" s="1304"/>
      <c r="E32" s="1325">
        <f t="shared" si="1"/>
        <v>116.4874552</v>
      </c>
      <c r="F32" s="1304"/>
      <c r="G32" s="1319">
        <v>35.0</v>
      </c>
      <c r="H32" s="1320">
        <v>95.0</v>
      </c>
      <c r="I32" s="1304"/>
      <c r="J32" s="1319">
        <v>70.0</v>
      </c>
      <c r="K32" s="1321">
        <v>150.0</v>
      </c>
      <c r="L32" s="1304"/>
      <c r="M32" s="1131"/>
      <c r="N32" s="1304"/>
      <c r="O32" s="1131"/>
      <c r="P32" s="1304"/>
      <c r="Q32" s="1304"/>
      <c r="R32" s="1304"/>
      <c r="S32" s="1304"/>
      <c r="T32" s="1304"/>
      <c r="U32" s="1304"/>
      <c r="V32" s="1304"/>
      <c r="W32" s="1304"/>
      <c r="X32" s="1304"/>
      <c r="Y32" s="1304"/>
      <c r="Z32" s="1304"/>
      <c r="AA32" s="1304"/>
      <c r="AB32" s="1304"/>
      <c r="AC32" s="1304"/>
      <c r="AD32" s="1304"/>
      <c r="AE32" s="1304"/>
    </row>
    <row r="33" ht="15.0" customHeight="1">
      <c r="A33" s="1318"/>
      <c r="B33" s="1304"/>
      <c r="C33" s="1131">
        <v>70.0</v>
      </c>
      <c r="D33" s="1304"/>
      <c r="E33" s="1325">
        <f t="shared" si="1"/>
        <v>125.4480287</v>
      </c>
      <c r="F33" s="1304"/>
      <c r="G33" s="1319">
        <v>50.0</v>
      </c>
      <c r="H33" s="1320">
        <v>95.0</v>
      </c>
      <c r="I33" s="1304"/>
      <c r="J33" s="1319">
        <v>70.0</v>
      </c>
      <c r="K33" s="1321">
        <v>150.0</v>
      </c>
      <c r="L33" s="1304"/>
      <c r="M33" s="1131"/>
      <c r="N33" s="1304"/>
      <c r="O33" s="1131"/>
      <c r="P33" s="1304"/>
      <c r="Q33" s="1304"/>
      <c r="R33" s="1304"/>
      <c r="S33" s="1304"/>
      <c r="T33" s="1304"/>
      <c r="U33" s="1304"/>
      <c r="V33" s="1304"/>
      <c r="W33" s="1304"/>
      <c r="X33" s="1304"/>
      <c r="Y33" s="1304"/>
      <c r="Z33" s="1304"/>
      <c r="AA33" s="1304"/>
      <c r="AB33" s="1304"/>
      <c r="AC33" s="1304"/>
      <c r="AD33" s="1304"/>
      <c r="AE33" s="1304"/>
    </row>
    <row r="34" ht="15.0" customHeight="1">
      <c r="A34" s="1318"/>
      <c r="B34" s="1304"/>
      <c r="C34" s="1131">
        <v>75.0</v>
      </c>
      <c r="D34" s="1304"/>
      <c r="E34" s="1325">
        <f t="shared" si="1"/>
        <v>134.4086022</v>
      </c>
      <c r="F34" s="1304"/>
      <c r="G34" s="1319">
        <v>50.0</v>
      </c>
      <c r="H34" s="1320">
        <v>95.0</v>
      </c>
      <c r="I34" s="1304"/>
      <c r="J34" s="1319">
        <v>70.0</v>
      </c>
      <c r="K34" s="1321">
        <v>150.0</v>
      </c>
      <c r="L34" s="1304"/>
      <c r="M34" s="1131"/>
      <c r="N34" s="1304"/>
      <c r="O34" s="1131"/>
      <c r="P34" s="1304"/>
      <c r="Q34" s="1304"/>
      <c r="R34" s="1304"/>
      <c r="S34" s="1304"/>
      <c r="T34" s="1304"/>
      <c r="U34" s="1304"/>
      <c r="V34" s="1304"/>
      <c r="W34" s="1304"/>
      <c r="X34" s="1304"/>
      <c r="Y34" s="1304"/>
      <c r="Z34" s="1304"/>
      <c r="AA34" s="1304"/>
      <c r="AB34" s="1304"/>
      <c r="AC34" s="1304"/>
      <c r="AD34" s="1304"/>
      <c r="AE34" s="1304"/>
    </row>
    <row r="35" ht="15.0" customHeight="1">
      <c r="A35" s="1318"/>
      <c r="B35" s="1304"/>
      <c r="C35" s="1131">
        <v>80.0</v>
      </c>
      <c r="D35" s="1304"/>
      <c r="E35" s="1325">
        <f t="shared" si="1"/>
        <v>143.3691756</v>
      </c>
      <c r="F35" s="1304"/>
      <c r="G35" s="1319">
        <v>50.0</v>
      </c>
      <c r="H35" s="1320">
        <v>95.0</v>
      </c>
      <c r="I35" s="1304"/>
      <c r="J35" s="1319">
        <v>95.0</v>
      </c>
      <c r="K35" s="1321">
        <v>150.0</v>
      </c>
      <c r="L35" s="1304"/>
      <c r="M35" s="1131"/>
      <c r="N35" s="1304"/>
      <c r="O35" s="1131"/>
      <c r="P35" s="1304"/>
      <c r="Q35" s="1304"/>
      <c r="R35" s="1304"/>
      <c r="S35" s="1304"/>
      <c r="T35" s="1304"/>
      <c r="U35" s="1304"/>
      <c r="V35" s="1304"/>
      <c r="W35" s="1304"/>
      <c r="X35" s="1304"/>
      <c r="Y35" s="1304"/>
      <c r="Z35" s="1304"/>
      <c r="AA35" s="1304"/>
      <c r="AB35" s="1304"/>
      <c r="AC35" s="1304"/>
      <c r="AD35" s="1304"/>
      <c r="AE35" s="1304"/>
    </row>
    <row r="36" ht="15.0" customHeight="1">
      <c r="A36" s="1318"/>
      <c r="B36" s="1304"/>
      <c r="C36" s="1131">
        <v>85.0</v>
      </c>
      <c r="D36" s="1304"/>
      <c r="E36" s="1325">
        <f t="shared" si="1"/>
        <v>152.3297491</v>
      </c>
      <c r="F36" s="1304"/>
      <c r="G36" s="1319">
        <v>70.0</v>
      </c>
      <c r="H36" s="1320">
        <v>150.0</v>
      </c>
      <c r="I36" s="1304"/>
      <c r="J36" s="1319">
        <v>95.0</v>
      </c>
      <c r="K36" s="1321">
        <v>185.0</v>
      </c>
      <c r="L36" s="1304"/>
      <c r="M36" s="1131"/>
      <c r="N36" s="1304"/>
      <c r="O36" s="1131"/>
      <c r="P36" s="1304"/>
      <c r="Q36" s="1304"/>
      <c r="R36" s="1304"/>
      <c r="S36" s="1304"/>
      <c r="T36" s="1304"/>
      <c r="U36" s="1304"/>
      <c r="V36" s="1304"/>
      <c r="W36" s="1304"/>
      <c r="X36" s="1304"/>
      <c r="Y36" s="1304"/>
      <c r="Z36" s="1304"/>
      <c r="AA36" s="1304"/>
      <c r="AB36" s="1304"/>
      <c r="AC36" s="1304"/>
      <c r="AD36" s="1304"/>
      <c r="AE36" s="1304"/>
    </row>
    <row r="37" ht="15.0" customHeight="1">
      <c r="A37" s="1318"/>
      <c r="B37" s="1304"/>
      <c r="C37" s="1131">
        <v>90.0</v>
      </c>
      <c r="D37" s="1304"/>
      <c r="E37" s="1325">
        <f t="shared" si="1"/>
        <v>161.2903226</v>
      </c>
      <c r="F37" s="1304"/>
      <c r="G37" s="1319">
        <v>70.0</v>
      </c>
      <c r="H37" s="1320">
        <v>150.0</v>
      </c>
      <c r="I37" s="1304"/>
      <c r="J37" s="1319">
        <v>95.0</v>
      </c>
      <c r="K37" s="1321">
        <v>185.0</v>
      </c>
      <c r="L37" s="1304"/>
      <c r="M37" s="1131"/>
      <c r="N37" s="1304"/>
      <c r="O37" s="1131"/>
      <c r="P37" s="1304"/>
      <c r="Q37" s="1304"/>
      <c r="R37" s="1304"/>
      <c r="S37" s="1304"/>
      <c r="T37" s="1304"/>
      <c r="U37" s="1304"/>
      <c r="V37" s="1304"/>
      <c r="W37" s="1304"/>
      <c r="X37" s="1304"/>
      <c r="Y37" s="1304"/>
      <c r="Z37" s="1304"/>
      <c r="AA37" s="1304"/>
      <c r="AB37" s="1304"/>
      <c r="AC37" s="1304"/>
      <c r="AD37" s="1304"/>
      <c r="AE37" s="1304"/>
    </row>
    <row r="38" ht="15.0" customHeight="1">
      <c r="A38" s="1318"/>
      <c r="B38" s="1304"/>
      <c r="C38" s="1131">
        <v>95.0</v>
      </c>
      <c r="D38" s="1304"/>
      <c r="E38" s="1325">
        <f t="shared" si="1"/>
        <v>170.2508961</v>
      </c>
      <c r="F38" s="1304"/>
      <c r="G38" s="1319">
        <v>70.0</v>
      </c>
      <c r="H38" s="1320">
        <v>150.0</v>
      </c>
      <c r="I38" s="1304"/>
      <c r="J38" s="1319">
        <v>95.0</v>
      </c>
      <c r="K38" s="1321">
        <v>185.0</v>
      </c>
      <c r="L38" s="1304"/>
      <c r="M38" s="1131"/>
      <c r="N38" s="1304"/>
      <c r="O38" s="1131"/>
      <c r="P38" s="1304"/>
      <c r="Q38" s="1304"/>
      <c r="R38" s="1304"/>
      <c r="S38" s="1304"/>
      <c r="T38" s="1304"/>
      <c r="U38" s="1304"/>
      <c r="V38" s="1304"/>
      <c r="W38" s="1304"/>
      <c r="X38" s="1304"/>
      <c r="Y38" s="1304"/>
      <c r="Z38" s="1304"/>
      <c r="AA38" s="1304"/>
      <c r="AB38" s="1304"/>
      <c r="AC38" s="1304"/>
      <c r="AD38" s="1304"/>
      <c r="AE38" s="1304"/>
    </row>
    <row r="39" ht="15.0" customHeight="1">
      <c r="A39" s="1318"/>
      <c r="B39" s="1304"/>
      <c r="C39" s="1131">
        <v>100.0</v>
      </c>
      <c r="D39" s="1304"/>
      <c r="E39" s="1325">
        <f t="shared" si="1"/>
        <v>179.2114695</v>
      </c>
      <c r="F39" s="1304"/>
      <c r="G39" s="1319">
        <v>70.0</v>
      </c>
      <c r="H39" s="1320">
        <v>150.0</v>
      </c>
      <c r="I39" s="1304"/>
      <c r="J39" s="1319">
        <v>120.0</v>
      </c>
      <c r="K39" s="1321">
        <v>185.0</v>
      </c>
      <c r="L39" s="1304"/>
      <c r="M39" s="1131"/>
      <c r="N39" s="1304"/>
      <c r="O39" s="1131"/>
      <c r="P39" s="1304"/>
      <c r="Q39" s="1304"/>
      <c r="R39" s="1304"/>
      <c r="S39" s="1304"/>
      <c r="T39" s="1304"/>
      <c r="U39" s="1304"/>
      <c r="V39" s="1304"/>
      <c r="W39" s="1304"/>
      <c r="X39" s="1304"/>
      <c r="Y39" s="1304"/>
      <c r="Z39" s="1304"/>
      <c r="AA39" s="1304"/>
      <c r="AB39" s="1304"/>
      <c r="AC39" s="1304"/>
      <c r="AD39" s="1304"/>
      <c r="AE39" s="1304"/>
    </row>
    <row r="40" ht="15.0" customHeight="1">
      <c r="A40" s="1318"/>
      <c r="B40" s="1304"/>
      <c r="C40" s="1131">
        <v>105.0</v>
      </c>
      <c r="D40" s="1304"/>
      <c r="E40" s="1325">
        <f t="shared" si="1"/>
        <v>188.172043</v>
      </c>
      <c r="F40" s="1304"/>
      <c r="G40" s="1319">
        <v>95.0</v>
      </c>
      <c r="H40" s="1320">
        <v>185.0</v>
      </c>
      <c r="I40" s="1304"/>
      <c r="J40" s="1319">
        <v>120.0</v>
      </c>
      <c r="K40" s="1321" t="s">
        <v>2102</v>
      </c>
      <c r="L40" s="1304"/>
      <c r="M40" s="1131"/>
      <c r="N40" s="1304"/>
      <c r="O40" s="1131"/>
      <c r="P40" s="1304"/>
      <c r="Q40" s="1304"/>
      <c r="R40" s="1304"/>
      <c r="S40" s="1304"/>
      <c r="T40" s="1304"/>
      <c r="U40" s="1304"/>
      <c r="V40" s="1304"/>
      <c r="W40" s="1304"/>
      <c r="X40" s="1304"/>
      <c r="Y40" s="1304"/>
      <c r="Z40" s="1304"/>
      <c r="AA40" s="1304"/>
      <c r="AB40" s="1304"/>
      <c r="AC40" s="1304"/>
      <c r="AD40" s="1304"/>
      <c r="AE40" s="1304"/>
    </row>
    <row r="41" ht="15.0" customHeight="1">
      <c r="A41" s="1318"/>
      <c r="B41" s="1304"/>
      <c r="C41" s="1131">
        <v>110.0</v>
      </c>
      <c r="D41" s="1304"/>
      <c r="E41" s="1325">
        <f t="shared" si="1"/>
        <v>197.1326165</v>
      </c>
      <c r="F41" s="1304"/>
      <c r="G41" s="1319">
        <v>95.0</v>
      </c>
      <c r="H41" s="1320">
        <v>185.0</v>
      </c>
      <c r="I41" s="1304"/>
      <c r="J41" s="1319">
        <v>120.0</v>
      </c>
      <c r="K41" s="1321" t="s">
        <v>2102</v>
      </c>
      <c r="L41" s="1304"/>
      <c r="M41" s="1131"/>
      <c r="N41" s="1304"/>
      <c r="O41" s="1131"/>
      <c r="P41" s="1304"/>
      <c r="Q41" s="1304"/>
      <c r="R41" s="1304"/>
      <c r="S41" s="1304"/>
      <c r="T41" s="1304"/>
      <c r="U41" s="1304"/>
      <c r="V41" s="1304"/>
      <c r="W41" s="1304"/>
      <c r="X41" s="1304"/>
      <c r="Y41" s="1304"/>
      <c r="Z41" s="1304"/>
      <c r="AA41" s="1304"/>
      <c r="AB41" s="1304"/>
      <c r="AC41" s="1304"/>
      <c r="AD41" s="1304"/>
      <c r="AE41" s="1304"/>
    </row>
    <row r="42" ht="15.0" customHeight="1">
      <c r="A42" s="1318"/>
      <c r="B42" s="1304"/>
      <c r="C42" s="1131">
        <v>115.0</v>
      </c>
      <c r="D42" s="1304"/>
      <c r="E42" s="1325">
        <f t="shared" si="1"/>
        <v>206.09319</v>
      </c>
      <c r="F42" s="1304"/>
      <c r="G42" s="1319">
        <v>95.0</v>
      </c>
      <c r="H42" s="1320">
        <v>185.0</v>
      </c>
      <c r="I42" s="1304"/>
      <c r="J42" s="1319">
        <v>150.0</v>
      </c>
      <c r="K42" s="1321" t="s">
        <v>2102</v>
      </c>
      <c r="L42" s="1304"/>
      <c r="M42" s="1131"/>
      <c r="N42" s="1304"/>
      <c r="O42" s="1131"/>
      <c r="P42" s="1304"/>
      <c r="Q42" s="1304"/>
      <c r="R42" s="1304"/>
      <c r="S42" s="1304"/>
      <c r="T42" s="1304"/>
      <c r="U42" s="1304"/>
      <c r="V42" s="1304"/>
      <c r="W42" s="1304"/>
      <c r="X42" s="1304"/>
      <c r="Y42" s="1304"/>
      <c r="Z42" s="1304"/>
      <c r="AA42" s="1304"/>
      <c r="AB42" s="1304"/>
      <c r="AC42" s="1304"/>
      <c r="AD42" s="1304"/>
      <c r="AE42" s="1304"/>
    </row>
    <row r="43" ht="15.0" customHeight="1">
      <c r="A43" s="1318"/>
      <c r="B43" s="1304"/>
      <c r="C43" s="1131">
        <v>120.0</v>
      </c>
      <c r="D43" s="1304"/>
      <c r="E43" s="1325">
        <f t="shared" si="1"/>
        <v>215.0537634</v>
      </c>
      <c r="F43" s="1304"/>
      <c r="G43" s="1319">
        <v>95.0</v>
      </c>
      <c r="H43" s="1320">
        <v>185.0</v>
      </c>
      <c r="I43" s="1304"/>
      <c r="J43" s="1319">
        <v>150.0</v>
      </c>
      <c r="K43" s="1321" t="s">
        <v>2102</v>
      </c>
      <c r="L43" s="1304"/>
      <c r="M43" s="1131"/>
      <c r="N43" s="1304"/>
      <c r="O43" s="1131"/>
      <c r="P43" s="1304"/>
      <c r="Q43" s="1304"/>
      <c r="R43" s="1304"/>
      <c r="S43" s="1304"/>
      <c r="T43" s="1304"/>
      <c r="U43" s="1304"/>
      <c r="V43" s="1304"/>
      <c r="W43" s="1304"/>
      <c r="X43" s="1304"/>
      <c r="Y43" s="1304"/>
      <c r="Z43" s="1304"/>
      <c r="AA43" s="1304"/>
      <c r="AB43" s="1304"/>
      <c r="AC43" s="1304"/>
      <c r="AD43" s="1304"/>
      <c r="AE43" s="1304"/>
    </row>
    <row r="44" ht="15.0" customHeight="1">
      <c r="A44" s="1318"/>
      <c r="B44" s="1304"/>
      <c r="C44" s="1131">
        <v>125.0</v>
      </c>
      <c r="D44" s="1304"/>
      <c r="E44" s="1325">
        <f t="shared" si="1"/>
        <v>224.0143369</v>
      </c>
      <c r="F44" s="1304"/>
      <c r="G44" s="1319">
        <v>120.0</v>
      </c>
      <c r="H44" s="1320">
        <v>185.0</v>
      </c>
      <c r="I44" s="1304"/>
      <c r="J44" s="1319">
        <v>150.0</v>
      </c>
      <c r="K44" s="1321" t="s">
        <v>2102</v>
      </c>
      <c r="L44" s="1304"/>
      <c r="M44" s="1131"/>
      <c r="N44" s="1304"/>
      <c r="O44" s="1131"/>
      <c r="P44" s="1304"/>
      <c r="Q44" s="1304"/>
      <c r="R44" s="1304"/>
      <c r="S44" s="1304"/>
      <c r="T44" s="1304"/>
      <c r="U44" s="1304"/>
      <c r="V44" s="1304"/>
      <c r="W44" s="1304"/>
      <c r="X44" s="1304"/>
      <c r="Y44" s="1304"/>
      <c r="Z44" s="1304"/>
      <c r="AA44" s="1304"/>
      <c r="AB44" s="1304"/>
      <c r="AC44" s="1304"/>
      <c r="AD44" s="1304"/>
      <c r="AE44" s="1304"/>
    </row>
    <row r="45" ht="15.0" customHeight="1">
      <c r="A45" s="1318"/>
      <c r="B45" s="1304"/>
      <c r="C45" s="1131">
        <v>130.0</v>
      </c>
      <c r="D45" s="1304"/>
      <c r="E45" s="1325">
        <f t="shared" si="1"/>
        <v>232.9749104</v>
      </c>
      <c r="F45" s="1304"/>
      <c r="G45" s="1319">
        <v>120.0</v>
      </c>
      <c r="H45" s="1320" t="s">
        <v>2102</v>
      </c>
      <c r="I45" s="1304"/>
      <c r="J45" s="1319">
        <v>150.0</v>
      </c>
      <c r="K45" s="1321" t="s">
        <v>2103</v>
      </c>
      <c r="L45" s="1304"/>
      <c r="M45" s="1131"/>
      <c r="N45" s="1304"/>
      <c r="O45" s="1131"/>
      <c r="P45" s="1304"/>
      <c r="Q45" s="1304"/>
      <c r="R45" s="1304"/>
      <c r="S45" s="1304"/>
      <c r="T45" s="1304"/>
      <c r="U45" s="1304"/>
      <c r="V45" s="1304"/>
      <c r="W45" s="1304"/>
      <c r="X45" s="1304"/>
      <c r="Y45" s="1304"/>
      <c r="Z45" s="1304"/>
      <c r="AA45" s="1304"/>
      <c r="AB45" s="1304"/>
      <c r="AC45" s="1304"/>
      <c r="AD45" s="1304"/>
      <c r="AE45" s="1304"/>
    </row>
    <row r="46" ht="15.0" customHeight="1">
      <c r="A46" s="1318"/>
      <c r="B46" s="1304"/>
      <c r="C46" s="1131">
        <v>140.0</v>
      </c>
      <c r="D46" s="1304"/>
      <c r="E46" s="1325">
        <f t="shared" si="1"/>
        <v>250.8960573</v>
      </c>
      <c r="F46" s="1304"/>
      <c r="G46" s="1319">
        <v>120.0</v>
      </c>
      <c r="H46" s="1320" t="s">
        <v>2102</v>
      </c>
      <c r="I46" s="1304"/>
      <c r="J46" s="1319">
        <v>185.0</v>
      </c>
      <c r="K46" s="1321" t="s">
        <v>2103</v>
      </c>
      <c r="L46" s="1304"/>
      <c r="M46" s="1131"/>
      <c r="N46" s="1304"/>
      <c r="O46" s="1131"/>
      <c r="P46" s="1304"/>
      <c r="Q46" s="1304"/>
      <c r="R46" s="1304"/>
      <c r="S46" s="1304"/>
      <c r="T46" s="1304"/>
      <c r="U46" s="1304"/>
      <c r="V46" s="1304"/>
      <c r="W46" s="1304"/>
      <c r="X46" s="1304"/>
      <c r="Y46" s="1304"/>
      <c r="Z46" s="1304"/>
      <c r="AA46" s="1304"/>
      <c r="AB46" s="1304"/>
      <c r="AC46" s="1304"/>
      <c r="AD46" s="1304"/>
      <c r="AE46" s="1304"/>
    </row>
    <row r="47" ht="15.0" customHeight="1">
      <c r="A47" s="1318"/>
      <c r="B47" s="1304"/>
      <c r="C47" s="1131">
        <v>150.0</v>
      </c>
      <c r="D47" s="1304"/>
      <c r="E47" s="1325">
        <f t="shared" si="1"/>
        <v>268.8172043</v>
      </c>
      <c r="F47" s="1304"/>
      <c r="G47" s="1319">
        <v>150.0</v>
      </c>
      <c r="H47" s="1320" t="s">
        <v>2102</v>
      </c>
      <c r="I47" s="1304"/>
      <c r="J47" s="1319">
        <v>185.0</v>
      </c>
      <c r="K47" s="1321" t="s">
        <v>2103</v>
      </c>
      <c r="L47" s="1304"/>
      <c r="M47" s="1131"/>
      <c r="N47" s="1304"/>
      <c r="O47" s="1131"/>
      <c r="P47" s="1304"/>
      <c r="Q47" s="1304"/>
      <c r="R47" s="1304"/>
      <c r="S47" s="1304"/>
      <c r="T47" s="1304"/>
      <c r="U47" s="1304"/>
      <c r="V47" s="1304"/>
      <c r="W47" s="1304"/>
      <c r="X47" s="1304"/>
      <c r="Y47" s="1304"/>
      <c r="Z47" s="1304"/>
      <c r="AA47" s="1304"/>
      <c r="AB47" s="1304"/>
      <c r="AC47" s="1304"/>
      <c r="AD47" s="1304"/>
      <c r="AE47" s="1304"/>
    </row>
    <row r="48" ht="15.0" customHeight="1">
      <c r="A48" s="1318"/>
      <c r="B48" s="1304"/>
      <c r="C48" s="1131">
        <v>160.0</v>
      </c>
      <c r="D48" s="1304"/>
      <c r="E48" s="1325">
        <f t="shared" si="1"/>
        <v>286.7383513</v>
      </c>
      <c r="F48" s="1304"/>
      <c r="G48" s="1319">
        <v>150.0</v>
      </c>
      <c r="H48" s="1320" t="s">
        <v>2102</v>
      </c>
      <c r="I48" s="1304"/>
      <c r="J48" s="1319" t="s">
        <v>2102</v>
      </c>
      <c r="K48" s="1321" t="s">
        <v>2103</v>
      </c>
      <c r="L48" s="1304"/>
      <c r="M48" s="1131"/>
      <c r="N48" s="1304"/>
      <c r="O48" s="1131"/>
      <c r="P48" s="1304"/>
      <c r="Q48" s="1304"/>
      <c r="R48" s="1304"/>
      <c r="S48" s="1304"/>
      <c r="T48" s="1304"/>
      <c r="U48" s="1304"/>
      <c r="V48" s="1304"/>
      <c r="W48" s="1304"/>
      <c r="X48" s="1304"/>
      <c r="Y48" s="1304"/>
      <c r="Z48" s="1304"/>
      <c r="AA48" s="1304"/>
      <c r="AB48" s="1304"/>
      <c r="AC48" s="1304"/>
      <c r="AD48" s="1304"/>
      <c r="AE48" s="1304"/>
    </row>
    <row r="49" ht="15.0" customHeight="1">
      <c r="A49" s="1318"/>
      <c r="B49" s="1304"/>
      <c r="C49" s="1131">
        <v>170.0</v>
      </c>
      <c r="D49" s="1304"/>
      <c r="E49" s="1325">
        <f t="shared" si="1"/>
        <v>304.6594982</v>
      </c>
      <c r="F49" s="1304"/>
      <c r="G49" s="1319">
        <v>150.0</v>
      </c>
      <c r="H49" s="1320" t="s">
        <v>2104</v>
      </c>
      <c r="I49" s="1304"/>
      <c r="J49" s="1319" t="s">
        <v>2102</v>
      </c>
      <c r="K49" s="1321" t="s">
        <v>2105</v>
      </c>
      <c r="L49" s="1304"/>
      <c r="M49" s="1131"/>
      <c r="N49" s="1304"/>
      <c r="O49" s="1131"/>
      <c r="P49" s="1304"/>
      <c r="Q49" s="1304"/>
      <c r="R49" s="1304"/>
      <c r="S49" s="1304"/>
      <c r="T49" s="1304"/>
      <c r="U49" s="1304"/>
      <c r="V49" s="1304"/>
      <c r="W49" s="1304"/>
      <c r="X49" s="1304"/>
      <c r="Y49" s="1304"/>
      <c r="Z49" s="1304"/>
      <c r="AA49" s="1304"/>
      <c r="AB49" s="1304"/>
      <c r="AC49" s="1304"/>
      <c r="AD49" s="1304"/>
      <c r="AE49" s="1304"/>
    </row>
    <row r="50" ht="15.0" customHeight="1">
      <c r="A50" s="1318"/>
      <c r="B50" s="1304"/>
      <c r="C50" s="1131">
        <v>180.0</v>
      </c>
      <c r="D50" s="1304"/>
      <c r="E50" s="1325">
        <f t="shared" si="1"/>
        <v>322.5806452</v>
      </c>
      <c r="F50" s="1304"/>
      <c r="G50" s="1319">
        <v>185.0</v>
      </c>
      <c r="H50" s="1320" t="s">
        <v>2103</v>
      </c>
      <c r="I50" s="1304"/>
      <c r="J50" s="1319" t="s">
        <v>2102</v>
      </c>
      <c r="K50" s="1321" t="s">
        <v>2105</v>
      </c>
      <c r="L50" s="1304"/>
      <c r="M50" s="1131"/>
      <c r="N50" s="1304"/>
      <c r="O50" s="1131"/>
      <c r="P50" s="1304"/>
      <c r="Q50" s="1304"/>
      <c r="R50" s="1304"/>
      <c r="S50" s="1304"/>
      <c r="T50" s="1304"/>
      <c r="U50" s="1304"/>
      <c r="V50" s="1304"/>
      <c r="W50" s="1304"/>
      <c r="X50" s="1304"/>
      <c r="Y50" s="1304"/>
      <c r="Z50" s="1304"/>
      <c r="AA50" s="1304"/>
      <c r="AB50" s="1304"/>
      <c r="AC50" s="1304"/>
      <c r="AD50" s="1304"/>
      <c r="AE50" s="1304"/>
    </row>
    <row r="51" ht="15.0" customHeight="1">
      <c r="A51" s="1318"/>
      <c r="B51" s="1304"/>
      <c r="C51" s="1131">
        <v>190.0</v>
      </c>
      <c r="D51" s="1304"/>
      <c r="E51" s="1325">
        <f t="shared" si="1"/>
        <v>340.5017921</v>
      </c>
      <c r="F51" s="1304"/>
      <c r="G51" s="1319">
        <v>185.0</v>
      </c>
      <c r="H51" s="1320" t="s">
        <v>2103</v>
      </c>
      <c r="I51" s="1304"/>
      <c r="J51" s="1319" t="s">
        <v>2102</v>
      </c>
      <c r="K51" s="1321" t="s">
        <v>2105</v>
      </c>
      <c r="L51" s="1304"/>
      <c r="M51" s="1131"/>
      <c r="N51" s="1304"/>
      <c r="O51" s="1131"/>
      <c r="P51" s="1304"/>
      <c r="Q51" s="1304"/>
      <c r="R51" s="1304"/>
      <c r="S51" s="1304"/>
      <c r="T51" s="1304"/>
      <c r="U51" s="1304"/>
      <c r="V51" s="1304"/>
      <c r="W51" s="1304"/>
      <c r="X51" s="1304"/>
      <c r="Y51" s="1304"/>
      <c r="Z51" s="1304"/>
      <c r="AA51" s="1304"/>
      <c r="AB51" s="1304"/>
      <c r="AC51" s="1304"/>
      <c r="AD51" s="1304"/>
      <c r="AE51" s="1304"/>
    </row>
    <row r="52" ht="15.0" customHeight="1">
      <c r="A52" s="1318"/>
      <c r="B52" s="1304"/>
      <c r="C52" s="1131">
        <v>200.0</v>
      </c>
      <c r="D52" s="1304"/>
      <c r="E52" s="1325">
        <f t="shared" si="1"/>
        <v>358.4229391</v>
      </c>
      <c r="F52" s="1304"/>
      <c r="G52" s="1319" t="s">
        <v>2102</v>
      </c>
      <c r="H52" s="1320" t="s">
        <v>2103</v>
      </c>
      <c r="I52" s="1304"/>
      <c r="J52" s="1319" t="s">
        <v>2106</v>
      </c>
      <c r="K52" s="1321" t="s">
        <v>2105</v>
      </c>
      <c r="L52" s="1304"/>
      <c r="M52" s="1131"/>
      <c r="N52" s="1304"/>
      <c r="O52" s="1131"/>
      <c r="P52" s="1304"/>
      <c r="Q52" s="1304"/>
      <c r="R52" s="1304"/>
      <c r="S52" s="1304"/>
      <c r="T52" s="1304"/>
      <c r="U52" s="1304"/>
      <c r="V52" s="1304"/>
      <c r="W52" s="1304"/>
      <c r="X52" s="1304"/>
      <c r="Y52" s="1304"/>
      <c r="Z52" s="1304"/>
      <c r="AA52" s="1304"/>
      <c r="AB52" s="1304"/>
      <c r="AC52" s="1304"/>
      <c r="AD52" s="1304"/>
      <c r="AE52" s="1304"/>
    </row>
    <row r="53" ht="15.0" customHeight="1">
      <c r="A53" s="1306"/>
      <c r="B53" s="1307"/>
      <c r="C53" s="1308">
        <v>300.0</v>
      </c>
      <c r="D53" s="1307"/>
      <c r="E53" s="1326">
        <f t="shared" si="1"/>
        <v>537.6344086</v>
      </c>
      <c r="F53" s="1307"/>
      <c r="G53" s="1322" t="s">
        <v>2103</v>
      </c>
      <c r="H53" s="1323" t="s">
        <v>2107</v>
      </c>
      <c r="I53" s="1307"/>
      <c r="J53" s="1322" t="s">
        <v>2105</v>
      </c>
      <c r="K53" s="1324" t="s">
        <v>2108</v>
      </c>
      <c r="L53" s="1304"/>
      <c r="M53" s="1308"/>
      <c r="N53" s="1304"/>
      <c r="O53" s="1308"/>
      <c r="P53" s="1304"/>
      <c r="Q53" s="1304"/>
      <c r="R53" s="1304"/>
      <c r="S53" s="1304"/>
      <c r="T53" s="1304"/>
      <c r="U53" s="1304"/>
      <c r="V53" s="1304"/>
      <c r="W53" s="1304"/>
      <c r="X53" s="1304"/>
      <c r="Y53" s="1304"/>
      <c r="Z53" s="1304"/>
      <c r="AA53" s="1304"/>
      <c r="AB53" s="1304"/>
      <c r="AC53" s="1304"/>
      <c r="AD53" s="1304"/>
      <c r="AE53" s="1304"/>
    </row>
    <row r="54" ht="15.0" customHeight="1">
      <c r="A54" s="1304"/>
      <c r="B54" s="1304"/>
      <c r="C54" s="1304"/>
      <c r="D54" s="1304"/>
      <c r="E54" s="1304"/>
      <c r="F54" s="1304"/>
      <c r="G54" s="1304"/>
      <c r="H54" s="1304"/>
      <c r="I54" s="1304"/>
      <c r="J54" s="1304"/>
      <c r="K54" s="1304"/>
      <c r="L54" s="1304"/>
      <c r="M54" s="1304"/>
      <c r="N54" s="1304"/>
      <c r="O54" s="1304"/>
      <c r="P54" s="1304"/>
      <c r="Q54" s="1304"/>
      <c r="R54" s="1304"/>
      <c r="S54" s="1304"/>
      <c r="T54" s="1304"/>
      <c r="U54" s="1304"/>
      <c r="V54" s="1304"/>
      <c r="W54" s="1304"/>
      <c r="X54" s="1304"/>
      <c r="Y54" s="1304"/>
      <c r="Z54" s="1304"/>
      <c r="AA54" s="1304"/>
      <c r="AB54" s="1304"/>
      <c r="AC54" s="1304"/>
      <c r="AD54" s="1304"/>
      <c r="AE54" s="1304"/>
    </row>
    <row r="55" ht="15.0" customHeight="1">
      <c r="A55" s="1304"/>
      <c r="B55" s="1304"/>
      <c r="C55" s="1304"/>
      <c r="D55" s="1304"/>
      <c r="E55" s="1304"/>
      <c r="F55" s="1304"/>
      <c r="G55" s="1304"/>
      <c r="H55" s="1304"/>
      <c r="I55" s="1304"/>
      <c r="J55" s="1304"/>
      <c r="K55" s="1304"/>
      <c r="L55" s="1304"/>
      <c r="M55" s="1304"/>
      <c r="N55" s="1304"/>
      <c r="O55" s="1304"/>
      <c r="P55" s="1304"/>
      <c r="Q55" s="1304"/>
      <c r="R55" s="1304"/>
      <c r="S55" s="1304"/>
      <c r="T55" s="1304"/>
      <c r="U55" s="1304"/>
      <c r="V55" s="1304"/>
      <c r="W55" s="1304"/>
      <c r="X55" s="1304"/>
      <c r="Y55" s="1304"/>
      <c r="Z55" s="1304"/>
      <c r="AA55" s="1304"/>
      <c r="AB55" s="1304"/>
      <c r="AC55" s="1304"/>
      <c r="AD55" s="1304"/>
      <c r="AE55" s="1304"/>
    </row>
    <row r="56" ht="15.0" customHeight="1">
      <c r="A56" s="1319"/>
      <c r="B56" s="1131"/>
      <c r="C56" s="1327" t="s">
        <v>2109</v>
      </c>
      <c r="D56" s="21"/>
      <c r="E56" s="21"/>
      <c r="F56" s="21"/>
      <c r="G56" s="21"/>
      <c r="H56" s="21"/>
      <c r="I56" s="21"/>
      <c r="J56" s="21"/>
      <c r="K56" s="21"/>
      <c r="L56" s="21"/>
      <c r="M56" s="22"/>
      <c r="N56" s="1304"/>
      <c r="O56" s="1304"/>
      <c r="P56" s="1304"/>
      <c r="Q56" s="1304"/>
      <c r="R56" s="1304"/>
      <c r="S56" s="1304"/>
      <c r="T56" s="1304"/>
      <c r="U56" s="1304"/>
      <c r="V56" s="1304"/>
      <c r="W56" s="1304"/>
      <c r="X56" s="1304"/>
      <c r="Y56" s="1304"/>
      <c r="Z56" s="1304"/>
      <c r="AA56" s="1304"/>
      <c r="AB56" s="1304"/>
      <c r="AC56" s="1304"/>
      <c r="AD56" s="1304"/>
      <c r="AE56" s="1304"/>
    </row>
    <row r="57" ht="15.0" customHeight="1">
      <c r="A57" s="1304"/>
      <c r="N57" s="1304"/>
      <c r="O57" s="1304"/>
      <c r="P57" s="1304"/>
      <c r="Q57" s="1304"/>
      <c r="R57" s="1304"/>
      <c r="S57" s="1304"/>
      <c r="T57" s="1304"/>
      <c r="U57" s="1304"/>
      <c r="V57" s="1304"/>
      <c r="W57" s="1304"/>
      <c r="X57" s="1304"/>
      <c r="Y57" s="1304"/>
      <c r="Z57" s="1304"/>
      <c r="AA57" s="1304"/>
      <c r="AB57" s="1304"/>
      <c r="AC57" s="1304"/>
      <c r="AD57" s="1304"/>
      <c r="AE57" s="1304"/>
    </row>
    <row r="58" ht="15.0" customHeight="1">
      <c r="A58" s="1320"/>
      <c r="B58" s="1131"/>
      <c r="C58" s="1327" t="s">
        <v>2110</v>
      </c>
      <c r="D58" s="21"/>
      <c r="E58" s="21"/>
      <c r="F58" s="21"/>
      <c r="G58" s="21"/>
      <c r="H58" s="21"/>
      <c r="I58" s="21"/>
      <c r="J58" s="21"/>
      <c r="K58" s="21"/>
      <c r="L58" s="21"/>
      <c r="M58" s="22"/>
      <c r="N58" s="1304"/>
      <c r="O58" s="1304"/>
      <c r="P58" s="1304"/>
      <c r="Q58" s="1304"/>
      <c r="R58" s="1304"/>
      <c r="S58" s="1304"/>
      <c r="T58" s="1304"/>
      <c r="U58" s="1304"/>
      <c r="V58" s="1304"/>
      <c r="W58" s="1304"/>
      <c r="X58" s="1304"/>
      <c r="Y58" s="1304"/>
      <c r="Z58" s="1304"/>
      <c r="AA58" s="1304"/>
      <c r="AB58" s="1304"/>
      <c r="AC58" s="1304"/>
      <c r="AD58" s="1304"/>
      <c r="AE58" s="1304"/>
    </row>
    <row r="59" ht="15.0" customHeight="1">
      <c r="A59" s="1304"/>
      <c r="B59" s="1304"/>
      <c r="C59" s="1304"/>
      <c r="D59" s="1304"/>
      <c r="E59" s="1304"/>
      <c r="F59" s="1304"/>
      <c r="G59" s="1304"/>
      <c r="H59" s="1304"/>
      <c r="I59" s="1304"/>
      <c r="J59" s="1304"/>
      <c r="K59" s="1304"/>
      <c r="L59" s="1304"/>
      <c r="M59" s="1304"/>
      <c r="N59" s="1304"/>
      <c r="O59" s="1304"/>
      <c r="P59" s="1304"/>
      <c r="Q59" s="1304"/>
      <c r="R59" s="1304"/>
      <c r="S59" s="1304"/>
      <c r="T59" s="1304"/>
      <c r="U59" s="1304"/>
      <c r="V59" s="1304"/>
      <c r="W59" s="1304"/>
      <c r="X59" s="1304"/>
      <c r="Y59" s="1304"/>
      <c r="Z59" s="1304"/>
      <c r="AA59" s="1304"/>
      <c r="AB59" s="1304"/>
      <c r="AC59" s="1304"/>
      <c r="AD59" s="1304"/>
      <c r="AE59" s="1304"/>
    </row>
    <row r="60" ht="15.0" customHeight="1">
      <c r="A60" s="1328" t="s">
        <v>2111</v>
      </c>
      <c r="B60" s="1131"/>
      <c r="C60" s="1327" t="s">
        <v>2112</v>
      </c>
      <c r="D60" s="21"/>
      <c r="E60" s="21"/>
      <c r="F60" s="21"/>
      <c r="G60" s="21"/>
      <c r="H60" s="21"/>
      <c r="I60" s="21"/>
      <c r="J60" s="21"/>
      <c r="K60" s="21"/>
      <c r="L60" s="21"/>
      <c r="M60" s="22"/>
      <c r="N60" s="1304"/>
      <c r="O60" s="1304"/>
      <c r="P60" s="1304"/>
      <c r="Q60" s="1304"/>
      <c r="R60" s="1304"/>
      <c r="S60" s="1304"/>
      <c r="T60" s="1304"/>
      <c r="U60" s="1304"/>
      <c r="V60" s="1304"/>
      <c r="W60" s="1304"/>
      <c r="X60" s="1304"/>
      <c r="Y60" s="1304"/>
      <c r="Z60" s="1304"/>
      <c r="AA60" s="1304"/>
      <c r="AB60" s="1304"/>
      <c r="AC60" s="1304"/>
      <c r="AD60" s="1304"/>
      <c r="AE60" s="1304"/>
    </row>
    <row r="61" ht="15.0" customHeight="1">
      <c r="A61" s="1304"/>
      <c r="B61" s="1304"/>
      <c r="C61" s="1304"/>
      <c r="D61" s="1304"/>
      <c r="E61" s="1304"/>
      <c r="F61" s="1304"/>
      <c r="G61" s="1304"/>
      <c r="H61" s="1304"/>
      <c r="I61" s="1304"/>
      <c r="J61" s="1304"/>
      <c r="K61" s="1304"/>
      <c r="L61" s="1304"/>
      <c r="M61" s="1304"/>
      <c r="N61" s="1304"/>
      <c r="O61" s="1304"/>
      <c r="P61" s="1304"/>
      <c r="Q61" s="1304"/>
      <c r="R61" s="1304"/>
      <c r="S61" s="1304"/>
      <c r="T61" s="1304"/>
      <c r="U61" s="1304"/>
      <c r="V61" s="1304"/>
      <c r="W61" s="1304"/>
      <c r="X61" s="1304"/>
      <c r="Y61" s="1304"/>
      <c r="Z61" s="1304"/>
      <c r="AA61" s="1304"/>
      <c r="AB61" s="1304"/>
      <c r="AC61" s="1304"/>
      <c r="AD61" s="1304"/>
      <c r="AE61" s="1304"/>
    </row>
    <row r="62" ht="15.0" customHeight="1">
      <c r="A62" s="1304"/>
      <c r="B62" s="1304"/>
      <c r="C62" s="1304"/>
      <c r="D62" s="1304"/>
      <c r="E62" s="1304"/>
      <c r="F62" s="1304"/>
      <c r="G62" s="1304"/>
      <c r="H62" s="1304"/>
      <c r="I62" s="1304"/>
      <c r="J62" s="1304"/>
      <c r="K62" s="1304"/>
      <c r="L62" s="1304"/>
      <c r="M62" s="1304"/>
      <c r="N62" s="1304"/>
      <c r="O62" s="1304"/>
      <c r="P62" s="1304"/>
      <c r="Q62" s="1304"/>
      <c r="R62" s="1304"/>
      <c r="S62" s="1304"/>
      <c r="T62" s="1304"/>
      <c r="U62" s="1304"/>
      <c r="V62" s="1304"/>
      <c r="W62" s="1304"/>
      <c r="X62" s="1304"/>
      <c r="Y62" s="1304"/>
      <c r="Z62" s="1304"/>
      <c r="AA62" s="1304"/>
      <c r="AB62" s="1304"/>
      <c r="AC62" s="1304"/>
      <c r="AD62" s="1304"/>
      <c r="AE62" s="1304"/>
    </row>
    <row r="63" ht="15.0" customHeight="1">
      <c r="A63" s="1304"/>
      <c r="B63" s="1304"/>
      <c r="C63" s="1304"/>
      <c r="D63" s="1304"/>
      <c r="E63" s="1304"/>
      <c r="F63" s="1304"/>
      <c r="G63" s="1304"/>
      <c r="H63" s="1304"/>
      <c r="I63" s="1304"/>
      <c r="J63" s="1304"/>
      <c r="K63" s="1304"/>
      <c r="L63" s="1304"/>
      <c r="M63" s="1304"/>
      <c r="N63" s="1304"/>
      <c r="O63" s="1304"/>
      <c r="P63" s="1304"/>
      <c r="Q63" s="1304"/>
      <c r="R63" s="1304"/>
      <c r="S63" s="1304"/>
      <c r="T63" s="1304"/>
      <c r="U63" s="1304"/>
      <c r="V63" s="1304"/>
      <c r="W63" s="1304"/>
      <c r="X63" s="1304"/>
      <c r="Y63" s="1304"/>
      <c r="Z63" s="1304"/>
      <c r="AA63" s="1304"/>
      <c r="AB63" s="1304"/>
      <c r="AC63" s="1304"/>
      <c r="AD63" s="1304"/>
      <c r="AE63" s="1304"/>
    </row>
    <row r="64" ht="15.0" customHeight="1">
      <c r="A64" s="1304"/>
      <c r="B64" s="1304"/>
      <c r="C64" s="1304"/>
      <c r="D64" s="1304"/>
      <c r="E64" s="1304"/>
      <c r="F64" s="1304"/>
      <c r="G64" s="1304"/>
      <c r="H64" s="1304"/>
      <c r="I64" s="1304"/>
      <c r="J64" s="1304"/>
      <c r="K64" s="1304"/>
      <c r="L64" s="1304"/>
      <c r="M64" s="1304"/>
      <c r="N64" s="1304"/>
      <c r="O64" s="1304"/>
      <c r="P64" s="1304"/>
      <c r="Q64" s="1304"/>
      <c r="R64" s="1304"/>
      <c r="S64" s="1304"/>
      <c r="T64" s="1304"/>
      <c r="U64" s="1304"/>
      <c r="V64" s="1304"/>
      <c r="W64" s="1304"/>
      <c r="X64" s="1304"/>
      <c r="Y64" s="1304"/>
      <c r="Z64" s="1304"/>
      <c r="AA64" s="1304"/>
      <c r="AB64" s="1304"/>
      <c r="AC64" s="1304"/>
      <c r="AD64" s="1304"/>
      <c r="AE64" s="1304"/>
    </row>
    <row r="65" ht="15.0" customHeight="1">
      <c r="A65" s="1304"/>
      <c r="B65" s="1304"/>
      <c r="C65" s="1304"/>
      <c r="D65" s="1304"/>
      <c r="E65" s="1304"/>
      <c r="F65" s="1304"/>
      <c r="G65" s="1304"/>
      <c r="H65" s="1304"/>
      <c r="I65" s="1304"/>
      <c r="J65" s="1304"/>
      <c r="K65" s="1304"/>
      <c r="L65" s="1304"/>
      <c r="M65" s="1304"/>
      <c r="N65" s="1304"/>
      <c r="O65" s="1304"/>
      <c r="P65" s="1304"/>
      <c r="Q65" s="1304"/>
      <c r="R65" s="1304"/>
      <c r="S65" s="1304"/>
      <c r="T65" s="1304"/>
      <c r="U65" s="1304"/>
      <c r="V65" s="1304"/>
      <c r="W65" s="1304"/>
      <c r="X65" s="1304"/>
      <c r="Y65" s="1304"/>
      <c r="Z65" s="1304"/>
      <c r="AA65" s="1304"/>
      <c r="AB65" s="1304"/>
      <c r="AC65" s="1304"/>
      <c r="AD65" s="1304"/>
      <c r="AE65" s="1304"/>
    </row>
    <row r="66" ht="15.0" customHeight="1">
      <c r="A66" s="1304"/>
      <c r="B66" s="1304"/>
      <c r="C66" s="1304"/>
      <c r="D66" s="1304"/>
      <c r="E66" s="1304"/>
      <c r="F66" s="1304"/>
      <c r="G66" s="1304"/>
      <c r="H66" s="1304"/>
      <c r="I66" s="1304"/>
      <c r="J66" s="1304"/>
      <c r="K66" s="1304"/>
      <c r="L66" s="1304"/>
      <c r="M66" s="1304"/>
      <c r="N66" s="1304"/>
      <c r="O66" s="1304"/>
      <c r="P66" s="1304"/>
      <c r="Q66" s="1304"/>
      <c r="R66" s="1304"/>
      <c r="S66" s="1304"/>
      <c r="T66" s="1304"/>
      <c r="U66" s="1304"/>
      <c r="V66" s="1304"/>
      <c r="W66" s="1304"/>
      <c r="X66" s="1304"/>
      <c r="Y66" s="1304"/>
      <c r="Z66" s="1304"/>
      <c r="AA66" s="1304"/>
      <c r="AB66" s="1304"/>
      <c r="AC66" s="1304"/>
      <c r="AD66" s="1304"/>
      <c r="AE66" s="1304"/>
    </row>
    <row r="67" ht="15.0" customHeight="1">
      <c r="A67" s="1304"/>
      <c r="B67" s="1304"/>
      <c r="C67" s="1304"/>
      <c r="D67" s="1304"/>
      <c r="E67" s="1304"/>
      <c r="F67" s="1304"/>
      <c r="G67" s="1304"/>
      <c r="H67" s="1304"/>
      <c r="I67" s="1304"/>
      <c r="J67" s="1304"/>
      <c r="K67" s="1304"/>
      <c r="L67" s="1304"/>
      <c r="M67" s="1304"/>
      <c r="N67" s="1304"/>
      <c r="O67" s="1304"/>
      <c r="P67" s="1304"/>
      <c r="Q67" s="1304"/>
      <c r="R67" s="1304"/>
      <c r="S67" s="1304"/>
      <c r="T67" s="1304"/>
      <c r="U67" s="1304"/>
      <c r="V67" s="1304"/>
      <c r="W67" s="1304"/>
      <c r="X67" s="1304"/>
      <c r="Y67" s="1304"/>
      <c r="Z67" s="1304"/>
      <c r="AA67" s="1304"/>
      <c r="AB67" s="1304"/>
      <c r="AC67" s="1304"/>
      <c r="AD67" s="1304"/>
      <c r="AE67" s="1304"/>
    </row>
    <row r="68" ht="15.0" customHeight="1">
      <c r="A68" s="1304"/>
      <c r="B68" s="1304"/>
      <c r="C68" s="1304"/>
      <c r="D68" s="1304"/>
      <c r="E68" s="1304"/>
      <c r="F68" s="1304"/>
      <c r="G68" s="1304"/>
      <c r="H68" s="1304"/>
      <c r="I68" s="1304"/>
      <c r="J68" s="1304"/>
      <c r="K68" s="1304"/>
      <c r="L68" s="1304"/>
      <c r="M68" s="1304"/>
      <c r="N68" s="1304"/>
      <c r="O68" s="1304"/>
      <c r="P68" s="1304"/>
      <c r="Q68" s="1304"/>
      <c r="R68" s="1304"/>
      <c r="S68" s="1304"/>
      <c r="T68" s="1304"/>
      <c r="U68" s="1304"/>
      <c r="V68" s="1304"/>
      <c r="W68" s="1304"/>
      <c r="X68" s="1304"/>
      <c r="Y68" s="1304"/>
      <c r="Z68" s="1304"/>
      <c r="AA68" s="1304"/>
      <c r="AB68" s="1304"/>
      <c r="AC68" s="1304"/>
      <c r="AD68" s="1304"/>
      <c r="AE68" s="1304"/>
    </row>
    <row r="69" ht="15.0" customHeight="1">
      <c r="A69" s="1304"/>
      <c r="B69" s="1304"/>
      <c r="C69" s="1304"/>
      <c r="D69" s="1304"/>
      <c r="E69" s="1304"/>
      <c r="F69" s="1304"/>
      <c r="G69" s="1304"/>
      <c r="H69" s="1304"/>
      <c r="I69" s="1304"/>
      <c r="J69" s="1304"/>
      <c r="K69" s="1304"/>
      <c r="L69" s="1304"/>
      <c r="M69" s="1304"/>
      <c r="N69" s="1304"/>
      <c r="O69" s="1304"/>
      <c r="P69" s="1304"/>
      <c r="Q69" s="1304"/>
      <c r="R69" s="1304"/>
      <c r="S69" s="1304"/>
      <c r="T69" s="1304"/>
      <c r="U69" s="1304"/>
      <c r="V69" s="1304"/>
      <c r="W69" s="1304"/>
      <c r="X69" s="1304"/>
      <c r="Y69" s="1304"/>
      <c r="Z69" s="1304"/>
      <c r="AA69" s="1304"/>
      <c r="AB69" s="1304"/>
      <c r="AC69" s="1304"/>
      <c r="AD69" s="1304"/>
      <c r="AE69" s="1304"/>
    </row>
    <row r="70" ht="15.0" customHeight="1">
      <c r="A70" s="1304"/>
      <c r="B70" s="1304"/>
      <c r="C70" s="1304"/>
      <c r="D70" s="1304"/>
      <c r="E70" s="1304"/>
      <c r="F70" s="1304"/>
      <c r="G70" s="1304"/>
      <c r="H70" s="1304"/>
      <c r="I70" s="1304"/>
      <c r="J70" s="1304"/>
      <c r="K70" s="1304"/>
      <c r="L70" s="1304"/>
      <c r="M70" s="1304"/>
      <c r="N70" s="1304"/>
      <c r="O70" s="1304"/>
      <c r="P70" s="1304"/>
      <c r="Q70" s="1304"/>
      <c r="R70" s="1304"/>
      <c r="S70" s="1304"/>
      <c r="T70" s="1304"/>
      <c r="U70" s="1304"/>
      <c r="V70" s="1304"/>
      <c r="W70" s="1304"/>
      <c r="X70" s="1304"/>
      <c r="Y70" s="1304"/>
      <c r="Z70" s="1304"/>
      <c r="AA70" s="1304"/>
      <c r="AB70" s="1304"/>
      <c r="AC70" s="1304"/>
      <c r="AD70" s="1304"/>
      <c r="AE70" s="1304"/>
    </row>
    <row r="71" ht="15.0" customHeight="1">
      <c r="A71" s="1304"/>
      <c r="B71" s="1304"/>
      <c r="C71" s="1304"/>
      <c r="D71" s="1304"/>
      <c r="E71" s="1304"/>
      <c r="F71" s="1304"/>
      <c r="G71" s="1304"/>
      <c r="H71" s="1304"/>
      <c r="I71" s="1304"/>
      <c r="J71" s="1304"/>
      <c r="K71" s="1304"/>
      <c r="L71" s="1304"/>
      <c r="M71" s="1304"/>
      <c r="N71" s="1304"/>
      <c r="O71" s="1304"/>
      <c r="P71" s="1304"/>
      <c r="Q71" s="1304"/>
      <c r="R71" s="1304"/>
      <c r="S71" s="1304"/>
      <c r="T71" s="1304"/>
      <c r="U71" s="1304"/>
      <c r="V71" s="1304"/>
      <c r="W71" s="1304"/>
      <c r="X71" s="1304"/>
      <c r="Y71" s="1304"/>
      <c r="Z71" s="1304"/>
      <c r="AA71" s="1304"/>
      <c r="AB71" s="1304"/>
      <c r="AC71" s="1304"/>
      <c r="AD71" s="1304"/>
      <c r="AE71" s="1304"/>
    </row>
    <row r="72" ht="15.0" customHeight="1">
      <c r="A72" s="1304"/>
      <c r="B72" s="1304"/>
      <c r="C72" s="1304"/>
      <c r="D72" s="1304"/>
      <c r="E72" s="1304"/>
      <c r="F72" s="1304"/>
      <c r="G72" s="1304"/>
      <c r="H72" s="1304"/>
      <c r="I72" s="1304"/>
      <c r="J72" s="1304"/>
      <c r="K72" s="1304"/>
      <c r="L72" s="1304"/>
      <c r="M72" s="1304"/>
      <c r="N72" s="1304"/>
      <c r="O72" s="1304"/>
      <c r="P72" s="1304"/>
      <c r="Q72" s="1304"/>
      <c r="R72" s="1304"/>
      <c r="S72" s="1304"/>
      <c r="T72" s="1304"/>
      <c r="U72" s="1304"/>
      <c r="V72" s="1304"/>
      <c r="W72" s="1304"/>
      <c r="X72" s="1304"/>
      <c r="Y72" s="1304"/>
      <c r="Z72" s="1304"/>
      <c r="AA72" s="1304"/>
      <c r="AB72" s="1304"/>
      <c r="AC72" s="1304"/>
      <c r="AD72" s="1304"/>
      <c r="AE72" s="1304"/>
    </row>
    <row r="73" ht="15.0" customHeight="1">
      <c r="A73" s="1304"/>
      <c r="B73" s="1304"/>
      <c r="C73" s="1304"/>
      <c r="D73" s="1304"/>
      <c r="E73" s="1304"/>
      <c r="F73" s="1304"/>
      <c r="G73" s="1304"/>
      <c r="H73" s="1304"/>
      <c r="I73" s="1304"/>
      <c r="J73" s="1304"/>
      <c r="K73" s="1304"/>
      <c r="L73" s="1304"/>
      <c r="M73" s="1304"/>
      <c r="N73" s="1304"/>
      <c r="O73" s="1304"/>
      <c r="P73" s="1304"/>
      <c r="Q73" s="1304"/>
      <c r="R73" s="1304"/>
      <c r="S73" s="1304"/>
      <c r="T73" s="1304"/>
      <c r="U73" s="1304"/>
      <c r="V73" s="1304"/>
      <c r="W73" s="1304"/>
      <c r="X73" s="1304"/>
      <c r="Y73" s="1304"/>
      <c r="Z73" s="1304"/>
      <c r="AA73" s="1304"/>
      <c r="AB73" s="1304"/>
      <c r="AC73" s="1304"/>
      <c r="AD73" s="1304"/>
      <c r="AE73" s="1304"/>
    </row>
    <row r="74" ht="15.0" customHeight="1">
      <c r="A74" s="1304"/>
      <c r="B74" s="1304"/>
      <c r="C74" s="1304"/>
      <c r="D74" s="1304"/>
      <c r="E74" s="1304"/>
      <c r="F74" s="1304"/>
      <c r="G74" s="1304"/>
      <c r="H74" s="1304"/>
      <c r="I74" s="1304"/>
      <c r="J74" s="1304"/>
      <c r="K74" s="1304"/>
      <c r="L74" s="1304"/>
      <c r="M74" s="1304"/>
      <c r="N74" s="1304"/>
      <c r="O74" s="1304"/>
      <c r="P74" s="1304"/>
      <c r="Q74" s="1304"/>
      <c r="R74" s="1304"/>
      <c r="S74" s="1304"/>
      <c r="T74" s="1304"/>
      <c r="U74" s="1304"/>
      <c r="V74" s="1304"/>
      <c r="W74" s="1304"/>
      <c r="X74" s="1304"/>
      <c r="Y74" s="1304"/>
      <c r="Z74" s="1304"/>
      <c r="AA74" s="1304"/>
      <c r="AB74" s="1304"/>
      <c r="AC74" s="1304"/>
      <c r="AD74" s="1304"/>
      <c r="AE74" s="1304"/>
    </row>
    <row r="75" ht="15.0" customHeight="1">
      <c r="A75" s="1304"/>
      <c r="B75" s="1304"/>
      <c r="C75" s="1304"/>
      <c r="D75" s="1304"/>
      <c r="E75" s="1304"/>
      <c r="F75" s="1304"/>
      <c r="G75" s="1304"/>
      <c r="H75" s="1304"/>
      <c r="I75" s="1304"/>
      <c r="J75" s="1304"/>
      <c r="K75" s="1304"/>
      <c r="L75" s="1304"/>
      <c r="M75" s="1304"/>
      <c r="N75" s="1304"/>
      <c r="O75" s="1304"/>
      <c r="P75" s="1304"/>
      <c r="Q75" s="1304"/>
      <c r="R75" s="1304"/>
      <c r="S75" s="1304"/>
      <c r="T75" s="1304"/>
      <c r="U75" s="1304"/>
      <c r="V75" s="1304"/>
      <c r="W75" s="1304"/>
      <c r="X75" s="1304"/>
      <c r="Y75" s="1304"/>
      <c r="Z75" s="1304"/>
      <c r="AA75" s="1304"/>
      <c r="AB75" s="1304"/>
      <c r="AC75" s="1304"/>
      <c r="AD75" s="1304"/>
      <c r="AE75" s="1304"/>
    </row>
    <row r="76" ht="15.0" customHeight="1">
      <c r="A76" s="1304"/>
      <c r="B76" s="1304"/>
      <c r="C76" s="1304"/>
      <c r="D76" s="1304"/>
      <c r="E76" s="1304"/>
      <c r="F76" s="1304"/>
      <c r="G76" s="1304"/>
      <c r="H76" s="1304"/>
      <c r="I76" s="1304"/>
      <c r="J76" s="1304"/>
      <c r="K76" s="1304"/>
      <c r="L76" s="1304"/>
      <c r="M76" s="1304"/>
      <c r="N76" s="1304"/>
      <c r="O76" s="1304"/>
      <c r="P76" s="1304"/>
      <c r="Q76" s="1304"/>
      <c r="R76" s="1304"/>
      <c r="S76" s="1304"/>
      <c r="T76" s="1304"/>
      <c r="U76" s="1304"/>
      <c r="V76" s="1304"/>
      <c r="W76" s="1304"/>
      <c r="X76" s="1304"/>
      <c r="Y76" s="1304"/>
      <c r="Z76" s="1304"/>
      <c r="AA76" s="1304"/>
      <c r="AB76" s="1304"/>
      <c r="AC76" s="1304"/>
      <c r="AD76" s="1304"/>
      <c r="AE76" s="1304"/>
    </row>
    <row r="77" ht="15.0" customHeight="1">
      <c r="A77" s="1304"/>
      <c r="B77" s="1304"/>
      <c r="C77" s="1304"/>
      <c r="D77" s="1304"/>
      <c r="E77" s="1304"/>
      <c r="F77" s="1304"/>
      <c r="G77" s="1304"/>
      <c r="H77" s="1304"/>
      <c r="I77" s="1304"/>
      <c r="J77" s="1304"/>
      <c r="K77" s="1304"/>
      <c r="L77" s="1304"/>
      <c r="M77" s="1304"/>
      <c r="N77" s="1304"/>
      <c r="O77" s="1304"/>
      <c r="P77" s="1304"/>
      <c r="Q77" s="1304"/>
      <c r="R77" s="1304"/>
      <c r="S77" s="1304"/>
      <c r="T77" s="1304"/>
      <c r="U77" s="1304"/>
      <c r="V77" s="1304"/>
      <c r="W77" s="1304"/>
      <c r="X77" s="1304"/>
      <c r="Y77" s="1304"/>
      <c r="Z77" s="1304"/>
      <c r="AA77" s="1304"/>
      <c r="AB77" s="1304"/>
      <c r="AC77" s="1304"/>
      <c r="AD77" s="1304"/>
      <c r="AE77" s="1304"/>
    </row>
    <row r="78" ht="15.0" customHeight="1">
      <c r="A78" s="1304"/>
      <c r="B78" s="1304"/>
      <c r="C78" s="1304"/>
      <c r="D78" s="1304"/>
      <c r="E78" s="1304"/>
      <c r="F78" s="1304"/>
      <c r="G78" s="1304"/>
      <c r="H78" s="1304"/>
      <c r="I78" s="1304"/>
      <c r="J78" s="1304"/>
      <c r="K78" s="1304"/>
      <c r="L78" s="1304"/>
      <c r="M78" s="1304"/>
      <c r="N78" s="1304"/>
      <c r="O78" s="1304"/>
      <c r="P78" s="1304"/>
      <c r="Q78" s="1304"/>
      <c r="R78" s="1304"/>
      <c r="S78" s="1304"/>
      <c r="T78" s="1304"/>
      <c r="U78" s="1304"/>
      <c r="V78" s="1304"/>
      <c r="W78" s="1304"/>
      <c r="X78" s="1304"/>
      <c r="Y78" s="1304"/>
      <c r="Z78" s="1304"/>
      <c r="AA78" s="1304"/>
      <c r="AB78" s="1304"/>
      <c r="AC78" s="1304"/>
      <c r="AD78" s="1304"/>
      <c r="AE78" s="1304"/>
    </row>
    <row r="79" ht="15.0" customHeight="1">
      <c r="A79" s="1304"/>
      <c r="B79" s="1304"/>
      <c r="C79" s="1304"/>
      <c r="D79" s="1304"/>
      <c r="E79" s="1304"/>
      <c r="F79" s="1304"/>
      <c r="G79" s="1304"/>
      <c r="H79" s="1304"/>
      <c r="I79" s="1304"/>
      <c r="J79" s="1304"/>
      <c r="K79" s="1304"/>
      <c r="L79" s="1304"/>
      <c r="M79" s="1304"/>
      <c r="N79" s="1304"/>
      <c r="O79" s="1304"/>
      <c r="P79" s="1304"/>
      <c r="Q79" s="1304"/>
      <c r="R79" s="1304"/>
      <c r="S79" s="1304"/>
      <c r="T79" s="1304"/>
      <c r="U79" s="1304"/>
      <c r="V79" s="1304"/>
      <c r="W79" s="1304"/>
      <c r="X79" s="1304"/>
      <c r="Y79" s="1304"/>
      <c r="Z79" s="1304"/>
      <c r="AA79" s="1304"/>
      <c r="AB79" s="1304"/>
      <c r="AC79" s="1304"/>
      <c r="AD79" s="1304"/>
      <c r="AE79" s="1304"/>
    </row>
    <row r="80" ht="15.0" customHeight="1">
      <c r="A80" s="1304"/>
      <c r="B80" s="1304"/>
      <c r="C80" s="1304"/>
      <c r="D80" s="1304"/>
      <c r="E80" s="1304"/>
      <c r="F80" s="1304"/>
      <c r="G80" s="1304"/>
      <c r="H80" s="1304"/>
      <c r="I80" s="1304"/>
      <c r="J80" s="1304"/>
      <c r="K80" s="1304"/>
      <c r="L80" s="1304"/>
      <c r="M80" s="1304"/>
      <c r="N80" s="1304"/>
      <c r="O80" s="1304"/>
      <c r="P80" s="1304"/>
      <c r="Q80" s="1304"/>
      <c r="R80" s="1304"/>
      <c r="S80" s="1304"/>
      <c r="T80" s="1304"/>
      <c r="U80" s="1304"/>
      <c r="V80" s="1304"/>
      <c r="W80" s="1304"/>
      <c r="X80" s="1304"/>
      <c r="Y80" s="1304"/>
      <c r="Z80" s="1304"/>
      <c r="AA80" s="1304"/>
      <c r="AB80" s="1304"/>
      <c r="AC80" s="1304"/>
      <c r="AD80" s="1304"/>
      <c r="AE80" s="1304"/>
    </row>
    <row r="81" ht="15.0" customHeight="1">
      <c r="A81" s="1304"/>
      <c r="B81" s="1304"/>
      <c r="C81" s="1304"/>
      <c r="D81" s="1304"/>
      <c r="E81" s="1304"/>
      <c r="F81" s="1304"/>
      <c r="G81" s="1304"/>
      <c r="H81" s="1304"/>
      <c r="I81" s="1304"/>
      <c r="J81" s="1304"/>
      <c r="K81" s="1304"/>
      <c r="L81" s="1304"/>
      <c r="M81" s="1304"/>
      <c r="N81" s="1304"/>
      <c r="O81" s="1304"/>
      <c r="P81" s="1304"/>
      <c r="Q81" s="1304"/>
      <c r="R81" s="1304"/>
      <c r="S81" s="1304"/>
      <c r="T81" s="1304"/>
      <c r="U81" s="1304"/>
      <c r="V81" s="1304"/>
      <c r="W81" s="1304"/>
      <c r="X81" s="1304"/>
      <c r="Y81" s="1304"/>
      <c r="Z81" s="1304"/>
      <c r="AA81" s="1304"/>
      <c r="AB81" s="1304"/>
      <c r="AC81" s="1304"/>
      <c r="AD81" s="1304"/>
      <c r="AE81" s="1304"/>
    </row>
    <row r="82" ht="15.0" customHeight="1">
      <c r="A82" s="1304"/>
      <c r="B82" s="1304"/>
      <c r="C82" s="1304"/>
      <c r="D82" s="1304"/>
      <c r="E82" s="1304"/>
      <c r="F82" s="1304"/>
      <c r="G82" s="1304"/>
      <c r="H82" s="1304"/>
      <c r="I82" s="1304"/>
      <c r="J82" s="1304"/>
      <c r="K82" s="1304"/>
      <c r="L82" s="1304"/>
      <c r="M82" s="1304"/>
      <c r="N82" s="1304"/>
      <c r="O82" s="1304"/>
      <c r="P82" s="1304"/>
      <c r="Q82" s="1304"/>
      <c r="R82" s="1304"/>
      <c r="S82" s="1304"/>
      <c r="T82" s="1304"/>
      <c r="U82" s="1304"/>
      <c r="V82" s="1304"/>
      <c r="W82" s="1304"/>
      <c r="X82" s="1304"/>
      <c r="Y82" s="1304"/>
      <c r="Z82" s="1304"/>
      <c r="AA82" s="1304"/>
      <c r="AB82" s="1304"/>
      <c r="AC82" s="1304"/>
      <c r="AD82" s="1304"/>
      <c r="AE82" s="1304"/>
    </row>
    <row r="83" ht="15.0" customHeight="1">
      <c r="A83" s="1304"/>
      <c r="B83" s="1304"/>
      <c r="C83" s="1304"/>
      <c r="D83" s="1304"/>
      <c r="E83" s="1304"/>
      <c r="F83" s="1304"/>
      <c r="G83" s="1304"/>
      <c r="H83" s="1304"/>
      <c r="I83" s="1304"/>
      <c r="J83" s="1304"/>
      <c r="K83" s="1304"/>
      <c r="L83" s="1304"/>
      <c r="M83" s="1304"/>
      <c r="N83" s="1304"/>
      <c r="O83" s="1304"/>
      <c r="P83" s="1304"/>
      <c r="Q83" s="1304"/>
      <c r="R83" s="1304"/>
      <c r="S83" s="1304"/>
      <c r="T83" s="1304"/>
      <c r="U83" s="1304"/>
      <c r="V83" s="1304"/>
      <c r="W83" s="1304"/>
      <c r="X83" s="1304"/>
      <c r="Y83" s="1304"/>
      <c r="Z83" s="1304"/>
      <c r="AA83" s="1304"/>
      <c r="AB83" s="1304"/>
      <c r="AC83" s="1304"/>
      <c r="AD83" s="1304"/>
      <c r="AE83" s="1304"/>
    </row>
    <row r="84" ht="15.0" customHeight="1">
      <c r="A84" s="1304"/>
      <c r="B84" s="1304"/>
      <c r="C84" s="1304"/>
      <c r="D84" s="1304"/>
      <c r="E84" s="1304"/>
      <c r="F84" s="1304"/>
      <c r="G84" s="1304"/>
      <c r="H84" s="1304"/>
      <c r="I84" s="1304"/>
      <c r="J84" s="1304"/>
      <c r="K84" s="1304"/>
      <c r="L84" s="1304"/>
      <c r="M84" s="1304"/>
      <c r="N84" s="1304"/>
      <c r="O84" s="1304"/>
      <c r="P84" s="1304"/>
      <c r="Q84" s="1304"/>
      <c r="R84" s="1304"/>
      <c r="S84" s="1304"/>
      <c r="T84" s="1304"/>
      <c r="U84" s="1304"/>
      <c r="V84" s="1304"/>
      <c r="W84" s="1304"/>
      <c r="X84" s="1304"/>
      <c r="Y84" s="1304"/>
      <c r="Z84" s="1304"/>
      <c r="AA84" s="1304"/>
      <c r="AB84" s="1304"/>
      <c r="AC84" s="1304"/>
      <c r="AD84" s="1304"/>
      <c r="AE84" s="1304"/>
    </row>
    <row r="85" ht="15.0" customHeight="1">
      <c r="A85" s="1304"/>
      <c r="B85" s="1304"/>
      <c r="C85" s="1304"/>
      <c r="D85" s="1304"/>
      <c r="E85" s="1304"/>
      <c r="F85" s="1304"/>
      <c r="G85" s="1304"/>
      <c r="H85" s="1304"/>
      <c r="I85" s="1304"/>
      <c r="J85" s="1304"/>
      <c r="K85" s="1304"/>
      <c r="L85" s="1304"/>
      <c r="M85" s="1304"/>
      <c r="N85" s="1304"/>
      <c r="O85" s="1304"/>
      <c r="P85" s="1304"/>
      <c r="Q85" s="1304"/>
      <c r="R85" s="1304"/>
      <c r="S85" s="1304"/>
      <c r="T85" s="1304"/>
      <c r="U85" s="1304"/>
      <c r="V85" s="1304"/>
      <c r="W85" s="1304"/>
      <c r="X85" s="1304"/>
      <c r="Y85" s="1304"/>
      <c r="Z85" s="1304"/>
      <c r="AA85" s="1304"/>
      <c r="AB85" s="1304"/>
      <c r="AC85" s="1304"/>
      <c r="AD85" s="1304"/>
      <c r="AE85" s="1304"/>
    </row>
    <row r="86" ht="15.0" customHeight="1">
      <c r="A86" s="1304"/>
      <c r="B86" s="1304"/>
      <c r="C86" s="1304"/>
      <c r="D86" s="1304"/>
      <c r="E86" s="1304"/>
      <c r="F86" s="1304"/>
      <c r="G86" s="1304"/>
      <c r="H86" s="1304"/>
      <c r="I86" s="1304"/>
      <c r="J86" s="1304"/>
      <c r="K86" s="1304"/>
      <c r="L86" s="1304"/>
      <c r="M86" s="1304"/>
      <c r="N86" s="1304"/>
      <c r="O86" s="1304"/>
      <c r="P86" s="1304"/>
      <c r="Q86" s="1304"/>
      <c r="R86" s="1304"/>
      <c r="S86" s="1304"/>
      <c r="T86" s="1304"/>
      <c r="U86" s="1304"/>
      <c r="V86" s="1304"/>
      <c r="W86" s="1304"/>
      <c r="X86" s="1304"/>
      <c r="Y86" s="1304"/>
      <c r="Z86" s="1304"/>
      <c r="AA86" s="1304"/>
      <c r="AB86" s="1304"/>
      <c r="AC86" s="1304"/>
      <c r="AD86" s="1304"/>
      <c r="AE86" s="1304"/>
    </row>
    <row r="87" ht="15.0" customHeight="1">
      <c r="A87" s="1304"/>
      <c r="B87" s="1304"/>
      <c r="C87" s="1304"/>
      <c r="D87" s="1304"/>
      <c r="E87" s="1304"/>
      <c r="F87" s="1304"/>
      <c r="G87" s="1304"/>
      <c r="H87" s="1304"/>
      <c r="I87" s="1304"/>
      <c r="J87" s="1304"/>
      <c r="K87" s="1304"/>
      <c r="L87" s="1304"/>
      <c r="M87" s="1304"/>
      <c r="N87" s="1304"/>
      <c r="O87" s="1304"/>
      <c r="P87" s="1304"/>
      <c r="Q87" s="1304"/>
      <c r="R87" s="1304"/>
      <c r="S87" s="1304"/>
      <c r="T87" s="1304"/>
      <c r="U87" s="1304"/>
      <c r="V87" s="1304"/>
      <c r="W87" s="1304"/>
      <c r="X87" s="1304"/>
      <c r="Y87" s="1304"/>
      <c r="Z87" s="1304"/>
      <c r="AA87" s="1304"/>
      <c r="AB87" s="1304"/>
      <c r="AC87" s="1304"/>
      <c r="AD87" s="1304"/>
      <c r="AE87" s="1304"/>
    </row>
    <row r="88" ht="15.0" customHeight="1">
      <c r="A88" s="1304"/>
      <c r="B88" s="1304"/>
      <c r="C88" s="1304"/>
      <c r="D88" s="1304"/>
      <c r="E88" s="1304"/>
      <c r="F88" s="1304"/>
      <c r="G88" s="1304"/>
      <c r="H88" s="1304"/>
      <c r="I88" s="1304"/>
      <c r="J88" s="1304"/>
      <c r="K88" s="1304"/>
      <c r="L88" s="1304"/>
      <c r="M88" s="1304"/>
      <c r="N88" s="1304"/>
      <c r="O88" s="1304"/>
      <c r="P88" s="1304"/>
      <c r="Q88" s="1304"/>
      <c r="R88" s="1304"/>
      <c r="S88" s="1304"/>
      <c r="T88" s="1304"/>
      <c r="U88" s="1304"/>
      <c r="V88" s="1304"/>
      <c r="W88" s="1304"/>
      <c r="X88" s="1304"/>
      <c r="Y88" s="1304"/>
      <c r="Z88" s="1304"/>
      <c r="AA88" s="1304"/>
      <c r="AB88" s="1304"/>
      <c r="AC88" s="1304"/>
      <c r="AD88" s="1304"/>
      <c r="AE88" s="1304"/>
    </row>
    <row r="89" ht="15.0" customHeight="1">
      <c r="A89" s="1304"/>
      <c r="B89" s="1304"/>
      <c r="C89" s="1304"/>
      <c r="D89" s="1304"/>
      <c r="E89" s="1304"/>
      <c r="F89" s="1304"/>
      <c r="G89" s="1304"/>
      <c r="H89" s="1304"/>
      <c r="I89" s="1304"/>
      <c r="J89" s="1304"/>
      <c r="K89" s="1304"/>
      <c r="L89" s="1304"/>
      <c r="M89" s="1304"/>
      <c r="N89" s="1304"/>
      <c r="O89" s="1304"/>
      <c r="P89" s="1304"/>
      <c r="Q89" s="1304"/>
      <c r="R89" s="1304"/>
      <c r="S89" s="1304"/>
      <c r="T89" s="1304"/>
      <c r="U89" s="1304"/>
      <c r="V89" s="1304"/>
      <c r="W89" s="1304"/>
      <c r="X89" s="1304"/>
      <c r="Y89" s="1304"/>
      <c r="Z89" s="1304"/>
      <c r="AA89" s="1304"/>
      <c r="AB89" s="1304"/>
      <c r="AC89" s="1304"/>
      <c r="AD89" s="1304"/>
      <c r="AE89" s="1304"/>
    </row>
    <row r="90" ht="15.0" customHeight="1">
      <c r="A90" s="1304"/>
      <c r="B90" s="1304"/>
      <c r="C90" s="1304"/>
      <c r="D90" s="1304"/>
      <c r="E90" s="1304"/>
      <c r="F90" s="1304"/>
      <c r="G90" s="1304"/>
      <c r="H90" s="1304"/>
      <c r="I90" s="1304"/>
      <c r="J90" s="1304"/>
      <c r="K90" s="1304"/>
      <c r="L90" s="1304"/>
      <c r="M90" s="1304"/>
      <c r="N90" s="1304"/>
      <c r="O90" s="1304"/>
      <c r="P90" s="1304"/>
      <c r="Q90" s="1304"/>
      <c r="R90" s="1304"/>
      <c r="S90" s="1304"/>
      <c r="T90" s="1304"/>
      <c r="U90" s="1304"/>
      <c r="V90" s="1304"/>
      <c r="W90" s="1304"/>
      <c r="X90" s="1304"/>
      <c r="Y90" s="1304"/>
      <c r="Z90" s="1304"/>
      <c r="AA90" s="1304"/>
      <c r="AB90" s="1304"/>
      <c r="AC90" s="1304"/>
      <c r="AD90" s="1304"/>
      <c r="AE90" s="1304"/>
    </row>
    <row r="91" ht="15.0" customHeight="1">
      <c r="A91" s="1304"/>
      <c r="B91" s="1304"/>
      <c r="C91" s="1304"/>
      <c r="D91" s="1304"/>
      <c r="E91" s="1304"/>
      <c r="F91" s="1304"/>
      <c r="G91" s="1304"/>
      <c r="H91" s="1304"/>
      <c r="I91" s="1304"/>
      <c r="J91" s="1304"/>
      <c r="K91" s="1304"/>
      <c r="L91" s="1304"/>
      <c r="M91" s="1304"/>
      <c r="N91" s="1304"/>
      <c r="O91" s="1304"/>
      <c r="P91" s="1304"/>
      <c r="Q91" s="1304"/>
      <c r="R91" s="1304"/>
      <c r="S91" s="1304"/>
      <c r="T91" s="1304"/>
      <c r="U91" s="1304"/>
      <c r="V91" s="1304"/>
      <c r="W91" s="1304"/>
      <c r="X91" s="1304"/>
      <c r="Y91" s="1304"/>
      <c r="Z91" s="1304"/>
      <c r="AA91" s="1304"/>
      <c r="AB91" s="1304"/>
      <c r="AC91" s="1304"/>
      <c r="AD91" s="1304"/>
      <c r="AE91" s="1304"/>
    </row>
    <row r="92" ht="15.0" customHeight="1">
      <c r="A92" s="1304"/>
      <c r="B92" s="1304"/>
      <c r="C92" s="1304"/>
      <c r="D92" s="1304"/>
      <c r="E92" s="1304"/>
      <c r="F92" s="1304"/>
      <c r="G92" s="1304"/>
      <c r="H92" s="1304"/>
      <c r="I92" s="1304"/>
      <c r="J92" s="1304"/>
      <c r="K92" s="1304"/>
      <c r="L92" s="1304"/>
      <c r="M92" s="1304"/>
      <c r="N92" s="1304"/>
      <c r="O92" s="1304"/>
      <c r="P92" s="1304"/>
      <c r="Q92" s="1304"/>
      <c r="R92" s="1304"/>
      <c r="S92" s="1304"/>
      <c r="T92" s="1304"/>
      <c r="U92" s="1304"/>
      <c r="V92" s="1304"/>
      <c r="W92" s="1304"/>
      <c r="X92" s="1304"/>
      <c r="Y92" s="1304"/>
      <c r="Z92" s="1304"/>
      <c r="AA92" s="1304"/>
      <c r="AB92" s="1304"/>
      <c r="AC92" s="1304"/>
      <c r="AD92" s="1304"/>
      <c r="AE92" s="1304"/>
    </row>
    <row r="93" ht="15.0" customHeight="1">
      <c r="A93" s="1304"/>
      <c r="B93" s="1304"/>
      <c r="C93" s="1304"/>
      <c r="D93" s="1304"/>
      <c r="E93" s="1304"/>
      <c r="F93" s="1304"/>
      <c r="G93" s="1304"/>
      <c r="H93" s="1304"/>
      <c r="I93" s="1304"/>
      <c r="J93" s="1304"/>
      <c r="K93" s="1304"/>
      <c r="L93" s="1304"/>
      <c r="M93" s="1304"/>
      <c r="N93" s="1304"/>
      <c r="O93" s="1304"/>
      <c r="P93" s="1304"/>
      <c r="Q93" s="1304"/>
      <c r="R93" s="1304"/>
      <c r="S93" s="1304"/>
      <c r="T93" s="1304"/>
      <c r="U93" s="1304"/>
      <c r="V93" s="1304"/>
      <c r="W93" s="1304"/>
      <c r="X93" s="1304"/>
      <c r="Y93" s="1304"/>
      <c r="Z93" s="1304"/>
      <c r="AA93" s="1304"/>
      <c r="AB93" s="1304"/>
      <c r="AC93" s="1304"/>
      <c r="AD93" s="1304"/>
      <c r="AE93" s="1304"/>
    </row>
    <row r="94" ht="15.0" customHeight="1">
      <c r="A94" s="1304"/>
      <c r="B94" s="1304"/>
      <c r="C94" s="1304"/>
      <c r="D94" s="1304"/>
      <c r="E94" s="1304"/>
      <c r="F94" s="1304"/>
      <c r="G94" s="1304"/>
      <c r="H94" s="1304"/>
      <c r="I94" s="1304"/>
      <c r="J94" s="1304"/>
      <c r="K94" s="1304"/>
      <c r="L94" s="1304"/>
      <c r="M94" s="1304"/>
      <c r="N94" s="1304"/>
      <c r="O94" s="1304"/>
      <c r="P94" s="1304"/>
      <c r="Q94" s="1304"/>
      <c r="R94" s="1304"/>
      <c r="S94" s="1304"/>
      <c r="T94" s="1304"/>
      <c r="U94" s="1304"/>
      <c r="V94" s="1304"/>
      <c r="W94" s="1304"/>
      <c r="X94" s="1304"/>
      <c r="Y94" s="1304"/>
      <c r="Z94" s="1304"/>
      <c r="AA94" s="1304"/>
      <c r="AB94" s="1304"/>
      <c r="AC94" s="1304"/>
      <c r="AD94" s="1304"/>
      <c r="AE94" s="1304"/>
    </row>
    <row r="95" ht="15.0" customHeight="1">
      <c r="A95" s="1304"/>
      <c r="B95" s="1304"/>
      <c r="C95" s="1304"/>
      <c r="D95" s="1304"/>
      <c r="E95" s="1304"/>
      <c r="F95" s="1304"/>
      <c r="G95" s="1304"/>
      <c r="H95" s="1304"/>
      <c r="I95" s="1304"/>
      <c r="J95" s="1304"/>
      <c r="K95" s="1304"/>
      <c r="L95" s="1304"/>
      <c r="M95" s="1304"/>
      <c r="N95" s="1304"/>
      <c r="O95" s="1304"/>
      <c r="P95" s="1304"/>
      <c r="Q95" s="1304"/>
      <c r="R95" s="1304"/>
      <c r="S95" s="1304"/>
      <c r="T95" s="1304"/>
      <c r="U95" s="1304"/>
      <c r="V95" s="1304"/>
      <c r="W95" s="1304"/>
      <c r="X95" s="1304"/>
      <c r="Y95" s="1304"/>
      <c r="Z95" s="1304"/>
      <c r="AA95" s="1304"/>
      <c r="AB95" s="1304"/>
      <c r="AC95" s="1304"/>
      <c r="AD95" s="1304"/>
      <c r="AE95" s="1304"/>
    </row>
    <row r="96" ht="15.0" customHeight="1">
      <c r="A96" s="1304"/>
      <c r="B96" s="1304"/>
      <c r="C96" s="1304"/>
      <c r="D96" s="1304"/>
      <c r="E96" s="1304"/>
      <c r="F96" s="1304"/>
      <c r="G96" s="1304"/>
      <c r="H96" s="1304"/>
      <c r="I96" s="1304"/>
      <c r="J96" s="1304"/>
      <c r="K96" s="1304"/>
      <c r="L96" s="1304"/>
      <c r="M96" s="1304"/>
      <c r="N96" s="1304"/>
      <c r="O96" s="1304"/>
      <c r="P96" s="1304"/>
      <c r="Q96" s="1304"/>
      <c r="R96" s="1304"/>
      <c r="S96" s="1304"/>
      <c r="T96" s="1304"/>
      <c r="U96" s="1304"/>
      <c r="V96" s="1304"/>
      <c r="W96" s="1304"/>
      <c r="X96" s="1304"/>
      <c r="Y96" s="1304"/>
      <c r="Z96" s="1304"/>
      <c r="AA96" s="1304"/>
      <c r="AB96" s="1304"/>
      <c r="AC96" s="1304"/>
      <c r="AD96" s="1304"/>
      <c r="AE96" s="1304"/>
    </row>
    <row r="97" ht="15.0" customHeight="1">
      <c r="A97" s="1304"/>
      <c r="B97" s="1304"/>
      <c r="C97" s="1304"/>
      <c r="D97" s="1304"/>
      <c r="E97" s="1304"/>
      <c r="F97" s="1304"/>
      <c r="G97" s="1304"/>
      <c r="H97" s="1304"/>
      <c r="I97" s="1304"/>
      <c r="J97" s="1304"/>
      <c r="K97" s="1304"/>
      <c r="L97" s="1304"/>
      <c r="M97" s="1304"/>
      <c r="N97" s="1304"/>
      <c r="O97" s="1304"/>
      <c r="P97" s="1304"/>
      <c r="Q97" s="1304"/>
      <c r="R97" s="1304"/>
      <c r="S97" s="1304"/>
      <c r="T97" s="1304"/>
      <c r="U97" s="1304"/>
      <c r="V97" s="1304"/>
      <c r="W97" s="1304"/>
      <c r="X97" s="1304"/>
      <c r="Y97" s="1304"/>
      <c r="Z97" s="1304"/>
      <c r="AA97" s="1304"/>
      <c r="AB97" s="1304"/>
      <c r="AC97" s="1304"/>
      <c r="AD97" s="1304"/>
      <c r="AE97" s="1304"/>
    </row>
    <row r="98" ht="15.0" customHeight="1">
      <c r="A98" s="1304"/>
      <c r="B98" s="1304"/>
      <c r="C98" s="1304"/>
      <c r="D98" s="1304"/>
      <c r="E98" s="1304"/>
      <c r="F98" s="1304"/>
      <c r="G98" s="1304"/>
      <c r="H98" s="1304"/>
      <c r="I98" s="1304"/>
      <c r="J98" s="1304"/>
      <c r="K98" s="1304"/>
      <c r="L98" s="1304"/>
      <c r="M98" s="1304"/>
      <c r="N98" s="1304"/>
      <c r="O98" s="1304"/>
      <c r="P98" s="1304"/>
      <c r="Q98" s="1304"/>
      <c r="R98" s="1304"/>
      <c r="S98" s="1304"/>
      <c r="T98" s="1304"/>
      <c r="U98" s="1304"/>
      <c r="V98" s="1304"/>
      <c r="W98" s="1304"/>
      <c r="X98" s="1304"/>
      <c r="Y98" s="1304"/>
      <c r="Z98" s="1304"/>
      <c r="AA98" s="1304"/>
      <c r="AB98" s="1304"/>
      <c r="AC98" s="1304"/>
      <c r="AD98" s="1304"/>
      <c r="AE98" s="1304"/>
    </row>
    <row r="99" ht="15.0" customHeight="1">
      <c r="A99" s="1304"/>
      <c r="B99" s="1304"/>
      <c r="C99" s="1304"/>
      <c r="D99" s="1304"/>
      <c r="E99" s="1304"/>
      <c r="F99" s="1304"/>
      <c r="G99" s="1304"/>
      <c r="H99" s="1304"/>
      <c r="I99" s="1304"/>
      <c r="J99" s="1304"/>
      <c r="K99" s="1304"/>
      <c r="L99" s="1304"/>
      <c r="M99" s="1304"/>
      <c r="N99" s="1304"/>
      <c r="O99" s="1304"/>
      <c r="P99" s="1304"/>
      <c r="Q99" s="1304"/>
      <c r="R99" s="1304"/>
      <c r="S99" s="1304"/>
      <c r="T99" s="1304"/>
      <c r="U99" s="1304"/>
      <c r="V99" s="1304"/>
      <c r="W99" s="1304"/>
      <c r="X99" s="1304"/>
      <c r="Y99" s="1304"/>
      <c r="Z99" s="1304"/>
      <c r="AA99" s="1304"/>
      <c r="AB99" s="1304"/>
      <c r="AC99" s="1304"/>
      <c r="AD99" s="1304"/>
      <c r="AE99" s="1304"/>
    </row>
    <row r="100" ht="15.0" customHeight="1">
      <c r="A100" s="1304"/>
      <c r="B100" s="1304"/>
      <c r="C100" s="1304"/>
      <c r="D100" s="1304"/>
      <c r="E100" s="1304"/>
      <c r="F100" s="1304"/>
      <c r="G100" s="1304"/>
      <c r="H100" s="1304"/>
      <c r="I100" s="1304"/>
      <c r="J100" s="1304"/>
      <c r="K100" s="1304"/>
      <c r="L100" s="1304"/>
      <c r="M100" s="1304"/>
      <c r="N100" s="1304"/>
      <c r="O100" s="1304"/>
      <c r="P100" s="1304"/>
      <c r="Q100" s="1304"/>
      <c r="R100" s="1304"/>
      <c r="S100" s="1304"/>
      <c r="T100" s="1304"/>
      <c r="U100" s="1304"/>
      <c r="V100" s="1304"/>
      <c r="W100" s="1304"/>
      <c r="X100" s="1304"/>
      <c r="Y100" s="1304"/>
      <c r="Z100" s="1304"/>
      <c r="AA100" s="1304"/>
      <c r="AB100" s="1304"/>
      <c r="AC100" s="1304"/>
      <c r="AD100" s="1304"/>
      <c r="AE100" s="1304"/>
    </row>
    <row r="101" ht="15.0" customHeight="1">
      <c r="A101" s="1304"/>
      <c r="B101" s="1304"/>
      <c r="C101" s="1304"/>
      <c r="D101" s="1304"/>
      <c r="E101" s="1304"/>
      <c r="F101" s="1304"/>
      <c r="G101" s="1304"/>
      <c r="H101" s="1304"/>
      <c r="I101" s="1304"/>
      <c r="J101" s="1304"/>
      <c r="K101" s="1304"/>
      <c r="L101" s="1304"/>
      <c r="M101" s="1304"/>
      <c r="N101" s="1304"/>
      <c r="O101" s="1304"/>
      <c r="P101" s="1304"/>
      <c r="Q101" s="1304"/>
      <c r="R101" s="1304"/>
      <c r="S101" s="1304"/>
      <c r="T101" s="1304"/>
      <c r="U101" s="1304"/>
      <c r="V101" s="1304"/>
      <c r="W101" s="1304"/>
      <c r="X101" s="1304"/>
      <c r="Y101" s="1304"/>
      <c r="Z101" s="1304"/>
      <c r="AA101" s="1304"/>
      <c r="AB101" s="1304"/>
      <c r="AC101" s="1304"/>
      <c r="AD101" s="1304"/>
      <c r="AE101" s="1304"/>
    </row>
    <row r="102" ht="15.0" customHeight="1">
      <c r="A102" s="1304"/>
      <c r="B102" s="1304"/>
      <c r="C102" s="1304"/>
      <c r="D102" s="1304"/>
      <c r="E102" s="1304"/>
      <c r="F102" s="1304"/>
      <c r="G102" s="1304"/>
      <c r="H102" s="1304"/>
      <c r="I102" s="1304"/>
      <c r="J102" s="1304"/>
      <c r="K102" s="1304"/>
      <c r="L102" s="1304"/>
      <c r="M102" s="1304"/>
      <c r="N102" s="1304"/>
      <c r="O102" s="1304"/>
      <c r="P102" s="1304"/>
      <c r="Q102" s="1304"/>
      <c r="R102" s="1304"/>
      <c r="S102" s="1304"/>
      <c r="T102" s="1304"/>
      <c r="U102" s="1304"/>
      <c r="V102" s="1304"/>
      <c r="W102" s="1304"/>
      <c r="X102" s="1304"/>
      <c r="Y102" s="1304"/>
      <c r="Z102" s="1304"/>
      <c r="AA102" s="1304"/>
      <c r="AB102" s="1304"/>
      <c r="AC102" s="1304"/>
      <c r="AD102" s="1304"/>
      <c r="AE102" s="1304"/>
    </row>
    <row r="103" ht="15.0" customHeight="1">
      <c r="A103" s="1304"/>
      <c r="B103" s="1304"/>
      <c r="C103" s="1304"/>
      <c r="D103" s="1304"/>
      <c r="E103" s="1304"/>
      <c r="F103" s="1304"/>
      <c r="G103" s="1304"/>
      <c r="H103" s="1304"/>
      <c r="I103" s="1304"/>
      <c r="J103" s="1304"/>
      <c r="K103" s="1304"/>
      <c r="L103" s="1304"/>
      <c r="M103" s="1304"/>
      <c r="N103" s="1304"/>
      <c r="O103" s="1304"/>
      <c r="P103" s="1304"/>
      <c r="Q103" s="1304"/>
      <c r="R103" s="1304"/>
      <c r="S103" s="1304"/>
      <c r="T103" s="1304"/>
      <c r="U103" s="1304"/>
      <c r="V103" s="1304"/>
      <c r="W103" s="1304"/>
      <c r="X103" s="1304"/>
      <c r="Y103" s="1304"/>
      <c r="Z103" s="1304"/>
      <c r="AA103" s="1304"/>
      <c r="AB103" s="1304"/>
      <c r="AC103" s="1304"/>
      <c r="AD103" s="1304"/>
      <c r="AE103" s="1304"/>
    </row>
    <row r="104" ht="15.0" customHeight="1">
      <c r="A104" s="1304"/>
      <c r="B104" s="1304"/>
      <c r="C104" s="1304"/>
      <c r="D104" s="1304"/>
      <c r="E104" s="1304"/>
      <c r="F104" s="1304"/>
      <c r="G104" s="1304"/>
      <c r="H104" s="1304"/>
      <c r="I104" s="1304"/>
      <c r="J104" s="1304"/>
      <c r="K104" s="1304"/>
      <c r="L104" s="1304"/>
      <c r="M104" s="1304"/>
      <c r="N104" s="1304"/>
      <c r="O104" s="1304"/>
      <c r="P104" s="1304"/>
      <c r="Q104" s="1304"/>
      <c r="R104" s="1304"/>
      <c r="S104" s="1304"/>
      <c r="T104" s="1304"/>
      <c r="U104" s="1304"/>
      <c r="V104" s="1304"/>
      <c r="W104" s="1304"/>
      <c r="X104" s="1304"/>
      <c r="Y104" s="1304"/>
      <c r="Z104" s="1304"/>
      <c r="AA104" s="1304"/>
      <c r="AB104" s="1304"/>
      <c r="AC104" s="1304"/>
      <c r="AD104" s="1304"/>
      <c r="AE104" s="1304"/>
    </row>
    <row r="105" ht="15.0" customHeight="1">
      <c r="A105" s="1304"/>
      <c r="B105" s="1304"/>
      <c r="C105" s="1304"/>
      <c r="D105" s="1304"/>
      <c r="E105" s="1304"/>
      <c r="F105" s="1304"/>
      <c r="G105" s="1304"/>
      <c r="H105" s="1304"/>
      <c r="I105" s="1304"/>
      <c r="J105" s="1304"/>
      <c r="K105" s="1304"/>
      <c r="L105" s="1304"/>
      <c r="M105" s="1304"/>
      <c r="N105" s="1304"/>
      <c r="O105" s="1304"/>
      <c r="P105" s="1304"/>
      <c r="Q105" s="1304"/>
      <c r="R105" s="1304"/>
      <c r="S105" s="1304"/>
      <c r="T105" s="1304"/>
      <c r="U105" s="1304"/>
      <c r="V105" s="1304"/>
      <c r="W105" s="1304"/>
      <c r="X105" s="1304"/>
      <c r="Y105" s="1304"/>
      <c r="Z105" s="1304"/>
      <c r="AA105" s="1304"/>
      <c r="AB105" s="1304"/>
      <c r="AC105" s="1304"/>
      <c r="AD105" s="1304"/>
      <c r="AE105" s="1304"/>
    </row>
    <row r="106" ht="15.0" customHeight="1">
      <c r="A106" s="1304"/>
      <c r="B106" s="1304"/>
      <c r="C106" s="1304"/>
      <c r="D106" s="1304"/>
      <c r="E106" s="1304"/>
      <c r="F106" s="1304"/>
      <c r="G106" s="1304"/>
      <c r="H106" s="1304"/>
      <c r="I106" s="1304"/>
      <c r="J106" s="1304"/>
      <c r="K106" s="1304"/>
      <c r="L106" s="1304"/>
      <c r="M106" s="1304"/>
      <c r="N106" s="1304"/>
      <c r="O106" s="1304"/>
      <c r="P106" s="1304"/>
      <c r="Q106" s="1304"/>
      <c r="R106" s="1304"/>
      <c r="S106" s="1304"/>
      <c r="T106" s="1304"/>
      <c r="U106" s="1304"/>
      <c r="V106" s="1304"/>
      <c r="W106" s="1304"/>
      <c r="X106" s="1304"/>
      <c r="Y106" s="1304"/>
      <c r="Z106" s="1304"/>
      <c r="AA106" s="1304"/>
      <c r="AB106" s="1304"/>
      <c r="AC106" s="1304"/>
      <c r="AD106" s="1304"/>
      <c r="AE106" s="1304"/>
    </row>
    <row r="107" ht="15.0" customHeight="1">
      <c r="A107" s="1304"/>
      <c r="B107" s="1304"/>
      <c r="C107" s="1304"/>
      <c r="D107" s="1304"/>
      <c r="E107" s="1304"/>
      <c r="F107" s="1304"/>
      <c r="G107" s="1304"/>
      <c r="H107" s="1304"/>
      <c r="I107" s="1304"/>
      <c r="J107" s="1304"/>
      <c r="K107" s="1304"/>
      <c r="L107" s="1304"/>
      <c r="M107" s="1304"/>
      <c r="N107" s="1304"/>
      <c r="O107" s="1304"/>
      <c r="P107" s="1304"/>
      <c r="Q107" s="1304"/>
      <c r="R107" s="1304"/>
      <c r="S107" s="1304"/>
      <c r="T107" s="1304"/>
      <c r="U107" s="1304"/>
      <c r="V107" s="1304"/>
      <c r="W107" s="1304"/>
      <c r="X107" s="1304"/>
      <c r="Y107" s="1304"/>
      <c r="Z107" s="1304"/>
      <c r="AA107" s="1304"/>
      <c r="AB107" s="1304"/>
      <c r="AC107" s="1304"/>
      <c r="AD107" s="1304"/>
      <c r="AE107" s="1304"/>
    </row>
    <row r="108" ht="15.0" customHeight="1">
      <c r="A108" s="1304"/>
      <c r="B108" s="1304"/>
      <c r="C108" s="1304"/>
      <c r="D108" s="1304"/>
      <c r="E108" s="1304"/>
      <c r="F108" s="1304"/>
      <c r="G108" s="1304"/>
      <c r="H108" s="1304"/>
      <c r="I108" s="1304"/>
      <c r="J108" s="1304"/>
      <c r="K108" s="1304"/>
      <c r="L108" s="1304"/>
      <c r="M108" s="1304"/>
      <c r="N108" s="1304"/>
      <c r="O108" s="1304"/>
      <c r="P108" s="1304"/>
      <c r="Q108" s="1304"/>
      <c r="R108" s="1304"/>
      <c r="S108" s="1304"/>
      <c r="T108" s="1304"/>
      <c r="U108" s="1304"/>
      <c r="V108" s="1304"/>
      <c r="W108" s="1304"/>
      <c r="X108" s="1304"/>
      <c r="Y108" s="1304"/>
      <c r="Z108" s="1304"/>
      <c r="AA108" s="1304"/>
      <c r="AB108" s="1304"/>
      <c r="AC108" s="1304"/>
      <c r="AD108" s="1304"/>
      <c r="AE108" s="1304"/>
    </row>
    <row r="109" ht="15.0" customHeight="1">
      <c r="A109" s="1304"/>
      <c r="B109" s="1304"/>
      <c r="C109" s="1304"/>
      <c r="D109" s="1304"/>
      <c r="E109" s="1304"/>
      <c r="F109" s="1304"/>
      <c r="G109" s="1304"/>
      <c r="H109" s="1304"/>
      <c r="I109" s="1304"/>
      <c r="J109" s="1304"/>
      <c r="K109" s="1304"/>
      <c r="L109" s="1304"/>
      <c r="M109" s="1304"/>
      <c r="N109" s="1304"/>
      <c r="O109" s="1304"/>
      <c r="P109" s="1304"/>
      <c r="Q109" s="1304"/>
      <c r="R109" s="1304"/>
      <c r="S109" s="1304"/>
      <c r="T109" s="1304"/>
      <c r="U109" s="1304"/>
      <c r="V109" s="1304"/>
      <c r="W109" s="1304"/>
      <c r="X109" s="1304"/>
      <c r="Y109" s="1304"/>
      <c r="Z109" s="1304"/>
      <c r="AA109" s="1304"/>
      <c r="AB109" s="1304"/>
      <c r="AC109" s="1304"/>
      <c r="AD109" s="1304"/>
      <c r="AE109" s="1304"/>
    </row>
    <row r="110" ht="15.0" customHeight="1">
      <c r="A110" s="1304"/>
      <c r="B110" s="1304"/>
      <c r="C110" s="1304"/>
      <c r="D110" s="1304"/>
      <c r="E110" s="1304"/>
      <c r="F110" s="1304"/>
      <c r="G110" s="1304"/>
      <c r="H110" s="1304"/>
      <c r="I110" s="1304"/>
      <c r="J110" s="1304"/>
      <c r="K110" s="1304"/>
      <c r="L110" s="1304"/>
      <c r="M110" s="1304"/>
      <c r="N110" s="1304"/>
      <c r="O110" s="1304"/>
      <c r="P110" s="1304"/>
      <c r="Q110" s="1304"/>
      <c r="R110" s="1304"/>
      <c r="S110" s="1304"/>
      <c r="T110" s="1304"/>
      <c r="U110" s="1304"/>
      <c r="V110" s="1304"/>
      <c r="W110" s="1304"/>
      <c r="X110" s="1304"/>
      <c r="Y110" s="1304"/>
      <c r="Z110" s="1304"/>
      <c r="AA110" s="1304"/>
      <c r="AB110" s="1304"/>
      <c r="AC110" s="1304"/>
      <c r="AD110" s="1304"/>
      <c r="AE110" s="1304"/>
    </row>
    <row r="111" ht="15.0" customHeight="1">
      <c r="A111" s="1304"/>
      <c r="B111" s="1304"/>
      <c r="C111" s="1304"/>
      <c r="D111" s="1304"/>
      <c r="E111" s="1304"/>
      <c r="F111" s="1304"/>
      <c r="G111" s="1304"/>
      <c r="H111" s="1304"/>
      <c r="I111" s="1304"/>
      <c r="J111" s="1304"/>
      <c r="K111" s="1304"/>
      <c r="L111" s="1304"/>
      <c r="M111" s="1304"/>
      <c r="N111" s="1304"/>
      <c r="O111" s="1304"/>
      <c r="P111" s="1304"/>
      <c r="Q111" s="1304"/>
      <c r="R111" s="1304"/>
      <c r="S111" s="1304"/>
      <c r="T111" s="1304"/>
      <c r="U111" s="1304"/>
      <c r="V111" s="1304"/>
      <c r="W111" s="1304"/>
      <c r="X111" s="1304"/>
      <c r="Y111" s="1304"/>
      <c r="Z111" s="1304"/>
      <c r="AA111" s="1304"/>
      <c r="AB111" s="1304"/>
      <c r="AC111" s="1304"/>
      <c r="AD111" s="1304"/>
      <c r="AE111" s="1304"/>
    </row>
    <row r="112" ht="15.0" customHeight="1">
      <c r="A112" s="1304"/>
      <c r="B112" s="1304"/>
      <c r="C112" s="1304"/>
      <c r="D112" s="1304"/>
      <c r="E112" s="1304"/>
      <c r="F112" s="1304"/>
      <c r="G112" s="1304"/>
      <c r="H112" s="1304"/>
      <c r="I112" s="1304"/>
      <c r="J112" s="1304"/>
      <c r="K112" s="1304"/>
      <c r="L112" s="1304"/>
      <c r="M112" s="1304"/>
      <c r="N112" s="1304"/>
      <c r="O112" s="1304"/>
      <c r="P112" s="1304"/>
      <c r="Q112" s="1304"/>
      <c r="R112" s="1304"/>
      <c r="S112" s="1304"/>
      <c r="T112" s="1304"/>
      <c r="U112" s="1304"/>
      <c r="V112" s="1304"/>
      <c r="W112" s="1304"/>
      <c r="X112" s="1304"/>
      <c r="Y112" s="1304"/>
      <c r="Z112" s="1304"/>
      <c r="AA112" s="1304"/>
      <c r="AB112" s="1304"/>
      <c r="AC112" s="1304"/>
      <c r="AD112" s="1304"/>
      <c r="AE112" s="1304"/>
    </row>
    <row r="113" ht="15.0" customHeight="1">
      <c r="A113" s="1304"/>
      <c r="B113" s="1304"/>
      <c r="C113" s="1304"/>
      <c r="D113" s="1304"/>
      <c r="E113" s="1304"/>
      <c r="F113" s="1304"/>
      <c r="G113" s="1304"/>
      <c r="H113" s="1304"/>
      <c r="I113" s="1304"/>
      <c r="J113" s="1304"/>
      <c r="K113" s="1304"/>
      <c r="L113" s="1304"/>
      <c r="M113" s="1304"/>
      <c r="N113" s="1304"/>
      <c r="O113" s="1304"/>
      <c r="P113" s="1304"/>
      <c r="Q113" s="1304"/>
      <c r="R113" s="1304"/>
      <c r="S113" s="1304"/>
      <c r="T113" s="1304"/>
      <c r="U113" s="1304"/>
      <c r="V113" s="1304"/>
      <c r="W113" s="1304"/>
      <c r="X113" s="1304"/>
      <c r="Y113" s="1304"/>
      <c r="Z113" s="1304"/>
      <c r="AA113" s="1304"/>
      <c r="AB113" s="1304"/>
      <c r="AC113" s="1304"/>
      <c r="AD113" s="1304"/>
      <c r="AE113" s="1304"/>
    </row>
    <row r="114" ht="15.0" customHeight="1">
      <c r="A114" s="1304"/>
      <c r="B114" s="1304"/>
      <c r="C114" s="1304"/>
      <c r="D114" s="1304"/>
      <c r="E114" s="1304"/>
      <c r="F114" s="1304"/>
      <c r="G114" s="1304"/>
      <c r="H114" s="1304"/>
      <c r="I114" s="1304"/>
      <c r="J114" s="1304"/>
      <c r="K114" s="1304"/>
      <c r="L114" s="1304"/>
      <c r="M114" s="1304"/>
      <c r="N114" s="1304"/>
      <c r="O114" s="1304"/>
      <c r="P114" s="1304"/>
      <c r="Q114" s="1304"/>
      <c r="R114" s="1304"/>
      <c r="S114" s="1304"/>
      <c r="T114" s="1304"/>
      <c r="U114" s="1304"/>
      <c r="V114" s="1304"/>
      <c r="W114" s="1304"/>
      <c r="X114" s="1304"/>
      <c r="Y114" s="1304"/>
      <c r="Z114" s="1304"/>
      <c r="AA114" s="1304"/>
      <c r="AB114" s="1304"/>
      <c r="AC114" s="1304"/>
      <c r="AD114" s="1304"/>
      <c r="AE114" s="1304"/>
    </row>
    <row r="115" ht="15.0" customHeight="1">
      <c r="A115" s="1304"/>
      <c r="B115" s="1304"/>
      <c r="C115" s="1304"/>
      <c r="D115" s="1304"/>
      <c r="E115" s="1304"/>
      <c r="F115" s="1304"/>
      <c r="G115" s="1304"/>
      <c r="H115" s="1304"/>
      <c r="I115" s="1304"/>
      <c r="J115" s="1304"/>
      <c r="K115" s="1304"/>
      <c r="L115" s="1304"/>
      <c r="M115" s="1304"/>
      <c r="N115" s="1304"/>
      <c r="O115" s="1304"/>
      <c r="P115" s="1304"/>
      <c r="Q115" s="1304"/>
      <c r="R115" s="1304"/>
      <c r="S115" s="1304"/>
      <c r="T115" s="1304"/>
      <c r="U115" s="1304"/>
      <c r="V115" s="1304"/>
      <c r="W115" s="1304"/>
      <c r="X115" s="1304"/>
      <c r="Y115" s="1304"/>
      <c r="Z115" s="1304"/>
      <c r="AA115" s="1304"/>
      <c r="AB115" s="1304"/>
      <c r="AC115" s="1304"/>
      <c r="AD115" s="1304"/>
      <c r="AE115" s="1304"/>
    </row>
    <row r="116" ht="15.0" customHeight="1">
      <c r="A116" s="1304"/>
      <c r="B116" s="1304"/>
      <c r="C116" s="1304"/>
      <c r="D116" s="1304"/>
      <c r="E116" s="1304"/>
      <c r="F116" s="1304"/>
      <c r="G116" s="1304"/>
      <c r="H116" s="1304"/>
      <c r="I116" s="1304"/>
      <c r="J116" s="1304"/>
      <c r="K116" s="1304"/>
      <c r="L116" s="1304"/>
      <c r="M116" s="1304"/>
      <c r="N116" s="1304"/>
      <c r="O116" s="1304"/>
      <c r="P116" s="1304"/>
      <c r="Q116" s="1304"/>
      <c r="R116" s="1304"/>
      <c r="S116" s="1304"/>
      <c r="T116" s="1304"/>
      <c r="U116" s="1304"/>
      <c r="V116" s="1304"/>
      <c r="W116" s="1304"/>
      <c r="X116" s="1304"/>
      <c r="Y116" s="1304"/>
      <c r="Z116" s="1304"/>
      <c r="AA116" s="1304"/>
      <c r="AB116" s="1304"/>
      <c r="AC116" s="1304"/>
      <c r="AD116" s="1304"/>
      <c r="AE116" s="1304"/>
    </row>
    <row r="117" ht="15.0" customHeight="1">
      <c r="A117" s="1304"/>
      <c r="B117" s="1304"/>
      <c r="C117" s="1304"/>
      <c r="D117" s="1304"/>
      <c r="E117" s="1304"/>
      <c r="F117" s="1304"/>
      <c r="G117" s="1304"/>
      <c r="H117" s="1304"/>
      <c r="I117" s="1304"/>
      <c r="J117" s="1304"/>
      <c r="K117" s="1304"/>
      <c r="L117" s="1304"/>
      <c r="M117" s="1304"/>
      <c r="N117" s="1304"/>
      <c r="O117" s="1304"/>
      <c r="P117" s="1304"/>
      <c r="Q117" s="1304"/>
      <c r="R117" s="1304"/>
      <c r="S117" s="1304"/>
      <c r="T117" s="1304"/>
      <c r="U117" s="1304"/>
      <c r="V117" s="1304"/>
      <c r="W117" s="1304"/>
      <c r="X117" s="1304"/>
      <c r="Y117" s="1304"/>
      <c r="Z117" s="1304"/>
      <c r="AA117" s="1304"/>
      <c r="AB117" s="1304"/>
      <c r="AC117" s="1304"/>
      <c r="AD117" s="1304"/>
      <c r="AE117" s="1304"/>
    </row>
    <row r="118" ht="15.0" customHeight="1">
      <c r="A118" s="1304"/>
      <c r="B118" s="1304"/>
      <c r="C118" s="1304"/>
      <c r="D118" s="1304"/>
      <c r="E118" s="1304"/>
      <c r="F118" s="1304"/>
      <c r="G118" s="1304"/>
      <c r="H118" s="1304"/>
      <c r="I118" s="1304"/>
      <c r="J118" s="1304"/>
      <c r="K118" s="1304"/>
      <c r="L118" s="1304"/>
      <c r="M118" s="1304"/>
      <c r="N118" s="1304"/>
      <c r="O118" s="1304"/>
      <c r="P118" s="1304"/>
      <c r="Q118" s="1304"/>
      <c r="R118" s="1304"/>
      <c r="S118" s="1304"/>
      <c r="T118" s="1304"/>
      <c r="U118" s="1304"/>
      <c r="V118" s="1304"/>
      <c r="W118" s="1304"/>
      <c r="X118" s="1304"/>
      <c r="Y118" s="1304"/>
      <c r="Z118" s="1304"/>
      <c r="AA118" s="1304"/>
      <c r="AB118" s="1304"/>
      <c r="AC118" s="1304"/>
      <c r="AD118" s="1304"/>
      <c r="AE118" s="1304"/>
    </row>
    <row r="119" ht="15.0" customHeight="1">
      <c r="A119" s="1304"/>
      <c r="B119" s="1304"/>
      <c r="C119" s="1304"/>
      <c r="D119" s="1304"/>
      <c r="E119" s="1304"/>
      <c r="F119" s="1304"/>
      <c r="G119" s="1304"/>
      <c r="H119" s="1304"/>
      <c r="I119" s="1304"/>
      <c r="J119" s="1304"/>
      <c r="K119" s="1304"/>
      <c r="L119" s="1304"/>
      <c r="M119" s="1304"/>
      <c r="N119" s="1304"/>
      <c r="O119" s="1304"/>
      <c r="P119" s="1304"/>
      <c r="Q119" s="1304"/>
      <c r="R119" s="1304"/>
      <c r="S119" s="1304"/>
      <c r="T119" s="1304"/>
      <c r="U119" s="1304"/>
      <c r="V119" s="1304"/>
      <c r="W119" s="1304"/>
      <c r="X119" s="1304"/>
      <c r="Y119" s="1304"/>
      <c r="Z119" s="1304"/>
      <c r="AA119" s="1304"/>
      <c r="AB119" s="1304"/>
      <c r="AC119" s="1304"/>
      <c r="AD119" s="1304"/>
      <c r="AE119" s="1304"/>
    </row>
    <row r="120" ht="15.0" customHeight="1">
      <c r="A120" s="1304"/>
      <c r="B120" s="1304"/>
      <c r="C120" s="1304"/>
      <c r="D120" s="1304"/>
      <c r="E120" s="1304"/>
      <c r="F120" s="1304"/>
      <c r="G120" s="1304"/>
      <c r="H120" s="1304"/>
      <c r="I120" s="1304"/>
      <c r="J120" s="1304"/>
      <c r="K120" s="1304"/>
      <c r="L120" s="1304"/>
      <c r="M120" s="1304"/>
      <c r="N120" s="1304"/>
      <c r="O120" s="1304"/>
      <c r="P120" s="1304"/>
      <c r="Q120" s="1304"/>
      <c r="R120" s="1304"/>
      <c r="S120" s="1304"/>
      <c r="T120" s="1304"/>
      <c r="U120" s="1304"/>
      <c r="V120" s="1304"/>
      <c r="W120" s="1304"/>
      <c r="X120" s="1304"/>
      <c r="Y120" s="1304"/>
      <c r="Z120" s="1304"/>
      <c r="AA120" s="1304"/>
      <c r="AB120" s="1304"/>
      <c r="AC120" s="1304"/>
      <c r="AD120" s="1304"/>
      <c r="AE120" s="1304"/>
    </row>
    <row r="121" ht="15.0" customHeight="1">
      <c r="A121" s="1304"/>
      <c r="B121" s="1304"/>
      <c r="C121" s="1304"/>
      <c r="D121" s="1304"/>
      <c r="E121" s="1304"/>
      <c r="F121" s="1304"/>
      <c r="G121" s="1304"/>
      <c r="H121" s="1304"/>
      <c r="I121" s="1304"/>
      <c r="J121" s="1304"/>
      <c r="K121" s="1304"/>
      <c r="L121" s="1304"/>
      <c r="M121" s="1304"/>
      <c r="N121" s="1304"/>
      <c r="O121" s="1304"/>
      <c r="P121" s="1304"/>
      <c r="Q121" s="1304"/>
      <c r="R121" s="1304"/>
      <c r="S121" s="1304"/>
      <c r="T121" s="1304"/>
      <c r="U121" s="1304"/>
      <c r="V121" s="1304"/>
      <c r="W121" s="1304"/>
      <c r="X121" s="1304"/>
      <c r="Y121" s="1304"/>
      <c r="Z121" s="1304"/>
      <c r="AA121" s="1304"/>
      <c r="AB121" s="1304"/>
      <c r="AC121" s="1304"/>
      <c r="AD121" s="1304"/>
      <c r="AE121" s="1304"/>
    </row>
    <row r="122" ht="15.0" customHeight="1">
      <c r="A122" s="1304"/>
      <c r="B122" s="1304"/>
      <c r="C122" s="1304"/>
      <c r="D122" s="1304"/>
      <c r="E122" s="1304"/>
      <c r="F122" s="1304"/>
      <c r="G122" s="1304"/>
      <c r="H122" s="1304"/>
      <c r="I122" s="1304"/>
      <c r="J122" s="1304"/>
      <c r="K122" s="1304"/>
      <c r="L122" s="1304"/>
      <c r="M122" s="1304"/>
      <c r="N122" s="1304"/>
      <c r="O122" s="1304"/>
      <c r="P122" s="1304"/>
      <c r="Q122" s="1304"/>
      <c r="R122" s="1304"/>
      <c r="S122" s="1304"/>
      <c r="T122" s="1304"/>
      <c r="U122" s="1304"/>
      <c r="V122" s="1304"/>
      <c r="W122" s="1304"/>
      <c r="X122" s="1304"/>
      <c r="Y122" s="1304"/>
      <c r="Z122" s="1304"/>
      <c r="AA122" s="1304"/>
      <c r="AB122" s="1304"/>
      <c r="AC122" s="1304"/>
      <c r="AD122" s="1304"/>
      <c r="AE122" s="1304"/>
    </row>
    <row r="123" ht="15.0" customHeight="1">
      <c r="A123" s="1304"/>
      <c r="B123" s="1304"/>
      <c r="C123" s="1304"/>
      <c r="D123" s="1304"/>
      <c r="E123" s="1304"/>
      <c r="F123" s="1304"/>
      <c r="G123" s="1304"/>
      <c r="H123" s="1304"/>
      <c r="I123" s="1304"/>
      <c r="J123" s="1304"/>
      <c r="K123" s="1304"/>
      <c r="L123" s="1304"/>
      <c r="M123" s="1304"/>
      <c r="N123" s="1304"/>
      <c r="O123" s="1304"/>
      <c r="P123" s="1304"/>
      <c r="Q123" s="1304"/>
      <c r="R123" s="1304"/>
      <c r="S123" s="1304"/>
      <c r="T123" s="1304"/>
      <c r="U123" s="1304"/>
      <c r="V123" s="1304"/>
      <c r="W123" s="1304"/>
      <c r="X123" s="1304"/>
      <c r="Y123" s="1304"/>
      <c r="Z123" s="1304"/>
      <c r="AA123" s="1304"/>
      <c r="AB123" s="1304"/>
      <c r="AC123" s="1304"/>
      <c r="AD123" s="1304"/>
      <c r="AE123" s="1304"/>
    </row>
    <row r="124" ht="15.0" customHeight="1">
      <c r="A124" s="1304"/>
      <c r="B124" s="1304"/>
      <c r="C124" s="1304"/>
      <c r="D124" s="1304"/>
      <c r="E124" s="1304"/>
      <c r="F124" s="1304"/>
      <c r="G124" s="1304"/>
      <c r="H124" s="1304"/>
      <c r="I124" s="1304"/>
      <c r="J124" s="1304"/>
      <c r="K124" s="1304"/>
      <c r="L124" s="1304"/>
      <c r="M124" s="1304"/>
      <c r="N124" s="1304"/>
      <c r="O124" s="1304"/>
      <c r="P124" s="1304"/>
      <c r="Q124" s="1304"/>
      <c r="R124" s="1304"/>
      <c r="S124" s="1304"/>
      <c r="T124" s="1304"/>
      <c r="U124" s="1304"/>
      <c r="V124" s="1304"/>
      <c r="W124" s="1304"/>
      <c r="X124" s="1304"/>
      <c r="Y124" s="1304"/>
      <c r="Z124" s="1304"/>
      <c r="AA124" s="1304"/>
      <c r="AB124" s="1304"/>
      <c r="AC124" s="1304"/>
      <c r="AD124" s="1304"/>
      <c r="AE124" s="1304"/>
    </row>
    <row r="125" ht="15.0" customHeight="1">
      <c r="A125" s="1304"/>
      <c r="B125" s="1304"/>
      <c r="C125" s="1304"/>
      <c r="D125" s="1304"/>
      <c r="E125" s="1304"/>
      <c r="F125" s="1304"/>
      <c r="G125" s="1304"/>
      <c r="H125" s="1304"/>
      <c r="I125" s="1304"/>
      <c r="J125" s="1304"/>
      <c r="K125" s="1304"/>
      <c r="L125" s="1304"/>
      <c r="M125" s="1304"/>
      <c r="N125" s="1304"/>
      <c r="O125" s="1304"/>
      <c r="P125" s="1304"/>
      <c r="Q125" s="1304"/>
      <c r="R125" s="1304"/>
      <c r="S125" s="1304"/>
      <c r="T125" s="1304"/>
      <c r="U125" s="1304"/>
      <c r="V125" s="1304"/>
      <c r="W125" s="1304"/>
      <c r="X125" s="1304"/>
      <c r="Y125" s="1304"/>
      <c r="Z125" s="1304"/>
      <c r="AA125" s="1304"/>
      <c r="AB125" s="1304"/>
      <c r="AC125" s="1304"/>
      <c r="AD125" s="1304"/>
      <c r="AE125" s="1304"/>
    </row>
    <row r="126" ht="15.0" customHeight="1">
      <c r="A126" s="1304"/>
      <c r="B126" s="1304"/>
      <c r="C126" s="1304"/>
      <c r="D126" s="1304"/>
      <c r="E126" s="1304"/>
      <c r="F126" s="1304"/>
      <c r="G126" s="1304"/>
      <c r="H126" s="1304"/>
      <c r="I126" s="1304"/>
      <c r="J126" s="1304"/>
      <c r="K126" s="1304"/>
      <c r="L126" s="1304"/>
      <c r="M126" s="1304"/>
      <c r="N126" s="1304"/>
      <c r="O126" s="1304"/>
      <c r="P126" s="1304"/>
      <c r="Q126" s="1304"/>
      <c r="R126" s="1304"/>
      <c r="S126" s="1304"/>
      <c r="T126" s="1304"/>
      <c r="U126" s="1304"/>
      <c r="V126" s="1304"/>
      <c r="W126" s="1304"/>
      <c r="X126" s="1304"/>
      <c r="Y126" s="1304"/>
      <c r="Z126" s="1304"/>
      <c r="AA126" s="1304"/>
      <c r="AB126" s="1304"/>
      <c r="AC126" s="1304"/>
      <c r="AD126" s="1304"/>
      <c r="AE126" s="1304"/>
    </row>
    <row r="127" ht="15.0" customHeight="1">
      <c r="A127" s="1304"/>
      <c r="B127" s="1304"/>
      <c r="C127" s="1304"/>
      <c r="D127" s="1304"/>
      <c r="E127" s="1304"/>
      <c r="F127" s="1304"/>
      <c r="G127" s="1304"/>
      <c r="H127" s="1304"/>
      <c r="I127" s="1304"/>
      <c r="J127" s="1304"/>
      <c r="K127" s="1304"/>
      <c r="L127" s="1304"/>
      <c r="M127" s="1304"/>
      <c r="N127" s="1304"/>
      <c r="O127" s="1304"/>
      <c r="P127" s="1304"/>
      <c r="Q127" s="1304"/>
      <c r="R127" s="1304"/>
      <c r="S127" s="1304"/>
      <c r="T127" s="1304"/>
      <c r="U127" s="1304"/>
      <c r="V127" s="1304"/>
      <c r="W127" s="1304"/>
      <c r="X127" s="1304"/>
      <c r="Y127" s="1304"/>
      <c r="Z127" s="1304"/>
      <c r="AA127" s="1304"/>
      <c r="AB127" s="1304"/>
      <c r="AC127" s="1304"/>
      <c r="AD127" s="1304"/>
      <c r="AE127" s="1304"/>
    </row>
    <row r="128" ht="15.0" customHeight="1">
      <c r="A128" s="1304"/>
      <c r="B128" s="1304"/>
      <c r="C128" s="1304"/>
      <c r="D128" s="1304"/>
      <c r="E128" s="1304"/>
      <c r="F128" s="1304"/>
      <c r="G128" s="1304"/>
      <c r="H128" s="1304"/>
      <c r="I128" s="1304"/>
      <c r="J128" s="1304"/>
      <c r="K128" s="1304"/>
      <c r="L128" s="1304"/>
      <c r="M128" s="1304"/>
      <c r="N128" s="1304"/>
      <c r="O128" s="1304"/>
      <c r="P128" s="1304"/>
      <c r="Q128" s="1304"/>
      <c r="R128" s="1304"/>
      <c r="S128" s="1304"/>
      <c r="T128" s="1304"/>
      <c r="U128" s="1304"/>
      <c r="V128" s="1304"/>
      <c r="W128" s="1304"/>
      <c r="X128" s="1304"/>
      <c r="Y128" s="1304"/>
      <c r="Z128" s="1304"/>
      <c r="AA128" s="1304"/>
      <c r="AB128" s="1304"/>
      <c r="AC128" s="1304"/>
      <c r="AD128" s="1304"/>
      <c r="AE128" s="1304"/>
    </row>
    <row r="129" ht="15.0" customHeight="1">
      <c r="A129" s="1304"/>
      <c r="B129" s="1304"/>
      <c r="C129" s="1304"/>
      <c r="D129" s="1304"/>
      <c r="E129" s="1304"/>
      <c r="F129" s="1304"/>
      <c r="G129" s="1304"/>
      <c r="H129" s="1304"/>
      <c r="I129" s="1304"/>
      <c r="J129" s="1304"/>
      <c r="K129" s="1304"/>
      <c r="L129" s="1304"/>
      <c r="M129" s="1304"/>
      <c r="N129" s="1304"/>
      <c r="O129" s="1304"/>
      <c r="P129" s="1304"/>
      <c r="Q129" s="1304"/>
      <c r="R129" s="1304"/>
      <c r="S129" s="1304"/>
      <c r="T129" s="1304"/>
      <c r="U129" s="1304"/>
      <c r="V129" s="1304"/>
      <c r="W129" s="1304"/>
      <c r="X129" s="1304"/>
      <c r="Y129" s="1304"/>
      <c r="Z129" s="1304"/>
      <c r="AA129" s="1304"/>
      <c r="AB129" s="1304"/>
      <c r="AC129" s="1304"/>
      <c r="AD129" s="1304"/>
      <c r="AE129" s="1304"/>
    </row>
    <row r="130" ht="15.0" customHeight="1">
      <c r="A130" s="1304"/>
      <c r="B130" s="1304"/>
      <c r="C130" s="1304"/>
      <c r="D130" s="1304"/>
      <c r="E130" s="1304"/>
      <c r="F130" s="1304"/>
      <c r="G130" s="1304"/>
      <c r="H130" s="1304"/>
      <c r="I130" s="1304"/>
      <c r="J130" s="1304"/>
      <c r="K130" s="1304"/>
      <c r="L130" s="1304"/>
      <c r="M130" s="1304"/>
      <c r="N130" s="1304"/>
      <c r="O130" s="1304"/>
      <c r="P130" s="1304"/>
      <c r="Q130" s="1304"/>
      <c r="R130" s="1304"/>
      <c r="S130" s="1304"/>
      <c r="T130" s="1304"/>
      <c r="U130" s="1304"/>
      <c r="V130" s="1304"/>
      <c r="W130" s="1304"/>
      <c r="X130" s="1304"/>
      <c r="Y130" s="1304"/>
      <c r="Z130" s="1304"/>
      <c r="AA130" s="1304"/>
      <c r="AB130" s="1304"/>
      <c r="AC130" s="1304"/>
      <c r="AD130" s="1304"/>
      <c r="AE130" s="1304"/>
    </row>
    <row r="131" ht="15.0" customHeight="1">
      <c r="A131" s="1304"/>
      <c r="B131" s="1304"/>
      <c r="C131" s="1304"/>
      <c r="D131" s="1304"/>
      <c r="E131" s="1304"/>
      <c r="F131" s="1304"/>
      <c r="G131" s="1304"/>
      <c r="H131" s="1304"/>
      <c r="I131" s="1304"/>
      <c r="J131" s="1304"/>
      <c r="K131" s="1304"/>
      <c r="L131" s="1304"/>
      <c r="M131" s="1304"/>
      <c r="N131" s="1304"/>
      <c r="O131" s="1304"/>
      <c r="P131" s="1304"/>
      <c r="Q131" s="1304"/>
      <c r="R131" s="1304"/>
      <c r="S131" s="1304"/>
      <c r="T131" s="1304"/>
      <c r="U131" s="1304"/>
      <c r="V131" s="1304"/>
      <c r="W131" s="1304"/>
      <c r="X131" s="1304"/>
      <c r="Y131" s="1304"/>
      <c r="Z131" s="1304"/>
      <c r="AA131" s="1304"/>
      <c r="AB131" s="1304"/>
      <c r="AC131" s="1304"/>
      <c r="AD131" s="1304"/>
      <c r="AE131" s="1304"/>
    </row>
    <row r="132" ht="15.0" customHeight="1">
      <c r="A132" s="1304"/>
      <c r="B132" s="1304"/>
      <c r="C132" s="1304"/>
      <c r="D132" s="1304"/>
      <c r="E132" s="1304"/>
      <c r="F132" s="1304"/>
      <c r="G132" s="1304"/>
      <c r="H132" s="1304"/>
      <c r="I132" s="1304"/>
      <c r="J132" s="1304"/>
      <c r="K132" s="1304"/>
      <c r="L132" s="1304"/>
      <c r="M132" s="1304"/>
      <c r="N132" s="1304"/>
      <c r="O132" s="1304"/>
      <c r="P132" s="1304"/>
      <c r="Q132" s="1304"/>
      <c r="R132" s="1304"/>
      <c r="S132" s="1304"/>
      <c r="T132" s="1304"/>
      <c r="U132" s="1304"/>
      <c r="V132" s="1304"/>
      <c r="W132" s="1304"/>
      <c r="X132" s="1304"/>
      <c r="Y132" s="1304"/>
      <c r="Z132" s="1304"/>
      <c r="AA132" s="1304"/>
      <c r="AB132" s="1304"/>
      <c r="AC132" s="1304"/>
      <c r="AD132" s="1304"/>
      <c r="AE132" s="1304"/>
    </row>
    <row r="133" ht="15.0" customHeight="1">
      <c r="A133" s="1304"/>
      <c r="B133" s="1304"/>
      <c r="C133" s="1304"/>
      <c r="D133" s="1304"/>
      <c r="E133" s="1304"/>
      <c r="F133" s="1304"/>
      <c r="G133" s="1304"/>
      <c r="H133" s="1304"/>
      <c r="I133" s="1304"/>
      <c r="J133" s="1304"/>
      <c r="K133" s="1304"/>
      <c r="L133" s="1304"/>
      <c r="M133" s="1304"/>
      <c r="N133" s="1304"/>
      <c r="O133" s="1304"/>
      <c r="P133" s="1304"/>
      <c r="Q133" s="1304"/>
      <c r="R133" s="1304"/>
      <c r="S133" s="1304"/>
      <c r="T133" s="1304"/>
      <c r="U133" s="1304"/>
      <c r="V133" s="1304"/>
      <c r="W133" s="1304"/>
      <c r="X133" s="1304"/>
      <c r="Y133" s="1304"/>
      <c r="Z133" s="1304"/>
      <c r="AA133" s="1304"/>
      <c r="AB133" s="1304"/>
      <c r="AC133" s="1304"/>
      <c r="AD133" s="1304"/>
      <c r="AE133" s="1304"/>
    </row>
    <row r="134" ht="15.0" customHeight="1">
      <c r="A134" s="1304"/>
      <c r="B134" s="1304"/>
      <c r="C134" s="1304"/>
      <c r="D134" s="1304"/>
      <c r="E134" s="1304"/>
      <c r="F134" s="1304"/>
      <c r="G134" s="1304"/>
      <c r="H134" s="1304"/>
      <c r="I134" s="1304"/>
      <c r="J134" s="1304"/>
      <c r="K134" s="1304"/>
      <c r="L134" s="1304"/>
      <c r="M134" s="1304"/>
      <c r="N134" s="1304"/>
      <c r="O134" s="1304"/>
      <c r="P134" s="1304"/>
      <c r="Q134" s="1304"/>
      <c r="R134" s="1304"/>
      <c r="S134" s="1304"/>
      <c r="T134" s="1304"/>
      <c r="U134" s="1304"/>
      <c r="V134" s="1304"/>
      <c r="W134" s="1304"/>
      <c r="X134" s="1304"/>
      <c r="Y134" s="1304"/>
      <c r="Z134" s="1304"/>
      <c r="AA134" s="1304"/>
      <c r="AB134" s="1304"/>
      <c r="AC134" s="1304"/>
      <c r="AD134" s="1304"/>
      <c r="AE134" s="1304"/>
    </row>
    <row r="135" ht="15.0" customHeight="1">
      <c r="A135" s="1304"/>
      <c r="B135" s="1304"/>
      <c r="C135" s="1304"/>
      <c r="D135" s="1304"/>
      <c r="E135" s="1304"/>
      <c r="F135" s="1304"/>
      <c r="G135" s="1304"/>
      <c r="H135" s="1304"/>
      <c r="I135" s="1304"/>
      <c r="J135" s="1304"/>
      <c r="K135" s="1304"/>
      <c r="L135" s="1304"/>
      <c r="M135" s="1304"/>
      <c r="N135" s="1304"/>
      <c r="O135" s="1304"/>
      <c r="P135" s="1304"/>
      <c r="Q135" s="1304"/>
      <c r="R135" s="1304"/>
      <c r="S135" s="1304"/>
      <c r="T135" s="1304"/>
      <c r="U135" s="1304"/>
      <c r="V135" s="1304"/>
      <c r="W135" s="1304"/>
      <c r="X135" s="1304"/>
      <c r="Y135" s="1304"/>
      <c r="Z135" s="1304"/>
      <c r="AA135" s="1304"/>
      <c r="AB135" s="1304"/>
      <c r="AC135" s="1304"/>
      <c r="AD135" s="1304"/>
      <c r="AE135" s="1304"/>
    </row>
    <row r="136" ht="15.0" customHeight="1">
      <c r="A136" s="1304"/>
      <c r="B136" s="1304"/>
      <c r="C136" s="1304"/>
      <c r="D136" s="1304"/>
      <c r="E136" s="1304"/>
      <c r="F136" s="1304"/>
      <c r="G136" s="1304"/>
      <c r="H136" s="1304"/>
      <c r="I136" s="1304"/>
      <c r="J136" s="1304"/>
      <c r="K136" s="1304"/>
      <c r="L136" s="1304"/>
      <c r="M136" s="1304"/>
      <c r="N136" s="1304"/>
      <c r="O136" s="1304"/>
      <c r="P136" s="1304"/>
      <c r="Q136" s="1304"/>
      <c r="R136" s="1304"/>
      <c r="S136" s="1304"/>
      <c r="T136" s="1304"/>
      <c r="U136" s="1304"/>
      <c r="V136" s="1304"/>
      <c r="W136" s="1304"/>
      <c r="X136" s="1304"/>
      <c r="Y136" s="1304"/>
      <c r="Z136" s="1304"/>
      <c r="AA136" s="1304"/>
      <c r="AB136" s="1304"/>
      <c r="AC136" s="1304"/>
      <c r="AD136" s="1304"/>
      <c r="AE136" s="1304"/>
    </row>
    <row r="137" ht="15.0" customHeight="1">
      <c r="A137" s="1304"/>
      <c r="B137" s="1304"/>
      <c r="C137" s="1304"/>
      <c r="D137" s="1304"/>
      <c r="E137" s="1304"/>
      <c r="F137" s="1304"/>
      <c r="G137" s="1304"/>
      <c r="H137" s="1304"/>
      <c r="I137" s="1304"/>
      <c r="J137" s="1304"/>
      <c r="K137" s="1304"/>
      <c r="L137" s="1304"/>
      <c r="M137" s="1304"/>
      <c r="N137" s="1304"/>
      <c r="O137" s="1304"/>
      <c r="P137" s="1304"/>
      <c r="Q137" s="1304"/>
      <c r="R137" s="1304"/>
      <c r="S137" s="1304"/>
      <c r="T137" s="1304"/>
      <c r="U137" s="1304"/>
      <c r="V137" s="1304"/>
      <c r="W137" s="1304"/>
      <c r="X137" s="1304"/>
      <c r="Y137" s="1304"/>
      <c r="Z137" s="1304"/>
      <c r="AA137" s="1304"/>
      <c r="AB137" s="1304"/>
      <c r="AC137" s="1304"/>
      <c r="AD137" s="1304"/>
      <c r="AE137" s="1304"/>
    </row>
    <row r="138" ht="15.0" customHeight="1">
      <c r="A138" s="1304"/>
      <c r="B138" s="1304"/>
      <c r="C138" s="1304"/>
      <c r="D138" s="1304"/>
      <c r="E138" s="1304"/>
      <c r="F138" s="1304"/>
      <c r="G138" s="1304"/>
      <c r="H138" s="1304"/>
      <c r="I138" s="1304"/>
      <c r="J138" s="1304"/>
      <c r="K138" s="1304"/>
      <c r="L138" s="1304"/>
      <c r="M138" s="1304"/>
      <c r="N138" s="1304"/>
      <c r="O138" s="1304"/>
      <c r="P138" s="1304"/>
      <c r="Q138" s="1304"/>
      <c r="R138" s="1304"/>
      <c r="S138" s="1304"/>
      <c r="T138" s="1304"/>
      <c r="U138" s="1304"/>
      <c r="V138" s="1304"/>
      <c r="W138" s="1304"/>
      <c r="X138" s="1304"/>
      <c r="Y138" s="1304"/>
      <c r="Z138" s="1304"/>
      <c r="AA138" s="1304"/>
      <c r="AB138" s="1304"/>
      <c r="AC138" s="1304"/>
      <c r="AD138" s="1304"/>
      <c r="AE138" s="1304"/>
    </row>
    <row r="139" ht="15.0" customHeight="1">
      <c r="A139" s="1304"/>
      <c r="B139" s="1304"/>
      <c r="C139" s="1304"/>
      <c r="D139" s="1304"/>
      <c r="E139" s="1304"/>
      <c r="F139" s="1304"/>
      <c r="G139" s="1304"/>
      <c r="H139" s="1304"/>
      <c r="I139" s="1304"/>
      <c r="J139" s="1304"/>
      <c r="K139" s="1304"/>
      <c r="L139" s="1304"/>
      <c r="M139" s="1304"/>
      <c r="N139" s="1304"/>
      <c r="O139" s="1304"/>
      <c r="P139" s="1304"/>
      <c r="Q139" s="1304"/>
      <c r="R139" s="1304"/>
      <c r="S139" s="1304"/>
      <c r="T139" s="1304"/>
      <c r="U139" s="1304"/>
      <c r="V139" s="1304"/>
      <c r="W139" s="1304"/>
      <c r="X139" s="1304"/>
      <c r="Y139" s="1304"/>
      <c r="Z139" s="1304"/>
      <c r="AA139" s="1304"/>
      <c r="AB139" s="1304"/>
      <c r="AC139" s="1304"/>
      <c r="AD139" s="1304"/>
      <c r="AE139" s="1304"/>
    </row>
    <row r="140" ht="15.0" customHeight="1">
      <c r="A140" s="1304"/>
      <c r="B140" s="1304"/>
      <c r="C140" s="1304"/>
      <c r="D140" s="1304"/>
      <c r="E140" s="1304"/>
      <c r="F140" s="1304"/>
      <c r="G140" s="1304"/>
      <c r="H140" s="1304"/>
      <c r="I140" s="1304"/>
      <c r="J140" s="1304"/>
      <c r="K140" s="1304"/>
      <c r="L140" s="1304"/>
      <c r="M140" s="1304"/>
      <c r="N140" s="1304"/>
      <c r="O140" s="1304"/>
      <c r="P140" s="1304"/>
      <c r="Q140" s="1304"/>
      <c r="R140" s="1304"/>
      <c r="S140" s="1304"/>
      <c r="T140" s="1304"/>
      <c r="U140" s="1304"/>
      <c r="V140" s="1304"/>
      <c r="W140" s="1304"/>
      <c r="X140" s="1304"/>
      <c r="Y140" s="1304"/>
      <c r="Z140" s="1304"/>
      <c r="AA140" s="1304"/>
      <c r="AB140" s="1304"/>
      <c r="AC140" s="1304"/>
      <c r="AD140" s="1304"/>
      <c r="AE140" s="1304"/>
    </row>
    <row r="141" ht="15.0" customHeight="1">
      <c r="A141" s="1304"/>
      <c r="B141" s="1304"/>
      <c r="C141" s="1304"/>
      <c r="D141" s="1304"/>
      <c r="E141" s="1304"/>
      <c r="F141" s="1304"/>
      <c r="G141" s="1304"/>
      <c r="H141" s="1304"/>
      <c r="I141" s="1304"/>
      <c r="J141" s="1304"/>
      <c r="K141" s="1304"/>
      <c r="L141" s="1304"/>
      <c r="M141" s="1304"/>
      <c r="N141" s="1304"/>
      <c r="O141" s="1304"/>
      <c r="P141" s="1304"/>
      <c r="Q141" s="1304"/>
      <c r="R141" s="1304"/>
      <c r="S141" s="1304"/>
      <c r="T141" s="1304"/>
      <c r="U141" s="1304"/>
      <c r="V141" s="1304"/>
      <c r="W141" s="1304"/>
      <c r="X141" s="1304"/>
      <c r="Y141" s="1304"/>
      <c r="Z141" s="1304"/>
      <c r="AA141" s="1304"/>
      <c r="AB141" s="1304"/>
      <c r="AC141" s="1304"/>
      <c r="AD141" s="1304"/>
      <c r="AE141" s="1304"/>
    </row>
    <row r="142" ht="15.0" customHeight="1">
      <c r="A142" s="1304"/>
      <c r="B142" s="1304"/>
      <c r="C142" s="1304"/>
      <c r="D142" s="1304"/>
      <c r="E142" s="1304"/>
      <c r="F142" s="1304"/>
      <c r="G142" s="1304"/>
      <c r="H142" s="1304"/>
      <c r="I142" s="1304"/>
      <c r="J142" s="1304"/>
      <c r="K142" s="1304"/>
      <c r="L142" s="1304"/>
      <c r="M142" s="1304"/>
      <c r="N142" s="1304"/>
      <c r="O142" s="1304"/>
      <c r="P142" s="1304"/>
      <c r="Q142" s="1304"/>
      <c r="R142" s="1304"/>
      <c r="S142" s="1304"/>
      <c r="T142" s="1304"/>
      <c r="U142" s="1304"/>
      <c r="V142" s="1304"/>
      <c r="W142" s="1304"/>
      <c r="X142" s="1304"/>
      <c r="Y142" s="1304"/>
      <c r="Z142" s="1304"/>
      <c r="AA142" s="1304"/>
      <c r="AB142" s="1304"/>
      <c r="AC142" s="1304"/>
      <c r="AD142" s="1304"/>
      <c r="AE142" s="1304"/>
    </row>
    <row r="143" ht="15.0" customHeight="1">
      <c r="A143" s="1304"/>
      <c r="B143" s="1304"/>
      <c r="C143" s="1304"/>
      <c r="D143" s="1304"/>
      <c r="E143" s="1304"/>
      <c r="F143" s="1304"/>
      <c r="G143" s="1304"/>
      <c r="H143" s="1304"/>
      <c r="I143" s="1304"/>
      <c r="J143" s="1304"/>
      <c r="K143" s="1304"/>
      <c r="L143" s="1304"/>
      <c r="M143" s="1304"/>
      <c r="N143" s="1304"/>
      <c r="O143" s="1304"/>
      <c r="P143" s="1304"/>
      <c r="Q143" s="1304"/>
      <c r="R143" s="1304"/>
      <c r="S143" s="1304"/>
      <c r="T143" s="1304"/>
      <c r="U143" s="1304"/>
      <c r="V143" s="1304"/>
      <c r="W143" s="1304"/>
      <c r="X143" s="1304"/>
      <c r="Y143" s="1304"/>
      <c r="Z143" s="1304"/>
      <c r="AA143" s="1304"/>
      <c r="AB143" s="1304"/>
      <c r="AC143" s="1304"/>
      <c r="AD143" s="1304"/>
      <c r="AE143" s="1304"/>
    </row>
    <row r="144" ht="15.0" customHeight="1">
      <c r="A144" s="1304"/>
      <c r="B144" s="1304"/>
      <c r="C144" s="1304"/>
      <c r="D144" s="1304"/>
      <c r="E144" s="1304"/>
      <c r="F144" s="1304"/>
      <c r="G144" s="1304"/>
      <c r="H144" s="1304"/>
      <c r="I144" s="1304"/>
      <c r="J144" s="1304"/>
      <c r="K144" s="1304"/>
      <c r="L144" s="1304"/>
      <c r="M144" s="1304"/>
      <c r="N144" s="1304"/>
      <c r="O144" s="1304"/>
      <c r="P144" s="1304"/>
      <c r="Q144" s="1304"/>
      <c r="R144" s="1304"/>
      <c r="S144" s="1304"/>
      <c r="T144" s="1304"/>
      <c r="U144" s="1304"/>
      <c r="V144" s="1304"/>
      <c r="W144" s="1304"/>
      <c r="X144" s="1304"/>
      <c r="Y144" s="1304"/>
      <c r="Z144" s="1304"/>
      <c r="AA144" s="1304"/>
      <c r="AB144" s="1304"/>
      <c r="AC144" s="1304"/>
      <c r="AD144" s="1304"/>
      <c r="AE144" s="1304"/>
    </row>
    <row r="145" ht="15.0" customHeight="1">
      <c r="A145" s="1304"/>
      <c r="B145" s="1304"/>
      <c r="C145" s="1304"/>
      <c r="D145" s="1304"/>
      <c r="E145" s="1304"/>
      <c r="F145" s="1304"/>
      <c r="G145" s="1304"/>
      <c r="H145" s="1304"/>
      <c r="I145" s="1304"/>
      <c r="J145" s="1304"/>
      <c r="K145" s="1304"/>
      <c r="L145" s="1304"/>
      <c r="M145" s="1304"/>
      <c r="N145" s="1304"/>
      <c r="O145" s="1304"/>
      <c r="P145" s="1304"/>
      <c r="Q145" s="1304"/>
      <c r="R145" s="1304"/>
      <c r="S145" s="1304"/>
      <c r="T145" s="1304"/>
      <c r="U145" s="1304"/>
      <c r="V145" s="1304"/>
      <c r="W145" s="1304"/>
      <c r="X145" s="1304"/>
      <c r="Y145" s="1304"/>
      <c r="Z145" s="1304"/>
      <c r="AA145" s="1304"/>
      <c r="AB145" s="1304"/>
      <c r="AC145" s="1304"/>
      <c r="AD145" s="1304"/>
      <c r="AE145" s="1304"/>
    </row>
    <row r="146" ht="15.0" customHeight="1">
      <c r="A146" s="1304"/>
      <c r="B146" s="1304"/>
      <c r="C146" s="1304"/>
      <c r="D146" s="1304"/>
      <c r="E146" s="1304"/>
      <c r="F146" s="1304"/>
      <c r="G146" s="1304"/>
      <c r="H146" s="1304"/>
      <c r="I146" s="1304"/>
      <c r="J146" s="1304"/>
      <c r="K146" s="1304"/>
      <c r="L146" s="1304"/>
      <c r="M146" s="1304"/>
      <c r="N146" s="1304"/>
      <c r="O146" s="1304"/>
      <c r="P146" s="1304"/>
      <c r="Q146" s="1304"/>
      <c r="R146" s="1304"/>
      <c r="S146" s="1304"/>
      <c r="T146" s="1304"/>
      <c r="U146" s="1304"/>
      <c r="V146" s="1304"/>
      <c r="W146" s="1304"/>
      <c r="X146" s="1304"/>
      <c r="Y146" s="1304"/>
      <c r="Z146" s="1304"/>
      <c r="AA146" s="1304"/>
      <c r="AB146" s="1304"/>
      <c r="AC146" s="1304"/>
      <c r="AD146" s="1304"/>
      <c r="AE146" s="1304"/>
    </row>
    <row r="147" ht="15.0" customHeight="1">
      <c r="A147" s="1304"/>
      <c r="B147" s="1304"/>
      <c r="C147" s="1304"/>
      <c r="D147" s="1304"/>
      <c r="E147" s="1304"/>
      <c r="F147" s="1304"/>
      <c r="G147" s="1304"/>
      <c r="H147" s="1304"/>
      <c r="I147" s="1304"/>
      <c r="J147" s="1304"/>
      <c r="K147" s="1304"/>
      <c r="L147" s="1304"/>
      <c r="M147" s="1304"/>
      <c r="N147" s="1304"/>
      <c r="O147" s="1304"/>
      <c r="P147" s="1304"/>
      <c r="Q147" s="1304"/>
      <c r="R147" s="1304"/>
      <c r="S147" s="1304"/>
      <c r="T147" s="1304"/>
      <c r="U147" s="1304"/>
      <c r="V147" s="1304"/>
      <c r="W147" s="1304"/>
      <c r="X147" s="1304"/>
      <c r="Y147" s="1304"/>
      <c r="Z147" s="1304"/>
      <c r="AA147" s="1304"/>
      <c r="AB147" s="1304"/>
      <c r="AC147" s="1304"/>
      <c r="AD147" s="1304"/>
      <c r="AE147" s="1304"/>
    </row>
    <row r="148" ht="15.0" customHeight="1">
      <c r="A148" s="1304"/>
      <c r="B148" s="1304"/>
      <c r="C148" s="1304"/>
      <c r="D148" s="1304"/>
      <c r="E148" s="1304"/>
      <c r="F148" s="1304"/>
      <c r="G148" s="1304"/>
      <c r="H148" s="1304"/>
      <c r="I148" s="1304"/>
      <c r="J148" s="1304"/>
      <c r="K148" s="1304"/>
      <c r="L148" s="1304"/>
      <c r="M148" s="1304"/>
      <c r="N148" s="1304"/>
      <c r="O148" s="1304"/>
      <c r="P148" s="1304"/>
      <c r="Q148" s="1304"/>
      <c r="R148" s="1304"/>
      <c r="S148" s="1304"/>
      <c r="T148" s="1304"/>
      <c r="U148" s="1304"/>
      <c r="V148" s="1304"/>
      <c r="W148" s="1304"/>
      <c r="X148" s="1304"/>
      <c r="Y148" s="1304"/>
      <c r="Z148" s="1304"/>
      <c r="AA148" s="1304"/>
      <c r="AB148" s="1304"/>
      <c r="AC148" s="1304"/>
      <c r="AD148" s="1304"/>
      <c r="AE148" s="1304"/>
    </row>
    <row r="149" ht="15.0" customHeight="1">
      <c r="A149" s="1304"/>
      <c r="B149" s="1304"/>
      <c r="C149" s="1304"/>
      <c r="D149" s="1304"/>
      <c r="E149" s="1304"/>
      <c r="F149" s="1304"/>
      <c r="G149" s="1304"/>
      <c r="H149" s="1304"/>
      <c r="I149" s="1304"/>
      <c r="J149" s="1304"/>
      <c r="K149" s="1304"/>
      <c r="L149" s="1304"/>
      <c r="M149" s="1304"/>
      <c r="N149" s="1304"/>
      <c r="O149" s="1304"/>
      <c r="P149" s="1304"/>
      <c r="Q149" s="1304"/>
      <c r="R149" s="1304"/>
      <c r="S149" s="1304"/>
      <c r="T149" s="1304"/>
      <c r="U149" s="1304"/>
      <c r="V149" s="1304"/>
      <c r="W149" s="1304"/>
      <c r="X149" s="1304"/>
      <c r="Y149" s="1304"/>
      <c r="Z149" s="1304"/>
      <c r="AA149" s="1304"/>
      <c r="AB149" s="1304"/>
      <c r="AC149" s="1304"/>
      <c r="AD149" s="1304"/>
      <c r="AE149" s="1304"/>
    </row>
    <row r="150" ht="15.0" customHeight="1">
      <c r="A150" s="1304"/>
      <c r="B150" s="1304"/>
      <c r="C150" s="1304"/>
      <c r="D150" s="1304"/>
      <c r="E150" s="1304"/>
      <c r="F150" s="1304"/>
      <c r="G150" s="1304"/>
      <c r="H150" s="1304"/>
      <c r="I150" s="1304"/>
      <c r="J150" s="1304"/>
      <c r="K150" s="1304"/>
      <c r="L150" s="1304"/>
      <c r="M150" s="1304"/>
      <c r="N150" s="1304"/>
      <c r="O150" s="1304"/>
      <c r="P150" s="1304"/>
      <c r="Q150" s="1304"/>
      <c r="R150" s="1304"/>
      <c r="S150" s="1304"/>
      <c r="T150" s="1304"/>
      <c r="U150" s="1304"/>
      <c r="V150" s="1304"/>
      <c r="W150" s="1304"/>
      <c r="X150" s="1304"/>
      <c r="Y150" s="1304"/>
      <c r="Z150" s="1304"/>
      <c r="AA150" s="1304"/>
      <c r="AB150" s="1304"/>
      <c r="AC150" s="1304"/>
      <c r="AD150" s="1304"/>
      <c r="AE150" s="1304"/>
    </row>
    <row r="151" ht="15.0" customHeight="1">
      <c r="A151" s="1304"/>
      <c r="B151" s="1304"/>
      <c r="C151" s="1304"/>
      <c r="D151" s="1304"/>
      <c r="E151" s="1304"/>
      <c r="F151" s="1304"/>
      <c r="G151" s="1304"/>
      <c r="H151" s="1304"/>
      <c r="I151" s="1304"/>
      <c r="J151" s="1304"/>
      <c r="K151" s="1304"/>
      <c r="L151" s="1304"/>
      <c r="M151" s="1304"/>
      <c r="N151" s="1304"/>
      <c r="O151" s="1304"/>
      <c r="P151" s="1304"/>
      <c r="Q151" s="1304"/>
      <c r="R151" s="1304"/>
      <c r="S151" s="1304"/>
      <c r="T151" s="1304"/>
      <c r="U151" s="1304"/>
      <c r="V151" s="1304"/>
      <c r="W151" s="1304"/>
      <c r="X151" s="1304"/>
      <c r="Y151" s="1304"/>
      <c r="Z151" s="1304"/>
      <c r="AA151" s="1304"/>
      <c r="AB151" s="1304"/>
      <c r="AC151" s="1304"/>
      <c r="AD151" s="1304"/>
      <c r="AE151" s="1304"/>
    </row>
    <row r="152" ht="15.0" customHeight="1">
      <c r="A152" s="1304"/>
      <c r="B152" s="1304"/>
      <c r="C152" s="1304"/>
      <c r="D152" s="1304"/>
      <c r="E152" s="1304"/>
      <c r="F152" s="1304"/>
      <c r="G152" s="1304"/>
      <c r="H152" s="1304"/>
      <c r="I152" s="1304"/>
      <c r="J152" s="1304"/>
      <c r="K152" s="1304"/>
      <c r="L152" s="1304"/>
      <c r="M152" s="1304"/>
      <c r="N152" s="1304"/>
      <c r="O152" s="1304"/>
      <c r="P152" s="1304"/>
      <c r="Q152" s="1304"/>
      <c r="R152" s="1304"/>
      <c r="S152" s="1304"/>
      <c r="T152" s="1304"/>
      <c r="U152" s="1304"/>
      <c r="V152" s="1304"/>
      <c r="W152" s="1304"/>
      <c r="X152" s="1304"/>
      <c r="Y152" s="1304"/>
      <c r="Z152" s="1304"/>
      <c r="AA152" s="1304"/>
      <c r="AB152" s="1304"/>
      <c r="AC152" s="1304"/>
      <c r="AD152" s="1304"/>
      <c r="AE152" s="1304"/>
    </row>
    <row r="153" ht="15.0" customHeight="1">
      <c r="A153" s="1304"/>
      <c r="B153" s="1304"/>
      <c r="C153" s="1304"/>
      <c r="D153" s="1304"/>
      <c r="E153" s="1304"/>
      <c r="F153" s="1304"/>
      <c r="G153" s="1304"/>
      <c r="H153" s="1304"/>
      <c r="I153" s="1304"/>
      <c r="J153" s="1304"/>
      <c r="K153" s="1304"/>
      <c r="L153" s="1304"/>
      <c r="M153" s="1304"/>
      <c r="N153" s="1304"/>
      <c r="O153" s="1304"/>
      <c r="P153" s="1304"/>
      <c r="Q153" s="1304"/>
      <c r="R153" s="1304"/>
      <c r="S153" s="1304"/>
      <c r="T153" s="1304"/>
      <c r="U153" s="1304"/>
      <c r="V153" s="1304"/>
      <c r="W153" s="1304"/>
      <c r="X153" s="1304"/>
      <c r="Y153" s="1304"/>
      <c r="Z153" s="1304"/>
      <c r="AA153" s="1304"/>
      <c r="AB153" s="1304"/>
      <c r="AC153" s="1304"/>
      <c r="AD153" s="1304"/>
      <c r="AE153" s="1304"/>
    </row>
    <row r="154" ht="15.0" customHeight="1">
      <c r="A154" s="1304"/>
      <c r="B154" s="1304"/>
      <c r="C154" s="1304"/>
      <c r="D154" s="1304"/>
      <c r="E154" s="1304"/>
      <c r="F154" s="1304"/>
      <c r="G154" s="1304"/>
      <c r="H154" s="1304"/>
      <c r="I154" s="1304"/>
      <c r="J154" s="1304"/>
      <c r="K154" s="1304"/>
      <c r="L154" s="1304"/>
      <c r="M154" s="1304"/>
      <c r="N154" s="1304"/>
      <c r="O154" s="1304"/>
      <c r="P154" s="1304"/>
      <c r="Q154" s="1304"/>
      <c r="R154" s="1304"/>
      <c r="S154" s="1304"/>
      <c r="T154" s="1304"/>
      <c r="U154" s="1304"/>
      <c r="V154" s="1304"/>
      <c r="W154" s="1304"/>
      <c r="X154" s="1304"/>
      <c r="Y154" s="1304"/>
      <c r="Z154" s="1304"/>
      <c r="AA154" s="1304"/>
      <c r="AB154" s="1304"/>
      <c r="AC154" s="1304"/>
      <c r="AD154" s="1304"/>
      <c r="AE154" s="1304"/>
    </row>
    <row r="155" ht="15.0" customHeight="1">
      <c r="A155" s="1304"/>
      <c r="B155" s="1304"/>
      <c r="C155" s="1304"/>
      <c r="D155" s="1304"/>
      <c r="E155" s="1304"/>
      <c r="F155" s="1304"/>
      <c r="G155" s="1304"/>
      <c r="H155" s="1304"/>
      <c r="I155" s="1304"/>
      <c r="J155" s="1304"/>
      <c r="K155" s="1304"/>
      <c r="L155" s="1304"/>
      <c r="M155" s="1304"/>
      <c r="N155" s="1304"/>
      <c r="O155" s="1304"/>
      <c r="P155" s="1304"/>
      <c r="Q155" s="1304"/>
      <c r="R155" s="1304"/>
      <c r="S155" s="1304"/>
      <c r="T155" s="1304"/>
      <c r="U155" s="1304"/>
      <c r="V155" s="1304"/>
      <c r="W155" s="1304"/>
      <c r="X155" s="1304"/>
      <c r="Y155" s="1304"/>
      <c r="Z155" s="1304"/>
      <c r="AA155" s="1304"/>
      <c r="AB155" s="1304"/>
      <c r="AC155" s="1304"/>
      <c r="AD155" s="1304"/>
      <c r="AE155" s="1304"/>
    </row>
    <row r="156" ht="15.0" customHeight="1">
      <c r="A156" s="1304"/>
      <c r="B156" s="1304"/>
      <c r="C156" s="1304"/>
      <c r="D156" s="1304"/>
      <c r="E156" s="1304"/>
      <c r="F156" s="1304"/>
      <c r="G156" s="1304"/>
      <c r="H156" s="1304"/>
      <c r="I156" s="1304"/>
      <c r="J156" s="1304"/>
      <c r="K156" s="1304"/>
      <c r="L156" s="1304"/>
      <c r="M156" s="1304"/>
      <c r="N156" s="1304"/>
      <c r="O156" s="1304"/>
      <c r="P156" s="1304"/>
      <c r="Q156" s="1304"/>
      <c r="R156" s="1304"/>
      <c r="S156" s="1304"/>
      <c r="T156" s="1304"/>
      <c r="U156" s="1304"/>
      <c r="V156" s="1304"/>
      <c r="W156" s="1304"/>
      <c r="X156" s="1304"/>
      <c r="Y156" s="1304"/>
      <c r="Z156" s="1304"/>
      <c r="AA156" s="1304"/>
      <c r="AB156" s="1304"/>
      <c r="AC156" s="1304"/>
      <c r="AD156" s="1304"/>
      <c r="AE156" s="1304"/>
    </row>
    <row r="157" ht="15.0" customHeight="1">
      <c r="A157" s="1304"/>
      <c r="B157" s="1304"/>
      <c r="C157" s="1304"/>
      <c r="D157" s="1304"/>
      <c r="E157" s="1304"/>
      <c r="F157" s="1304"/>
      <c r="G157" s="1304"/>
      <c r="H157" s="1304"/>
      <c r="I157" s="1304"/>
      <c r="J157" s="1304"/>
      <c r="K157" s="1304"/>
      <c r="L157" s="1304"/>
      <c r="M157" s="1304"/>
      <c r="N157" s="1304"/>
      <c r="O157" s="1304"/>
      <c r="P157" s="1304"/>
      <c r="Q157" s="1304"/>
      <c r="R157" s="1304"/>
      <c r="S157" s="1304"/>
      <c r="T157" s="1304"/>
      <c r="U157" s="1304"/>
      <c r="V157" s="1304"/>
      <c r="W157" s="1304"/>
      <c r="X157" s="1304"/>
      <c r="Y157" s="1304"/>
      <c r="Z157" s="1304"/>
      <c r="AA157" s="1304"/>
      <c r="AB157" s="1304"/>
      <c r="AC157" s="1304"/>
      <c r="AD157" s="1304"/>
      <c r="AE157" s="1304"/>
    </row>
    <row r="158" ht="15.0" customHeight="1">
      <c r="A158" s="1304"/>
      <c r="B158" s="1304"/>
      <c r="C158" s="1304"/>
      <c r="D158" s="1304"/>
      <c r="E158" s="1304"/>
      <c r="F158" s="1304"/>
      <c r="G158" s="1304"/>
      <c r="H158" s="1304"/>
      <c r="I158" s="1304"/>
      <c r="J158" s="1304"/>
      <c r="K158" s="1304"/>
      <c r="L158" s="1304"/>
      <c r="M158" s="1304"/>
      <c r="N158" s="1304"/>
      <c r="O158" s="1304"/>
      <c r="P158" s="1304"/>
      <c r="Q158" s="1304"/>
      <c r="R158" s="1304"/>
      <c r="S158" s="1304"/>
      <c r="T158" s="1304"/>
      <c r="U158" s="1304"/>
      <c r="V158" s="1304"/>
      <c r="W158" s="1304"/>
      <c r="X158" s="1304"/>
      <c r="Y158" s="1304"/>
      <c r="Z158" s="1304"/>
      <c r="AA158" s="1304"/>
      <c r="AB158" s="1304"/>
      <c r="AC158" s="1304"/>
      <c r="AD158" s="1304"/>
      <c r="AE158" s="1304"/>
    </row>
    <row r="159" ht="15.0" customHeight="1">
      <c r="A159" s="1304"/>
      <c r="B159" s="1304"/>
      <c r="C159" s="1304"/>
      <c r="D159" s="1304"/>
      <c r="E159" s="1304"/>
      <c r="F159" s="1304"/>
      <c r="G159" s="1304"/>
      <c r="H159" s="1304"/>
      <c r="I159" s="1304"/>
      <c r="J159" s="1304"/>
      <c r="K159" s="1304"/>
      <c r="L159" s="1304"/>
      <c r="M159" s="1304"/>
      <c r="N159" s="1304"/>
      <c r="O159" s="1304"/>
      <c r="P159" s="1304"/>
      <c r="Q159" s="1304"/>
      <c r="R159" s="1304"/>
      <c r="S159" s="1304"/>
      <c r="T159" s="1304"/>
      <c r="U159" s="1304"/>
      <c r="V159" s="1304"/>
      <c r="W159" s="1304"/>
      <c r="X159" s="1304"/>
      <c r="Y159" s="1304"/>
      <c r="Z159" s="1304"/>
      <c r="AA159" s="1304"/>
      <c r="AB159" s="1304"/>
      <c r="AC159" s="1304"/>
      <c r="AD159" s="1304"/>
      <c r="AE159" s="1304"/>
    </row>
    <row r="160" ht="15.0" customHeight="1">
      <c r="A160" s="1304"/>
      <c r="B160" s="1304"/>
      <c r="C160" s="1304"/>
      <c r="D160" s="1304"/>
      <c r="E160" s="1304"/>
      <c r="F160" s="1304"/>
      <c r="G160" s="1304"/>
      <c r="H160" s="1304"/>
      <c r="I160" s="1304"/>
      <c r="J160" s="1304"/>
      <c r="K160" s="1304"/>
      <c r="L160" s="1304"/>
      <c r="M160" s="1304"/>
      <c r="N160" s="1304"/>
      <c r="O160" s="1304"/>
      <c r="P160" s="1304"/>
      <c r="Q160" s="1304"/>
      <c r="R160" s="1304"/>
      <c r="S160" s="1304"/>
      <c r="T160" s="1304"/>
      <c r="U160" s="1304"/>
      <c r="V160" s="1304"/>
      <c r="W160" s="1304"/>
      <c r="X160" s="1304"/>
      <c r="Y160" s="1304"/>
      <c r="Z160" s="1304"/>
      <c r="AA160" s="1304"/>
      <c r="AB160" s="1304"/>
      <c r="AC160" s="1304"/>
      <c r="AD160" s="1304"/>
      <c r="AE160" s="1304"/>
    </row>
    <row r="161" ht="15.0" customHeight="1">
      <c r="A161" s="1304"/>
      <c r="B161" s="1304"/>
      <c r="C161" s="1304"/>
      <c r="D161" s="1304"/>
      <c r="E161" s="1304"/>
      <c r="F161" s="1304"/>
      <c r="G161" s="1304"/>
      <c r="H161" s="1304"/>
      <c r="I161" s="1304"/>
      <c r="J161" s="1304"/>
      <c r="K161" s="1304"/>
      <c r="L161" s="1304"/>
      <c r="M161" s="1304"/>
      <c r="N161" s="1304"/>
      <c r="O161" s="1304"/>
      <c r="P161" s="1304"/>
      <c r="Q161" s="1304"/>
      <c r="R161" s="1304"/>
      <c r="S161" s="1304"/>
      <c r="T161" s="1304"/>
      <c r="U161" s="1304"/>
      <c r="V161" s="1304"/>
      <c r="W161" s="1304"/>
      <c r="X161" s="1304"/>
      <c r="Y161" s="1304"/>
      <c r="Z161" s="1304"/>
      <c r="AA161" s="1304"/>
      <c r="AB161" s="1304"/>
      <c r="AC161" s="1304"/>
      <c r="AD161" s="1304"/>
      <c r="AE161" s="1304"/>
    </row>
    <row r="162" ht="15.0" customHeight="1">
      <c r="A162" s="1304"/>
      <c r="B162" s="1304"/>
      <c r="C162" s="1304"/>
      <c r="D162" s="1304"/>
      <c r="E162" s="1304"/>
      <c r="F162" s="1304"/>
      <c r="G162" s="1304"/>
      <c r="H162" s="1304"/>
      <c r="I162" s="1304"/>
      <c r="J162" s="1304"/>
      <c r="K162" s="1304"/>
      <c r="L162" s="1304"/>
      <c r="M162" s="1304"/>
      <c r="N162" s="1304"/>
      <c r="O162" s="1304"/>
      <c r="P162" s="1304"/>
      <c r="Q162" s="1304"/>
      <c r="R162" s="1304"/>
      <c r="S162" s="1304"/>
      <c r="T162" s="1304"/>
      <c r="U162" s="1304"/>
      <c r="V162" s="1304"/>
      <c r="W162" s="1304"/>
      <c r="X162" s="1304"/>
      <c r="Y162" s="1304"/>
      <c r="Z162" s="1304"/>
      <c r="AA162" s="1304"/>
      <c r="AB162" s="1304"/>
      <c r="AC162" s="1304"/>
      <c r="AD162" s="1304"/>
      <c r="AE162" s="1304"/>
    </row>
    <row r="163" ht="15.0" customHeight="1">
      <c r="A163" s="1304"/>
      <c r="B163" s="1304"/>
      <c r="C163" s="1304"/>
      <c r="D163" s="1304"/>
      <c r="E163" s="1304"/>
      <c r="F163" s="1304"/>
      <c r="G163" s="1304"/>
      <c r="H163" s="1304"/>
      <c r="I163" s="1304"/>
      <c r="J163" s="1304"/>
      <c r="K163" s="1304"/>
      <c r="L163" s="1304"/>
      <c r="M163" s="1304"/>
      <c r="N163" s="1304"/>
      <c r="O163" s="1304"/>
      <c r="P163" s="1304"/>
      <c r="Q163" s="1304"/>
      <c r="R163" s="1304"/>
      <c r="S163" s="1304"/>
      <c r="T163" s="1304"/>
      <c r="U163" s="1304"/>
      <c r="V163" s="1304"/>
      <c r="W163" s="1304"/>
      <c r="X163" s="1304"/>
      <c r="Y163" s="1304"/>
      <c r="Z163" s="1304"/>
      <c r="AA163" s="1304"/>
      <c r="AB163" s="1304"/>
      <c r="AC163" s="1304"/>
      <c r="AD163" s="1304"/>
      <c r="AE163" s="1304"/>
    </row>
    <row r="164" ht="15.0" customHeight="1">
      <c r="A164" s="1304"/>
      <c r="B164" s="1304"/>
      <c r="C164" s="1304"/>
      <c r="D164" s="1304"/>
      <c r="E164" s="1304"/>
      <c r="F164" s="1304"/>
      <c r="G164" s="1304"/>
      <c r="H164" s="1304"/>
      <c r="I164" s="1304"/>
      <c r="J164" s="1304"/>
      <c r="K164" s="1304"/>
      <c r="L164" s="1304"/>
      <c r="M164" s="1304"/>
      <c r="N164" s="1304"/>
      <c r="O164" s="1304"/>
      <c r="P164" s="1304"/>
      <c r="Q164" s="1304"/>
      <c r="R164" s="1304"/>
      <c r="S164" s="1304"/>
      <c r="T164" s="1304"/>
      <c r="U164" s="1304"/>
      <c r="V164" s="1304"/>
      <c r="W164" s="1304"/>
      <c r="X164" s="1304"/>
      <c r="Y164" s="1304"/>
      <c r="Z164" s="1304"/>
      <c r="AA164" s="1304"/>
      <c r="AB164" s="1304"/>
      <c r="AC164" s="1304"/>
      <c r="AD164" s="1304"/>
      <c r="AE164" s="1304"/>
    </row>
    <row r="165" ht="15.0" customHeight="1">
      <c r="A165" s="1304"/>
      <c r="B165" s="1304"/>
      <c r="C165" s="1304"/>
      <c r="D165" s="1304"/>
      <c r="E165" s="1304"/>
      <c r="F165" s="1304"/>
      <c r="G165" s="1304"/>
      <c r="H165" s="1304"/>
      <c r="I165" s="1304"/>
      <c r="J165" s="1304"/>
      <c r="K165" s="1304"/>
      <c r="L165" s="1304"/>
      <c r="M165" s="1304"/>
      <c r="N165" s="1304"/>
      <c r="O165" s="1304"/>
      <c r="P165" s="1304"/>
      <c r="Q165" s="1304"/>
      <c r="R165" s="1304"/>
      <c r="S165" s="1304"/>
      <c r="T165" s="1304"/>
      <c r="U165" s="1304"/>
      <c r="V165" s="1304"/>
      <c r="W165" s="1304"/>
      <c r="X165" s="1304"/>
      <c r="Y165" s="1304"/>
      <c r="Z165" s="1304"/>
      <c r="AA165" s="1304"/>
      <c r="AB165" s="1304"/>
      <c r="AC165" s="1304"/>
      <c r="AD165" s="1304"/>
      <c r="AE165" s="1304"/>
    </row>
    <row r="166" ht="15.0" customHeight="1">
      <c r="A166" s="1304"/>
      <c r="B166" s="1304"/>
      <c r="C166" s="1304"/>
      <c r="D166" s="1304"/>
      <c r="E166" s="1304"/>
      <c r="F166" s="1304"/>
      <c r="G166" s="1304"/>
      <c r="H166" s="1304"/>
      <c r="I166" s="1304"/>
      <c r="J166" s="1304"/>
      <c r="K166" s="1304"/>
      <c r="L166" s="1304"/>
      <c r="M166" s="1304"/>
      <c r="N166" s="1304"/>
      <c r="O166" s="1304"/>
      <c r="P166" s="1304"/>
      <c r="Q166" s="1304"/>
      <c r="R166" s="1304"/>
      <c r="S166" s="1304"/>
      <c r="T166" s="1304"/>
      <c r="U166" s="1304"/>
      <c r="V166" s="1304"/>
      <c r="W166" s="1304"/>
      <c r="X166" s="1304"/>
      <c r="Y166" s="1304"/>
      <c r="Z166" s="1304"/>
      <c r="AA166" s="1304"/>
      <c r="AB166" s="1304"/>
      <c r="AC166" s="1304"/>
      <c r="AD166" s="1304"/>
      <c r="AE166" s="1304"/>
    </row>
    <row r="167" ht="15.0" customHeight="1">
      <c r="A167" s="1304"/>
      <c r="B167" s="1304"/>
      <c r="C167" s="1304"/>
      <c r="D167" s="1304"/>
      <c r="E167" s="1304"/>
      <c r="F167" s="1304"/>
      <c r="G167" s="1304"/>
      <c r="H167" s="1304"/>
      <c r="I167" s="1304"/>
      <c r="J167" s="1304"/>
      <c r="K167" s="1304"/>
      <c r="L167" s="1304"/>
      <c r="M167" s="1304"/>
      <c r="N167" s="1304"/>
      <c r="O167" s="1304"/>
      <c r="P167" s="1304"/>
      <c r="Q167" s="1304"/>
      <c r="R167" s="1304"/>
      <c r="S167" s="1304"/>
      <c r="T167" s="1304"/>
      <c r="U167" s="1304"/>
      <c r="V167" s="1304"/>
      <c r="W167" s="1304"/>
      <c r="X167" s="1304"/>
      <c r="Y167" s="1304"/>
      <c r="Z167" s="1304"/>
      <c r="AA167" s="1304"/>
      <c r="AB167" s="1304"/>
      <c r="AC167" s="1304"/>
      <c r="AD167" s="1304"/>
      <c r="AE167" s="1304"/>
    </row>
    <row r="168" ht="15.0" customHeight="1">
      <c r="A168" s="1304"/>
      <c r="B168" s="1304"/>
      <c r="C168" s="1304"/>
      <c r="D168" s="1304"/>
      <c r="E168" s="1304"/>
      <c r="F168" s="1304"/>
      <c r="G168" s="1304"/>
      <c r="H168" s="1304"/>
      <c r="I168" s="1304"/>
      <c r="J168" s="1304"/>
      <c r="K168" s="1304"/>
      <c r="L168" s="1304"/>
      <c r="M168" s="1304"/>
      <c r="N168" s="1304"/>
      <c r="O168" s="1304"/>
      <c r="P168" s="1304"/>
      <c r="Q168" s="1304"/>
      <c r="R168" s="1304"/>
      <c r="S168" s="1304"/>
      <c r="T168" s="1304"/>
      <c r="U168" s="1304"/>
      <c r="V168" s="1304"/>
      <c r="W168" s="1304"/>
      <c r="X168" s="1304"/>
      <c r="Y168" s="1304"/>
      <c r="Z168" s="1304"/>
      <c r="AA168" s="1304"/>
      <c r="AB168" s="1304"/>
      <c r="AC168" s="1304"/>
      <c r="AD168" s="1304"/>
      <c r="AE168" s="1304"/>
    </row>
    <row r="169" ht="15.0" customHeight="1">
      <c r="A169" s="1304"/>
      <c r="B169" s="1304"/>
      <c r="C169" s="1304"/>
      <c r="D169" s="1304"/>
      <c r="E169" s="1304"/>
      <c r="F169" s="1304"/>
      <c r="G169" s="1304"/>
      <c r="H169" s="1304"/>
      <c r="I169" s="1304"/>
      <c r="J169" s="1304"/>
      <c r="K169" s="1304"/>
      <c r="L169" s="1304"/>
      <c r="M169" s="1304"/>
      <c r="N169" s="1304"/>
      <c r="O169" s="1304"/>
      <c r="P169" s="1304"/>
      <c r="Q169" s="1304"/>
      <c r="R169" s="1304"/>
      <c r="S169" s="1304"/>
      <c r="T169" s="1304"/>
      <c r="U169" s="1304"/>
      <c r="V169" s="1304"/>
      <c r="W169" s="1304"/>
      <c r="X169" s="1304"/>
      <c r="Y169" s="1304"/>
      <c r="Z169" s="1304"/>
      <c r="AA169" s="1304"/>
      <c r="AB169" s="1304"/>
      <c r="AC169" s="1304"/>
      <c r="AD169" s="1304"/>
      <c r="AE169" s="1304"/>
    </row>
    <row r="170" ht="15.0" customHeight="1">
      <c r="A170" s="1304"/>
      <c r="B170" s="1304"/>
      <c r="C170" s="1304"/>
      <c r="D170" s="1304"/>
      <c r="E170" s="1304"/>
      <c r="F170" s="1304"/>
      <c r="G170" s="1304"/>
      <c r="H170" s="1304"/>
      <c r="I170" s="1304"/>
      <c r="J170" s="1304"/>
      <c r="K170" s="1304"/>
      <c r="L170" s="1304"/>
      <c r="M170" s="1304"/>
      <c r="N170" s="1304"/>
      <c r="O170" s="1304"/>
      <c r="P170" s="1304"/>
      <c r="Q170" s="1304"/>
      <c r="R170" s="1304"/>
      <c r="S170" s="1304"/>
      <c r="T170" s="1304"/>
      <c r="U170" s="1304"/>
      <c r="V170" s="1304"/>
      <c r="W170" s="1304"/>
      <c r="X170" s="1304"/>
      <c r="Y170" s="1304"/>
      <c r="Z170" s="1304"/>
      <c r="AA170" s="1304"/>
      <c r="AB170" s="1304"/>
      <c r="AC170" s="1304"/>
      <c r="AD170" s="1304"/>
      <c r="AE170" s="1304"/>
    </row>
    <row r="171" ht="15.0" customHeight="1">
      <c r="A171" s="1304"/>
      <c r="B171" s="1304"/>
      <c r="C171" s="1304"/>
      <c r="D171" s="1304"/>
      <c r="E171" s="1304"/>
      <c r="F171" s="1304"/>
      <c r="G171" s="1304"/>
      <c r="H171" s="1304"/>
      <c r="I171" s="1304"/>
      <c r="J171" s="1304"/>
      <c r="K171" s="1304"/>
      <c r="L171" s="1304"/>
      <c r="M171" s="1304"/>
      <c r="N171" s="1304"/>
      <c r="O171" s="1304"/>
      <c r="P171" s="1304"/>
      <c r="Q171" s="1304"/>
      <c r="R171" s="1304"/>
      <c r="S171" s="1304"/>
      <c r="T171" s="1304"/>
      <c r="U171" s="1304"/>
      <c r="V171" s="1304"/>
      <c r="W171" s="1304"/>
      <c r="X171" s="1304"/>
      <c r="Y171" s="1304"/>
      <c r="Z171" s="1304"/>
      <c r="AA171" s="1304"/>
      <c r="AB171" s="1304"/>
      <c r="AC171" s="1304"/>
      <c r="AD171" s="1304"/>
      <c r="AE171" s="1304"/>
    </row>
    <row r="172" ht="15.0" customHeight="1">
      <c r="A172" s="1304"/>
      <c r="B172" s="1304"/>
      <c r="C172" s="1304"/>
      <c r="D172" s="1304"/>
      <c r="E172" s="1304"/>
      <c r="F172" s="1304"/>
      <c r="G172" s="1304"/>
      <c r="H172" s="1304"/>
      <c r="I172" s="1304"/>
      <c r="J172" s="1304"/>
      <c r="K172" s="1304"/>
      <c r="L172" s="1304"/>
      <c r="M172" s="1304"/>
      <c r="N172" s="1304"/>
      <c r="O172" s="1304"/>
      <c r="P172" s="1304"/>
      <c r="Q172" s="1304"/>
      <c r="R172" s="1304"/>
      <c r="S172" s="1304"/>
      <c r="T172" s="1304"/>
      <c r="U172" s="1304"/>
      <c r="V172" s="1304"/>
      <c r="W172" s="1304"/>
      <c r="X172" s="1304"/>
      <c r="Y172" s="1304"/>
      <c r="Z172" s="1304"/>
      <c r="AA172" s="1304"/>
      <c r="AB172" s="1304"/>
      <c r="AC172" s="1304"/>
      <c r="AD172" s="1304"/>
      <c r="AE172" s="1304"/>
    </row>
    <row r="173" ht="15.0" customHeight="1">
      <c r="A173" s="1304"/>
      <c r="B173" s="1304"/>
      <c r="C173" s="1304"/>
      <c r="D173" s="1304"/>
      <c r="E173" s="1304"/>
      <c r="F173" s="1304"/>
      <c r="G173" s="1304"/>
      <c r="H173" s="1304"/>
      <c r="I173" s="1304"/>
      <c r="J173" s="1304"/>
      <c r="K173" s="1304"/>
      <c r="L173" s="1304"/>
      <c r="M173" s="1304"/>
      <c r="N173" s="1304"/>
      <c r="O173" s="1304"/>
      <c r="P173" s="1304"/>
      <c r="Q173" s="1304"/>
      <c r="R173" s="1304"/>
      <c r="S173" s="1304"/>
      <c r="T173" s="1304"/>
      <c r="U173" s="1304"/>
      <c r="V173" s="1304"/>
      <c r="W173" s="1304"/>
      <c r="X173" s="1304"/>
      <c r="Y173" s="1304"/>
      <c r="Z173" s="1304"/>
      <c r="AA173" s="1304"/>
      <c r="AB173" s="1304"/>
      <c r="AC173" s="1304"/>
      <c r="AD173" s="1304"/>
      <c r="AE173" s="1304"/>
    </row>
    <row r="174" ht="15.0" customHeight="1">
      <c r="A174" s="1304"/>
      <c r="B174" s="1304"/>
      <c r="C174" s="1304"/>
      <c r="D174" s="1304"/>
      <c r="E174" s="1304"/>
      <c r="F174" s="1304"/>
      <c r="G174" s="1304"/>
      <c r="H174" s="1304"/>
      <c r="I174" s="1304"/>
      <c r="J174" s="1304"/>
      <c r="K174" s="1304"/>
      <c r="L174" s="1304"/>
      <c r="M174" s="1304"/>
      <c r="N174" s="1304"/>
      <c r="O174" s="1304"/>
      <c r="P174" s="1304"/>
      <c r="Q174" s="1304"/>
      <c r="R174" s="1304"/>
      <c r="S174" s="1304"/>
      <c r="T174" s="1304"/>
      <c r="U174" s="1304"/>
      <c r="V174" s="1304"/>
      <c r="W174" s="1304"/>
      <c r="X174" s="1304"/>
      <c r="Y174" s="1304"/>
      <c r="Z174" s="1304"/>
      <c r="AA174" s="1304"/>
      <c r="AB174" s="1304"/>
      <c r="AC174" s="1304"/>
      <c r="AD174" s="1304"/>
      <c r="AE174" s="1304"/>
    </row>
    <row r="175" ht="15.0" customHeight="1">
      <c r="A175" s="1304"/>
      <c r="B175" s="1304"/>
      <c r="C175" s="1304"/>
      <c r="D175" s="1304"/>
      <c r="E175" s="1304"/>
      <c r="F175" s="1304"/>
      <c r="G175" s="1304"/>
      <c r="H175" s="1304"/>
      <c r="I175" s="1304"/>
      <c r="J175" s="1304"/>
      <c r="K175" s="1304"/>
      <c r="L175" s="1304"/>
      <c r="M175" s="1304"/>
      <c r="N175" s="1304"/>
      <c r="O175" s="1304"/>
      <c r="P175" s="1304"/>
      <c r="Q175" s="1304"/>
      <c r="R175" s="1304"/>
      <c r="S175" s="1304"/>
      <c r="T175" s="1304"/>
      <c r="U175" s="1304"/>
      <c r="V175" s="1304"/>
      <c r="W175" s="1304"/>
      <c r="X175" s="1304"/>
      <c r="Y175" s="1304"/>
      <c r="Z175" s="1304"/>
      <c r="AA175" s="1304"/>
      <c r="AB175" s="1304"/>
      <c r="AC175" s="1304"/>
      <c r="AD175" s="1304"/>
      <c r="AE175" s="1304"/>
    </row>
    <row r="176" ht="15.0" customHeight="1">
      <c r="A176" s="1304"/>
      <c r="B176" s="1304"/>
      <c r="C176" s="1304"/>
      <c r="D176" s="1304"/>
      <c r="E176" s="1304"/>
      <c r="F176" s="1304"/>
      <c r="G176" s="1304"/>
      <c r="H176" s="1304"/>
      <c r="I176" s="1304"/>
      <c r="J176" s="1304"/>
      <c r="K176" s="1304"/>
      <c r="L176" s="1304"/>
      <c r="M176" s="1304"/>
      <c r="N176" s="1304"/>
      <c r="O176" s="1304"/>
      <c r="P176" s="1304"/>
      <c r="Q176" s="1304"/>
      <c r="R176" s="1304"/>
      <c r="S176" s="1304"/>
      <c r="T176" s="1304"/>
      <c r="U176" s="1304"/>
      <c r="V176" s="1304"/>
      <c r="W176" s="1304"/>
      <c r="X176" s="1304"/>
      <c r="Y176" s="1304"/>
      <c r="Z176" s="1304"/>
      <c r="AA176" s="1304"/>
      <c r="AB176" s="1304"/>
      <c r="AC176" s="1304"/>
      <c r="AD176" s="1304"/>
      <c r="AE176" s="1304"/>
    </row>
    <row r="177" ht="15.0" customHeight="1">
      <c r="A177" s="1304"/>
      <c r="B177" s="1304"/>
      <c r="C177" s="1304"/>
      <c r="D177" s="1304"/>
      <c r="E177" s="1304"/>
      <c r="F177" s="1304"/>
      <c r="G177" s="1304"/>
      <c r="H177" s="1304"/>
      <c r="I177" s="1304"/>
      <c r="J177" s="1304"/>
      <c r="K177" s="1304"/>
      <c r="L177" s="1304"/>
      <c r="M177" s="1304"/>
      <c r="N177" s="1304"/>
      <c r="O177" s="1304"/>
      <c r="P177" s="1304"/>
      <c r="Q177" s="1304"/>
      <c r="R177" s="1304"/>
      <c r="S177" s="1304"/>
      <c r="T177" s="1304"/>
      <c r="U177" s="1304"/>
      <c r="V177" s="1304"/>
      <c r="W177" s="1304"/>
      <c r="X177" s="1304"/>
      <c r="Y177" s="1304"/>
      <c r="Z177" s="1304"/>
      <c r="AA177" s="1304"/>
      <c r="AB177" s="1304"/>
      <c r="AC177" s="1304"/>
      <c r="AD177" s="1304"/>
      <c r="AE177" s="1304"/>
    </row>
    <row r="178" ht="15.0" customHeight="1">
      <c r="A178" s="1304"/>
      <c r="B178" s="1304"/>
      <c r="C178" s="1304"/>
      <c r="D178" s="1304"/>
      <c r="E178" s="1304"/>
      <c r="F178" s="1304"/>
      <c r="G178" s="1304"/>
      <c r="H178" s="1304"/>
      <c r="I178" s="1304"/>
      <c r="J178" s="1304"/>
      <c r="K178" s="1304"/>
      <c r="L178" s="1304"/>
      <c r="M178" s="1304"/>
      <c r="N178" s="1304"/>
      <c r="O178" s="1304"/>
      <c r="P178" s="1304"/>
      <c r="Q178" s="1304"/>
      <c r="R178" s="1304"/>
      <c r="S178" s="1304"/>
      <c r="T178" s="1304"/>
      <c r="U178" s="1304"/>
      <c r="V178" s="1304"/>
      <c r="W178" s="1304"/>
      <c r="X178" s="1304"/>
      <c r="Y178" s="1304"/>
      <c r="Z178" s="1304"/>
      <c r="AA178" s="1304"/>
      <c r="AB178" s="1304"/>
      <c r="AC178" s="1304"/>
      <c r="AD178" s="1304"/>
      <c r="AE178" s="1304"/>
    </row>
    <row r="179" ht="15.0" customHeight="1">
      <c r="A179" s="1304"/>
      <c r="B179" s="1304"/>
      <c r="C179" s="1304"/>
      <c r="D179" s="1304"/>
      <c r="E179" s="1304"/>
      <c r="F179" s="1304"/>
      <c r="G179" s="1304"/>
      <c r="H179" s="1304"/>
      <c r="I179" s="1304"/>
      <c r="J179" s="1304"/>
      <c r="K179" s="1304"/>
      <c r="L179" s="1304"/>
      <c r="M179" s="1304"/>
      <c r="N179" s="1304"/>
      <c r="O179" s="1304"/>
      <c r="P179" s="1304"/>
      <c r="Q179" s="1304"/>
      <c r="R179" s="1304"/>
      <c r="S179" s="1304"/>
      <c r="T179" s="1304"/>
      <c r="U179" s="1304"/>
      <c r="V179" s="1304"/>
      <c r="W179" s="1304"/>
      <c r="X179" s="1304"/>
      <c r="Y179" s="1304"/>
      <c r="Z179" s="1304"/>
      <c r="AA179" s="1304"/>
      <c r="AB179" s="1304"/>
      <c r="AC179" s="1304"/>
      <c r="AD179" s="1304"/>
      <c r="AE179" s="1304"/>
    </row>
    <row r="180" ht="15.0" customHeight="1">
      <c r="A180" s="1304"/>
      <c r="B180" s="1304"/>
      <c r="C180" s="1304"/>
      <c r="D180" s="1304"/>
      <c r="E180" s="1304"/>
      <c r="F180" s="1304"/>
      <c r="G180" s="1304"/>
      <c r="H180" s="1304"/>
      <c r="I180" s="1304"/>
      <c r="J180" s="1304"/>
      <c r="K180" s="1304"/>
      <c r="L180" s="1304"/>
      <c r="M180" s="1304"/>
      <c r="N180" s="1304"/>
      <c r="O180" s="1304"/>
      <c r="P180" s="1304"/>
      <c r="Q180" s="1304"/>
      <c r="R180" s="1304"/>
      <c r="S180" s="1304"/>
      <c r="T180" s="1304"/>
      <c r="U180" s="1304"/>
      <c r="V180" s="1304"/>
      <c r="W180" s="1304"/>
      <c r="X180" s="1304"/>
      <c r="Y180" s="1304"/>
      <c r="Z180" s="1304"/>
      <c r="AA180" s="1304"/>
      <c r="AB180" s="1304"/>
      <c r="AC180" s="1304"/>
      <c r="AD180" s="1304"/>
      <c r="AE180" s="1304"/>
    </row>
    <row r="181" ht="15.0" customHeight="1">
      <c r="A181" s="1304"/>
      <c r="B181" s="1304"/>
      <c r="C181" s="1304"/>
      <c r="D181" s="1304"/>
      <c r="E181" s="1304"/>
      <c r="F181" s="1304"/>
      <c r="G181" s="1304"/>
      <c r="H181" s="1304"/>
      <c r="I181" s="1304"/>
      <c r="J181" s="1304"/>
      <c r="K181" s="1304"/>
      <c r="L181" s="1304"/>
      <c r="M181" s="1304"/>
      <c r="N181" s="1304"/>
      <c r="O181" s="1304"/>
      <c r="P181" s="1304"/>
      <c r="Q181" s="1304"/>
      <c r="R181" s="1304"/>
      <c r="S181" s="1304"/>
      <c r="T181" s="1304"/>
      <c r="U181" s="1304"/>
      <c r="V181" s="1304"/>
      <c r="W181" s="1304"/>
      <c r="X181" s="1304"/>
      <c r="Y181" s="1304"/>
      <c r="Z181" s="1304"/>
      <c r="AA181" s="1304"/>
      <c r="AB181" s="1304"/>
      <c r="AC181" s="1304"/>
      <c r="AD181" s="1304"/>
      <c r="AE181" s="1304"/>
    </row>
    <row r="182" ht="15.0" customHeight="1">
      <c r="A182" s="1304"/>
      <c r="B182" s="1304"/>
      <c r="C182" s="1304"/>
      <c r="D182" s="1304"/>
      <c r="E182" s="1304"/>
      <c r="F182" s="1304"/>
      <c r="G182" s="1304"/>
      <c r="H182" s="1304"/>
      <c r="I182" s="1304"/>
      <c r="J182" s="1304"/>
      <c r="K182" s="1304"/>
      <c r="L182" s="1304"/>
      <c r="M182" s="1304"/>
      <c r="N182" s="1304"/>
      <c r="O182" s="1304"/>
      <c r="P182" s="1304"/>
      <c r="Q182" s="1304"/>
      <c r="R182" s="1304"/>
      <c r="S182" s="1304"/>
      <c r="T182" s="1304"/>
      <c r="U182" s="1304"/>
      <c r="V182" s="1304"/>
      <c r="W182" s="1304"/>
      <c r="X182" s="1304"/>
      <c r="Y182" s="1304"/>
      <c r="Z182" s="1304"/>
      <c r="AA182" s="1304"/>
      <c r="AB182" s="1304"/>
      <c r="AC182" s="1304"/>
      <c r="AD182" s="1304"/>
      <c r="AE182" s="1304"/>
    </row>
    <row r="183" ht="15.0" customHeight="1">
      <c r="A183" s="1304"/>
      <c r="B183" s="1304"/>
      <c r="C183" s="1304"/>
      <c r="D183" s="1304"/>
      <c r="E183" s="1304"/>
      <c r="F183" s="1304"/>
      <c r="G183" s="1304"/>
      <c r="H183" s="1304"/>
      <c r="I183" s="1304"/>
      <c r="J183" s="1304"/>
      <c r="K183" s="1304"/>
      <c r="L183" s="1304"/>
      <c r="M183" s="1304"/>
      <c r="N183" s="1304"/>
      <c r="O183" s="1304"/>
      <c r="P183" s="1304"/>
      <c r="Q183" s="1304"/>
      <c r="R183" s="1304"/>
      <c r="S183" s="1304"/>
      <c r="T183" s="1304"/>
      <c r="U183" s="1304"/>
      <c r="V183" s="1304"/>
      <c r="W183" s="1304"/>
      <c r="X183" s="1304"/>
      <c r="Y183" s="1304"/>
      <c r="Z183" s="1304"/>
      <c r="AA183" s="1304"/>
      <c r="AB183" s="1304"/>
      <c r="AC183" s="1304"/>
      <c r="AD183" s="1304"/>
      <c r="AE183" s="1304"/>
    </row>
    <row r="184" ht="15.0" customHeight="1">
      <c r="A184" s="1304"/>
      <c r="B184" s="1304"/>
      <c r="C184" s="1304"/>
      <c r="D184" s="1304"/>
      <c r="E184" s="1304"/>
      <c r="F184" s="1304"/>
      <c r="G184" s="1304"/>
      <c r="H184" s="1304"/>
      <c r="I184" s="1304"/>
      <c r="J184" s="1304"/>
      <c r="K184" s="1304"/>
      <c r="L184" s="1304"/>
      <c r="M184" s="1304"/>
      <c r="N184" s="1304"/>
      <c r="O184" s="1304"/>
      <c r="P184" s="1304"/>
      <c r="Q184" s="1304"/>
      <c r="R184" s="1304"/>
      <c r="S184" s="1304"/>
      <c r="T184" s="1304"/>
      <c r="U184" s="1304"/>
      <c r="V184" s="1304"/>
      <c r="W184" s="1304"/>
      <c r="X184" s="1304"/>
      <c r="Y184" s="1304"/>
      <c r="Z184" s="1304"/>
      <c r="AA184" s="1304"/>
      <c r="AB184" s="1304"/>
      <c r="AC184" s="1304"/>
      <c r="AD184" s="1304"/>
      <c r="AE184" s="1304"/>
    </row>
    <row r="185" ht="15.0" customHeight="1">
      <c r="A185" s="1304"/>
      <c r="B185" s="1304"/>
      <c r="C185" s="1304"/>
      <c r="D185" s="1304"/>
      <c r="E185" s="1304"/>
      <c r="F185" s="1304"/>
      <c r="G185" s="1304"/>
      <c r="H185" s="1304"/>
      <c r="I185" s="1304"/>
      <c r="J185" s="1304"/>
      <c r="K185" s="1304"/>
      <c r="L185" s="1304"/>
      <c r="M185" s="1304"/>
      <c r="N185" s="1304"/>
      <c r="O185" s="1304"/>
      <c r="P185" s="1304"/>
      <c r="Q185" s="1304"/>
      <c r="R185" s="1304"/>
      <c r="S185" s="1304"/>
      <c r="T185" s="1304"/>
      <c r="U185" s="1304"/>
      <c r="V185" s="1304"/>
      <c r="W185" s="1304"/>
      <c r="X185" s="1304"/>
      <c r="Y185" s="1304"/>
      <c r="Z185" s="1304"/>
      <c r="AA185" s="1304"/>
      <c r="AB185" s="1304"/>
      <c r="AC185" s="1304"/>
      <c r="AD185" s="1304"/>
      <c r="AE185" s="1304"/>
    </row>
    <row r="186" ht="15.0" customHeight="1">
      <c r="A186" s="1304"/>
      <c r="B186" s="1304"/>
      <c r="C186" s="1304"/>
      <c r="D186" s="1304"/>
      <c r="E186" s="1304"/>
      <c r="F186" s="1304"/>
      <c r="G186" s="1304"/>
      <c r="H186" s="1304"/>
      <c r="I186" s="1304"/>
      <c r="J186" s="1304"/>
      <c r="K186" s="1304"/>
      <c r="L186" s="1304"/>
      <c r="M186" s="1304"/>
      <c r="N186" s="1304"/>
      <c r="O186" s="1304"/>
      <c r="P186" s="1304"/>
      <c r="Q186" s="1304"/>
      <c r="R186" s="1304"/>
      <c r="S186" s="1304"/>
      <c r="T186" s="1304"/>
      <c r="U186" s="1304"/>
      <c r="V186" s="1304"/>
      <c r="W186" s="1304"/>
      <c r="X186" s="1304"/>
      <c r="Y186" s="1304"/>
      <c r="Z186" s="1304"/>
      <c r="AA186" s="1304"/>
      <c r="AB186" s="1304"/>
      <c r="AC186" s="1304"/>
      <c r="AD186" s="1304"/>
      <c r="AE186" s="1304"/>
    </row>
    <row r="187" ht="15.0" customHeight="1">
      <c r="A187" s="1304"/>
      <c r="B187" s="1304"/>
      <c r="C187" s="1304"/>
      <c r="D187" s="1304"/>
      <c r="E187" s="1304"/>
      <c r="F187" s="1304"/>
      <c r="G187" s="1304"/>
      <c r="H187" s="1304"/>
      <c r="I187" s="1304"/>
      <c r="J187" s="1304"/>
      <c r="K187" s="1304"/>
      <c r="L187" s="1304"/>
      <c r="M187" s="1304"/>
      <c r="N187" s="1304"/>
      <c r="O187" s="1304"/>
      <c r="P187" s="1304"/>
      <c r="Q187" s="1304"/>
      <c r="R187" s="1304"/>
      <c r="S187" s="1304"/>
      <c r="T187" s="1304"/>
      <c r="U187" s="1304"/>
      <c r="V187" s="1304"/>
      <c r="W187" s="1304"/>
      <c r="X187" s="1304"/>
      <c r="Y187" s="1304"/>
      <c r="Z187" s="1304"/>
      <c r="AA187" s="1304"/>
      <c r="AB187" s="1304"/>
      <c r="AC187" s="1304"/>
      <c r="AD187" s="1304"/>
      <c r="AE187" s="1304"/>
    </row>
    <row r="188" ht="15.0" customHeight="1">
      <c r="A188" s="1304"/>
      <c r="B188" s="1304"/>
      <c r="C188" s="1304"/>
      <c r="D188" s="1304"/>
      <c r="E188" s="1304"/>
      <c r="F188" s="1304"/>
      <c r="G188" s="1304"/>
      <c r="H188" s="1304"/>
      <c r="I188" s="1304"/>
      <c r="J188" s="1304"/>
      <c r="K188" s="1304"/>
      <c r="L188" s="1304"/>
      <c r="M188" s="1304"/>
      <c r="N188" s="1304"/>
      <c r="O188" s="1304"/>
      <c r="P188" s="1304"/>
      <c r="Q188" s="1304"/>
      <c r="R188" s="1304"/>
      <c r="S188" s="1304"/>
      <c r="T188" s="1304"/>
      <c r="U188" s="1304"/>
      <c r="V188" s="1304"/>
      <c r="W188" s="1304"/>
      <c r="X188" s="1304"/>
      <c r="Y188" s="1304"/>
      <c r="Z188" s="1304"/>
      <c r="AA188" s="1304"/>
      <c r="AB188" s="1304"/>
      <c r="AC188" s="1304"/>
      <c r="AD188" s="1304"/>
      <c r="AE188" s="1304"/>
    </row>
    <row r="189" ht="15.0" customHeight="1">
      <c r="A189" s="1304"/>
      <c r="B189" s="1304"/>
      <c r="C189" s="1304"/>
      <c r="D189" s="1304"/>
      <c r="E189" s="1304"/>
      <c r="F189" s="1304"/>
      <c r="G189" s="1304"/>
      <c r="H189" s="1304"/>
      <c r="I189" s="1304"/>
      <c r="J189" s="1304"/>
      <c r="K189" s="1304"/>
      <c r="L189" s="1304"/>
      <c r="M189" s="1304"/>
      <c r="N189" s="1304"/>
      <c r="O189" s="1304"/>
      <c r="P189" s="1304"/>
      <c r="Q189" s="1304"/>
      <c r="R189" s="1304"/>
      <c r="S189" s="1304"/>
      <c r="T189" s="1304"/>
      <c r="U189" s="1304"/>
      <c r="V189" s="1304"/>
      <c r="W189" s="1304"/>
      <c r="X189" s="1304"/>
      <c r="Y189" s="1304"/>
      <c r="Z189" s="1304"/>
      <c r="AA189" s="1304"/>
      <c r="AB189" s="1304"/>
      <c r="AC189" s="1304"/>
      <c r="AD189" s="1304"/>
      <c r="AE189" s="1304"/>
    </row>
    <row r="190" ht="15.0" customHeight="1">
      <c r="A190" s="1304"/>
      <c r="B190" s="1304"/>
      <c r="C190" s="1304"/>
      <c r="D190" s="1304"/>
      <c r="E190" s="1304"/>
      <c r="F190" s="1304"/>
      <c r="G190" s="1304"/>
      <c r="H190" s="1304"/>
      <c r="I190" s="1304"/>
      <c r="J190" s="1304"/>
      <c r="K190" s="1304"/>
      <c r="L190" s="1304"/>
      <c r="M190" s="1304"/>
      <c r="N190" s="1304"/>
      <c r="O190" s="1304"/>
      <c r="P190" s="1304"/>
      <c r="Q190" s="1304"/>
      <c r="R190" s="1304"/>
      <c r="S190" s="1304"/>
      <c r="T190" s="1304"/>
      <c r="U190" s="1304"/>
      <c r="V190" s="1304"/>
      <c r="W190" s="1304"/>
      <c r="X190" s="1304"/>
      <c r="Y190" s="1304"/>
      <c r="Z190" s="1304"/>
      <c r="AA190" s="1304"/>
      <c r="AB190" s="1304"/>
      <c r="AC190" s="1304"/>
      <c r="AD190" s="1304"/>
      <c r="AE190" s="1304"/>
    </row>
    <row r="191" ht="15.0" customHeight="1">
      <c r="A191" s="1304"/>
      <c r="B191" s="1304"/>
      <c r="C191" s="1304"/>
      <c r="D191" s="1304"/>
      <c r="E191" s="1304"/>
      <c r="F191" s="1304"/>
      <c r="G191" s="1304"/>
      <c r="H191" s="1304"/>
      <c r="I191" s="1304"/>
      <c r="J191" s="1304"/>
      <c r="K191" s="1304"/>
      <c r="L191" s="1304"/>
      <c r="M191" s="1304"/>
      <c r="N191" s="1304"/>
      <c r="O191" s="1304"/>
      <c r="P191" s="1304"/>
      <c r="Q191" s="1304"/>
      <c r="R191" s="1304"/>
      <c r="S191" s="1304"/>
      <c r="T191" s="1304"/>
      <c r="U191" s="1304"/>
      <c r="V191" s="1304"/>
      <c r="W191" s="1304"/>
      <c r="X191" s="1304"/>
      <c r="Y191" s="1304"/>
      <c r="Z191" s="1304"/>
      <c r="AA191" s="1304"/>
      <c r="AB191" s="1304"/>
      <c r="AC191" s="1304"/>
      <c r="AD191" s="1304"/>
      <c r="AE191" s="1304"/>
    </row>
    <row r="192" ht="15.0" customHeight="1">
      <c r="A192" s="1304"/>
      <c r="B192" s="1304"/>
      <c r="C192" s="1304"/>
      <c r="D192" s="1304"/>
      <c r="E192" s="1304"/>
      <c r="F192" s="1304"/>
      <c r="G192" s="1304"/>
      <c r="H192" s="1304"/>
      <c r="I192" s="1304"/>
      <c r="J192" s="1304"/>
      <c r="K192" s="1304"/>
      <c r="L192" s="1304"/>
      <c r="M192" s="1304"/>
      <c r="N192" s="1304"/>
      <c r="O192" s="1304"/>
      <c r="P192" s="1304"/>
      <c r="Q192" s="1304"/>
      <c r="R192" s="1304"/>
      <c r="S192" s="1304"/>
      <c r="T192" s="1304"/>
      <c r="U192" s="1304"/>
      <c r="V192" s="1304"/>
      <c r="W192" s="1304"/>
      <c r="X192" s="1304"/>
      <c r="Y192" s="1304"/>
      <c r="Z192" s="1304"/>
      <c r="AA192" s="1304"/>
      <c r="AB192" s="1304"/>
      <c r="AC192" s="1304"/>
      <c r="AD192" s="1304"/>
      <c r="AE192" s="1304"/>
    </row>
    <row r="193" ht="15.0" customHeight="1">
      <c r="A193" s="1304"/>
      <c r="B193" s="1304"/>
      <c r="C193" s="1304"/>
      <c r="D193" s="1304"/>
      <c r="E193" s="1304"/>
      <c r="F193" s="1304"/>
      <c r="G193" s="1304"/>
      <c r="H193" s="1304"/>
      <c r="I193" s="1304"/>
      <c r="J193" s="1304"/>
      <c r="K193" s="1304"/>
      <c r="L193" s="1304"/>
      <c r="M193" s="1304"/>
      <c r="N193" s="1304"/>
      <c r="O193" s="1304"/>
      <c r="P193" s="1304"/>
      <c r="Q193" s="1304"/>
      <c r="R193" s="1304"/>
      <c r="S193" s="1304"/>
      <c r="T193" s="1304"/>
      <c r="U193" s="1304"/>
      <c r="V193" s="1304"/>
      <c r="W193" s="1304"/>
      <c r="X193" s="1304"/>
      <c r="Y193" s="1304"/>
      <c r="Z193" s="1304"/>
      <c r="AA193" s="1304"/>
      <c r="AB193" s="1304"/>
      <c r="AC193" s="1304"/>
      <c r="AD193" s="1304"/>
      <c r="AE193" s="1304"/>
    </row>
    <row r="194" ht="15.0" customHeight="1">
      <c r="A194" s="1304"/>
      <c r="B194" s="1304"/>
      <c r="C194" s="1304"/>
      <c r="D194" s="1304"/>
      <c r="E194" s="1304"/>
      <c r="F194" s="1304"/>
      <c r="G194" s="1304"/>
      <c r="H194" s="1304"/>
      <c r="I194" s="1304"/>
      <c r="J194" s="1304"/>
      <c r="K194" s="1304"/>
      <c r="L194" s="1304"/>
      <c r="M194" s="1304"/>
      <c r="N194" s="1304"/>
      <c r="O194" s="1304"/>
      <c r="P194" s="1304"/>
      <c r="Q194" s="1304"/>
      <c r="R194" s="1304"/>
      <c r="S194" s="1304"/>
      <c r="T194" s="1304"/>
      <c r="U194" s="1304"/>
      <c r="V194" s="1304"/>
      <c r="W194" s="1304"/>
      <c r="X194" s="1304"/>
      <c r="Y194" s="1304"/>
      <c r="Z194" s="1304"/>
      <c r="AA194" s="1304"/>
      <c r="AB194" s="1304"/>
      <c r="AC194" s="1304"/>
      <c r="AD194" s="1304"/>
      <c r="AE194" s="1304"/>
    </row>
    <row r="195" ht="15.0" customHeight="1">
      <c r="A195" s="1304"/>
      <c r="B195" s="1304"/>
      <c r="C195" s="1304"/>
      <c r="D195" s="1304"/>
      <c r="E195" s="1304"/>
      <c r="F195" s="1304"/>
      <c r="G195" s="1304"/>
      <c r="H195" s="1304"/>
      <c r="I195" s="1304"/>
      <c r="J195" s="1304"/>
      <c r="K195" s="1304"/>
      <c r="L195" s="1304"/>
      <c r="M195" s="1304"/>
      <c r="N195" s="1304"/>
      <c r="O195" s="1304"/>
      <c r="P195" s="1304"/>
      <c r="Q195" s="1304"/>
      <c r="R195" s="1304"/>
      <c r="S195" s="1304"/>
      <c r="T195" s="1304"/>
      <c r="U195" s="1304"/>
      <c r="V195" s="1304"/>
      <c r="W195" s="1304"/>
      <c r="X195" s="1304"/>
      <c r="Y195" s="1304"/>
      <c r="Z195" s="1304"/>
      <c r="AA195" s="1304"/>
      <c r="AB195" s="1304"/>
      <c r="AC195" s="1304"/>
      <c r="AD195" s="1304"/>
      <c r="AE195" s="1304"/>
    </row>
    <row r="196" ht="15.0" customHeight="1">
      <c r="A196" s="1304"/>
      <c r="B196" s="1304"/>
      <c r="C196" s="1304"/>
      <c r="D196" s="1304"/>
      <c r="E196" s="1304"/>
      <c r="F196" s="1304"/>
      <c r="G196" s="1304"/>
      <c r="H196" s="1304"/>
      <c r="I196" s="1304"/>
      <c r="J196" s="1304"/>
      <c r="K196" s="1304"/>
      <c r="L196" s="1304"/>
      <c r="M196" s="1304"/>
      <c r="N196" s="1304"/>
      <c r="O196" s="1304"/>
      <c r="P196" s="1304"/>
      <c r="Q196" s="1304"/>
      <c r="R196" s="1304"/>
      <c r="S196" s="1304"/>
      <c r="T196" s="1304"/>
      <c r="U196" s="1304"/>
      <c r="V196" s="1304"/>
      <c r="W196" s="1304"/>
      <c r="X196" s="1304"/>
      <c r="Y196" s="1304"/>
      <c r="Z196" s="1304"/>
      <c r="AA196" s="1304"/>
      <c r="AB196" s="1304"/>
      <c r="AC196" s="1304"/>
      <c r="AD196" s="1304"/>
      <c r="AE196" s="1304"/>
    </row>
    <row r="197" ht="15.0" customHeight="1">
      <c r="A197" s="1304"/>
      <c r="B197" s="1304"/>
      <c r="C197" s="1304"/>
      <c r="D197" s="1304"/>
      <c r="E197" s="1304"/>
      <c r="F197" s="1304"/>
      <c r="G197" s="1304"/>
      <c r="H197" s="1304"/>
      <c r="I197" s="1304"/>
      <c r="J197" s="1304"/>
      <c r="K197" s="1304"/>
      <c r="L197" s="1304"/>
      <c r="M197" s="1304"/>
      <c r="N197" s="1304"/>
      <c r="O197" s="1304"/>
      <c r="P197" s="1304"/>
      <c r="Q197" s="1304"/>
      <c r="R197" s="1304"/>
      <c r="S197" s="1304"/>
      <c r="T197" s="1304"/>
      <c r="U197" s="1304"/>
      <c r="V197" s="1304"/>
      <c r="W197" s="1304"/>
      <c r="X197" s="1304"/>
      <c r="Y197" s="1304"/>
      <c r="Z197" s="1304"/>
      <c r="AA197" s="1304"/>
      <c r="AB197" s="1304"/>
      <c r="AC197" s="1304"/>
      <c r="AD197" s="1304"/>
      <c r="AE197" s="1304"/>
    </row>
    <row r="198" ht="15.0" customHeight="1">
      <c r="A198" s="1304"/>
      <c r="B198" s="1304"/>
      <c r="C198" s="1304"/>
      <c r="D198" s="1304"/>
      <c r="E198" s="1304"/>
      <c r="F198" s="1304"/>
      <c r="G198" s="1304"/>
      <c r="H198" s="1304"/>
      <c r="I198" s="1304"/>
      <c r="J198" s="1304"/>
      <c r="K198" s="1304"/>
      <c r="L198" s="1304"/>
      <c r="M198" s="1304"/>
      <c r="N198" s="1304"/>
      <c r="O198" s="1304"/>
      <c r="P198" s="1304"/>
      <c r="Q198" s="1304"/>
      <c r="R198" s="1304"/>
      <c r="S198" s="1304"/>
      <c r="T198" s="1304"/>
      <c r="U198" s="1304"/>
      <c r="V198" s="1304"/>
      <c r="W198" s="1304"/>
      <c r="X198" s="1304"/>
      <c r="Y198" s="1304"/>
      <c r="Z198" s="1304"/>
      <c r="AA198" s="1304"/>
      <c r="AB198" s="1304"/>
      <c r="AC198" s="1304"/>
      <c r="AD198" s="1304"/>
      <c r="AE198" s="1304"/>
    </row>
    <row r="199" ht="15.0" customHeight="1">
      <c r="A199" s="1304"/>
      <c r="B199" s="1304"/>
      <c r="C199" s="1304"/>
      <c r="D199" s="1304"/>
      <c r="E199" s="1304"/>
      <c r="F199" s="1304"/>
      <c r="G199" s="1304"/>
      <c r="H199" s="1304"/>
      <c r="I199" s="1304"/>
      <c r="J199" s="1304"/>
      <c r="K199" s="1304"/>
      <c r="L199" s="1304"/>
      <c r="M199" s="1304"/>
      <c r="N199" s="1304"/>
      <c r="O199" s="1304"/>
      <c r="P199" s="1304"/>
      <c r="Q199" s="1304"/>
      <c r="R199" s="1304"/>
      <c r="S199" s="1304"/>
      <c r="T199" s="1304"/>
      <c r="U199" s="1304"/>
      <c r="V199" s="1304"/>
      <c r="W199" s="1304"/>
      <c r="X199" s="1304"/>
      <c r="Y199" s="1304"/>
      <c r="Z199" s="1304"/>
      <c r="AA199" s="1304"/>
      <c r="AB199" s="1304"/>
      <c r="AC199" s="1304"/>
      <c r="AD199" s="1304"/>
      <c r="AE199" s="1304"/>
    </row>
    <row r="200" ht="15.0" customHeight="1">
      <c r="A200" s="1304"/>
      <c r="B200" s="1304"/>
      <c r="C200" s="1304"/>
      <c r="D200" s="1304"/>
      <c r="E200" s="1304"/>
      <c r="F200" s="1304"/>
      <c r="G200" s="1304"/>
      <c r="H200" s="1304"/>
      <c r="I200" s="1304"/>
      <c r="J200" s="1304"/>
      <c r="K200" s="1304"/>
      <c r="L200" s="1304"/>
      <c r="M200" s="1304"/>
      <c r="N200" s="1304"/>
      <c r="O200" s="1304"/>
      <c r="P200" s="1304"/>
      <c r="Q200" s="1304"/>
      <c r="R200" s="1304"/>
      <c r="S200" s="1304"/>
      <c r="T200" s="1304"/>
      <c r="U200" s="1304"/>
      <c r="V200" s="1304"/>
      <c r="W200" s="1304"/>
      <c r="X200" s="1304"/>
      <c r="Y200" s="1304"/>
      <c r="Z200" s="1304"/>
      <c r="AA200" s="1304"/>
      <c r="AB200" s="1304"/>
      <c r="AC200" s="1304"/>
      <c r="AD200" s="1304"/>
      <c r="AE200" s="1304"/>
    </row>
    <row r="201" ht="15.0" customHeight="1">
      <c r="A201" s="1304"/>
      <c r="B201" s="1304"/>
      <c r="C201" s="1304"/>
      <c r="D201" s="1304"/>
      <c r="E201" s="1304"/>
      <c r="F201" s="1304"/>
      <c r="G201" s="1304"/>
      <c r="H201" s="1304"/>
      <c r="I201" s="1304"/>
      <c r="J201" s="1304"/>
      <c r="K201" s="1304"/>
      <c r="L201" s="1304"/>
      <c r="M201" s="1304"/>
      <c r="N201" s="1304"/>
      <c r="O201" s="1304"/>
      <c r="P201" s="1304"/>
      <c r="Q201" s="1304"/>
      <c r="R201" s="1304"/>
      <c r="S201" s="1304"/>
      <c r="T201" s="1304"/>
      <c r="U201" s="1304"/>
      <c r="V201" s="1304"/>
      <c r="W201" s="1304"/>
      <c r="X201" s="1304"/>
      <c r="Y201" s="1304"/>
      <c r="Z201" s="1304"/>
      <c r="AA201" s="1304"/>
      <c r="AB201" s="1304"/>
      <c r="AC201" s="1304"/>
      <c r="AD201" s="1304"/>
      <c r="AE201" s="1304"/>
    </row>
    <row r="202" ht="15.0" customHeight="1">
      <c r="A202" s="1304"/>
      <c r="B202" s="1304"/>
      <c r="C202" s="1304"/>
      <c r="D202" s="1304"/>
      <c r="E202" s="1304"/>
      <c r="F202" s="1304"/>
      <c r="G202" s="1304"/>
      <c r="H202" s="1304"/>
      <c r="I202" s="1304"/>
      <c r="J202" s="1304"/>
      <c r="K202" s="1304"/>
      <c r="L202" s="1304"/>
      <c r="M202" s="1304"/>
      <c r="N202" s="1304"/>
      <c r="O202" s="1304"/>
      <c r="P202" s="1304"/>
      <c r="Q202" s="1304"/>
      <c r="R202" s="1304"/>
      <c r="S202" s="1304"/>
      <c r="T202" s="1304"/>
      <c r="U202" s="1304"/>
      <c r="V202" s="1304"/>
      <c r="W202" s="1304"/>
      <c r="X202" s="1304"/>
      <c r="Y202" s="1304"/>
      <c r="Z202" s="1304"/>
      <c r="AA202" s="1304"/>
      <c r="AB202" s="1304"/>
      <c r="AC202" s="1304"/>
      <c r="AD202" s="1304"/>
      <c r="AE202" s="1304"/>
    </row>
    <row r="203" ht="15.0" customHeight="1">
      <c r="A203" s="1304"/>
      <c r="B203" s="1304"/>
      <c r="C203" s="1304"/>
      <c r="D203" s="1304"/>
      <c r="E203" s="1304"/>
      <c r="F203" s="1304"/>
      <c r="G203" s="1304"/>
      <c r="H203" s="1304"/>
      <c r="I203" s="1304"/>
      <c r="J203" s="1304"/>
      <c r="K203" s="1304"/>
      <c r="L203" s="1304"/>
      <c r="M203" s="1304"/>
      <c r="N203" s="1304"/>
      <c r="O203" s="1304"/>
      <c r="P203" s="1304"/>
      <c r="Q203" s="1304"/>
      <c r="R203" s="1304"/>
      <c r="S203" s="1304"/>
      <c r="T203" s="1304"/>
      <c r="U203" s="1304"/>
      <c r="V203" s="1304"/>
      <c r="W203" s="1304"/>
      <c r="X203" s="1304"/>
      <c r="Y203" s="1304"/>
      <c r="Z203" s="1304"/>
      <c r="AA203" s="1304"/>
      <c r="AB203" s="1304"/>
      <c r="AC203" s="1304"/>
      <c r="AD203" s="1304"/>
      <c r="AE203" s="1304"/>
    </row>
    <row r="204" ht="15.0" customHeight="1">
      <c r="A204" s="1304"/>
      <c r="B204" s="1304"/>
      <c r="C204" s="1304"/>
      <c r="D204" s="1304"/>
      <c r="E204" s="1304"/>
      <c r="F204" s="1304"/>
      <c r="G204" s="1304"/>
      <c r="H204" s="1304"/>
      <c r="I204" s="1304"/>
      <c r="J204" s="1304"/>
      <c r="K204" s="1304"/>
      <c r="L204" s="1304"/>
      <c r="M204" s="1304"/>
      <c r="N204" s="1304"/>
      <c r="O204" s="1304"/>
      <c r="P204" s="1304"/>
      <c r="Q204" s="1304"/>
      <c r="R204" s="1304"/>
      <c r="S204" s="1304"/>
      <c r="T204" s="1304"/>
      <c r="U204" s="1304"/>
      <c r="V204" s="1304"/>
      <c r="W204" s="1304"/>
      <c r="X204" s="1304"/>
      <c r="Y204" s="1304"/>
      <c r="Z204" s="1304"/>
      <c r="AA204" s="1304"/>
      <c r="AB204" s="1304"/>
      <c r="AC204" s="1304"/>
      <c r="AD204" s="1304"/>
      <c r="AE204" s="1304"/>
    </row>
    <row r="205" ht="15.0" customHeight="1">
      <c r="A205" s="1304"/>
      <c r="B205" s="1304"/>
      <c r="C205" s="1304"/>
      <c r="D205" s="1304"/>
      <c r="E205" s="1304"/>
      <c r="F205" s="1304"/>
      <c r="G205" s="1304"/>
      <c r="H205" s="1304"/>
      <c r="I205" s="1304"/>
      <c r="J205" s="1304"/>
      <c r="K205" s="1304"/>
      <c r="L205" s="1304"/>
      <c r="M205" s="1304"/>
      <c r="N205" s="1304"/>
      <c r="O205" s="1304"/>
      <c r="P205" s="1304"/>
      <c r="Q205" s="1304"/>
      <c r="R205" s="1304"/>
      <c r="S205" s="1304"/>
      <c r="T205" s="1304"/>
      <c r="U205" s="1304"/>
      <c r="V205" s="1304"/>
      <c r="W205" s="1304"/>
      <c r="X205" s="1304"/>
      <c r="Y205" s="1304"/>
      <c r="Z205" s="1304"/>
      <c r="AA205" s="1304"/>
      <c r="AB205" s="1304"/>
      <c r="AC205" s="1304"/>
      <c r="AD205" s="1304"/>
      <c r="AE205" s="1304"/>
    </row>
    <row r="206" ht="15.0" customHeight="1">
      <c r="A206" s="1304"/>
      <c r="B206" s="1304"/>
      <c r="C206" s="1304"/>
      <c r="D206" s="1304"/>
      <c r="E206" s="1304"/>
      <c r="F206" s="1304"/>
      <c r="G206" s="1304"/>
      <c r="H206" s="1304"/>
      <c r="I206" s="1304"/>
      <c r="J206" s="1304"/>
      <c r="K206" s="1304"/>
      <c r="L206" s="1304"/>
      <c r="M206" s="1304"/>
      <c r="N206" s="1304"/>
      <c r="O206" s="1304"/>
      <c r="P206" s="1304"/>
      <c r="Q206" s="1304"/>
      <c r="R206" s="1304"/>
      <c r="S206" s="1304"/>
      <c r="T206" s="1304"/>
      <c r="U206" s="1304"/>
      <c r="V206" s="1304"/>
      <c r="W206" s="1304"/>
      <c r="X206" s="1304"/>
      <c r="Y206" s="1304"/>
      <c r="Z206" s="1304"/>
      <c r="AA206" s="1304"/>
      <c r="AB206" s="1304"/>
      <c r="AC206" s="1304"/>
      <c r="AD206" s="1304"/>
      <c r="AE206" s="1304"/>
    </row>
    <row r="207" ht="15.0" customHeight="1">
      <c r="A207" s="1304"/>
      <c r="B207" s="1304"/>
      <c r="C207" s="1304"/>
      <c r="D207" s="1304"/>
      <c r="E207" s="1304"/>
      <c r="F207" s="1304"/>
      <c r="G207" s="1304"/>
      <c r="H207" s="1304"/>
      <c r="I207" s="1304"/>
      <c r="J207" s="1304"/>
      <c r="K207" s="1304"/>
      <c r="L207" s="1304"/>
      <c r="M207" s="1304"/>
      <c r="N207" s="1304"/>
      <c r="O207" s="1304"/>
      <c r="P207" s="1304"/>
      <c r="Q207" s="1304"/>
      <c r="R207" s="1304"/>
      <c r="S207" s="1304"/>
      <c r="T207" s="1304"/>
      <c r="U207" s="1304"/>
      <c r="V207" s="1304"/>
      <c r="W207" s="1304"/>
      <c r="X207" s="1304"/>
      <c r="Y207" s="1304"/>
      <c r="Z207" s="1304"/>
      <c r="AA207" s="1304"/>
      <c r="AB207" s="1304"/>
      <c r="AC207" s="1304"/>
      <c r="AD207" s="1304"/>
      <c r="AE207" s="1304"/>
    </row>
    <row r="208" ht="15.0" customHeight="1">
      <c r="A208" s="1304"/>
      <c r="B208" s="1304"/>
      <c r="C208" s="1304"/>
      <c r="D208" s="1304"/>
      <c r="E208" s="1304"/>
      <c r="F208" s="1304"/>
      <c r="G208" s="1304"/>
      <c r="H208" s="1304"/>
      <c r="I208" s="1304"/>
      <c r="J208" s="1304"/>
      <c r="K208" s="1304"/>
      <c r="L208" s="1304"/>
      <c r="M208" s="1304"/>
      <c r="N208" s="1304"/>
      <c r="O208" s="1304"/>
      <c r="P208" s="1304"/>
      <c r="Q208" s="1304"/>
      <c r="R208" s="1304"/>
      <c r="S208" s="1304"/>
      <c r="T208" s="1304"/>
      <c r="U208" s="1304"/>
      <c r="V208" s="1304"/>
      <c r="W208" s="1304"/>
      <c r="X208" s="1304"/>
      <c r="Y208" s="1304"/>
      <c r="Z208" s="1304"/>
      <c r="AA208" s="1304"/>
      <c r="AB208" s="1304"/>
      <c r="AC208" s="1304"/>
      <c r="AD208" s="1304"/>
      <c r="AE208" s="1304"/>
    </row>
    <row r="209" ht="15.0" customHeight="1">
      <c r="A209" s="1304"/>
      <c r="B209" s="1304"/>
      <c r="C209" s="1304"/>
      <c r="D209" s="1304"/>
      <c r="E209" s="1304"/>
      <c r="F209" s="1304"/>
      <c r="G209" s="1304"/>
      <c r="H209" s="1304"/>
      <c r="I209" s="1304"/>
      <c r="J209" s="1304"/>
      <c r="K209" s="1304"/>
      <c r="L209" s="1304"/>
      <c r="M209" s="1304"/>
      <c r="N209" s="1304"/>
      <c r="O209" s="1304"/>
      <c r="P209" s="1304"/>
      <c r="Q209" s="1304"/>
      <c r="R209" s="1304"/>
      <c r="S209" s="1304"/>
      <c r="T209" s="1304"/>
      <c r="U209" s="1304"/>
      <c r="V209" s="1304"/>
      <c r="W209" s="1304"/>
      <c r="X209" s="1304"/>
      <c r="Y209" s="1304"/>
      <c r="Z209" s="1304"/>
      <c r="AA209" s="1304"/>
      <c r="AB209" s="1304"/>
      <c r="AC209" s="1304"/>
      <c r="AD209" s="1304"/>
      <c r="AE209" s="1304"/>
    </row>
    <row r="210" ht="15.0" customHeight="1">
      <c r="A210" s="1304"/>
      <c r="B210" s="1304"/>
      <c r="C210" s="1304"/>
      <c r="D210" s="1304"/>
      <c r="E210" s="1304"/>
      <c r="F210" s="1304"/>
      <c r="G210" s="1304"/>
      <c r="H210" s="1304"/>
      <c r="I210" s="1304"/>
      <c r="J210" s="1304"/>
      <c r="K210" s="1304"/>
      <c r="L210" s="1304"/>
      <c r="M210" s="1304"/>
      <c r="N210" s="1304"/>
      <c r="O210" s="1304"/>
      <c r="P210" s="1304"/>
      <c r="Q210" s="1304"/>
      <c r="R210" s="1304"/>
      <c r="S210" s="1304"/>
      <c r="T210" s="1304"/>
      <c r="U210" s="1304"/>
      <c r="V210" s="1304"/>
      <c r="W210" s="1304"/>
      <c r="X210" s="1304"/>
      <c r="Y210" s="1304"/>
      <c r="Z210" s="1304"/>
      <c r="AA210" s="1304"/>
      <c r="AB210" s="1304"/>
      <c r="AC210" s="1304"/>
      <c r="AD210" s="1304"/>
      <c r="AE210" s="1304"/>
    </row>
    <row r="211" ht="15.0" customHeight="1">
      <c r="A211" s="1304"/>
      <c r="B211" s="1304"/>
      <c r="C211" s="1304"/>
      <c r="D211" s="1304"/>
      <c r="E211" s="1304"/>
      <c r="F211" s="1304"/>
      <c r="G211" s="1304"/>
      <c r="H211" s="1304"/>
      <c r="I211" s="1304"/>
      <c r="J211" s="1304"/>
      <c r="K211" s="1304"/>
      <c r="L211" s="1304"/>
      <c r="M211" s="1304"/>
      <c r="N211" s="1304"/>
      <c r="O211" s="1304"/>
      <c r="P211" s="1304"/>
      <c r="Q211" s="1304"/>
      <c r="R211" s="1304"/>
      <c r="S211" s="1304"/>
      <c r="T211" s="1304"/>
      <c r="U211" s="1304"/>
      <c r="V211" s="1304"/>
      <c r="W211" s="1304"/>
      <c r="X211" s="1304"/>
      <c r="Y211" s="1304"/>
      <c r="Z211" s="1304"/>
      <c r="AA211" s="1304"/>
      <c r="AB211" s="1304"/>
      <c r="AC211" s="1304"/>
      <c r="AD211" s="1304"/>
      <c r="AE211" s="1304"/>
    </row>
    <row r="212" ht="15.0" customHeight="1">
      <c r="A212" s="1304"/>
      <c r="B212" s="1304"/>
      <c r="C212" s="1304"/>
      <c r="D212" s="1304"/>
      <c r="E212" s="1304"/>
      <c r="F212" s="1304"/>
      <c r="G212" s="1304"/>
      <c r="H212" s="1304"/>
      <c r="I212" s="1304"/>
      <c r="J212" s="1304"/>
      <c r="K212" s="1304"/>
      <c r="L212" s="1304"/>
      <c r="M212" s="1304"/>
      <c r="N212" s="1304"/>
      <c r="O212" s="1304"/>
      <c r="P212" s="1304"/>
      <c r="Q212" s="1304"/>
      <c r="R212" s="1304"/>
      <c r="S212" s="1304"/>
      <c r="T212" s="1304"/>
      <c r="U212" s="1304"/>
      <c r="V212" s="1304"/>
      <c r="W212" s="1304"/>
      <c r="X212" s="1304"/>
      <c r="Y212" s="1304"/>
      <c r="Z212" s="1304"/>
      <c r="AA212" s="1304"/>
      <c r="AB212" s="1304"/>
      <c r="AC212" s="1304"/>
      <c r="AD212" s="1304"/>
      <c r="AE212" s="1304"/>
    </row>
    <row r="213" ht="15.0" customHeight="1">
      <c r="A213" s="1304"/>
      <c r="B213" s="1304"/>
      <c r="C213" s="1304"/>
      <c r="D213" s="1304"/>
      <c r="E213" s="1304"/>
      <c r="F213" s="1304"/>
      <c r="G213" s="1304"/>
      <c r="H213" s="1304"/>
      <c r="I213" s="1304"/>
      <c r="J213" s="1304"/>
      <c r="K213" s="1304"/>
      <c r="L213" s="1304"/>
      <c r="M213" s="1304"/>
      <c r="N213" s="1304"/>
      <c r="O213" s="1304"/>
      <c r="P213" s="1304"/>
      <c r="Q213" s="1304"/>
      <c r="R213" s="1304"/>
      <c r="S213" s="1304"/>
      <c r="T213" s="1304"/>
      <c r="U213" s="1304"/>
      <c r="V213" s="1304"/>
      <c r="W213" s="1304"/>
      <c r="X213" s="1304"/>
      <c r="Y213" s="1304"/>
      <c r="Z213" s="1304"/>
      <c r="AA213" s="1304"/>
      <c r="AB213" s="1304"/>
      <c r="AC213" s="1304"/>
      <c r="AD213" s="1304"/>
      <c r="AE213" s="1304"/>
    </row>
    <row r="214" ht="15.0" customHeight="1">
      <c r="A214" s="1304"/>
      <c r="B214" s="1304"/>
      <c r="C214" s="1304"/>
      <c r="D214" s="1304"/>
      <c r="E214" s="1304"/>
      <c r="F214" s="1304"/>
      <c r="G214" s="1304"/>
      <c r="H214" s="1304"/>
      <c r="I214" s="1304"/>
      <c r="J214" s="1304"/>
      <c r="K214" s="1304"/>
      <c r="L214" s="1304"/>
      <c r="M214" s="1304"/>
      <c r="N214" s="1304"/>
      <c r="O214" s="1304"/>
      <c r="P214" s="1304"/>
      <c r="Q214" s="1304"/>
      <c r="R214" s="1304"/>
      <c r="S214" s="1304"/>
      <c r="T214" s="1304"/>
      <c r="U214" s="1304"/>
      <c r="V214" s="1304"/>
      <c r="W214" s="1304"/>
      <c r="X214" s="1304"/>
      <c r="Y214" s="1304"/>
      <c r="Z214" s="1304"/>
      <c r="AA214" s="1304"/>
      <c r="AB214" s="1304"/>
      <c r="AC214" s="1304"/>
      <c r="AD214" s="1304"/>
      <c r="AE214" s="1304"/>
    </row>
    <row r="215" ht="15.0" customHeight="1">
      <c r="A215" s="1304"/>
      <c r="B215" s="1304"/>
      <c r="C215" s="1304"/>
      <c r="D215" s="1304"/>
      <c r="E215" s="1304"/>
      <c r="F215" s="1304"/>
      <c r="G215" s="1304"/>
      <c r="H215" s="1304"/>
      <c r="I215" s="1304"/>
      <c r="J215" s="1304"/>
      <c r="K215" s="1304"/>
      <c r="L215" s="1304"/>
      <c r="M215" s="1304"/>
      <c r="N215" s="1304"/>
      <c r="O215" s="1304"/>
      <c r="P215" s="1304"/>
      <c r="Q215" s="1304"/>
      <c r="R215" s="1304"/>
      <c r="S215" s="1304"/>
      <c r="T215" s="1304"/>
      <c r="U215" s="1304"/>
      <c r="V215" s="1304"/>
      <c r="W215" s="1304"/>
      <c r="X215" s="1304"/>
      <c r="Y215" s="1304"/>
      <c r="Z215" s="1304"/>
      <c r="AA215" s="1304"/>
      <c r="AB215" s="1304"/>
      <c r="AC215" s="1304"/>
      <c r="AD215" s="1304"/>
      <c r="AE215" s="1304"/>
    </row>
    <row r="216" ht="15.0" customHeight="1">
      <c r="A216" s="1304"/>
      <c r="B216" s="1304"/>
      <c r="C216" s="1304"/>
      <c r="D216" s="1304"/>
      <c r="E216" s="1304"/>
      <c r="F216" s="1304"/>
      <c r="G216" s="1304"/>
      <c r="H216" s="1304"/>
      <c r="I216" s="1304"/>
      <c r="J216" s="1304"/>
      <c r="K216" s="1304"/>
      <c r="L216" s="1304"/>
      <c r="M216" s="1304"/>
      <c r="N216" s="1304"/>
      <c r="O216" s="1304"/>
      <c r="P216" s="1304"/>
      <c r="Q216" s="1304"/>
      <c r="R216" s="1304"/>
      <c r="S216" s="1304"/>
      <c r="T216" s="1304"/>
      <c r="U216" s="1304"/>
      <c r="V216" s="1304"/>
      <c r="W216" s="1304"/>
      <c r="X216" s="1304"/>
      <c r="Y216" s="1304"/>
      <c r="Z216" s="1304"/>
      <c r="AA216" s="1304"/>
      <c r="AB216" s="1304"/>
      <c r="AC216" s="1304"/>
      <c r="AD216" s="1304"/>
      <c r="AE216" s="1304"/>
    </row>
    <row r="217" ht="15.0" customHeight="1">
      <c r="A217" s="1304"/>
      <c r="B217" s="1304"/>
      <c r="C217" s="1304"/>
      <c r="D217" s="1304"/>
      <c r="E217" s="1304"/>
      <c r="F217" s="1304"/>
      <c r="G217" s="1304"/>
      <c r="H217" s="1304"/>
      <c r="I217" s="1304"/>
      <c r="J217" s="1304"/>
      <c r="K217" s="1304"/>
      <c r="L217" s="1304"/>
      <c r="M217" s="1304"/>
      <c r="N217" s="1304"/>
      <c r="O217" s="1304"/>
      <c r="P217" s="1304"/>
      <c r="Q217" s="1304"/>
      <c r="R217" s="1304"/>
      <c r="S217" s="1304"/>
      <c r="T217" s="1304"/>
      <c r="U217" s="1304"/>
      <c r="V217" s="1304"/>
      <c r="W217" s="1304"/>
      <c r="X217" s="1304"/>
      <c r="Y217" s="1304"/>
      <c r="Z217" s="1304"/>
      <c r="AA217" s="1304"/>
      <c r="AB217" s="1304"/>
      <c r="AC217" s="1304"/>
      <c r="AD217" s="1304"/>
      <c r="AE217" s="1304"/>
    </row>
    <row r="218" ht="15.0" customHeight="1">
      <c r="A218" s="1304"/>
      <c r="B218" s="1304"/>
      <c r="C218" s="1304"/>
      <c r="D218" s="1304"/>
      <c r="E218" s="1304"/>
      <c r="F218" s="1304"/>
      <c r="G218" s="1304"/>
      <c r="H218" s="1304"/>
      <c r="I218" s="1304"/>
      <c r="J218" s="1304"/>
      <c r="K218" s="1304"/>
      <c r="L218" s="1304"/>
      <c r="M218" s="1304"/>
      <c r="N218" s="1304"/>
      <c r="O218" s="1304"/>
      <c r="P218" s="1304"/>
      <c r="Q218" s="1304"/>
      <c r="R218" s="1304"/>
      <c r="S218" s="1304"/>
      <c r="T218" s="1304"/>
      <c r="U218" s="1304"/>
      <c r="V218" s="1304"/>
      <c r="W218" s="1304"/>
      <c r="X218" s="1304"/>
      <c r="Y218" s="1304"/>
      <c r="Z218" s="1304"/>
      <c r="AA218" s="1304"/>
      <c r="AB218" s="1304"/>
      <c r="AC218" s="1304"/>
      <c r="AD218" s="1304"/>
      <c r="AE218" s="1304"/>
    </row>
    <row r="219" ht="15.0" customHeight="1">
      <c r="A219" s="1304"/>
      <c r="B219" s="1304"/>
      <c r="C219" s="1304"/>
      <c r="D219" s="1304"/>
      <c r="E219" s="1304"/>
      <c r="F219" s="1304"/>
      <c r="G219" s="1304"/>
      <c r="H219" s="1304"/>
      <c r="I219" s="1304"/>
      <c r="J219" s="1304"/>
      <c r="K219" s="1304"/>
      <c r="L219" s="1304"/>
      <c r="M219" s="1304"/>
      <c r="N219" s="1304"/>
      <c r="O219" s="1304"/>
      <c r="P219" s="1304"/>
      <c r="Q219" s="1304"/>
      <c r="R219" s="1304"/>
      <c r="S219" s="1304"/>
      <c r="T219" s="1304"/>
      <c r="U219" s="1304"/>
      <c r="V219" s="1304"/>
      <c r="W219" s="1304"/>
      <c r="X219" s="1304"/>
      <c r="Y219" s="1304"/>
      <c r="Z219" s="1304"/>
      <c r="AA219" s="1304"/>
      <c r="AB219" s="1304"/>
      <c r="AC219" s="1304"/>
      <c r="AD219" s="1304"/>
      <c r="AE219" s="1304"/>
    </row>
    <row r="220" ht="15.0" customHeight="1">
      <c r="A220" s="1304"/>
      <c r="B220" s="1304"/>
      <c r="C220" s="1304"/>
      <c r="D220" s="1304"/>
      <c r="E220" s="1304"/>
      <c r="F220" s="1304"/>
      <c r="G220" s="1304"/>
      <c r="H220" s="1304"/>
      <c r="I220" s="1304"/>
      <c r="J220" s="1304"/>
      <c r="K220" s="1304"/>
      <c r="L220" s="1304"/>
      <c r="M220" s="1304"/>
      <c r="N220" s="1304"/>
      <c r="O220" s="1304"/>
      <c r="P220" s="1304"/>
      <c r="Q220" s="1304"/>
      <c r="R220" s="1304"/>
      <c r="S220" s="1304"/>
      <c r="T220" s="1304"/>
      <c r="U220" s="1304"/>
      <c r="V220" s="1304"/>
      <c r="W220" s="1304"/>
      <c r="X220" s="1304"/>
      <c r="Y220" s="1304"/>
      <c r="Z220" s="1304"/>
      <c r="AA220" s="1304"/>
      <c r="AB220" s="1304"/>
      <c r="AC220" s="1304"/>
      <c r="AD220" s="1304"/>
      <c r="AE220" s="1304"/>
    </row>
    <row r="221" ht="15.0" customHeight="1">
      <c r="A221" s="1304"/>
      <c r="B221" s="1304"/>
      <c r="C221" s="1304"/>
      <c r="D221" s="1304"/>
      <c r="E221" s="1304"/>
      <c r="F221" s="1304"/>
      <c r="G221" s="1304"/>
      <c r="H221" s="1304"/>
      <c r="I221" s="1304"/>
      <c r="J221" s="1304"/>
      <c r="K221" s="1304"/>
      <c r="L221" s="1304"/>
      <c r="M221" s="1304"/>
      <c r="N221" s="1304"/>
      <c r="O221" s="1304"/>
      <c r="P221" s="1304"/>
      <c r="Q221" s="1304"/>
      <c r="R221" s="1304"/>
      <c r="S221" s="1304"/>
      <c r="T221" s="1304"/>
      <c r="U221" s="1304"/>
      <c r="V221" s="1304"/>
      <c r="W221" s="1304"/>
      <c r="X221" s="1304"/>
      <c r="Y221" s="1304"/>
      <c r="Z221" s="1304"/>
      <c r="AA221" s="1304"/>
      <c r="AB221" s="1304"/>
      <c r="AC221" s="1304"/>
      <c r="AD221" s="1304"/>
      <c r="AE221" s="1304"/>
    </row>
    <row r="222" ht="15.0" customHeight="1">
      <c r="A222" s="1304"/>
      <c r="B222" s="1304"/>
      <c r="C222" s="1304"/>
      <c r="D222" s="1304"/>
      <c r="E222" s="1304"/>
      <c r="F222" s="1304"/>
      <c r="G222" s="1304"/>
      <c r="H222" s="1304"/>
      <c r="I222" s="1304"/>
      <c r="J222" s="1304"/>
      <c r="K222" s="1304"/>
      <c r="L222" s="1304"/>
      <c r="M222" s="1304"/>
      <c r="N222" s="1304"/>
      <c r="O222" s="1304"/>
      <c r="P222" s="1304"/>
      <c r="Q222" s="1304"/>
      <c r="R222" s="1304"/>
      <c r="S222" s="1304"/>
      <c r="T222" s="1304"/>
      <c r="U222" s="1304"/>
      <c r="V222" s="1304"/>
      <c r="W222" s="1304"/>
      <c r="X222" s="1304"/>
      <c r="Y222" s="1304"/>
      <c r="Z222" s="1304"/>
      <c r="AA222" s="1304"/>
      <c r="AB222" s="1304"/>
      <c r="AC222" s="1304"/>
      <c r="AD222" s="1304"/>
      <c r="AE222" s="1304"/>
    </row>
    <row r="223" ht="15.0" customHeight="1">
      <c r="A223" s="1304"/>
      <c r="B223" s="1304"/>
      <c r="C223" s="1304"/>
      <c r="D223" s="1304"/>
      <c r="E223" s="1304"/>
      <c r="F223" s="1304"/>
      <c r="G223" s="1304"/>
      <c r="H223" s="1304"/>
      <c r="I223" s="1304"/>
      <c r="J223" s="1304"/>
      <c r="K223" s="1304"/>
      <c r="L223" s="1304"/>
      <c r="M223" s="1304"/>
      <c r="N223" s="1304"/>
      <c r="O223" s="1304"/>
      <c r="P223" s="1304"/>
      <c r="Q223" s="1304"/>
      <c r="R223" s="1304"/>
      <c r="S223" s="1304"/>
      <c r="T223" s="1304"/>
      <c r="U223" s="1304"/>
      <c r="V223" s="1304"/>
      <c r="W223" s="1304"/>
      <c r="X223" s="1304"/>
      <c r="Y223" s="1304"/>
      <c r="Z223" s="1304"/>
      <c r="AA223" s="1304"/>
      <c r="AB223" s="1304"/>
      <c r="AC223" s="1304"/>
      <c r="AD223" s="1304"/>
      <c r="AE223" s="1304"/>
    </row>
    <row r="224" ht="15.0" customHeight="1">
      <c r="A224" s="1304"/>
      <c r="B224" s="1304"/>
      <c r="C224" s="1304"/>
      <c r="D224" s="1304"/>
      <c r="E224" s="1304"/>
      <c r="F224" s="1304"/>
      <c r="G224" s="1304"/>
      <c r="H224" s="1304"/>
      <c r="I224" s="1304"/>
      <c r="J224" s="1304"/>
      <c r="K224" s="1304"/>
      <c r="L224" s="1304"/>
      <c r="M224" s="1304"/>
      <c r="N224" s="1304"/>
      <c r="O224" s="1304"/>
      <c r="P224" s="1304"/>
      <c r="Q224" s="1304"/>
      <c r="R224" s="1304"/>
      <c r="S224" s="1304"/>
      <c r="T224" s="1304"/>
      <c r="U224" s="1304"/>
      <c r="V224" s="1304"/>
      <c r="W224" s="1304"/>
      <c r="X224" s="1304"/>
      <c r="Y224" s="1304"/>
      <c r="Z224" s="1304"/>
      <c r="AA224" s="1304"/>
      <c r="AB224" s="1304"/>
      <c r="AC224" s="1304"/>
      <c r="AD224" s="1304"/>
      <c r="AE224" s="1304"/>
    </row>
    <row r="225" ht="15.0" customHeight="1">
      <c r="A225" s="1304"/>
      <c r="B225" s="1304"/>
      <c r="C225" s="1304"/>
      <c r="D225" s="1304"/>
      <c r="E225" s="1304"/>
      <c r="F225" s="1304"/>
      <c r="G225" s="1304"/>
      <c r="H225" s="1304"/>
      <c r="I225" s="1304"/>
      <c r="J225" s="1304"/>
      <c r="K225" s="1304"/>
      <c r="L225" s="1304"/>
      <c r="M225" s="1304"/>
      <c r="N225" s="1304"/>
      <c r="O225" s="1304"/>
      <c r="P225" s="1304"/>
      <c r="Q225" s="1304"/>
      <c r="R225" s="1304"/>
      <c r="S225" s="1304"/>
      <c r="T225" s="1304"/>
      <c r="U225" s="1304"/>
      <c r="V225" s="1304"/>
      <c r="W225" s="1304"/>
      <c r="X225" s="1304"/>
      <c r="Y225" s="1304"/>
      <c r="Z225" s="1304"/>
      <c r="AA225" s="1304"/>
      <c r="AB225" s="1304"/>
      <c r="AC225" s="1304"/>
      <c r="AD225" s="1304"/>
      <c r="AE225" s="1304"/>
    </row>
    <row r="226" ht="15.0" customHeight="1">
      <c r="A226" s="1304"/>
      <c r="B226" s="1304"/>
      <c r="C226" s="1304"/>
      <c r="D226" s="1304"/>
      <c r="E226" s="1304"/>
      <c r="F226" s="1304"/>
      <c r="G226" s="1304"/>
      <c r="H226" s="1304"/>
      <c r="I226" s="1304"/>
      <c r="J226" s="1304"/>
      <c r="K226" s="1304"/>
      <c r="L226" s="1304"/>
      <c r="M226" s="1304"/>
      <c r="N226" s="1304"/>
      <c r="O226" s="1304"/>
      <c r="P226" s="1304"/>
      <c r="Q226" s="1304"/>
      <c r="R226" s="1304"/>
      <c r="S226" s="1304"/>
      <c r="T226" s="1304"/>
      <c r="U226" s="1304"/>
      <c r="V226" s="1304"/>
      <c r="W226" s="1304"/>
      <c r="X226" s="1304"/>
      <c r="Y226" s="1304"/>
      <c r="Z226" s="1304"/>
      <c r="AA226" s="1304"/>
      <c r="AB226" s="1304"/>
      <c r="AC226" s="1304"/>
      <c r="AD226" s="1304"/>
      <c r="AE226" s="1304"/>
    </row>
    <row r="227" ht="15.0" customHeight="1">
      <c r="A227" s="1304"/>
      <c r="B227" s="1304"/>
      <c r="C227" s="1304"/>
      <c r="D227" s="1304"/>
      <c r="E227" s="1304"/>
      <c r="F227" s="1304"/>
      <c r="G227" s="1304"/>
      <c r="H227" s="1304"/>
      <c r="I227" s="1304"/>
      <c r="J227" s="1304"/>
      <c r="K227" s="1304"/>
      <c r="L227" s="1304"/>
      <c r="M227" s="1304"/>
      <c r="N227" s="1304"/>
      <c r="O227" s="1304"/>
      <c r="P227" s="1304"/>
      <c r="Q227" s="1304"/>
      <c r="R227" s="1304"/>
      <c r="S227" s="1304"/>
      <c r="T227" s="1304"/>
      <c r="U227" s="1304"/>
      <c r="V227" s="1304"/>
      <c r="W227" s="1304"/>
      <c r="X227" s="1304"/>
      <c r="Y227" s="1304"/>
      <c r="Z227" s="1304"/>
      <c r="AA227" s="1304"/>
      <c r="AB227" s="1304"/>
      <c r="AC227" s="1304"/>
      <c r="AD227" s="1304"/>
      <c r="AE227" s="1304"/>
    </row>
    <row r="228" ht="15.0" customHeight="1">
      <c r="A228" s="1304"/>
      <c r="B228" s="1304"/>
      <c r="C228" s="1304"/>
      <c r="D228" s="1304"/>
      <c r="E228" s="1304"/>
      <c r="F228" s="1304"/>
      <c r="G228" s="1304"/>
      <c r="H228" s="1304"/>
      <c r="I228" s="1304"/>
      <c r="J228" s="1304"/>
      <c r="K228" s="1304"/>
      <c r="L228" s="1304"/>
      <c r="M228" s="1304"/>
      <c r="N228" s="1304"/>
      <c r="O228" s="1304"/>
      <c r="P228" s="1304"/>
      <c r="Q228" s="1304"/>
      <c r="R228" s="1304"/>
      <c r="S228" s="1304"/>
      <c r="T228" s="1304"/>
      <c r="U228" s="1304"/>
      <c r="V228" s="1304"/>
      <c r="W228" s="1304"/>
      <c r="X228" s="1304"/>
      <c r="Y228" s="1304"/>
      <c r="Z228" s="1304"/>
      <c r="AA228" s="1304"/>
      <c r="AB228" s="1304"/>
      <c r="AC228" s="1304"/>
      <c r="AD228" s="1304"/>
      <c r="AE228" s="1304"/>
    </row>
    <row r="229" ht="15.0" customHeight="1">
      <c r="A229" s="1304"/>
      <c r="B229" s="1304"/>
      <c r="C229" s="1304"/>
      <c r="D229" s="1304"/>
      <c r="E229" s="1304"/>
      <c r="F229" s="1304"/>
      <c r="G229" s="1304"/>
      <c r="H229" s="1304"/>
      <c r="I229" s="1304"/>
      <c r="J229" s="1304"/>
      <c r="K229" s="1304"/>
      <c r="L229" s="1304"/>
      <c r="M229" s="1304"/>
      <c r="N229" s="1304"/>
      <c r="O229" s="1304"/>
      <c r="P229" s="1304"/>
      <c r="Q229" s="1304"/>
      <c r="R229" s="1304"/>
      <c r="S229" s="1304"/>
      <c r="T229" s="1304"/>
      <c r="U229" s="1304"/>
      <c r="V229" s="1304"/>
      <c r="W229" s="1304"/>
      <c r="X229" s="1304"/>
      <c r="Y229" s="1304"/>
      <c r="Z229" s="1304"/>
      <c r="AA229" s="1304"/>
      <c r="AB229" s="1304"/>
      <c r="AC229" s="1304"/>
      <c r="AD229" s="1304"/>
      <c r="AE229" s="1304"/>
    </row>
    <row r="230" ht="15.0" customHeight="1">
      <c r="A230" s="1304"/>
      <c r="B230" s="1304"/>
      <c r="C230" s="1304"/>
      <c r="D230" s="1304"/>
      <c r="E230" s="1304"/>
      <c r="F230" s="1304"/>
      <c r="G230" s="1304"/>
      <c r="H230" s="1304"/>
      <c r="I230" s="1304"/>
      <c r="J230" s="1304"/>
      <c r="K230" s="1304"/>
      <c r="L230" s="1304"/>
      <c r="M230" s="1304"/>
      <c r="N230" s="1304"/>
      <c r="O230" s="1304"/>
      <c r="P230" s="1304"/>
      <c r="Q230" s="1304"/>
      <c r="R230" s="1304"/>
      <c r="S230" s="1304"/>
      <c r="T230" s="1304"/>
      <c r="U230" s="1304"/>
      <c r="V230" s="1304"/>
      <c r="W230" s="1304"/>
      <c r="X230" s="1304"/>
      <c r="Y230" s="1304"/>
      <c r="Z230" s="1304"/>
      <c r="AA230" s="1304"/>
      <c r="AB230" s="1304"/>
      <c r="AC230" s="1304"/>
      <c r="AD230" s="1304"/>
      <c r="AE230" s="1304"/>
    </row>
    <row r="231" ht="15.0" customHeight="1">
      <c r="A231" s="1304"/>
      <c r="B231" s="1304"/>
      <c r="C231" s="1304"/>
      <c r="D231" s="1304"/>
      <c r="E231" s="1304"/>
      <c r="F231" s="1304"/>
      <c r="G231" s="1304"/>
      <c r="H231" s="1304"/>
      <c r="I231" s="1304"/>
      <c r="J231" s="1304"/>
      <c r="K231" s="1304"/>
      <c r="L231" s="1304"/>
      <c r="M231" s="1304"/>
      <c r="N231" s="1304"/>
      <c r="O231" s="1304"/>
      <c r="P231" s="1304"/>
      <c r="Q231" s="1304"/>
      <c r="R231" s="1304"/>
      <c r="S231" s="1304"/>
      <c r="T231" s="1304"/>
      <c r="U231" s="1304"/>
      <c r="V231" s="1304"/>
      <c r="W231" s="1304"/>
      <c r="X231" s="1304"/>
      <c r="Y231" s="1304"/>
      <c r="Z231" s="1304"/>
      <c r="AA231" s="1304"/>
      <c r="AB231" s="1304"/>
      <c r="AC231" s="1304"/>
      <c r="AD231" s="1304"/>
      <c r="AE231" s="1304"/>
    </row>
    <row r="232" ht="15.0" customHeight="1">
      <c r="A232" s="1304"/>
      <c r="B232" s="1304"/>
      <c r="C232" s="1304"/>
      <c r="D232" s="1304"/>
      <c r="E232" s="1304"/>
      <c r="F232" s="1304"/>
      <c r="G232" s="1304"/>
      <c r="H232" s="1304"/>
      <c r="I232" s="1304"/>
      <c r="J232" s="1304"/>
      <c r="K232" s="1304"/>
      <c r="L232" s="1304"/>
      <c r="M232" s="1304"/>
      <c r="N232" s="1304"/>
      <c r="O232" s="1304"/>
      <c r="P232" s="1304"/>
      <c r="Q232" s="1304"/>
      <c r="R232" s="1304"/>
      <c r="S232" s="1304"/>
      <c r="T232" s="1304"/>
      <c r="U232" s="1304"/>
      <c r="V232" s="1304"/>
      <c r="W232" s="1304"/>
      <c r="X232" s="1304"/>
      <c r="Y232" s="1304"/>
      <c r="Z232" s="1304"/>
      <c r="AA232" s="1304"/>
      <c r="AB232" s="1304"/>
      <c r="AC232" s="1304"/>
      <c r="AD232" s="1304"/>
      <c r="AE232" s="1304"/>
    </row>
    <row r="233" ht="15.0" customHeight="1">
      <c r="A233" s="1304"/>
      <c r="B233" s="1304"/>
      <c r="C233" s="1304"/>
      <c r="D233" s="1304"/>
      <c r="E233" s="1304"/>
      <c r="F233" s="1304"/>
      <c r="G233" s="1304"/>
      <c r="H233" s="1304"/>
      <c r="I233" s="1304"/>
      <c r="J233" s="1304"/>
      <c r="K233" s="1304"/>
      <c r="L233" s="1304"/>
      <c r="M233" s="1304"/>
      <c r="N233" s="1304"/>
      <c r="O233" s="1304"/>
      <c r="P233" s="1304"/>
      <c r="Q233" s="1304"/>
      <c r="R233" s="1304"/>
      <c r="S233" s="1304"/>
      <c r="T233" s="1304"/>
      <c r="U233" s="1304"/>
      <c r="V233" s="1304"/>
      <c r="W233" s="1304"/>
      <c r="X233" s="1304"/>
      <c r="Y233" s="1304"/>
      <c r="Z233" s="1304"/>
      <c r="AA233" s="1304"/>
      <c r="AB233" s="1304"/>
      <c r="AC233" s="1304"/>
      <c r="AD233" s="1304"/>
      <c r="AE233" s="1304"/>
    </row>
    <row r="234" ht="15.0" customHeight="1">
      <c r="A234" s="1304"/>
      <c r="B234" s="1304"/>
      <c r="C234" s="1304"/>
      <c r="D234" s="1304"/>
      <c r="E234" s="1304"/>
      <c r="F234" s="1304"/>
      <c r="G234" s="1304"/>
      <c r="H234" s="1304"/>
      <c r="I234" s="1304"/>
      <c r="J234" s="1304"/>
      <c r="K234" s="1304"/>
      <c r="L234" s="1304"/>
      <c r="M234" s="1304"/>
      <c r="N234" s="1304"/>
      <c r="O234" s="1304"/>
      <c r="P234" s="1304"/>
      <c r="Q234" s="1304"/>
      <c r="R234" s="1304"/>
      <c r="S234" s="1304"/>
      <c r="T234" s="1304"/>
      <c r="U234" s="1304"/>
      <c r="V234" s="1304"/>
      <c r="W234" s="1304"/>
      <c r="X234" s="1304"/>
      <c r="Y234" s="1304"/>
      <c r="Z234" s="1304"/>
      <c r="AA234" s="1304"/>
      <c r="AB234" s="1304"/>
      <c r="AC234" s="1304"/>
      <c r="AD234" s="1304"/>
      <c r="AE234" s="1304"/>
    </row>
    <row r="235" ht="15.0" customHeight="1">
      <c r="A235" s="1304"/>
      <c r="B235" s="1304"/>
      <c r="C235" s="1304"/>
      <c r="D235" s="1304"/>
      <c r="E235" s="1304"/>
      <c r="F235" s="1304"/>
      <c r="G235" s="1304"/>
      <c r="H235" s="1304"/>
      <c r="I235" s="1304"/>
      <c r="J235" s="1304"/>
      <c r="K235" s="1304"/>
      <c r="L235" s="1304"/>
      <c r="M235" s="1304"/>
      <c r="N235" s="1304"/>
      <c r="O235" s="1304"/>
      <c r="P235" s="1304"/>
      <c r="Q235" s="1304"/>
      <c r="R235" s="1304"/>
      <c r="S235" s="1304"/>
      <c r="T235" s="1304"/>
      <c r="U235" s="1304"/>
      <c r="V235" s="1304"/>
      <c r="W235" s="1304"/>
      <c r="X235" s="1304"/>
      <c r="Y235" s="1304"/>
      <c r="Z235" s="1304"/>
      <c r="AA235" s="1304"/>
      <c r="AB235" s="1304"/>
      <c r="AC235" s="1304"/>
      <c r="AD235" s="1304"/>
      <c r="AE235" s="1304"/>
    </row>
    <row r="236" ht="15.0" customHeight="1">
      <c r="A236" s="1304"/>
      <c r="B236" s="1304"/>
      <c r="C236" s="1304"/>
      <c r="D236" s="1304"/>
      <c r="E236" s="1304"/>
      <c r="F236" s="1304"/>
      <c r="G236" s="1304"/>
      <c r="H236" s="1304"/>
      <c r="I236" s="1304"/>
      <c r="J236" s="1304"/>
      <c r="K236" s="1304"/>
      <c r="L236" s="1304"/>
      <c r="M236" s="1304"/>
      <c r="N236" s="1304"/>
      <c r="O236" s="1304"/>
      <c r="P236" s="1304"/>
      <c r="Q236" s="1304"/>
      <c r="R236" s="1304"/>
      <c r="S236" s="1304"/>
      <c r="T236" s="1304"/>
      <c r="U236" s="1304"/>
      <c r="V236" s="1304"/>
      <c r="W236" s="1304"/>
      <c r="X236" s="1304"/>
      <c r="Y236" s="1304"/>
      <c r="Z236" s="1304"/>
      <c r="AA236" s="1304"/>
      <c r="AB236" s="1304"/>
      <c r="AC236" s="1304"/>
      <c r="AD236" s="1304"/>
      <c r="AE236" s="1304"/>
    </row>
    <row r="237" ht="15.0" customHeight="1">
      <c r="A237" s="1304"/>
      <c r="B237" s="1304"/>
      <c r="C237" s="1304"/>
      <c r="D237" s="1304"/>
      <c r="E237" s="1304"/>
      <c r="F237" s="1304"/>
      <c r="G237" s="1304"/>
      <c r="H237" s="1304"/>
      <c r="I237" s="1304"/>
      <c r="J237" s="1304"/>
      <c r="K237" s="1304"/>
      <c r="L237" s="1304"/>
      <c r="M237" s="1304"/>
      <c r="N237" s="1304"/>
      <c r="O237" s="1304"/>
      <c r="P237" s="1304"/>
      <c r="Q237" s="1304"/>
      <c r="R237" s="1304"/>
      <c r="S237" s="1304"/>
      <c r="T237" s="1304"/>
      <c r="U237" s="1304"/>
      <c r="V237" s="1304"/>
      <c r="W237" s="1304"/>
      <c r="X237" s="1304"/>
      <c r="Y237" s="1304"/>
      <c r="Z237" s="1304"/>
      <c r="AA237" s="1304"/>
      <c r="AB237" s="1304"/>
      <c r="AC237" s="1304"/>
      <c r="AD237" s="1304"/>
      <c r="AE237" s="1304"/>
    </row>
    <row r="238" ht="15.0" customHeight="1">
      <c r="A238" s="1304"/>
      <c r="B238" s="1304"/>
      <c r="C238" s="1304"/>
      <c r="D238" s="1304"/>
      <c r="E238" s="1304"/>
      <c r="F238" s="1304"/>
      <c r="G238" s="1304"/>
      <c r="H238" s="1304"/>
      <c r="I238" s="1304"/>
      <c r="J238" s="1304"/>
      <c r="K238" s="1304"/>
      <c r="L238" s="1304"/>
      <c r="M238" s="1304"/>
      <c r="N238" s="1304"/>
      <c r="O238" s="1304"/>
      <c r="P238" s="1304"/>
      <c r="Q238" s="1304"/>
      <c r="R238" s="1304"/>
      <c r="S238" s="1304"/>
      <c r="T238" s="1304"/>
      <c r="U238" s="1304"/>
      <c r="V238" s="1304"/>
      <c r="W238" s="1304"/>
      <c r="X238" s="1304"/>
      <c r="Y238" s="1304"/>
      <c r="Z238" s="1304"/>
      <c r="AA238" s="1304"/>
      <c r="AB238" s="1304"/>
      <c r="AC238" s="1304"/>
      <c r="AD238" s="1304"/>
      <c r="AE238" s="1304"/>
    </row>
    <row r="239" ht="15.0" customHeight="1">
      <c r="A239" s="1304"/>
      <c r="B239" s="1304"/>
      <c r="C239" s="1304"/>
      <c r="D239" s="1304"/>
      <c r="E239" s="1304"/>
      <c r="F239" s="1304"/>
      <c r="G239" s="1304"/>
      <c r="H239" s="1304"/>
      <c r="I239" s="1304"/>
      <c r="J239" s="1304"/>
      <c r="K239" s="1304"/>
      <c r="L239" s="1304"/>
      <c r="M239" s="1304"/>
      <c r="N239" s="1304"/>
      <c r="O239" s="1304"/>
      <c r="P239" s="1304"/>
      <c r="Q239" s="1304"/>
      <c r="R239" s="1304"/>
      <c r="S239" s="1304"/>
      <c r="T239" s="1304"/>
      <c r="U239" s="1304"/>
      <c r="V239" s="1304"/>
      <c r="W239" s="1304"/>
      <c r="X239" s="1304"/>
      <c r="Y239" s="1304"/>
      <c r="Z239" s="1304"/>
      <c r="AA239" s="1304"/>
      <c r="AB239" s="1304"/>
      <c r="AC239" s="1304"/>
      <c r="AD239" s="1304"/>
      <c r="AE239" s="1304"/>
    </row>
    <row r="240" ht="15.0" customHeight="1">
      <c r="A240" s="1304"/>
      <c r="B240" s="1304"/>
      <c r="C240" s="1304"/>
      <c r="D240" s="1304"/>
      <c r="E240" s="1304"/>
      <c r="F240" s="1304"/>
      <c r="G240" s="1304"/>
      <c r="H240" s="1304"/>
      <c r="I240" s="1304"/>
      <c r="J240" s="1304"/>
      <c r="K240" s="1304"/>
      <c r="L240" s="1304"/>
      <c r="M240" s="1304"/>
      <c r="N240" s="1304"/>
      <c r="O240" s="1304"/>
      <c r="P240" s="1304"/>
      <c r="Q240" s="1304"/>
      <c r="R240" s="1304"/>
      <c r="S240" s="1304"/>
      <c r="T240" s="1304"/>
      <c r="U240" s="1304"/>
      <c r="V240" s="1304"/>
      <c r="W240" s="1304"/>
      <c r="X240" s="1304"/>
      <c r="Y240" s="1304"/>
      <c r="Z240" s="1304"/>
      <c r="AA240" s="1304"/>
      <c r="AB240" s="1304"/>
      <c r="AC240" s="1304"/>
      <c r="AD240" s="1304"/>
      <c r="AE240" s="1304"/>
    </row>
    <row r="241" ht="15.0" customHeight="1">
      <c r="A241" s="1304"/>
      <c r="B241" s="1304"/>
      <c r="C241" s="1304"/>
      <c r="D241" s="1304"/>
      <c r="E241" s="1304"/>
      <c r="F241" s="1304"/>
      <c r="G241" s="1304"/>
      <c r="H241" s="1304"/>
      <c r="I241" s="1304"/>
      <c r="J241" s="1304"/>
      <c r="K241" s="1304"/>
      <c r="L241" s="1304"/>
      <c r="M241" s="1304"/>
      <c r="N241" s="1304"/>
      <c r="O241" s="1304"/>
      <c r="P241" s="1304"/>
      <c r="Q241" s="1304"/>
      <c r="R241" s="1304"/>
      <c r="S241" s="1304"/>
      <c r="T241" s="1304"/>
      <c r="U241" s="1304"/>
      <c r="V241" s="1304"/>
      <c r="W241" s="1304"/>
      <c r="X241" s="1304"/>
      <c r="Y241" s="1304"/>
      <c r="Z241" s="1304"/>
      <c r="AA241" s="1304"/>
      <c r="AB241" s="1304"/>
      <c r="AC241" s="1304"/>
      <c r="AD241" s="1304"/>
      <c r="AE241" s="1304"/>
    </row>
    <row r="242" ht="15.0" customHeight="1">
      <c r="A242" s="1304"/>
      <c r="B242" s="1304"/>
      <c r="C242" s="1304"/>
      <c r="D242" s="1304"/>
      <c r="E242" s="1304"/>
      <c r="F242" s="1304"/>
      <c r="G242" s="1304"/>
      <c r="H242" s="1304"/>
      <c r="I242" s="1304"/>
      <c r="J242" s="1304"/>
      <c r="K242" s="1304"/>
      <c r="L242" s="1304"/>
      <c r="M242" s="1304"/>
      <c r="N242" s="1304"/>
      <c r="O242" s="1304"/>
      <c r="P242" s="1304"/>
      <c r="Q242" s="1304"/>
      <c r="R242" s="1304"/>
      <c r="S242" s="1304"/>
      <c r="T242" s="1304"/>
      <c r="U242" s="1304"/>
      <c r="V242" s="1304"/>
      <c r="W242" s="1304"/>
      <c r="X242" s="1304"/>
      <c r="Y242" s="1304"/>
      <c r="Z242" s="1304"/>
      <c r="AA242" s="1304"/>
      <c r="AB242" s="1304"/>
      <c r="AC242" s="1304"/>
      <c r="AD242" s="1304"/>
      <c r="AE242" s="1304"/>
    </row>
    <row r="243" ht="15.0" customHeight="1">
      <c r="A243" s="1304"/>
      <c r="B243" s="1304"/>
      <c r="C243" s="1304"/>
      <c r="D243" s="1304"/>
      <c r="E243" s="1304"/>
      <c r="F243" s="1304"/>
      <c r="G243" s="1304"/>
      <c r="H243" s="1304"/>
      <c r="I243" s="1304"/>
      <c r="J243" s="1304"/>
      <c r="K243" s="1304"/>
      <c r="L243" s="1304"/>
      <c r="M243" s="1304"/>
      <c r="N243" s="1304"/>
      <c r="O243" s="1304"/>
      <c r="P243" s="1304"/>
      <c r="Q243" s="1304"/>
      <c r="R243" s="1304"/>
      <c r="S243" s="1304"/>
      <c r="T243" s="1304"/>
      <c r="U243" s="1304"/>
      <c r="V243" s="1304"/>
      <c r="W243" s="1304"/>
      <c r="X243" s="1304"/>
      <c r="Y243" s="1304"/>
      <c r="Z243" s="1304"/>
      <c r="AA243" s="1304"/>
      <c r="AB243" s="1304"/>
      <c r="AC243" s="1304"/>
      <c r="AD243" s="1304"/>
      <c r="AE243" s="1304"/>
    </row>
    <row r="244" ht="15.0" customHeight="1">
      <c r="A244" s="1304"/>
      <c r="B244" s="1304"/>
      <c r="C244" s="1304"/>
      <c r="D244" s="1304"/>
      <c r="E244" s="1304"/>
      <c r="F244" s="1304"/>
      <c r="G244" s="1304"/>
      <c r="H244" s="1304"/>
      <c r="I244" s="1304"/>
      <c r="J244" s="1304"/>
      <c r="K244" s="1304"/>
      <c r="L244" s="1304"/>
      <c r="M244" s="1304"/>
      <c r="N244" s="1304"/>
      <c r="O244" s="1304"/>
      <c r="P244" s="1304"/>
      <c r="Q244" s="1304"/>
      <c r="R244" s="1304"/>
      <c r="S244" s="1304"/>
      <c r="T244" s="1304"/>
      <c r="U244" s="1304"/>
      <c r="V244" s="1304"/>
      <c r="W244" s="1304"/>
      <c r="X244" s="1304"/>
      <c r="Y244" s="1304"/>
      <c r="Z244" s="1304"/>
      <c r="AA244" s="1304"/>
      <c r="AB244" s="1304"/>
      <c r="AC244" s="1304"/>
      <c r="AD244" s="1304"/>
      <c r="AE244" s="1304"/>
    </row>
    <row r="245" ht="15.0" customHeight="1">
      <c r="A245" s="1304"/>
      <c r="B245" s="1304"/>
      <c r="C245" s="1304"/>
      <c r="D245" s="1304"/>
      <c r="E245" s="1304"/>
      <c r="F245" s="1304"/>
      <c r="G245" s="1304"/>
      <c r="H245" s="1304"/>
      <c r="I245" s="1304"/>
      <c r="J245" s="1304"/>
      <c r="K245" s="1304"/>
      <c r="L245" s="1304"/>
      <c r="M245" s="1304"/>
      <c r="N245" s="1304"/>
      <c r="O245" s="1304"/>
      <c r="P245" s="1304"/>
      <c r="Q245" s="1304"/>
      <c r="R245" s="1304"/>
      <c r="S245" s="1304"/>
      <c r="T245" s="1304"/>
      <c r="U245" s="1304"/>
      <c r="V245" s="1304"/>
      <c r="W245" s="1304"/>
      <c r="X245" s="1304"/>
      <c r="Y245" s="1304"/>
      <c r="Z245" s="1304"/>
      <c r="AA245" s="1304"/>
      <c r="AB245" s="1304"/>
      <c r="AC245" s="1304"/>
      <c r="AD245" s="1304"/>
      <c r="AE245" s="1304"/>
    </row>
    <row r="246" ht="15.0" customHeight="1">
      <c r="A246" s="1304"/>
      <c r="B246" s="1304"/>
      <c r="C246" s="1304"/>
      <c r="D246" s="1304"/>
      <c r="E246" s="1304"/>
      <c r="F246" s="1304"/>
      <c r="G246" s="1304"/>
      <c r="H246" s="1304"/>
      <c r="I246" s="1304"/>
      <c r="J246" s="1304"/>
      <c r="K246" s="1304"/>
      <c r="L246" s="1304"/>
      <c r="M246" s="1304"/>
      <c r="N246" s="1304"/>
      <c r="O246" s="1304"/>
      <c r="P246" s="1304"/>
      <c r="Q246" s="1304"/>
      <c r="R246" s="1304"/>
      <c r="S246" s="1304"/>
      <c r="T246" s="1304"/>
      <c r="U246" s="1304"/>
      <c r="V246" s="1304"/>
      <c r="W246" s="1304"/>
      <c r="X246" s="1304"/>
      <c r="Y246" s="1304"/>
      <c r="Z246" s="1304"/>
      <c r="AA246" s="1304"/>
      <c r="AB246" s="1304"/>
      <c r="AC246" s="1304"/>
      <c r="AD246" s="1304"/>
      <c r="AE246" s="1304"/>
    </row>
    <row r="247" ht="15.0" customHeight="1">
      <c r="A247" s="1304"/>
      <c r="B247" s="1304"/>
      <c r="C247" s="1304"/>
      <c r="D247" s="1304"/>
      <c r="E247" s="1304"/>
      <c r="F247" s="1304"/>
      <c r="G247" s="1304"/>
      <c r="H247" s="1304"/>
      <c r="I247" s="1304"/>
      <c r="J247" s="1304"/>
      <c r="K247" s="1304"/>
      <c r="L247" s="1304"/>
      <c r="M247" s="1304"/>
      <c r="N247" s="1304"/>
      <c r="O247" s="1304"/>
      <c r="P247" s="1304"/>
      <c r="Q247" s="1304"/>
      <c r="R247" s="1304"/>
      <c r="S247" s="1304"/>
      <c r="T247" s="1304"/>
      <c r="U247" s="1304"/>
      <c r="V247" s="1304"/>
      <c r="W247" s="1304"/>
      <c r="X247" s="1304"/>
      <c r="Y247" s="1304"/>
      <c r="Z247" s="1304"/>
      <c r="AA247" s="1304"/>
      <c r="AB247" s="1304"/>
      <c r="AC247" s="1304"/>
      <c r="AD247" s="1304"/>
      <c r="AE247" s="1304"/>
    </row>
    <row r="248" ht="15.0" customHeight="1">
      <c r="A248" s="1304"/>
      <c r="B248" s="1304"/>
      <c r="C248" s="1304"/>
      <c r="D248" s="1304"/>
      <c r="E248" s="1304"/>
      <c r="F248" s="1304"/>
      <c r="G248" s="1304"/>
      <c r="H248" s="1304"/>
      <c r="I248" s="1304"/>
      <c r="J248" s="1304"/>
      <c r="K248" s="1304"/>
      <c r="L248" s="1304"/>
      <c r="M248" s="1304"/>
      <c r="N248" s="1304"/>
      <c r="O248" s="1304"/>
      <c r="P248" s="1304"/>
      <c r="Q248" s="1304"/>
      <c r="R248" s="1304"/>
      <c r="S248" s="1304"/>
      <c r="T248" s="1304"/>
      <c r="U248" s="1304"/>
      <c r="V248" s="1304"/>
      <c r="W248" s="1304"/>
      <c r="X248" s="1304"/>
      <c r="Y248" s="1304"/>
      <c r="Z248" s="1304"/>
      <c r="AA248" s="1304"/>
      <c r="AB248" s="1304"/>
      <c r="AC248" s="1304"/>
      <c r="AD248" s="1304"/>
      <c r="AE248" s="1304"/>
    </row>
    <row r="249" ht="15.0" customHeight="1">
      <c r="A249" s="1304"/>
      <c r="B249" s="1304"/>
      <c r="C249" s="1304"/>
      <c r="D249" s="1304"/>
      <c r="E249" s="1304"/>
      <c r="F249" s="1304"/>
      <c r="G249" s="1304"/>
      <c r="H249" s="1304"/>
      <c r="I249" s="1304"/>
      <c r="J249" s="1304"/>
      <c r="K249" s="1304"/>
      <c r="L249" s="1304"/>
      <c r="M249" s="1304"/>
      <c r="N249" s="1304"/>
      <c r="O249" s="1304"/>
      <c r="P249" s="1304"/>
      <c r="Q249" s="1304"/>
      <c r="R249" s="1304"/>
      <c r="S249" s="1304"/>
      <c r="T249" s="1304"/>
      <c r="U249" s="1304"/>
      <c r="V249" s="1304"/>
      <c r="W249" s="1304"/>
      <c r="X249" s="1304"/>
      <c r="Y249" s="1304"/>
      <c r="Z249" s="1304"/>
      <c r="AA249" s="1304"/>
      <c r="AB249" s="1304"/>
      <c r="AC249" s="1304"/>
      <c r="AD249" s="1304"/>
      <c r="AE249" s="1304"/>
    </row>
    <row r="250" ht="15.0" customHeight="1">
      <c r="A250" s="1304"/>
      <c r="B250" s="1304"/>
      <c r="C250" s="1304"/>
      <c r="D250" s="1304"/>
      <c r="E250" s="1304"/>
      <c r="F250" s="1304"/>
      <c r="G250" s="1304"/>
      <c r="H250" s="1304"/>
      <c r="I250" s="1304"/>
      <c r="J250" s="1304"/>
      <c r="K250" s="1304"/>
      <c r="L250" s="1304"/>
      <c r="M250" s="1304"/>
      <c r="N250" s="1304"/>
      <c r="O250" s="1304"/>
      <c r="P250" s="1304"/>
      <c r="Q250" s="1304"/>
      <c r="R250" s="1304"/>
      <c r="S250" s="1304"/>
      <c r="T250" s="1304"/>
      <c r="U250" s="1304"/>
      <c r="V250" s="1304"/>
      <c r="W250" s="1304"/>
      <c r="X250" s="1304"/>
      <c r="Y250" s="1304"/>
      <c r="Z250" s="1304"/>
      <c r="AA250" s="1304"/>
      <c r="AB250" s="1304"/>
      <c r="AC250" s="1304"/>
      <c r="AD250" s="1304"/>
      <c r="AE250" s="1304"/>
    </row>
    <row r="251" ht="15.0" customHeight="1">
      <c r="A251" s="1304"/>
      <c r="B251" s="1304"/>
      <c r="C251" s="1304"/>
      <c r="D251" s="1304"/>
      <c r="E251" s="1304"/>
      <c r="F251" s="1304"/>
      <c r="G251" s="1304"/>
      <c r="H251" s="1304"/>
      <c r="I251" s="1304"/>
      <c r="J251" s="1304"/>
      <c r="K251" s="1304"/>
      <c r="L251" s="1304"/>
      <c r="M251" s="1304"/>
      <c r="N251" s="1304"/>
      <c r="O251" s="1304"/>
      <c r="P251" s="1304"/>
      <c r="Q251" s="1304"/>
      <c r="R251" s="1304"/>
      <c r="S251" s="1304"/>
      <c r="T251" s="1304"/>
      <c r="U251" s="1304"/>
      <c r="V251" s="1304"/>
      <c r="W251" s="1304"/>
      <c r="X251" s="1304"/>
      <c r="Y251" s="1304"/>
      <c r="Z251" s="1304"/>
      <c r="AA251" s="1304"/>
      <c r="AB251" s="1304"/>
      <c r="AC251" s="1304"/>
      <c r="AD251" s="1304"/>
      <c r="AE251" s="1304"/>
    </row>
    <row r="252" ht="15.0" customHeight="1">
      <c r="A252" s="1304"/>
      <c r="B252" s="1304"/>
      <c r="C252" s="1304"/>
      <c r="D252" s="1304"/>
      <c r="E252" s="1304"/>
      <c r="F252" s="1304"/>
      <c r="G252" s="1304"/>
      <c r="H252" s="1304"/>
      <c r="I252" s="1304"/>
      <c r="J252" s="1304"/>
      <c r="K252" s="1304"/>
      <c r="L252" s="1304"/>
      <c r="M252" s="1304"/>
      <c r="N252" s="1304"/>
      <c r="O252" s="1304"/>
      <c r="P252" s="1304"/>
      <c r="Q252" s="1304"/>
      <c r="R252" s="1304"/>
      <c r="S252" s="1304"/>
      <c r="T252" s="1304"/>
      <c r="U252" s="1304"/>
      <c r="V252" s="1304"/>
      <c r="W252" s="1304"/>
      <c r="X252" s="1304"/>
      <c r="Y252" s="1304"/>
      <c r="Z252" s="1304"/>
      <c r="AA252" s="1304"/>
      <c r="AB252" s="1304"/>
      <c r="AC252" s="1304"/>
      <c r="AD252" s="1304"/>
      <c r="AE252" s="1304"/>
    </row>
    <row r="253" ht="15.0" customHeight="1">
      <c r="A253" s="1304"/>
      <c r="B253" s="1304"/>
      <c r="C253" s="1304"/>
      <c r="D253" s="1304"/>
      <c r="E253" s="1304"/>
      <c r="F253" s="1304"/>
      <c r="G253" s="1304"/>
      <c r="H253" s="1304"/>
      <c r="I253" s="1304"/>
      <c r="J253" s="1304"/>
      <c r="K253" s="1304"/>
      <c r="L253" s="1304"/>
      <c r="M253" s="1304"/>
      <c r="N253" s="1304"/>
      <c r="O253" s="1304"/>
      <c r="P253" s="1304"/>
      <c r="Q253" s="1304"/>
      <c r="R253" s="1304"/>
      <c r="S253" s="1304"/>
      <c r="T253" s="1304"/>
      <c r="U253" s="1304"/>
      <c r="V253" s="1304"/>
      <c r="W253" s="1304"/>
      <c r="X253" s="1304"/>
      <c r="Y253" s="1304"/>
      <c r="Z253" s="1304"/>
      <c r="AA253" s="1304"/>
      <c r="AB253" s="1304"/>
      <c r="AC253" s="1304"/>
      <c r="AD253" s="1304"/>
      <c r="AE253" s="1304"/>
    </row>
    <row r="254" ht="15.0" customHeight="1">
      <c r="A254" s="1304"/>
      <c r="B254" s="1304"/>
      <c r="C254" s="1304"/>
      <c r="D254" s="1304"/>
      <c r="E254" s="1304"/>
      <c r="F254" s="1304"/>
      <c r="G254" s="1304"/>
      <c r="H254" s="1304"/>
      <c r="I254" s="1304"/>
      <c r="J254" s="1304"/>
      <c r="K254" s="1304"/>
      <c r="L254" s="1304"/>
      <c r="M254" s="1304"/>
      <c r="N254" s="1304"/>
      <c r="O254" s="1304"/>
      <c r="P254" s="1304"/>
      <c r="Q254" s="1304"/>
      <c r="R254" s="1304"/>
      <c r="S254" s="1304"/>
      <c r="T254" s="1304"/>
      <c r="U254" s="1304"/>
      <c r="V254" s="1304"/>
      <c r="W254" s="1304"/>
      <c r="X254" s="1304"/>
      <c r="Y254" s="1304"/>
      <c r="Z254" s="1304"/>
      <c r="AA254" s="1304"/>
      <c r="AB254" s="1304"/>
      <c r="AC254" s="1304"/>
      <c r="AD254" s="1304"/>
      <c r="AE254" s="1304"/>
    </row>
    <row r="255" ht="15.0" customHeight="1">
      <c r="A255" s="1304"/>
      <c r="B255" s="1304"/>
      <c r="C255" s="1304"/>
      <c r="D255" s="1304"/>
      <c r="E255" s="1304"/>
      <c r="F255" s="1304"/>
      <c r="G255" s="1304"/>
      <c r="H255" s="1304"/>
      <c r="I255" s="1304"/>
      <c r="J255" s="1304"/>
      <c r="K255" s="1304"/>
      <c r="L255" s="1304"/>
      <c r="M255" s="1304"/>
      <c r="N255" s="1304"/>
      <c r="O255" s="1304"/>
      <c r="P255" s="1304"/>
      <c r="Q255" s="1304"/>
      <c r="R255" s="1304"/>
      <c r="S255" s="1304"/>
      <c r="T255" s="1304"/>
      <c r="U255" s="1304"/>
      <c r="V255" s="1304"/>
      <c r="W255" s="1304"/>
      <c r="X255" s="1304"/>
      <c r="Y255" s="1304"/>
      <c r="Z255" s="1304"/>
      <c r="AA255" s="1304"/>
      <c r="AB255" s="1304"/>
      <c r="AC255" s="1304"/>
      <c r="AD255" s="1304"/>
      <c r="AE255" s="1304"/>
    </row>
    <row r="256" ht="15.0" customHeight="1">
      <c r="A256" s="1304"/>
      <c r="B256" s="1304"/>
      <c r="C256" s="1304"/>
      <c r="D256" s="1304"/>
      <c r="E256" s="1304"/>
      <c r="F256" s="1304"/>
      <c r="G256" s="1304"/>
      <c r="H256" s="1304"/>
      <c r="I256" s="1304"/>
      <c r="J256" s="1304"/>
      <c r="K256" s="1304"/>
      <c r="L256" s="1304"/>
      <c r="M256" s="1304"/>
      <c r="N256" s="1304"/>
      <c r="O256" s="1304"/>
      <c r="P256" s="1304"/>
      <c r="Q256" s="1304"/>
      <c r="R256" s="1304"/>
      <c r="S256" s="1304"/>
      <c r="T256" s="1304"/>
      <c r="U256" s="1304"/>
      <c r="V256" s="1304"/>
      <c r="W256" s="1304"/>
      <c r="X256" s="1304"/>
      <c r="Y256" s="1304"/>
      <c r="Z256" s="1304"/>
      <c r="AA256" s="1304"/>
      <c r="AB256" s="1304"/>
      <c r="AC256" s="1304"/>
      <c r="AD256" s="1304"/>
      <c r="AE256" s="1304"/>
    </row>
    <row r="257" ht="15.0" customHeight="1">
      <c r="A257" s="1304"/>
      <c r="B257" s="1304"/>
      <c r="C257" s="1304"/>
      <c r="D257" s="1304"/>
      <c r="E257" s="1304"/>
      <c r="F257" s="1304"/>
      <c r="G257" s="1304"/>
      <c r="H257" s="1304"/>
      <c r="I257" s="1304"/>
      <c r="J257" s="1304"/>
      <c r="K257" s="1304"/>
      <c r="L257" s="1304"/>
      <c r="M257" s="1304"/>
      <c r="N257" s="1304"/>
      <c r="O257" s="1304"/>
      <c r="P257" s="1304"/>
      <c r="Q257" s="1304"/>
      <c r="R257" s="1304"/>
      <c r="S257" s="1304"/>
      <c r="T257" s="1304"/>
      <c r="U257" s="1304"/>
      <c r="V257" s="1304"/>
      <c r="W257" s="1304"/>
      <c r="X257" s="1304"/>
      <c r="Y257" s="1304"/>
      <c r="Z257" s="1304"/>
      <c r="AA257" s="1304"/>
      <c r="AB257" s="1304"/>
      <c r="AC257" s="1304"/>
      <c r="AD257" s="1304"/>
      <c r="AE257" s="1304"/>
    </row>
    <row r="258" ht="15.0" customHeight="1">
      <c r="A258" s="1304"/>
      <c r="B258" s="1304"/>
      <c r="C258" s="1304"/>
      <c r="D258" s="1304"/>
      <c r="E258" s="1304"/>
      <c r="F258" s="1304"/>
      <c r="G258" s="1304"/>
      <c r="H258" s="1304"/>
      <c r="I258" s="1304"/>
      <c r="J258" s="1304"/>
      <c r="K258" s="1304"/>
      <c r="L258" s="1304"/>
      <c r="M258" s="1304"/>
      <c r="N258" s="1304"/>
      <c r="O258" s="1304"/>
      <c r="P258" s="1304"/>
      <c r="Q258" s="1304"/>
      <c r="R258" s="1304"/>
      <c r="S258" s="1304"/>
      <c r="T258" s="1304"/>
      <c r="U258" s="1304"/>
      <c r="V258" s="1304"/>
      <c r="W258" s="1304"/>
      <c r="X258" s="1304"/>
      <c r="Y258" s="1304"/>
      <c r="Z258" s="1304"/>
      <c r="AA258" s="1304"/>
      <c r="AB258" s="1304"/>
      <c r="AC258" s="1304"/>
      <c r="AD258" s="1304"/>
      <c r="AE258" s="1304"/>
    </row>
    <row r="259" ht="15.0" customHeight="1">
      <c r="A259" s="1304"/>
      <c r="B259" s="1304"/>
      <c r="C259" s="1304"/>
      <c r="D259" s="1304"/>
      <c r="E259" s="1304"/>
      <c r="F259" s="1304"/>
      <c r="G259" s="1304"/>
      <c r="H259" s="1304"/>
      <c r="I259" s="1304"/>
      <c r="J259" s="1304"/>
      <c r="K259" s="1304"/>
      <c r="L259" s="1304"/>
      <c r="M259" s="1304"/>
      <c r="N259" s="1304"/>
      <c r="O259" s="1304"/>
      <c r="P259" s="1304"/>
      <c r="Q259" s="1304"/>
      <c r="R259" s="1304"/>
      <c r="S259" s="1304"/>
      <c r="T259" s="1304"/>
      <c r="U259" s="1304"/>
      <c r="V259" s="1304"/>
      <c r="W259" s="1304"/>
      <c r="X259" s="1304"/>
      <c r="Y259" s="1304"/>
      <c r="Z259" s="1304"/>
      <c r="AA259" s="1304"/>
      <c r="AB259" s="1304"/>
      <c r="AC259" s="1304"/>
      <c r="AD259" s="1304"/>
      <c r="AE259" s="1304"/>
    </row>
    <row r="260" ht="15.0" customHeight="1">
      <c r="A260" s="1304"/>
      <c r="B260" s="1304"/>
      <c r="C260" s="1304"/>
      <c r="D260" s="1304"/>
      <c r="E260" s="1304"/>
      <c r="F260" s="1304"/>
      <c r="G260" s="1304"/>
      <c r="H260" s="1304"/>
      <c r="I260" s="1304"/>
      <c r="J260" s="1304"/>
      <c r="K260" s="1304"/>
      <c r="L260" s="1304"/>
      <c r="M260" s="1304"/>
      <c r="N260" s="1304"/>
      <c r="O260" s="1304"/>
      <c r="P260" s="1304"/>
      <c r="Q260" s="1304"/>
      <c r="R260" s="1304"/>
      <c r="S260" s="1304"/>
      <c r="T260" s="1304"/>
      <c r="U260" s="1304"/>
      <c r="V260" s="1304"/>
      <c r="W260" s="1304"/>
      <c r="X260" s="1304"/>
      <c r="Y260" s="1304"/>
      <c r="Z260" s="1304"/>
      <c r="AA260" s="1304"/>
      <c r="AB260" s="1304"/>
      <c r="AC260" s="1304"/>
      <c r="AD260" s="1304"/>
      <c r="AE260" s="1304"/>
    </row>
    <row r="261" ht="15.0" customHeight="1">
      <c r="A261" s="1304"/>
      <c r="B261" s="1304"/>
      <c r="C261" s="1304"/>
      <c r="D261" s="1304"/>
      <c r="E261" s="1304"/>
      <c r="F261" s="1304"/>
      <c r="G261" s="1304"/>
      <c r="H261" s="1304"/>
      <c r="I261" s="1304"/>
      <c r="J261" s="1304"/>
      <c r="K261" s="1304"/>
      <c r="L261" s="1304"/>
      <c r="M261" s="1304"/>
      <c r="N261" s="1304"/>
      <c r="O261" s="1304"/>
      <c r="P261" s="1304"/>
      <c r="Q261" s="1304"/>
      <c r="R261" s="1304"/>
      <c r="S261" s="1304"/>
      <c r="T261" s="1304"/>
      <c r="U261" s="1304"/>
      <c r="V261" s="1304"/>
      <c r="W261" s="1304"/>
      <c r="X261" s="1304"/>
      <c r="Y261" s="1304"/>
      <c r="Z261" s="1304"/>
      <c r="AA261" s="1304"/>
      <c r="AB261" s="1304"/>
      <c r="AC261" s="1304"/>
      <c r="AD261" s="1304"/>
      <c r="AE261" s="1304"/>
    </row>
    <row r="262" ht="15.0" customHeight="1">
      <c r="A262" s="1304"/>
      <c r="B262" s="1304"/>
      <c r="C262" s="1304"/>
      <c r="D262" s="1304"/>
      <c r="E262" s="1304"/>
      <c r="F262" s="1304"/>
      <c r="G262" s="1304"/>
      <c r="H262" s="1304"/>
      <c r="I262" s="1304"/>
      <c r="J262" s="1304"/>
      <c r="K262" s="1304"/>
      <c r="L262" s="1304"/>
      <c r="M262" s="1304"/>
      <c r="N262" s="1304"/>
      <c r="O262" s="1304"/>
      <c r="P262" s="1304"/>
      <c r="Q262" s="1304"/>
      <c r="R262" s="1304"/>
      <c r="S262" s="1304"/>
      <c r="T262" s="1304"/>
      <c r="U262" s="1304"/>
      <c r="V262" s="1304"/>
      <c r="W262" s="1304"/>
      <c r="X262" s="1304"/>
      <c r="Y262" s="1304"/>
      <c r="Z262" s="1304"/>
      <c r="AA262" s="1304"/>
      <c r="AB262" s="1304"/>
      <c r="AC262" s="1304"/>
      <c r="AD262" s="1304"/>
      <c r="AE262" s="1304"/>
    </row>
    <row r="263" ht="15.0" customHeight="1">
      <c r="A263" s="1304"/>
      <c r="B263" s="1304"/>
      <c r="C263" s="1304"/>
      <c r="D263" s="1304"/>
      <c r="E263" s="1304"/>
      <c r="F263" s="1304"/>
      <c r="G263" s="1304"/>
      <c r="H263" s="1304"/>
      <c r="I263" s="1304"/>
      <c r="J263" s="1304"/>
      <c r="K263" s="1304"/>
      <c r="L263" s="1304"/>
      <c r="M263" s="1304"/>
      <c r="N263" s="1304"/>
      <c r="O263" s="1304"/>
      <c r="P263" s="1304"/>
      <c r="Q263" s="1304"/>
      <c r="R263" s="1304"/>
      <c r="S263" s="1304"/>
      <c r="T263" s="1304"/>
      <c r="U263" s="1304"/>
      <c r="V263" s="1304"/>
      <c r="W263" s="1304"/>
      <c r="X263" s="1304"/>
      <c r="Y263" s="1304"/>
      <c r="Z263" s="1304"/>
      <c r="AA263" s="1304"/>
      <c r="AB263" s="1304"/>
      <c r="AC263" s="1304"/>
      <c r="AD263" s="1304"/>
      <c r="AE263" s="1304"/>
    </row>
    <row r="264" ht="15.0" customHeight="1">
      <c r="A264" s="1304"/>
      <c r="B264" s="1304"/>
      <c r="C264" s="1304"/>
      <c r="D264" s="1304"/>
      <c r="E264" s="1304"/>
      <c r="F264" s="1304"/>
      <c r="G264" s="1304"/>
      <c r="H264" s="1304"/>
      <c r="I264" s="1304"/>
      <c r="J264" s="1304"/>
      <c r="K264" s="1304"/>
      <c r="L264" s="1304"/>
      <c r="M264" s="1304"/>
      <c r="N264" s="1304"/>
      <c r="O264" s="1304"/>
      <c r="P264" s="1304"/>
      <c r="Q264" s="1304"/>
      <c r="R264" s="1304"/>
      <c r="S264" s="1304"/>
      <c r="T264" s="1304"/>
      <c r="U264" s="1304"/>
      <c r="V264" s="1304"/>
      <c r="W264" s="1304"/>
      <c r="X264" s="1304"/>
      <c r="Y264" s="1304"/>
      <c r="Z264" s="1304"/>
      <c r="AA264" s="1304"/>
      <c r="AB264" s="1304"/>
      <c r="AC264" s="1304"/>
      <c r="AD264" s="1304"/>
      <c r="AE264" s="1304"/>
    </row>
    <row r="265" ht="15.0" customHeight="1">
      <c r="A265" s="1304"/>
      <c r="B265" s="1304"/>
      <c r="C265" s="1304"/>
      <c r="D265" s="1304"/>
      <c r="E265" s="1304"/>
      <c r="F265" s="1304"/>
      <c r="G265" s="1304"/>
      <c r="H265" s="1304"/>
      <c r="I265" s="1304"/>
      <c r="J265" s="1304"/>
      <c r="K265" s="1304"/>
      <c r="L265" s="1304"/>
      <c r="M265" s="1304"/>
      <c r="N265" s="1304"/>
      <c r="O265" s="1304"/>
      <c r="P265" s="1304"/>
      <c r="Q265" s="1304"/>
      <c r="R265" s="1304"/>
      <c r="S265" s="1304"/>
      <c r="T265" s="1304"/>
      <c r="U265" s="1304"/>
      <c r="V265" s="1304"/>
      <c r="W265" s="1304"/>
      <c r="X265" s="1304"/>
      <c r="Y265" s="1304"/>
      <c r="Z265" s="1304"/>
      <c r="AA265" s="1304"/>
      <c r="AB265" s="1304"/>
      <c r="AC265" s="1304"/>
      <c r="AD265" s="1304"/>
      <c r="AE265" s="1304"/>
    </row>
    <row r="266" ht="15.0" customHeight="1">
      <c r="A266" s="1304"/>
      <c r="B266" s="1304"/>
      <c r="C266" s="1304"/>
      <c r="D266" s="1304"/>
      <c r="E266" s="1304"/>
      <c r="F266" s="1304"/>
      <c r="G266" s="1304"/>
      <c r="H266" s="1304"/>
      <c r="I266" s="1304"/>
      <c r="J266" s="1304"/>
      <c r="K266" s="1304"/>
      <c r="L266" s="1304"/>
      <c r="M266" s="1304"/>
      <c r="N266" s="1304"/>
      <c r="O266" s="1304"/>
      <c r="P266" s="1304"/>
      <c r="Q266" s="1304"/>
      <c r="R266" s="1304"/>
      <c r="S266" s="1304"/>
      <c r="T266" s="1304"/>
      <c r="U266" s="1304"/>
      <c r="V266" s="1304"/>
      <c r="W266" s="1304"/>
      <c r="X266" s="1304"/>
      <c r="Y266" s="1304"/>
      <c r="Z266" s="1304"/>
      <c r="AA266" s="1304"/>
      <c r="AB266" s="1304"/>
      <c r="AC266" s="1304"/>
      <c r="AD266" s="1304"/>
      <c r="AE266" s="1304"/>
    </row>
    <row r="267" ht="15.0" customHeight="1">
      <c r="A267" s="1304"/>
      <c r="B267" s="1304"/>
      <c r="C267" s="1304"/>
      <c r="D267" s="1304"/>
      <c r="E267" s="1304"/>
      <c r="F267" s="1304"/>
      <c r="G267" s="1304"/>
      <c r="H267" s="1304"/>
      <c r="I267" s="1304"/>
      <c r="J267" s="1304"/>
      <c r="K267" s="1304"/>
      <c r="L267" s="1304"/>
      <c r="M267" s="1304"/>
      <c r="N267" s="1304"/>
      <c r="O267" s="1304"/>
      <c r="P267" s="1304"/>
      <c r="Q267" s="1304"/>
      <c r="R267" s="1304"/>
      <c r="S267" s="1304"/>
      <c r="T267" s="1304"/>
      <c r="U267" s="1304"/>
      <c r="V267" s="1304"/>
      <c r="W267" s="1304"/>
      <c r="X267" s="1304"/>
      <c r="Y267" s="1304"/>
      <c r="Z267" s="1304"/>
      <c r="AA267" s="1304"/>
      <c r="AB267" s="1304"/>
      <c r="AC267" s="1304"/>
      <c r="AD267" s="1304"/>
      <c r="AE267" s="1304"/>
    </row>
    <row r="268" ht="15.0" customHeight="1">
      <c r="A268" s="1304"/>
      <c r="B268" s="1304"/>
      <c r="C268" s="1304"/>
      <c r="D268" s="1304"/>
      <c r="E268" s="1304"/>
      <c r="F268" s="1304"/>
      <c r="G268" s="1304"/>
      <c r="H268" s="1304"/>
      <c r="I268" s="1304"/>
      <c r="J268" s="1304"/>
      <c r="K268" s="1304"/>
      <c r="L268" s="1304"/>
      <c r="M268" s="1304"/>
      <c r="N268" s="1304"/>
      <c r="O268" s="1304"/>
      <c r="P268" s="1304"/>
      <c r="Q268" s="1304"/>
      <c r="R268" s="1304"/>
      <c r="S268" s="1304"/>
      <c r="T268" s="1304"/>
      <c r="U268" s="1304"/>
      <c r="V268" s="1304"/>
      <c r="W268" s="1304"/>
      <c r="X268" s="1304"/>
      <c r="Y268" s="1304"/>
      <c r="Z268" s="1304"/>
      <c r="AA268" s="1304"/>
      <c r="AB268" s="1304"/>
      <c r="AC268" s="1304"/>
      <c r="AD268" s="1304"/>
      <c r="AE268" s="1304"/>
    </row>
    <row r="269" ht="15.0" customHeight="1">
      <c r="A269" s="1304"/>
      <c r="B269" s="1304"/>
      <c r="C269" s="1304"/>
      <c r="D269" s="1304"/>
      <c r="E269" s="1304"/>
      <c r="F269" s="1304"/>
      <c r="G269" s="1304"/>
      <c r="H269" s="1304"/>
      <c r="I269" s="1304"/>
      <c r="J269" s="1304"/>
      <c r="K269" s="1304"/>
      <c r="L269" s="1304"/>
      <c r="M269" s="1304"/>
      <c r="N269" s="1304"/>
      <c r="O269" s="1304"/>
      <c r="P269" s="1304"/>
      <c r="Q269" s="1304"/>
      <c r="R269" s="1304"/>
      <c r="S269" s="1304"/>
      <c r="T269" s="1304"/>
      <c r="U269" s="1304"/>
      <c r="V269" s="1304"/>
      <c r="W269" s="1304"/>
      <c r="X269" s="1304"/>
      <c r="Y269" s="1304"/>
      <c r="Z269" s="1304"/>
      <c r="AA269" s="1304"/>
      <c r="AB269" s="1304"/>
      <c r="AC269" s="1304"/>
      <c r="AD269" s="1304"/>
      <c r="AE269" s="1304"/>
    </row>
    <row r="270" ht="15.0" customHeight="1">
      <c r="A270" s="1304"/>
      <c r="B270" s="1304"/>
      <c r="C270" s="1304"/>
      <c r="D270" s="1304"/>
      <c r="E270" s="1304"/>
      <c r="F270" s="1304"/>
      <c r="G270" s="1304"/>
      <c r="H270" s="1304"/>
      <c r="I270" s="1304"/>
      <c r="J270" s="1304"/>
      <c r="K270" s="1304"/>
      <c r="L270" s="1304"/>
      <c r="M270" s="1304"/>
      <c r="N270" s="1304"/>
      <c r="O270" s="1304"/>
      <c r="P270" s="1304"/>
      <c r="Q270" s="1304"/>
      <c r="R270" s="1304"/>
      <c r="S270" s="1304"/>
      <c r="T270" s="1304"/>
      <c r="U270" s="1304"/>
      <c r="V270" s="1304"/>
      <c r="W270" s="1304"/>
      <c r="X270" s="1304"/>
      <c r="Y270" s="1304"/>
      <c r="Z270" s="1304"/>
      <c r="AA270" s="1304"/>
      <c r="AB270" s="1304"/>
      <c r="AC270" s="1304"/>
      <c r="AD270" s="1304"/>
      <c r="AE270" s="1304"/>
    </row>
    <row r="271" ht="15.0" customHeight="1">
      <c r="A271" s="1304"/>
      <c r="B271" s="1304"/>
      <c r="C271" s="1304"/>
      <c r="D271" s="1304"/>
      <c r="E271" s="1304"/>
      <c r="F271" s="1304"/>
      <c r="G271" s="1304"/>
      <c r="H271" s="1304"/>
      <c r="I271" s="1304"/>
      <c r="J271" s="1304"/>
      <c r="K271" s="1304"/>
      <c r="L271" s="1304"/>
      <c r="M271" s="1304"/>
      <c r="N271" s="1304"/>
      <c r="O271" s="1304"/>
      <c r="P271" s="1304"/>
      <c r="Q271" s="1304"/>
      <c r="R271" s="1304"/>
      <c r="S271" s="1304"/>
      <c r="T271" s="1304"/>
      <c r="U271" s="1304"/>
      <c r="V271" s="1304"/>
      <c r="W271" s="1304"/>
      <c r="X271" s="1304"/>
      <c r="Y271" s="1304"/>
      <c r="Z271" s="1304"/>
      <c r="AA271" s="1304"/>
      <c r="AB271" s="1304"/>
      <c r="AC271" s="1304"/>
      <c r="AD271" s="1304"/>
      <c r="AE271" s="1304"/>
    </row>
    <row r="272" ht="15.0" customHeight="1">
      <c r="A272" s="1304"/>
      <c r="B272" s="1304"/>
      <c r="C272" s="1304"/>
      <c r="D272" s="1304"/>
      <c r="E272" s="1304"/>
      <c r="F272" s="1304"/>
      <c r="G272" s="1304"/>
      <c r="H272" s="1304"/>
      <c r="I272" s="1304"/>
      <c r="J272" s="1304"/>
      <c r="K272" s="1304"/>
      <c r="L272" s="1304"/>
      <c r="M272" s="1304"/>
      <c r="N272" s="1304"/>
      <c r="O272" s="1304"/>
      <c r="P272" s="1304"/>
      <c r="Q272" s="1304"/>
      <c r="R272" s="1304"/>
      <c r="S272" s="1304"/>
      <c r="T272" s="1304"/>
      <c r="U272" s="1304"/>
      <c r="V272" s="1304"/>
      <c r="W272" s="1304"/>
      <c r="X272" s="1304"/>
      <c r="Y272" s="1304"/>
      <c r="Z272" s="1304"/>
      <c r="AA272" s="1304"/>
      <c r="AB272" s="1304"/>
      <c r="AC272" s="1304"/>
      <c r="AD272" s="1304"/>
      <c r="AE272" s="1304"/>
    </row>
    <row r="273" ht="15.0" customHeight="1">
      <c r="A273" s="1304"/>
      <c r="B273" s="1304"/>
      <c r="C273" s="1304"/>
      <c r="D273" s="1304"/>
      <c r="E273" s="1304"/>
      <c r="F273" s="1304"/>
      <c r="G273" s="1304"/>
      <c r="H273" s="1304"/>
      <c r="I273" s="1304"/>
      <c r="J273" s="1304"/>
      <c r="K273" s="1304"/>
      <c r="L273" s="1304"/>
      <c r="M273" s="1304"/>
      <c r="N273" s="1304"/>
      <c r="O273" s="1304"/>
      <c r="P273" s="1304"/>
      <c r="Q273" s="1304"/>
      <c r="R273" s="1304"/>
      <c r="S273" s="1304"/>
      <c r="T273" s="1304"/>
      <c r="U273" s="1304"/>
      <c r="V273" s="1304"/>
      <c r="W273" s="1304"/>
      <c r="X273" s="1304"/>
      <c r="Y273" s="1304"/>
      <c r="Z273" s="1304"/>
      <c r="AA273" s="1304"/>
      <c r="AB273" s="1304"/>
      <c r="AC273" s="1304"/>
      <c r="AD273" s="1304"/>
      <c r="AE273" s="1304"/>
    </row>
    <row r="274" ht="15.0" customHeight="1">
      <c r="A274" s="1304"/>
      <c r="B274" s="1304"/>
      <c r="C274" s="1304"/>
      <c r="D274" s="1304"/>
      <c r="E274" s="1304"/>
      <c r="F274" s="1304"/>
      <c r="G274" s="1304"/>
      <c r="H274" s="1304"/>
      <c r="I274" s="1304"/>
      <c r="J274" s="1304"/>
      <c r="K274" s="1304"/>
      <c r="L274" s="1304"/>
      <c r="M274" s="1304"/>
      <c r="N274" s="1304"/>
      <c r="O274" s="1304"/>
      <c r="P274" s="1304"/>
      <c r="Q274" s="1304"/>
      <c r="R274" s="1304"/>
      <c r="S274" s="1304"/>
      <c r="T274" s="1304"/>
      <c r="U274" s="1304"/>
      <c r="V274" s="1304"/>
      <c r="W274" s="1304"/>
      <c r="X274" s="1304"/>
      <c r="Y274" s="1304"/>
      <c r="Z274" s="1304"/>
      <c r="AA274" s="1304"/>
      <c r="AB274" s="1304"/>
      <c r="AC274" s="1304"/>
      <c r="AD274" s="1304"/>
      <c r="AE274" s="1304"/>
    </row>
    <row r="275" ht="15.0" customHeight="1">
      <c r="A275" s="1304"/>
      <c r="B275" s="1304"/>
      <c r="C275" s="1304"/>
      <c r="D275" s="1304"/>
      <c r="E275" s="1304"/>
      <c r="F275" s="1304"/>
      <c r="G275" s="1304"/>
      <c r="H275" s="1304"/>
      <c r="I275" s="1304"/>
      <c r="J275" s="1304"/>
      <c r="K275" s="1304"/>
      <c r="L275" s="1304"/>
      <c r="M275" s="1304"/>
      <c r="N275" s="1304"/>
      <c r="O275" s="1304"/>
      <c r="P275" s="1304"/>
      <c r="Q275" s="1304"/>
      <c r="R275" s="1304"/>
      <c r="S275" s="1304"/>
      <c r="T275" s="1304"/>
      <c r="U275" s="1304"/>
      <c r="V275" s="1304"/>
      <c r="W275" s="1304"/>
      <c r="X275" s="1304"/>
      <c r="Y275" s="1304"/>
      <c r="Z275" s="1304"/>
      <c r="AA275" s="1304"/>
      <c r="AB275" s="1304"/>
      <c r="AC275" s="1304"/>
      <c r="AD275" s="1304"/>
      <c r="AE275" s="1304"/>
    </row>
    <row r="276" ht="15.0" customHeight="1">
      <c r="A276" s="1304"/>
      <c r="B276" s="1304"/>
      <c r="C276" s="1304"/>
      <c r="D276" s="1304"/>
      <c r="E276" s="1304"/>
      <c r="F276" s="1304"/>
      <c r="G276" s="1304"/>
      <c r="H276" s="1304"/>
      <c r="I276" s="1304"/>
      <c r="J276" s="1304"/>
      <c r="K276" s="1304"/>
      <c r="L276" s="1304"/>
      <c r="M276" s="1304"/>
      <c r="N276" s="1304"/>
      <c r="O276" s="1304"/>
      <c r="P276" s="1304"/>
      <c r="Q276" s="1304"/>
      <c r="R276" s="1304"/>
      <c r="S276" s="1304"/>
      <c r="T276" s="1304"/>
      <c r="U276" s="1304"/>
      <c r="V276" s="1304"/>
      <c r="W276" s="1304"/>
      <c r="X276" s="1304"/>
      <c r="Y276" s="1304"/>
      <c r="Z276" s="1304"/>
      <c r="AA276" s="1304"/>
      <c r="AB276" s="1304"/>
      <c r="AC276" s="1304"/>
      <c r="AD276" s="1304"/>
      <c r="AE276" s="1304"/>
    </row>
    <row r="277" ht="15.0" customHeight="1">
      <c r="A277" s="1304"/>
      <c r="B277" s="1304"/>
      <c r="C277" s="1304"/>
      <c r="D277" s="1304"/>
      <c r="E277" s="1304"/>
      <c r="F277" s="1304"/>
      <c r="G277" s="1304"/>
      <c r="H277" s="1304"/>
      <c r="I277" s="1304"/>
      <c r="J277" s="1304"/>
      <c r="K277" s="1304"/>
      <c r="L277" s="1304"/>
      <c r="M277" s="1304"/>
      <c r="N277" s="1304"/>
      <c r="O277" s="1304"/>
      <c r="P277" s="1304"/>
      <c r="Q277" s="1304"/>
      <c r="R277" s="1304"/>
      <c r="S277" s="1304"/>
      <c r="T277" s="1304"/>
      <c r="U277" s="1304"/>
      <c r="V277" s="1304"/>
      <c r="W277" s="1304"/>
      <c r="X277" s="1304"/>
      <c r="Y277" s="1304"/>
      <c r="Z277" s="1304"/>
      <c r="AA277" s="1304"/>
      <c r="AB277" s="1304"/>
      <c r="AC277" s="1304"/>
      <c r="AD277" s="1304"/>
      <c r="AE277" s="1304"/>
    </row>
    <row r="278" ht="15.0" customHeight="1">
      <c r="A278" s="1304"/>
      <c r="B278" s="1304"/>
      <c r="C278" s="1304"/>
      <c r="D278" s="1304"/>
      <c r="E278" s="1304"/>
      <c r="F278" s="1304"/>
      <c r="G278" s="1304"/>
      <c r="H278" s="1304"/>
      <c r="I278" s="1304"/>
      <c r="J278" s="1304"/>
      <c r="K278" s="1304"/>
      <c r="L278" s="1304"/>
      <c r="M278" s="1304"/>
      <c r="N278" s="1304"/>
      <c r="O278" s="1304"/>
      <c r="P278" s="1304"/>
      <c r="Q278" s="1304"/>
      <c r="R278" s="1304"/>
      <c r="S278" s="1304"/>
      <c r="T278" s="1304"/>
      <c r="U278" s="1304"/>
      <c r="V278" s="1304"/>
      <c r="W278" s="1304"/>
      <c r="X278" s="1304"/>
      <c r="Y278" s="1304"/>
      <c r="Z278" s="1304"/>
      <c r="AA278" s="1304"/>
      <c r="AB278" s="1304"/>
      <c r="AC278" s="1304"/>
      <c r="AD278" s="1304"/>
      <c r="AE278" s="1304"/>
    </row>
    <row r="279" ht="15.0" customHeight="1">
      <c r="A279" s="1304"/>
      <c r="B279" s="1304"/>
      <c r="C279" s="1304"/>
      <c r="D279" s="1304"/>
      <c r="E279" s="1304"/>
      <c r="F279" s="1304"/>
      <c r="G279" s="1304"/>
      <c r="H279" s="1304"/>
      <c r="I279" s="1304"/>
      <c r="J279" s="1304"/>
      <c r="K279" s="1304"/>
      <c r="L279" s="1304"/>
      <c r="M279" s="1304"/>
      <c r="N279" s="1304"/>
      <c r="O279" s="1304"/>
      <c r="P279" s="1304"/>
      <c r="Q279" s="1304"/>
      <c r="R279" s="1304"/>
      <c r="S279" s="1304"/>
      <c r="T279" s="1304"/>
      <c r="U279" s="1304"/>
      <c r="V279" s="1304"/>
      <c r="W279" s="1304"/>
      <c r="X279" s="1304"/>
      <c r="Y279" s="1304"/>
      <c r="Z279" s="1304"/>
      <c r="AA279" s="1304"/>
      <c r="AB279" s="1304"/>
      <c r="AC279" s="1304"/>
      <c r="AD279" s="1304"/>
      <c r="AE279" s="1304"/>
    </row>
    <row r="280" ht="15.0" customHeight="1">
      <c r="A280" s="1304"/>
      <c r="B280" s="1304"/>
      <c r="C280" s="1304"/>
      <c r="D280" s="1304"/>
      <c r="E280" s="1304"/>
      <c r="F280" s="1304"/>
      <c r="G280" s="1304"/>
      <c r="H280" s="1304"/>
      <c r="I280" s="1304"/>
      <c r="J280" s="1304"/>
      <c r="K280" s="1304"/>
      <c r="L280" s="1304"/>
      <c r="M280" s="1304"/>
      <c r="N280" s="1304"/>
      <c r="O280" s="1304"/>
      <c r="P280" s="1304"/>
      <c r="Q280" s="1304"/>
      <c r="R280" s="1304"/>
      <c r="S280" s="1304"/>
      <c r="T280" s="1304"/>
      <c r="U280" s="1304"/>
      <c r="V280" s="1304"/>
      <c r="W280" s="1304"/>
      <c r="X280" s="1304"/>
      <c r="Y280" s="1304"/>
      <c r="Z280" s="1304"/>
      <c r="AA280" s="1304"/>
      <c r="AB280" s="1304"/>
      <c r="AC280" s="1304"/>
      <c r="AD280" s="1304"/>
      <c r="AE280" s="1304"/>
    </row>
    <row r="281" ht="15.0" customHeight="1">
      <c r="A281" s="1304"/>
      <c r="B281" s="1304"/>
      <c r="C281" s="1304"/>
      <c r="D281" s="1304"/>
      <c r="E281" s="1304"/>
      <c r="F281" s="1304"/>
      <c r="G281" s="1304"/>
      <c r="H281" s="1304"/>
      <c r="I281" s="1304"/>
      <c r="J281" s="1304"/>
      <c r="K281" s="1304"/>
      <c r="L281" s="1304"/>
      <c r="M281" s="1304"/>
      <c r="N281" s="1304"/>
      <c r="O281" s="1304"/>
      <c r="P281" s="1304"/>
      <c r="Q281" s="1304"/>
      <c r="R281" s="1304"/>
      <c r="S281" s="1304"/>
      <c r="T281" s="1304"/>
      <c r="U281" s="1304"/>
      <c r="V281" s="1304"/>
      <c r="W281" s="1304"/>
      <c r="X281" s="1304"/>
      <c r="Y281" s="1304"/>
      <c r="Z281" s="1304"/>
      <c r="AA281" s="1304"/>
      <c r="AB281" s="1304"/>
      <c r="AC281" s="1304"/>
      <c r="AD281" s="1304"/>
      <c r="AE281" s="1304"/>
    </row>
    <row r="282" ht="15.0" customHeight="1">
      <c r="A282" s="1304"/>
      <c r="B282" s="1304"/>
      <c r="C282" s="1304"/>
      <c r="D282" s="1304"/>
      <c r="E282" s="1304"/>
      <c r="F282" s="1304"/>
      <c r="G282" s="1304"/>
      <c r="H282" s="1304"/>
      <c r="I282" s="1304"/>
      <c r="J282" s="1304"/>
      <c r="K282" s="1304"/>
      <c r="L282" s="1304"/>
      <c r="M282" s="1304"/>
      <c r="N282" s="1304"/>
      <c r="O282" s="1304"/>
      <c r="P282" s="1304"/>
      <c r="Q282" s="1304"/>
      <c r="R282" s="1304"/>
      <c r="S282" s="1304"/>
      <c r="T282" s="1304"/>
      <c r="U282" s="1304"/>
      <c r="V282" s="1304"/>
      <c r="W282" s="1304"/>
      <c r="X282" s="1304"/>
      <c r="Y282" s="1304"/>
      <c r="Z282" s="1304"/>
      <c r="AA282" s="1304"/>
      <c r="AB282" s="1304"/>
      <c r="AC282" s="1304"/>
      <c r="AD282" s="1304"/>
      <c r="AE282" s="1304"/>
    </row>
    <row r="283" ht="15.0" customHeight="1">
      <c r="A283" s="1304"/>
      <c r="B283" s="1304"/>
      <c r="C283" s="1304"/>
      <c r="D283" s="1304"/>
      <c r="E283" s="1304"/>
      <c r="F283" s="1304"/>
      <c r="G283" s="1304"/>
      <c r="H283" s="1304"/>
      <c r="I283" s="1304"/>
      <c r="J283" s="1304"/>
      <c r="K283" s="1304"/>
      <c r="L283" s="1304"/>
      <c r="M283" s="1304"/>
      <c r="N283" s="1304"/>
      <c r="O283" s="1304"/>
      <c r="P283" s="1304"/>
      <c r="Q283" s="1304"/>
      <c r="R283" s="1304"/>
      <c r="S283" s="1304"/>
      <c r="T283" s="1304"/>
      <c r="U283" s="1304"/>
      <c r="V283" s="1304"/>
      <c r="W283" s="1304"/>
      <c r="X283" s="1304"/>
      <c r="Y283" s="1304"/>
      <c r="Z283" s="1304"/>
      <c r="AA283" s="1304"/>
      <c r="AB283" s="1304"/>
      <c r="AC283" s="1304"/>
      <c r="AD283" s="1304"/>
      <c r="AE283" s="1304"/>
    </row>
    <row r="284" ht="15.0" customHeight="1">
      <c r="A284" s="1304"/>
      <c r="B284" s="1304"/>
      <c r="C284" s="1304"/>
      <c r="D284" s="1304"/>
      <c r="E284" s="1304"/>
      <c r="F284" s="1304"/>
      <c r="G284" s="1304"/>
      <c r="H284" s="1304"/>
      <c r="I284" s="1304"/>
      <c r="J284" s="1304"/>
      <c r="K284" s="1304"/>
      <c r="L284" s="1304"/>
      <c r="M284" s="1304"/>
      <c r="N284" s="1304"/>
      <c r="O284" s="1304"/>
      <c r="P284" s="1304"/>
      <c r="Q284" s="1304"/>
      <c r="R284" s="1304"/>
      <c r="S284" s="1304"/>
      <c r="T284" s="1304"/>
      <c r="U284" s="1304"/>
      <c r="V284" s="1304"/>
      <c r="W284" s="1304"/>
      <c r="X284" s="1304"/>
      <c r="Y284" s="1304"/>
      <c r="Z284" s="1304"/>
      <c r="AA284" s="1304"/>
      <c r="AB284" s="1304"/>
      <c r="AC284" s="1304"/>
      <c r="AD284" s="1304"/>
      <c r="AE284" s="1304"/>
    </row>
    <row r="285" ht="15.0" customHeight="1">
      <c r="A285" s="1304"/>
      <c r="B285" s="1304"/>
      <c r="C285" s="1304"/>
      <c r="D285" s="1304"/>
      <c r="E285" s="1304"/>
      <c r="F285" s="1304"/>
      <c r="G285" s="1304"/>
      <c r="H285" s="1304"/>
      <c r="I285" s="1304"/>
      <c r="J285" s="1304"/>
      <c r="K285" s="1304"/>
      <c r="L285" s="1304"/>
      <c r="M285" s="1304"/>
      <c r="N285" s="1304"/>
      <c r="O285" s="1304"/>
      <c r="P285" s="1304"/>
      <c r="Q285" s="1304"/>
      <c r="R285" s="1304"/>
      <c r="S285" s="1304"/>
      <c r="T285" s="1304"/>
      <c r="U285" s="1304"/>
      <c r="V285" s="1304"/>
      <c r="W285" s="1304"/>
      <c r="X285" s="1304"/>
      <c r="Y285" s="1304"/>
      <c r="Z285" s="1304"/>
      <c r="AA285" s="1304"/>
      <c r="AB285" s="1304"/>
      <c r="AC285" s="1304"/>
      <c r="AD285" s="1304"/>
      <c r="AE285" s="1304"/>
    </row>
    <row r="286" ht="15.0" customHeight="1">
      <c r="A286" s="1304"/>
      <c r="B286" s="1304"/>
      <c r="C286" s="1304"/>
      <c r="D286" s="1304"/>
      <c r="E286" s="1304"/>
      <c r="F286" s="1304"/>
      <c r="G286" s="1304"/>
      <c r="H286" s="1304"/>
      <c r="I286" s="1304"/>
      <c r="J286" s="1304"/>
      <c r="K286" s="1304"/>
      <c r="L286" s="1304"/>
      <c r="M286" s="1304"/>
      <c r="N286" s="1304"/>
      <c r="O286" s="1304"/>
      <c r="P286" s="1304"/>
      <c r="Q286" s="1304"/>
      <c r="R286" s="1304"/>
      <c r="S286" s="1304"/>
      <c r="T286" s="1304"/>
      <c r="U286" s="1304"/>
      <c r="V286" s="1304"/>
      <c r="W286" s="1304"/>
      <c r="X286" s="1304"/>
      <c r="Y286" s="1304"/>
      <c r="Z286" s="1304"/>
      <c r="AA286" s="1304"/>
      <c r="AB286" s="1304"/>
      <c r="AC286" s="1304"/>
      <c r="AD286" s="1304"/>
      <c r="AE286" s="1304"/>
    </row>
    <row r="287" ht="15.0" customHeight="1">
      <c r="A287" s="1304"/>
      <c r="B287" s="1304"/>
      <c r="C287" s="1304"/>
      <c r="D287" s="1304"/>
      <c r="E287" s="1304"/>
      <c r="F287" s="1304"/>
      <c r="G287" s="1304"/>
      <c r="H287" s="1304"/>
      <c r="I287" s="1304"/>
      <c r="J287" s="1304"/>
      <c r="K287" s="1304"/>
      <c r="L287" s="1304"/>
      <c r="M287" s="1304"/>
      <c r="N287" s="1304"/>
      <c r="O287" s="1304"/>
      <c r="P287" s="1304"/>
      <c r="Q287" s="1304"/>
      <c r="R287" s="1304"/>
      <c r="S287" s="1304"/>
      <c r="T287" s="1304"/>
      <c r="U287" s="1304"/>
      <c r="V287" s="1304"/>
      <c r="W287" s="1304"/>
      <c r="X287" s="1304"/>
      <c r="Y287" s="1304"/>
      <c r="Z287" s="1304"/>
      <c r="AA287" s="1304"/>
      <c r="AB287" s="1304"/>
      <c r="AC287" s="1304"/>
      <c r="AD287" s="1304"/>
      <c r="AE287" s="1304"/>
    </row>
    <row r="288" ht="15.0" customHeight="1">
      <c r="A288" s="1304"/>
      <c r="B288" s="1304"/>
      <c r="C288" s="1304"/>
      <c r="D288" s="1304"/>
      <c r="E288" s="1304"/>
      <c r="F288" s="1304"/>
      <c r="G288" s="1304"/>
      <c r="H288" s="1304"/>
      <c r="I288" s="1304"/>
      <c r="J288" s="1304"/>
      <c r="K288" s="1304"/>
      <c r="L288" s="1304"/>
      <c r="M288" s="1304"/>
      <c r="N288" s="1304"/>
      <c r="O288" s="1304"/>
      <c r="P288" s="1304"/>
      <c r="Q288" s="1304"/>
      <c r="R288" s="1304"/>
      <c r="S288" s="1304"/>
      <c r="T288" s="1304"/>
      <c r="U288" s="1304"/>
      <c r="V288" s="1304"/>
      <c r="W288" s="1304"/>
      <c r="X288" s="1304"/>
      <c r="Y288" s="1304"/>
      <c r="Z288" s="1304"/>
      <c r="AA288" s="1304"/>
      <c r="AB288" s="1304"/>
      <c r="AC288" s="1304"/>
      <c r="AD288" s="1304"/>
      <c r="AE288" s="1304"/>
    </row>
    <row r="289" ht="15.0" customHeight="1">
      <c r="A289" s="1304"/>
      <c r="B289" s="1304"/>
      <c r="C289" s="1304"/>
      <c r="D289" s="1304"/>
      <c r="E289" s="1304"/>
      <c r="F289" s="1304"/>
      <c r="G289" s="1304"/>
      <c r="H289" s="1304"/>
      <c r="I289" s="1304"/>
      <c r="J289" s="1304"/>
      <c r="K289" s="1304"/>
      <c r="L289" s="1304"/>
      <c r="M289" s="1304"/>
      <c r="N289" s="1304"/>
      <c r="O289" s="1304"/>
      <c r="P289" s="1304"/>
      <c r="Q289" s="1304"/>
      <c r="R289" s="1304"/>
      <c r="S289" s="1304"/>
      <c r="T289" s="1304"/>
      <c r="U289" s="1304"/>
      <c r="V289" s="1304"/>
      <c r="W289" s="1304"/>
      <c r="X289" s="1304"/>
      <c r="Y289" s="1304"/>
      <c r="Z289" s="1304"/>
      <c r="AA289" s="1304"/>
      <c r="AB289" s="1304"/>
      <c r="AC289" s="1304"/>
      <c r="AD289" s="1304"/>
      <c r="AE289" s="1304"/>
    </row>
    <row r="290" ht="15.0" customHeight="1">
      <c r="A290" s="1304"/>
      <c r="B290" s="1304"/>
      <c r="C290" s="1304"/>
      <c r="D290" s="1304"/>
      <c r="E290" s="1304"/>
      <c r="F290" s="1304"/>
      <c r="G290" s="1304"/>
      <c r="H290" s="1304"/>
      <c r="I290" s="1304"/>
      <c r="J290" s="1304"/>
      <c r="K290" s="1304"/>
      <c r="L290" s="1304"/>
      <c r="M290" s="1304"/>
      <c r="N290" s="1304"/>
      <c r="O290" s="1304"/>
      <c r="P290" s="1304"/>
      <c r="Q290" s="1304"/>
      <c r="R290" s="1304"/>
      <c r="S290" s="1304"/>
      <c r="T290" s="1304"/>
      <c r="U290" s="1304"/>
      <c r="V290" s="1304"/>
      <c r="W290" s="1304"/>
      <c r="X290" s="1304"/>
      <c r="Y290" s="1304"/>
      <c r="Z290" s="1304"/>
      <c r="AA290" s="1304"/>
      <c r="AB290" s="1304"/>
      <c r="AC290" s="1304"/>
      <c r="AD290" s="1304"/>
      <c r="AE290" s="1304"/>
    </row>
    <row r="291" ht="15.0" customHeight="1">
      <c r="A291" s="1304"/>
      <c r="B291" s="1304"/>
      <c r="C291" s="1304"/>
      <c r="D291" s="1304"/>
      <c r="E291" s="1304"/>
      <c r="F291" s="1304"/>
      <c r="G291" s="1304"/>
      <c r="H291" s="1304"/>
      <c r="I291" s="1304"/>
      <c r="J291" s="1304"/>
      <c r="K291" s="1304"/>
      <c r="L291" s="1304"/>
      <c r="M291" s="1304"/>
      <c r="N291" s="1304"/>
      <c r="O291" s="1304"/>
      <c r="P291" s="1304"/>
      <c r="Q291" s="1304"/>
      <c r="R291" s="1304"/>
      <c r="S291" s="1304"/>
      <c r="T291" s="1304"/>
      <c r="U291" s="1304"/>
      <c r="V291" s="1304"/>
      <c r="W291" s="1304"/>
      <c r="X291" s="1304"/>
      <c r="Y291" s="1304"/>
      <c r="Z291" s="1304"/>
      <c r="AA291" s="1304"/>
      <c r="AB291" s="1304"/>
      <c r="AC291" s="1304"/>
      <c r="AD291" s="1304"/>
      <c r="AE291" s="1304"/>
    </row>
    <row r="292" ht="15.0" customHeight="1">
      <c r="A292" s="1304"/>
      <c r="B292" s="1304"/>
      <c r="C292" s="1304"/>
      <c r="D292" s="1304"/>
      <c r="E292" s="1304"/>
      <c r="F292" s="1304"/>
      <c r="G292" s="1304"/>
      <c r="H292" s="1304"/>
      <c r="I292" s="1304"/>
      <c r="J292" s="1304"/>
      <c r="K292" s="1304"/>
      <c r="L292" s="1304"/>
      <c r="M292" s="1304"/>
      <c r="N292" s="1304"/>
      <c r="O292" s="1304"/>
      <c r="P292" s="1304"/>
      <c r="Q292" s="1304"/>
      <c r="R292" s="1304"/>
      <c r="S292" s="1304"/>
      <c r="T292" s="1304"/>
      <c r="U292" s="1304"/>
      <c r="V292" s="1304"/>
      <c r="W292" s="1304"/>
      <c r="X292" s="1304"/>
      <c r="Y292" s="1304"/>
      <c r="Z292" s="1304"/>
      <c r="AA292" s="1304"/>
      <c r="AB292" s="1304"/>
      <c r="AC292" s="1304"/>
      <c r="AD292" s="1304"/>
      <c r="AE292" s="1304"/>
    </row>
    <row r="293" ht="15.0" customHeight="1">
      <c r="A293" s="1304"/>
      <c r="B293" s="1304"/>
      <c r="C293" s="1304"/>
      <c r="D293" s="1304"/>
      <c r="E293" s="1304"/>
      <c r="F293" s="1304"/>
      <c r="G293" s="1304"/>
      <c r="H293" s="1304"/>
      <c r="I293" s="1304"/>
      <c r="J293" s="1304"/>
      <c r="K293" s="1304"/>
      <c r="L293" s="1304"/>
      <c r="M293" s="1304"/>
      <c r="N293" s="1304"/>
      <c r="O293" s="1304"/>
      <c r="P293" s="1304"/>
      <c r="Q293" s="1304"/>
      <c r="R293" s="1304"/>
      <c r="S293" s="1304"/>
      <c r="T293" s="1304"/>
      <c r="U293" s="1304"/>
      <c r="V293" s="1304"/>
      <c r="W293" s="1304"/>
      <c r="X293" s="1304"/>
      <c r="Y293" s="1304"/>
      <c r="Z293" s="1304"/>
      <c r="AA293" s="1304"/>
      <c r="AB293" s="1304"/>
      <c r="AC293" s="1304"/>
      <c r="AD293" s="1304"/>
      <c r="AE293" s="1304"/>
    </row>
    <row r="294" ht="15.0" customHeight="1">
      <c r="A294" s="1304"/>
      <c r="B294" s="1304"/>
      <c r="C294" s="1304"/>
      <c r="D294" s="1304"/>
      <c r="E294" s="1304"/>
      <c r="F294" s="1304"/>
      <c r="G294" s="1304"/>
      <c r="H294" s="1304"/>
      <c r="I294" s="1304"/>
      <c r="J294" s="1304"/>
      <c r="K294" s="1304"/>
      <c r="L294" s="1304"/>
      <c r="M294" s="1304"/>
      <c r="N294" s="1304"/>
      <c r="O294" s="1304"/>
      <c r="P294" s="1304"/>
      <c r="Q294" s="1304"/>
      <c r="R294" s="1304"/>
      <c r="S294" s="1304"/>
      <c r="T294" s="1304"/>
      <c r="U294" s="1304"/>
      <c r="V294" s="1304"/>
      <c r="W294" s="1304"/>
      <c r="X294" s="1304"/>
      <c r="Y294" s="1304"/>
      <c r="Z294" s="1304"/>
      <c r="AA294" s="1304"/>
      <c r="AB294" s="1304"/>
      <c r="AC294" s="1304"/>
      <c r="AD294" s="1304"/>
      <c r="AE294" s="1304"/>
    </row>
    <row r="295" ht="15.0" customHeight="1">
      <c r="A295" s="1304"/>
      <c r="B295" s="1304"/>
      <c r="C295" s="1304"/>
      <c r="D295" s="1304"/>
      <c r="E295" s="1304"/>
      <c r="F295" s="1304"/>
      <c r="G295" s="1304"/>
      <c r="H295" s="1304"/>
      <c r="I295" s="1304"/>
      <c r="J295" s="1304"/>
      <c r="K295" s="1304"/>
      <c r="L295" s="1304"/>
      <c r="M295" s="1304"/>
      <c r="N295" s="1304"/>
      <c r="O295" s="1304"/>
      <c r="P295" s="1304"/>
      <c r="Q295" s="1304"/>
      <c r="R295" s="1304"/>
      <c r="S295" s="1304"/>
      <c r="T295" s="1304"/>
      <c r="U295" s="1304"/>
      <c r="V295" s="1304"/>
      <c r="W295" s="1304"/>
      <c r="X295" s="1304"/>
      <c r="Y295" s="1304"/>
      <c r="Z295" s="1304"/>
      <c r="AA295" s="1304"/>
      <c r="AB295" s="1304"/>
      <c r="AC295" s="1304"/>
      <c r="AD295" s="1304"/>
      <c r="AE295" s="1304"/>
    </row>
    <row r="296" ht="15.0" customHeight="1">
      <c r="A296" s="1304"/>
      <c r="B296" s="1304"/>
      <c r="C296" s="1304"/>
      <c r="D296" s="1304"/>
      <c r="E296" s="1304"/>
      <c r="F296" s="1304"/>
      <c r="G296" s="1304"/>
      <c r="H296" s="1304"/>
      <c r="I296" s="1304"/>
      <c r="J296" s="1304"/>
      <c r="K296" s="1304"/>
      <c r="L296" s="1304"/>
      <c r="M296" s="1304"/>
      <c r="N296" s="1304"/>
      <c r="O296" s="1304"/>
      <c r="P296" s="1304"/>
      <c r="Q296" s="1304"/>
      <c r="R296" s="1304"/>
      <c r="S296" s="1304"/>
      <c r="T296" s="1304"/>
      <c r="U296" s="1304"/>
      <c r="V296" s="1304"/>
      <c r="W296" s="1304"/>
      <c r="X296" s="1304"/>
      <c r="Y296" s="1304"/>
      <c r="Z296" s="1304"/>
      <c r="AA296" s="1304"/>
      <c r="AB296" s="1304"/>
      <c r="AC296" s="1304"/>
      <c r="AD296" s="1304"/>
      <c r="AE296" s="1304"/>
    </row>
    <row r="297" ht="15.0" customHeight="1">
      <c r="A297" s="1304"/>
      <c r="B297" s="1304"/>
      <c r="C297" s="1304"/>
      <c r="D297" s="1304"/>
      <c r="E297" s="1304"/>
      <c r="F297" s="1304"/>
      <c r="G297" s="1304"/>
      <c r="H297" s="1304"/>
      <c r="I297" s="1304"/>
      <c r="J297" s="1304"/>
      <c r="K297" s="1304"/>
      <c r="L297" s="1304"/>
      <c r="M297" s="1304"/>
      <c r="N297" s="1304"/>
      <c r="O297" s="1304"/>
      <c r="P297" s="1304"/>
      <c r="Q297" s="1304"/>
      <c r="R297" s="1304"/>
      <c r="S297" s="1304"/>
      <c r="T297" s="1304"/>
      <c r="U297" s="1304"/>
      <c r="V297" s="1304"/>
      <c r="W297" s="1304"/>
      <c r="X297" s="1304"/>
      <c r="Y297" s="1304"/>
      <c r="Z297" s="1304"/>
      <c r="AA297" s="1304"/>
      <c r="AB297" s="1304"/>
      <c r="AC297" s="1304"/>
      <c r="AD297" s="1304"/>
      <c r="AE297" s="1304"/>
    </row>
    <row r="298" ht="15.0" customHeight="1">
      <c r="A298" s="1304"/>
      <c r="B298" s="1304"/>
      <c r="C298" s="1304"/>
      <c r="D298" s="1304"/>
      <c r="E298" s="1304"/>
      <c r="F298" s="1304"/>
      <c r="G298" s="1304"/>
      <c r="H298" s="1304"/>
      <c r="I298" s="1304"/>
      <c r="J298" s="1304"/>
      <c r="K298" s="1304"/>
      <c r="L298" s="1304"/>
      <c r="M298" s="1304"/>
      <c r="N298" s="1304"/>
      <c r="O298" s="1304"/>
      <c r="P298" s="1304"/>
      <c r="Q298" s="1304"/>
      <c r="R298" s="1304"/>
      <c r="S298" s="1304"/>
      <c r="T298" s="1304"/>
      <c r="U298" s="1304"/>
      <c r="V298" s="1304"/>
      <c r="W298" s="1304"/>
      <c r="X298" s="1304"/>
      <c r="Y298" s="1304"/>
      <c r="Z298" s="1304"/>
      <c r="AA298" s="1304"/>
      <c r="AB298" s="1304"/>
      <c r="AC298" s="1304"/>
      <c r="AD298" s="1304"/>
      <c r="AE298" s="1304"/>
    </row>
    <row r="299" ht="15.0" customHeight="1">
      <c r="A299" s="1304"/>
      <c r="B299" s="1304"/>
      <c r="C299" s="1304"/>
      <c r="D299" s="1304"/>
      <c r="E299" s="1304"/>
      <c r="F299" s="1304"/>
      <c r="G299" s="1304"/>
      <c r="H299" s="1304"/>
      <c r="I299" s="1304"/>
      <c r="J299" s="1304"/>
      <c r="K299" s="1304"/>
      <c r="L299" s="1304"/>
      <c r="M299" s="1304"/>
      <c r="N299" s="1304"/>
      <c r="O299" s="1304"/>
      <c r="P299" s="1304"/>
      <c r="Q299" s="1304"/>
      <c r="R299" s="1304"/>
      <c r="S299" s="1304"/>
      <c r="T299" s="1304"/>
      <c r="U299" s="1304"/>
      <c r="V299" s="1304"/>
      <c r="W299" s="1304"/>
      <c r="X299" s="1304"/>
      <c r="Y299" s="1304"/>
      <c r="Z299" s="1304"/>
      <c r="AA299" s="1304"/>
      <c r="AB299" s="1304"/>
      <c r="AC299" s="1304"/>
      <c r="AD299" s="1304"/>
      <c r="AE299" s="1304"/>
    </row>
    <row r="300" ht="15.0" customHeight="1">
      <c r="A300" s="1304"/>
      <c r="B300" s="1304"/>
      <c r="C300" s="1304"/>
      <c r="D300" s="1304"/>
      <c r="E300" s="1304"/>
      <c r="F300" s="1304"/>
      <c r="G300" s="1304"/>
      <c r="H300" s="1304"/>
      <c r="I300" s="1304"/>
      <c r="J300" s="1304"/>
      <c r="K300" s="1304"/>
      <c r="L300" s="1304"/>
      <c r="M300" s="1304"/>
      <c r="N300" s="1304"/>
      <c r="O300" s="1304"/>
      <c r="P300" s="1304"/>
      <c r="Q300" s="1304"/>
      <c r="R300" s="1304"/>
      <c r="S300" s="1304"/>
      <c r="T300" s="1304"/>
      <c r="U300" s="1304"/>
      <c r="V300" s="1304"/>
      <c r="W300" s="1304"/>
      <c r="X300" s="1304"/>
      <c r="Y300" s="1304"/>
      <c r="Z300" s="1304"/>
      <c r="AA300" s="1304"/>
      <c r="AB300" s="1304"/>
      <c r="AC300" s="1304"/>
      <c r="AD300" s="1304"/>
      <c r="AE300" s="1304"/>
    </row>
    <row r="301" ht="15.0" customHeight="1">
      <c r="A301" s="1304"/>
      <c r="B301" s="1304"/>
      <c r="C301" s="1304"/>
      <c r="D301" s="1304"/>
      <c r="E301" s="1304"/>
      <c r="F301" s="1304"/>
      <c r="G301" s="1304"/>
      <c r="H301" s="1304"/>
      <c r="I301" s="1304"/>
      <c r="J301" s="1304"/>
      <c r="K301" s="1304"/>
      <c r="L301" s="1304"/>
      <c r="M301" s="1304"/>
      <c r="N301" s="1304"/>
      <c r="O301" s="1304"/>
      <c r="P301" s="1304"/>
      <c r="Q301" s="1304"/>
      <c r="R301" s="1304"/>
      <c r="S301" s="1304"/>
      <c r="T301" s="1304"/>
      <c r="U301" s="1304"/>
      <c r="V301" s="1304"/>
      <c r="W301" s="1304"/>
      <c r="X301" s="1304"/>
      <c r="Y301" s="1304"/>
      <c r="Z301" s="1304"/>
      <c r="AA301" s="1304"/>
      <c r="AB301" s="1304"/>
      <c r="AC301" s="1304"/>
      <c r="AD301" s="1304"/>
      <c r="AE301" s="1304"/>
    </row>
    <row r="302" ht="15.0" customHeight="1">
      <c r="A302" s="1304"/>
      <c r="B302" s="1304"/>
      <c r="C302" s="1304"/>
      <c r="D302" s="1304"/>
      <c r="E302" s="1304"/>
      <c r="F302" s="1304"/>
      <c r="G302" s="1304"/>
      <c r="H302" s="1304"/>
      <c r="I302" s="1304"/>
      <c r="J302" s="1304"/>
      <c r="K302" s="1304"/>
      <c r="L302" s="1304"/>
      <c r="M302" s="1304"/>
      <c r="N302" s="1304"/>
      <c r="O302" s="1304"/>
      <c r="P302" s="1304"/>
      <c r="Q302" s="1304"/>
      <c r="R302" s="1304"/>
      <c r="S302" s="1304"/>
      <c r="T302" s="1304"/>
      <c r="U302" s="1304"/>
      <c r="V302" s="1304"/>
      <c r="W302" s="1304"/>
      <c r="X302" s="1304"/>
      <c r="Y302" s="1304"/>
      <c r="Z302" s="1304"/>
      <c r="AA302" s="1304"/>
      <c r="AB302" s="1304"/>
      <c r="AC302" s="1304"/>
      <c r="AD302" s="1304"/>
      <c r="AE302" s="1304"/>
    </row>
    <row r="303" ht="15.0" customHeight="1">
      <c r="A303" s="1304"/>
      <c r="B303" s="1304"/>
      <c r="C303" s="1304"/>
      <c r="D303" s="1304"/>
      <c r="E303" s="1304"/>
      <c r="F303" s="1304"/>
      <c r="G303" s="1304"/>
      <c r="H303" s="1304"/>
      <c r="I303" s="1304"/>
      <c r="J303" s="1304"/>
      <c r="K303" s="1304"/>
      <c r="L303" s="1304"/>
      <c r="M303" s="1304"/>
      <c r="N303" s="1304"/>
      <c r="O303" s="1304"/>
      <c r="P303" s="1304"/>
      <c r="Q303" s="1304"/>
      <c r="R303" s="1304"/>
      <c r="S303" s="1304"/>
      <c r="T303" s="1304"/>
      <c r="U303" s="1304"/>
      <c r="V303" s="1304"/>
      <c r="W303" s="1304"/>
      <c r="X303" s="1304"/>
      <c r="Y303" s="1304"/>
      <c r="Z303" s="1304"/>
      <c r="AA303" s="1304"/>
      <c r="AB303" s="1304"/>
      <c r="AC303" s="1304"/>
      <c r="AD303" s="1304"/>
      <c r="AE303" s="1304"/>
    </row>
    <row r="304" ht="15.0" customHeight="1">
      <c r="A304" s="1304"/>
      <c r="B304" s="1304"/>
      <c r="C304" s="1304"/>
      <c r="D304" s="1304"/>
      <c r="E304" s="1304"/>
      <c r="F304" s="1304"/>
      <c r="G304" s="1304"/>
      <c r="H304" s="1304"/>
      <c r="I304" s="1304"/>
      <c r="J304" s="1304"/>
      <c r="K304" s="1304"/>
      <c r="L304" s="1304"/>
      <c r="M304" s="1304"/>
      <c r="N304" s="1304"/>
      <c r="O304" s="1304"/>
      <c r="P304" s="1304"/>
      <c r="Q304" s="1304"/>
      <c r="R304" s="1304"/>
      <c r="S304" s="1304"/>
      <c r="T304" s="1304"/>
      <c r="U304" s="1304"/>
      <c r="V304" s="1304"/>
      <c r="W304" s="1304"/>
      <c r="X304" s="1304"/>
      <c r="Y304" s="1304"/>
      <c r="Z304" s="1304"/>
      <c r="AA304" s="1304"/>
      <c r="AB304" s="1304"/>
      <c r="AC304" s="1304"/>
      <c r="AD304" s="1304"/>
      <c r="AE304" s="1304"/>
    </row>
    <row r="305" ht="15.0" customHeight="1">
      <c r="A305" s="1304"/>
      <c r="B305" s="1304"/>
      <c r="C305" s="1304"/>
      <c r="D305" s="1304"/>
      <c r="E305" s="1304"/>
      <c r="F305" s="1304"/>
      <c r="G305" s="1304"/>
      <c r="H305" s="1304"/>
      <c r="I305" s="1304"/>
      <c r="J305" s="1304"/>
      <c r="K305" s="1304"/>
      <c r="L305" s="1304"/>
      <c r="M305" s="1304"/>
      <c r="N305" s="1304"/>
      <c r="O305" s="1304"/>
      <c r="P305" s="1304"/>
      <c r="Q305" s="1304"/>
      <c r="R305" s="1304"/>
      <c r="S305" s="1304"/>
      <c r="T305" s="1304"/>
      <c r="U305" s="1304"/>
      <c r="V305" s="1304"/>
      <c r="W305" s="1304"/>
      <c r="X305" s="1304"/>
      <c r="Y305" s="1304"/>
      <c r="Z305" s="1304"/>
      <c r="AA305" s="1304"/>
      <c r="AB305" s="1304"/>
      <c r="AC305" s="1304"/>
      <c r="AD305" s="1304"/>
      <c r="AE305" s="1304"/>
    </row>
    <row r="306" ht="15.0" customHeight="1">
      <c r="A306" s="1304"/>
      <c r="B306" s="1304"/>
      <c r="C306" s="1304"/>
      <c r="D306" s="1304"/>
      <c r="E306" s="1304"/>
      <c r="F306" s="1304"/>
      <c r="G306" s="1304"/>
      <c r="H306" s="1304"/>
      <c r="I306" s="1304"/>
      <c r="J306" s="1304"/>
      <c r="K306" s="1304"/>
      <c r="L306" s="1304"/>
      <c r="M306" s="1304"/>
      <c r="N306" s="1304"/>
      <c r="O306" s="1304"/>
      <c r="P306" s="1304"/>
      <c r="Q306" s="1304"/>
      <c r="R306" s="1304"/>
      <c r="S306" s="1304"/>
      <c r="T306" s="1304"/>
      <c r="U306" s="1304"/>
      <c r="V306" s="1304"/>
      <c r="W306" s="1304"/>
      <c r="X306" s="1304"/>
      <c r="Y306" s="1304"/>
      <c r="Z306" s="1304"/>
      <c r="AA306" s="1304"/>
      <c r="AB306" s="1304"/>
      <c r="AC306" s="1304"/>
      <c r="AD306" s="1304"/>
      <c r="AE306" s="1304"/>
    </row>
    <row r="307" ht="15.0" customHeight="1">
      <c r="A307" s="1304"/>
      <c r="B307" s="1304"/>
      <c r="C307" s="1304"/>
      <c r="D307" s="1304"/>
      <c r="E307" s="1304"/>
      <c r="F307" s="1304"/>
      <c r="G307" s="1304"/>
      <c r="H307" s="1304"/>
      <c r="I307" s="1304"/>
      <c r="J307" s="1304"/>
      <c r="K307" s="1304"/>
      <c r="L307" s="1304"/>
      <c r="M307" s="1304"/>
      <c r="N307" s="1304"/>
      <c r="O307" s="1304"/>
      <c r="P307" s="1304"/>
      <c r="Q307" s="1304"/>
      <c r="R307" s="1304"/>
      <c r="S307" s="1304"/>
      <c r="T307" s="1304"/>
      <c r="U307" s="1304"/>
      <c r="V307" s="1304"/>
      <c r="W307" s="1304"/>
      <c r="X307" s="1304"/>
      <c r="Y307" s="1304"/>
      <c r="Z307" s="1304"/>
      <c r="AA307" s="1304"/>
      <c r="AB307" s="1304"/>
      <c r="AC307" s="1304"/>
      <c r="AD307" s="1304"/>
      <c r="AE307" s="1304"/>
    </row>
    <row r="308" ht="15.0" customHeight="1">
      <c r="A308" s="1304"/>
      <c r="B308" s="1304"/>
      <c r="C308" s="1304"/>
      <c r="D308" s="1304"/>
      <c r="E308" s="1304"/>
      <c r="F308" s="1304"/>
      <c r="G308" s="1304"/>
      <c r="H308" s="1304"/>
      <c r="I308" s="1304"/>
      <c r="J308" s="1304"/>
      <c r="K308" s="1304"/>
      <c r="L308" s="1304"/>
      <c r="M308" s="1304"/>
      <c r="N308" s="1304"/>
      <c r="O308" s="1304"/>
      <c r="P308" s="1304"/>
      <c r="Q308" s="1304"/>
      <c r="R308" s="1304"/>
      <c r="S308" s="1304"/>
      <c r="T308" s="1304"/>
      <c r="U308" s="1304"/>
      <c r="V308" s="1304"/>
      <c r="W308" s="1304"/>
      <c r="X308" s="1304"/>
      <c r="Y308" s="1304"/>
      <c r="Z308" s="1304"/>
      <c r="AA308" s="1304"/>
      <c r="AB308" s="1304"/>
      <c r="AC308" s="1304"/>
      <c r="AD308" s="1304"/>
      <c r="AE308" s="1304"/>
    </row>
    <row r="309" ht="15.0" customHeight="1">
      <c r="A309" s="1304"/>
      <c r="B309" s="1304"/>
      <c r="C309" s="1304"/>
      <c r="D309" s="1304"/>
      <c r="E309" s="1304"/>
      <c r="F309" s="1304"/>
      <c r="G309" s="1304"/>
      <c r="H309" s="1304"/>
      <c r="I309" s="1304"/>
      <c r="J309" s="1304"/>
      <c r="K309" s="1304"/>
      <c r="L309" s="1304"/>
      <c r="M309" s="1304"/>
      <c r="N309" s="1304"/>
      <c r="O309" s="1304"/>
      <c r="P309" s="1304"/>
      <c r="Q309" s="1304"/>
      <c r="R309" s="1304"/>
      <c r="S309" s="1304"/>
      <c r="T309" s="1304"/>
      <c r="U309" s="1304"/>
      <c r="V309" s="1304"/>
      <c r="W309" s="1304"/>
      <c r="X309" s="1304"/>
      <c r="Y309" s="1304"/>
      <c r="Z309" s="1304"/>
      <c r="AA309" s="1304"/>
      <c r="AB309" s="1304"/>
      <c r="AC309" s="1304"/>
      <c r="AD309" s="1304"/>
      <c r="AE309" s="1304"/>
    </row>
    <row r="310" ht="15.0" customHeight="1">
      <c r="A310" s="1304"/>
      <c r="B310" s="1304"/>
      <c r="C310" s="1304"/>
      <c r="D310" s="1304"/>
      <c r="E310" s="1304"/>
      <c r="F310" s="1304"/>
      <c r="G310" s="1304"/>
      <c r="H310" s="1304"/>
      <c r="I310" s="1304"/>
      <c r="J310" s="1304"/>
      <c r="K310" s="1304"/>
      <c r="L310" s="1304"/>
      <c r="M310" s="1304"/>
      <c r="N310" s="1304"/>
      <c r="O310" s="1304"/>
      <c r="P310" s="1304"/>
      <c r="Q310" s="1304"/>
      <c r="R310" s="1304"/>
      <c r="S310" s="1304"/>
      <c r="T310" s="1304"/>
      <c r="U310" s="1304"/>
      <c r="V310" s="1304"/>
      <c r="W310" s="1304"/>
      <c r="X310" s="1304"/>
      <c r="Y310" s="1304"/>
      <c r="Z310" s="1304"/>
      <c r="AA310" s="1304"/>
      <c r="AB310" s="1304"/>
      <c r="AC310" s="1304"/>
      <c r="AD310" s="1304"/>
      <c r="AE310" s="1304"/>
    </row>
    <row r="311" ht="15.0" customHeight="1">
      <c r="A311" s="1304"/>
      <c r="B311" s="1304"/>
      <c r="C311" s="1304"/>
      <c r="D311" s="1304"/>
      <c r="E311" s="1304"/>
      <c r="F311" s="1304"/>
      <c r="G311" s="1304"/>
      <c r="H311" s="1304"/>
      <c r="I311" s="1304"/>
      <c r="J311" s="1304"/>
      <c r="K311" s="1304"/>
      <c r="L311" s="1304"/>
      <c r="M311" s="1304"/>
      <c r="N311" s="1304"/>
      <c r="O311" s="1304"/>
      <c r="P311" s="1304"/>
      <c r="Q311" s="1304"/>
      <c r="R311" s="1304"/>
      <c r="S311" s="1304"/>
      <c r="T311" s="1304"/>
      <c r="U311" s="1304"/>
      <c r="V311" s="1304"/>
      <c r="W311" s="1304"/>
      <c r="X311" s="1304"/>
      <c r="Y311" s="1304"/>
      <c r="Z311" s="1304"/>
      <c r="AA311" s="1304"/>
      <c r="AB311" s="1304"/>
      <c r="AC311" s="1304"/>
      <c r="AD311" s="1304"/>
      <c r="AE311" s="1304"/>
    </row>
    <row r="312" ht="15.0" customHeight="1">
      <c r="A312" s="1304"/>
      <c r="B312" s="1304"/>
      <c r="C312" s="1304"/>
      <c r="D312" s="1304"/>
      <c r="E312" s="1304"/>
      <c r="F312" s="1304"/>
      <c r="G312" s="1304"/>
      <c r="H312" s="1304"/>
      <c r="I312" s="1304"/>
      <c r="J312" s="1304"/>
      <c r="K312" s="1304"/>
      <c r="L312" s="1304"/>
      <c r="M312" s="1304"/>
      <c r="N312" s="1304"/>
      <c r="O312" s="1304"/>
      <c r="P312" s="1304"/>
      <c r="Q312" s="1304"/>
      <c r="R312" s="1304"/>
      <c r="S312" s="1304"/>
      <c r="T312" s="1304"/>
      <c r="U312" s="1304"/>
      <c r="V312" s="1304"/>
      <c r="W312" s="1304"/>
      <c r="X312" s="1304"/>
      <c r="Y312" s="1304"/>
      <c r="Z312" s="1304"/>
      <c r="AA312" s="1304"/>
      <c r="AB312" s="1304"/>
      <c r="AC312" s="1304"/>
      <c r="AD312" s="1304"/>
      <c r="AE312" s="1304"/>
    </row>
    <row r="313" ht="15.0" customHeight="1">
      <c r="A313" s="1304"/>
      <c r="B313" s="1304"/>
      <c r="C313" s="1304"/>
      <c r="D313" s="1304"/>
      <c r="E313" s="1304"/>
      <c r="F313" s="1304"/>
      <c r="G313" s="1304"/>
      <c r="H313" s="1304"/>
      <c r="I313" s="1304"/>
      <c r="J313" s="1304"/>
      <c r="K313" s="1304"/>
      <c r="L313" s="1304"/>
      <c r="M313" s="1304"/>
      <c r="N313" s="1304"/>
      <c r="O313" s="1304"/>
      <c r="P313" s="1304"/>
      <c r="Q313" s="1304"/>
      <c r="R313" s="1304"/>
      <c r="S313" s="1304"/>
      <c r="T313" s="1304"/>
      <c r="U313" s="1304"/>
      <c r="V313" s="1304"/>
      <c r="W313" s="1304"/>
      <c r="X313" s="1304"/>
      <c r="Y313" s="1304"/>
      <c r="Z313" s="1304"/>
      <c r="AA313" s="1304"/>
      <c r="AB313" s="1304"/>
      <c r="AC313" s="1304"/>
      <c r="AD313" s="1304"/>
      <c r="AE313" s="1304"/>
    </row>
    <row r="314" ht="15.0" customHeight="1">
      <c r="A314" s="1304"/>
      <c r="B314" s="1304"/>
      <c r="C314" s="1304"/>
      <c r="D314" s="1304"/>
      <c r="E314" s="1304"/>
      <c r="F314" s="1304"/>
      <c r="G314" s="1304"/>
      <c r="H314" s="1304"/>
      <c r="I314" s="1304"/>
      <c r="J314" s="1304"/>
      <c r="K314" s="1304"/>
      <c r="L314" s="1304"/>
      <c r="M314" s="1304"/>
      <c r="N314" s="1304"/>
      <c r="O314" s="1304"/>
      <c r="P314" s="1304"/>
      <c r="Q314" s="1304"/>
      <c r="R314" s="1304"/>
      <c r="S314" s="1304"/>
      <c r="T314" s="1304"/>
      <c r="U314" s="1304"/>
      <c r="V314" s="1304"/>
      <c r="W314" s="1304"/>
      <c r="X314" s="1304"/>
      <c r="Y314" s="1304"/>
      <c r="Z314" s="1304"/>
      <c r="AA314" s="1304"/>
      <c r="AB314" s="1304"/>
      <c r="AC314" s="1304"/>
      <c r="AD314" s="1304"/>
      <c r="AE314" s="1304"/>
    </row>
    <row r="315" ht="15.0" customHeight="1">
      <c r="A315" s="1304"/>
      <c r="B315" s="1304"/>
      <c r="C315" s="1304"/>
      <c r="D315" s="1304"/>
      <c r="E315" s="1304"/>
      <c r="F315" s="1304"/>
      <c r="G315" s="1304"/>
      <c r="H315" s="1304"/>
      <c r="I315" s="1304"/>
      <c r="J315" s="1304"/>
      <c r="K315" s="1304"/>
      <c r="L315" s="1304"/>
      <c r="M315" s="1304"/>
      <c r="N315" s="1304"/>
      <c r="O315" s="1304"/>
      <c r="P315" s="1304"/>
      <c r="Q315" s="1304"/>
      <c r="R315" s="1304"/>
      <c r="S315" s="1304"/>
      <c r="T315" s="1304"/>
      <c r="U315" s="1304"/>
      <c r="V315" s="1304"/>
      <c r="W315" s="1304"/>
      <c r="X315" s="1304"/>
      <c r="Y315" s="1304"/>
      <c r="Z315" s="1304"/>
      <c r="AA315" s="1304"/>
      <c r="AB315" s="1304"/>
      <c r="AC315" s="1304"/>
      <c r="AD315" s="1304"/>
      <c r="AE315" s="1304"/>
    </row>
    <row r="316" ht="15.0" customHeight="1">
      <c r="A316" s="1304"/>
      <c r="B316" s="1304"/>
      <c r="C316" s="1304"/>
      <c r="D316" s="1304"/>
      <c r="E316" s="1304"/>
      <c r="F316" s="1304"/>
      <c r="G316" s="1304"/>
      <c r="H316" s="1304"/>
      <c r="I316" s="1304"/>
      <c r="J316" s="1304"/>
      <c r="K316" s="1304"/>
      <c r="L316" s="1304"/>
      <c r="M316" s="1304"/>
      <c r="N316" s="1304"/>
      <c r="O316" s="1304"/>
      <c r="P316" s="1304"/>
      <c r="Q316" s="1304"/>
      <c r="R316" s="1304"/>
      <c r="S316" s="1304"/>
      <c r="T316" s="1304"/>
      <c r="U316" s="1304"/>
      <c r="V316" s="1304"/>
      <c r="W316" s="1304"/>
      <c r="X316" s="1304"/>
      <c r="Y316" s="1304"/>
      <c r="Z316" s="1304"/>
      <c r="AA316" s="1304"/>
      <c r="AB316" s="1304"/>
      <c r="AC316" s="1304"/>
      <c r="AD316" s="1304"/>
      <c r="AE316" s="1304"/>
    </row>
    <row r="317" ht="15.0" customHeight="1">
      <c r="A317" s="1304"/>
      <c r="B317" s="1304"/>
      <c r="C317" s="1304"/>
      <c r="D317" s="1304"/>
      <c r="E317" s="1304"/>
      <c r="F317" s="1304"/>
      <c r="G317" s="1304"/>
      <c r="H317" s="1304"/>
      <c r="I317" s="1304"/>
      <c r="J317" s="1304"/>
      <c r="K317" s="1304"/>
      <c r="L317" s="1304"/>
      <c r="M317" s="1304"/>
      <c r="N317" s="1304"/>
      <c r="O317" s="1304"/>
      <c r="P317" s="1304"/>
      <c r="Q317" s="1304"/>
      <c r="R317" s="1304"/>
      <c r="S317" s="1304"/>
      <c r="T317" s="1304"/>
      <c r="U317" s="1304"/>
      <c r="V317" s="1304"/>
      <c r="W317" s="1304"/>
      <c r="X317" s="1304"/>
      <c r="Y317" s="1304"/>
      <c r="Z317" s="1304"/>
      <c r="AA317" s="1304"/>
      <c r="AB317" s="1304"/>
      <c r="AC317" s="1304"/>
      <c r="AD317" s="1304"/>
      <c r="AE317" s="1304"/>
    </row>
    <row r="318" ht="15.0" customHeight="1">
      <c r="A318" s="1304"/>
      <c r="B318" s="1304"/>
      <c r="C318" s="1304"/>
      <c r="D318" s="1304"/>
      <c r="E318" s="1304"/>
      <c r="F318" s="1304"/>
      <c r="G318" s="1304"/>
      <c r="H318" s="1304"/>
      <c r="I318" s="1304"/>
      <c r="J318" s="1304"/>
      <c r="K318" s="1304"/>
      <c r="L318" s="1304"/>
      <c r="M318" s="1304"/>
      <c r="N318" s="1304"/>
      <c r="O318" s="1304"/>
      <c r="P318" s="1304"/>
      <c r="Q318" s="1304"/>
      <c r="R318" s="1304"/>
      <c r="S318" s="1304"/>
      <c r="T318" s="1304"/>
      <c r="U318" s="1304"/>
      <c r="V318" s="1304"/>
      <c r="W318" s="1304"/>
      <c r="X318" s="1304"/>
      <c r="Y318" s="1304"/>
      <c r="Z318" s="1304"/>
      <c r="AA318" s="1304"/>
      <c r="AB318" s="1304"/>
      <c r="AC318" s="1304"/>
      <c r="AD318" s="1304"/>
      <c r="AE318" s="1304"/>
    </row>
    <row r="319" ht="15.0" customHeight="1">
      <c r="A319" s="1304"/>
      <c r="B319" s="1304"/>
      <c r="C319" s="1304"/>
      <c r="D319" s="1304"/>
      <c r="E319" s="1304"/>
      <c r="F319" s="1304"/>
      <c r="G319" s="1304"/>
      <c r="H319" s="1304"/>
      <c r="I319" s="1304"/>
      <c r="J319" s="1304"/>
      <c r="K319" s="1304"/>
      <c r="L319" s="1304"/>
      <c r="M319" s="1304"/>
      <c r="N319" s="1304"/>
      <c r="O319" s="1304"/>
      <c r="P319" s="1304"/>
      <c r="Q319" s="1304"/>
      <c r="R319" s="1304"/>
      <c r="S319" s="1304"/>
      <c r="T319" s="1304"/>
      <c r="U319" s="1304"/>
      <c r="V319" s="1304"/>
      <c r="W319" s="1304"/>
      <c r="X319" s="1304"/>
      <c r="Y319" s="1304"/>
      <c r="Z319" s="1304"/>
      <c r="AA319" s="1304"/>
      <c r="AB319" s="1304"/>
      <c r="AC319" s="1304"/>
      <c r="AD319" s="1304"/>
      <c r="AE319" s="1304"/>
    </row>
    <row r="320" ht="15.0" customHeight="1">
      <c r="A320" s="1304"/>
      <c r="B320" s="1304"/>
      <c r="C320" s="1304"/>
      <c r="D320" s="1304"/>
      <c r="E320" s="1304"/>
      <c r="F320" s="1304"/>
      <c r="G320" s="1304"/>
      <c r="H320" s="1304"/>
      <c r="I320" s="1304"/>
      <c r="J320" s="1304"/>
      <c r="K320" s="1304"/>
      <c r="L320" s="1304"/>
      <c r="M320" s="1304"/>
      <c r="N320" s="1304"/>
      <c r="O320" s="1304"/>
      <c r="P320" s="1304"/>
      <c r="Q320" s="1304"/>
      <c r="R320" s="1304"/>
      <c r="S320" s="1304"/>
      <c r="T320" s="1304"/>
      <c r="U320" s="1304"/>
      <c r="V320" s="1304"/>
      <c r="W320" s="1304"/>
      <c r="X320" s="1304"/>
      <c r="Y320" s="1304"/>
      <c r="Z320" s="1304"/>
      <c r="AA320" s="1304"/>
      <c r="AB320" s="1304"/>
      <c r="AC320" s="1304"/>
      <c r="AD320" s="1304"/>
      <c r="AE320" s="1304"/>
    </row>
    <row r="321" ht="15.0" customHeight="1">
      <c r="A321" s="1304"/>
      <c r="B321" s="1304"/>
      <c r="C321" s="1304"/>
      <c r="D321" s="1304"/>
      <c r="E321" s="1304"/>
      <c r="F321" s="1304"/>
      <c r="G321" s="1304"/>
      <c r="H321" s="1304"/>
      <c r="I321" s="1304"/>
      <c r="J321" s="1304"/>
      <c r="K321" s="1304"/>
      <c r="L321" s="1304"/>
      <c r="M321" s="1304"/>
      <c r="N321" s="1304"/>
      <c r="O321" s="1304"/>
      <c r="P321" s="1304"/>
      <c r="Q321" s="1304"/>
      <c r="R321" s="1304"/>
      <c r="S321" s="1304"/>
      <c r="T321" s="1304"/>
      <c r="U321" s="1304"/>
      <c r="V321" s="1304"/>
      <c r="W321" s="1304"/>
      <c r="X321" s="1304"/>
      <c r="Y321" s="1304"/>
      <c r="Z321" s="1304"/>
      <c r="AA321" s="1304"/>
      <c r="AB321" s="1304"/>
      <c r="AC321" s="1304"/>
      <c r="AD321" s="1304"/>
      <c r="AE321" s="1304"/>
    </row>
    <row r="322" ht="15.0" customHeight="1">
      <c r="A322" s="1304"/>
      <c r="B322" s="1304"/>
      <c r="C322" s="1304"/>
      <c r="D322" s="1304"/>
      <c r="E322" s="1304"/>
      <c r="F322" s="1304"/>
      <c r="G322" s="1304"/>
      <c r="H322" s="1304"/>
      <c r="I322" s="1304"/>
      <c r="J322" s="1304"/>
      <c r="K322" s="1304"/>
      <c r="L322" s="1304"/>
      <c r="M322" s="1304"/>
      <c r="N322" s="1304"/>
      <c r="O322" s="1304"/>
      <c r="P322" s="1304"/>
      <c r="Q322" s="1304"/>
      <c r="R322" s="1304"/>
      <c r="S322" s="1304"/>
      <c r="T322" s="1304"/>
      <c r="U322" s="1304"/>
      <c r="V322" s="1304"/>
      <c r="W322" s="1304"/>
      <c r="X322" s="1304"/>
      <c r="Y322" s="1304"/>
      <c r="Z322" s="1304"/>
      <c r="AA322" s="1304"/>
      <c r="AB322" s="1304"/>
      <c r="AC322" s="1304"/>
      <c r="AD322" s="1304"/>
      <c r="AE322" s="1304"/>
    </row>
    <row r="323" ht="15.0" customHeight="1">
      <c r="A323" s="1304"/>
      <c r="B323" s="1304"/>
      <c r="C323" s="1304"/>
      <c r="D323" s="1304"/>
      <c r="E323" s="1304"/>
      <c r="F323" s="1304"/>
      <c r="G323" s="1304"/>
      <c r="H323" s="1304"/>
      <c r="I323" s="1304"/>
      <c r="J323" s="1304"/>
      <c r="K323" s="1304"/>
      <c r="L323" s="1304"/>
      <c r="M323" s="1304"/>
      <c r="N323" s="1304"/>
      <c r="O323" s="1304"/>
      <c r="P323" s="1304"/>
      <c r="Q323" s="1304"/>
      <c r="R323" s="1304"/>
      <c r="S323" s="1304"/>
      <c r="T323" s="1304"/>
      <c r="U323" s="1304"/>
      <c r="V323" s="1304"/>
      <c r="W323" s="1304"/>
      <c r="X323" s="1304"/>
      <c r="Y323" s="1304"/>
      <c r="Z323" s="1304"/>
      <c r="AA323" s="1304"/>
      <c r="AB323" s="1304"/>
      <c r="AC323" s="1304"/>
      <c r="AD323" s="1304"/>
      <c r="AE323" s="1304"/>
    </row>
    <row r="324" ht="15.0" customHeight="1">
      <c r="A324" s="1304"/>
      <c r="B324" s="1304"/>
      <c r="C324" s="1304"/>
      <c r="D324" s="1304"/>
      <c r="E324" s="1304"/>
      <c r="F324" s="1304"/>
      <c r="G324" s="1304"/>
      <c r="H324" s="1304"/>
      <c r="I324" s="1304"/>
      <c r="J324" s="1304"/>
      <c r="K324" s="1304"/>
      <c r="L324" s="1304"/>
      <c r="M324" s="1304"/>
      <c r="N324" s="1304"/>
      <c r="O324" s="1304"/>
      <c r="P324" s="1304"/>
      <c r="Q324" s="1304"/>
      <c r="R324" s="1304"/>
      <c r="S324" s="1304"/>
      <c r="T324" s="1304"/>
      <c r="U324" s="1304"/>
      <c r="V324" s="1304"/>
      <c r="W324" s="1304"/>
      <c r="X324" s="1304"/>
      <c r="Y324" s="1304"/>
      <c r="Z324" s="1304"/>
      <c r="AA324" s="1304"/>
      <c r="AB324" s="1304"/>
      <c r="AC324" s="1304"/>
      <c r="AD324" s="1304"/>
      <c r="AE324" s="1304"/>
    </row>
    <row r="325" ht="15.0" customHeight="1">
      <c r="A325" s="1304"/>
      <c r="B325" s="1304"/>
      <c r="C325" s="1304"/>
      <c r="D325" s="1304"/>
      <c r="E325" s="1304"/>
      <c r="F325" s="1304"/>
      <c r="G325" s="1304"/>
      <c r="H325" s="1304"/>
      <c r="I325" s="1304"/>
      <c r="J325" s="1304"/>
      <c r="K325" s="1304"/>
      <c r="L325" s="1304"/>
      <c r="M325" s="1304"/>
      <c r="N325" s="1304"/>
      <c r="O325" s="1304"/>
      <c r="P325" s="1304"/>
      <c r="Q325" s="1304"/>
      <c r="R325" s="1304"/>
      <c r="S325" s="1304"/>
      <c r="T325" s="1304"/>
      <c r="U325" s="1304"/>
      <c r="V325" s="1304"/>
      <c r="W325" s="1304"/>
      <c r="X325" s="1304"/>
      <c r="Y325" s="1304"/>
      <c r="Z325" s="1304"/>
      <c r="AA325" s="1304"/>
      <c r="AB325" s="1304"/>
      <c r="AC325" s="1304"/>
      <c r="AD325" s="1304"/>
      <c r="AE325" s="1304"/>
    </row>
    <row r="326" ht="15.0" customHeight="1">
      <c r="A326" s="1304"/>
      <c r="B326" s="1304"/>
      <c r="C326" s="1304"/>
      <c r="D326" s="1304"/>
      <c r="E326" s="1304"/>
      <c r="F326" s="1304"/>
      <c r="G326" s="1304"/>
      <c r="H326" s="1304"/>
      <c r="I326" s="1304"/>
      <c r="J326" s="1304"/>
      <c r="K326" s="1304"/>
      <c r="L326" s="1304"/>
      <c r="M326" s="1304"/>
      <c r="N326" s="1304"/>
      <c r="O326" s="1304"/>
      <c r="P326" s="1304"/>
      <c r="Q326" s="1304"/>
      <c r="R326" s="1304"/>
      <c r="S326" s="1304"/>
      <c r="T326" s="1304"/>
      <c r="U326" s="1304"/>
      <c r="V326" s="1304"/>
      <c r="W326" s="1304"/>
      <c r="X326" s="1304"/>
      <c r="Y326" s="1304"/>
      <c r="Z326" s="1304"/>
      <c r="AA326" s="1304"/>
      <c r="AB326" s="1304"/>
      <c r="AC326" s="1304"/>
      <c r="AD326" s="1304"/>
      <c r="AE326" s="1304"/>
    </row>
    <row r="327" ht="15.0" customHeight="1">
      <c r="A327" s="1304"/>
      <c r="B327" s="1304"/>
      <c r="C327" s="1304"/>
      <c r="D327" s="1304"/>
      <c r="E327" s="1304"/>
      <c r="F327" s="1304"/>
      <c r="G327" s="1304"/>
      <c r="H327" s="1304"/>
      <c r="I327" s="1304"/>
      <c r="J327" s="1304"/>
      <c r="K327" s="1304"/>
      <c r="L327" s="1304"/>
      <c r="M327" s="1304"/>
      <c r="N327" s="1304"/>
      <c r="O327" s="1304"/>
      <c r="P327" s="1304"/>
      <c r="Q327" s="1304"/>
      <c r="R327" s="1304"/>
      <c r="S327" s="1304"/>
      <c r="T327" s="1304"/>
      <c r="U327" s="1304"/>
      <c r="V327" s="1304"/>
      <c r="W327" s="1304"/>
      <c r="X327" s="1304"/>
      <c r="Y327" s="1304"/>
      <c r="Z327" s="1304"/>
      <c r="AA327" s="1304"/>
      <c r="AB327" s="1304"/>
      <c r="AC327" s="1304"/>
      <c r="AD327" s="1304"/>
      <c r="AE327" s="1304"/>
    </row>
    <row r="328" ht="15.0" customHeight="1">
      <c r="A328" s="1304"/>
      <c r="B328" s="1304"/>
      <c r="C328" s="1304"/>
      <c r="D328" s="1304"/>
      <c r="E328" s="1304"/>
      <c r="F328" s="1304"/>
      <c r="G328" s="1304"/>
      <c r="H328" s="1304"/>
      <c r="I328" s="1304"/>
      <c r="J328" s="1304"/>
      <c r="K328" s="1304"/>
      <c r="L328" s="1304"/>
      <c r="M328" s="1304"/>
      <c r="N328" s="1304"/>
      <c r="O328" s="1304"/>
      <c r="P328" s="1304"/>
      <c r="Q328" s="1304"/>
      <c r="R328" s="1304"/>
      <c r="S328" s="1304"/>
      <c r="T328" s="1304"/>
      <c r="U328" s="1304"/>
      <c r="V328" s="1304"/>
      <c r="W328" s="1304"/>
      <c r="X328" s="1304"/>
      <c r="Y328" s="1304"/>
      <c r="Z328" s="1304"/>
      <c r="AA328" s="1304"/>
      <c r="AB328" s="1304"/>
      <c r="AC328" s="1304"/>
      <c r="AD328" s="1304"/>
      <c r="AE328" s="1304"/>
    </row>
    <row r="329" ht="15.0" customHeight="1">
      <c r="A329" s="1304"/>
      <c r="B329" s="1304"/>
      <c r="C329" s="1304"/>
      <c r="D329" s="1304"/>
      <c r="E329" s="1304"/>
      <c r="F329" s="1304"/>
      <c r="G329" s="1304"/>
      <c r="H329" s="1304"/>
      <c r="I329" s="1304"/>
      <c r="J329" s="1304"/>
      <c r="K329" s="1304"/>
      <c r="L329" s="1304"/>
      <c r="M329" s="1304"/>
      <c r="N329" s="1304"/>
      <c r="O329" s="1304"/>
      <c r="P329" s="1304"/>
      <c r="Q329" s="1304"/>
      <c r="R329" s="1304"/>
      <c r="S329" s="1304"/>
      <c r="T329" s="1304"/>
      <c r="U329" s="1304"/>
      <c r="V329" s="1304"/>
      <c r="W329" s="1304"/>
      <c r="X329" s="1304"/>
      <c r="Y329" s="1304"/>
      <c r="Z329" s="1304"/>
      <c r="AA329" s="1304"/>
      <c r="AB329" s="1304"/>
      <c r="AC329" s="1304"/>
      <c r="AD329" s="1304"/>
      <c r="AE329" s="1304"/>
    </row>
    <row r="330" ht="15.0" customHeight="1">
      <c r="A330" s="1304"/>
      <c r="B330" s="1304"/>
      <c r="C330" s="1304"/>
      <c r="D330" s="1304"/>
      <c r="E330" s="1304"/>
      <c r="F330" s="1304"/>
      <c r="G330" s="1304"/>
      <c r="H330" s="1304"/>
      <c r="I330" s="1304"/>
      <c r="J330" s="1304"/>
      <c r="K330" s="1304"/>
      <c r="L330" s="1304"/>
      <c r="M330" s="1304"/>
      <c r="N330" s="1304"/>
      <c r="O330" s="1304"/>
      <c r="P330" s="1304"/>
      <c r="Q330" s="1304"/>
      <c r="R330" s="1304"/>
      <c r="S330" s="1304"/>
      <c r="T330" s="1304"/>
      <c r="U330" s="1304"/>
      <c r="V330" s="1304"/>
      <c r="W330" s="1304"/>
      <c r="X330" s="1304"/>
      <c r="Y330" s="1304"/>
      <c r="Z330" s="1304"/>
      <c r="AA330" s="1304"/>
      <c r="AB330" s="1304"/>
      <c r="AC330" s="1304"/>
      <c r="AD330" s="1304"/>
      <c r="AE330" s="1304"/>
    </row>
    <row r="331" ht="15.0" customHeight="1">
      <c r="A331" s="1304"/>
      <c r="B331" s="1304"/>
      <c r="C331" s="1304"/>
      <c r="D331" s="1304"/>
      <c r="E331" s="1304"/>
      <c r="F331" s="1304"/>
      <c r="G331" s="1304"/>
      <c r="H331" s="1304"/>
      <c r="I331" s="1304"/>
      <c r="J331" s="1304"/>
      <c r="K331" s="1304"/>
      <c r="L331" s="1304"/>
      <c r="M331" s="1304"/>
      <c r="N331" s="1304"/>
      <c r="O331" s="1304"/>
      <c r="P331" s="1304"/>
      <c r="Q331" s="1304"/>
      <c r="R331" s="1304"/>
      <c r="S331" s="1304"/>
      <c r="T331" s="1304"/>
      <c r="U331" s="1304"/>
      <c r="V331" s="1304"/>
      <c r="W331" s="1304"/>
      <c r="X331" s="1304"/>
      <c r="Y331" s="1304"/>
      <c r="Z331" s="1304"/>
      <c r="AA331" s="1304"/>
      <c r="AB331" s="1304"/>
      <c r="AC331" s="1304"/>
      <c r="AD331" s="1304"/>
      <c r="AE331" s="1304"/>
    </row>
    <row r="332" ht="15.0" customHeight="1">
      <c r="A332" s="1304"/>
      <c r="B332" s="1304"/>
      <c r="C332" s="1304"/>
      <c r="D332" s="1304"/>
      <c r="E332" s="1304"/>
      <c r="F332" s="1304"/>
      <c r="G332" s="1304"/>
      <c r="H332" s="1304"/>
      <c r="I332" s="1304"/>
      <c r="J332" s="1304"/>
      <c r="K332" s="1304"/>
      <c r="L332" s="1304"/>
      <c r="M332" s="1304"/>
      <c r="N332" s="1304"/>
      <c r="O332" s="1304"/>
      <c r="P332" s="1304"/>
      <c r="Q332" s="1304"/>
      <c r="R332" s="1304"/>
      <c r="S332" s="1304"/>
      <c r="T332" s="1304"/>
      <c r="U332" s="1304"/>
      <c r="V332" s="1304"/>
      <c r="W332" s="1304"/>
      <c r="X332" s="1304"/>
      <c r="Y332" s="1304"/>
      <c r="Z332" s="1304"/>
      <c r="AA332" s="1304"/>
      <c r="AB332" s="1304"/>
      <c r="AC332" s="1304"/>
      <c r="AD332" s="1304"/>
      <c r="AE332" s="1304"/>
    </row>
    <row r="333" ht="15.0" customHeight="1">
      <c r="A333" s="1304"/>
      <c r="B333" s="1304"/>
      <c r="C333" s="1304"/>
      <c r="D333" s="1304"/>
      <c r="E333" s="1304"/>
      <c r="F333" s="1304"/>
      <c r="G333" s="1304"/>
      <c r="H333" s="1304"/>
      <c r="I333" s="1304"/>
      <c r="J333" s="1304"/>
      <c r="K333" s="1304"/>
      <c r="L333" s="1304"/>
      <c r="M333" s="1304"/>
      <c r="N333" s="1304"/>
      <c r="O333" s="1304"/>
      <c r="P333" s="1304"/>
      <c r="Q333" s="1304"/>
      <c r="R333" s="1304"/>
      <c r="S333" s="1304"/>
      <c r="T333" s="1304"/>
      <c r="U333" s="1304"/>
      <c r="V333" s="1304"/>
      <c r="W333" s="1304"/>
      <c r="X333" s="1304"/>
      <c r="Y333" s="1304"/>
      <c r="Z333" s="1304"/>
      <c r="AA333" s="1304"/>
      <c r="AB333" s="1304"/>
      <c r="AC333" s="1304"/>
      <c r="AD333" s="1304"/>
      <c r="AE333" s="1304"/>
    </row>
    <row r="334" ht="15.0" customHeight="1">
      <c r="A334" s="1304"/>
      <c r="B334" s="1304"/>
      <c r="C334" s="1304"/>
      <c r="D334" s="1304"/>
      <c r="E334" s="1304"/>
      <c r="F334" s="1304"/>
      <c r="G334" s="1304"/>
      <c r="H334" s="1304"/>
      <c r="I334" s="1304"/>
      <c r="J334" s="1304"/>
      <c r="K334" s="1304"/>
      <c r="L334" s="1304"/>
      <c r="M334" s="1304"/>
      <c r="N334" s="1304"/>
      <c r="O334" s="1304"/>
      <c r="P334" s="1304"/>
      <c r="Q334" s="1304"/>
      <c r="R334" s="1304"/>
      <c r="S334" s="1304"/>
      <c r="T334" s="1304"/>
      <c r="U334" s="1304"/>
      <c r="V334" s="1304"/>
      <c r="W334" s="1304"/>
      <c r="X334" s="1304"/>
      <c r="Y334" s="1304"/>
      <c r="Z334" s="1304"/>
      <c r="AA334" s="1304"/>
      <c r="AB334" s="1304"/>
      <c r="AC334" s="1304"/>
      <c r="AD334" s="1304"/>
      <c r="AE334" s="1304"/>
    </row>
    <row r="335" ht="15.0" customHeight="1">
      <c r="A335" s="1304"/>
      <c r="B335" s="1304"/>
      <c r="C335" s="1304"/>
      <c r="D335" s="1304"/>
      <c r="E335" s="1304"/>
      <c r="F335" s="1304"/>
      <c r="G335" s="1304"/>
      <c r="H335" s="1304"/>
      <c r="I335" s="1304"/>
      <c r="J335" s="1304"/>
      <c r="K335" s="1304"/>
      <c r="L335" s="1304"/>
      <c r="M335" s="1304"/>
      <c r="N335" s="1304"/>
      <c r="O335" s="1304"/>
      <c r="P335" s="1304"/>
      <c r="Q335" s="1304"/>
      <c r="R335" s="1304"/>
      <c r="S335" s="1304"/>
      <c r="T335" s="1304"/>
      <c r="U335" s="1304"/>
      <c r="V335" s="1304"/>
      <c r="W335" s="1304"/>
      <c r="X335" s="1304"/>
      <c r="Y335" s="1304"/>
      <c r="Z335" s="1304"/>
      <c r="AA335" s="1304"/>
      <c r="AB335" s="1304"/>
      <c r="AC335" s="1304"/>
      <c r="AD335" s="1304"/>
      <c r="AE335" s="1304"/>
    </row>
    <row r="336" ht="15.0" customHeight="1">
      <c r="A336" s="1304"/>
      <c r="B336" s="1304"/>
      <c r="C336" s="1304"/>
      <c r="D336" s="1304"/>
      <c r="E336" s="1304"/>
      <c r="F336" s="1304"/>
      <c r="G336" s="1304"/>
      <c r="H336" s="1304"/>
      <c r="I336" s="1304"/>
      <c r="J336" s="1304"/>
      <c r="K336" s="1304"/>
      <c r="L336" s="1304"/>
      <c r="M336" s="1304"/>
      <c r="N336" s="1304"/>
      <c r="O336" s="1304"/>
      <c r="P336" s="1304"/>
      <c r="Q336" s="1304"/>
      <c r="R336" s="1304"/>
      <c r="S336" s="1304"/>
      <c r="T336" s="1304"/>
      <c r="U336" s="1304"/>
      <c r="V336" s="1304"/>
      <c r="W336" s="1304"/>
      <c r="X336" s="1304"/>
      <c r="Y336" s="1304"/>
      <c r="Z336" s="1304"/>
      <c r="AA336" s="1304"/>
      <c r="AB336" s="1304"/>
      <c r="AC336" s="1304"/>
      <c r="AD336" s="1304"/>
      <c r="AE336" s="1304"/>
    </row>
    <row r="337" ht="15.0" customHeight="1">
      <c r="A337" s="1304"/>
      <c r="B337" s="1304"/>
      <c r="C337" s="1304"/>
      <c r="D337" s="1304"/>
      <c r="E337" s="1304"/>
      <c r="F337" s="1304"/>
      <c r="G337" s="1304"/>
      <c r="H337" s="1304"/>
      <c r="I337" s="1304"/>
      <c r="J337" s="1304"/>
      <c r="K337" s="1304"/>
      <c r="L337" s="1304"/>
      <c r="M337" s="1304"/>
      <c r="N337" s="1304"/>
      <c r="O337" s="1304"/>
      <c r="P337" s="1304"/>
      <c r="Q337" s="1304"/>
      <c r="R337" s="1304"/>
      <c r="S337" s="1304"/>
      <c r="T337" s="1304"/>
      <c r="U337" s="1304"/>
      <c r="V337" s="1304"/>
      <c r="W337" s="1304"/>
      <c r="X337" s="1304"/>
      <c r="Y337" s="1304"/>
      <c r="Z337" s="1304"/>
      <c r="AA337" s="1304"/>
      <c r="AB337" s="1304"/>
      <c r="AC337" s="1304"/>
      <c r="AD337" s="1304"/>
      <c r="AE337" s="1304"/>
    </row>
    <row r="338" ht="15.0" customHeight="1">
      <c r="A338" s="1304"/>
      <c r="B338" s="1304"/>
      <c r="C338" s="1304"/>
      <c r="D338" s="1304"/>
      <c r="E338" s="1304"/>
      <c r="F338" s="1304"/>
      <c r="G338" s="1304"/>
      <c r="H338" s="1304"/>
      <c r="I338" s="1304"/>
      <c r="J338" s="1304"/>
      <c r="K338" s="1304"/>
      <c r="L338" s="1304"/>
      <c r="M338" s="1304"/>
      <c r="N338" s="1304"/>
      <c r="O338" s="1304"/>
      <c r="P338" s="1304"/>
      <c r="Q338" s="1304"/>
      <c r="R338" s="1304"/>
      <c r="S338" s="1304"/>
      <c r="T338" s="1304"/>
      <c r="U338" s="1304"/>
      <c r="V338" s="1304"/>
      <c r="W338" s="1304"/>
      <c r="X338" s="1304"/>
      <c r="Y338" s="1304"/>
      <c r="Z338" s="1304"/>
      <c r="AA338" s="1304"/>
      <c r="AB338" s="1304"/>
      <c r="AC338" s="1304"/>
      <c r="AD338" s="1304"/>
      <c r="AE338" s="1304"/>
    </row>
    <row r="339" ht="15.0" customHeight="1">
      <c r="A339" s="1304"/>
      <c r="B339" s="1304"/>
      <c r="C339" s="1304"/>
      <c r="D339" s="1304"/>
      <c r="E339" s="1304"/>
      <c r="F339" s="1304"/>
      <c r="G339" s="1304"/>
      <c r="H339" s="1304"/>
      <c r="I339" s="1304"/>
      <c r="J339" s="1304"/>
      <c r="K339" s="1304"/>
      <c r="L339" s="1304"/>
      <c r="M339" s="1304"/>
      <c r="N339" s="1304"/>
      <c r="O339" s="1304"/>
      <c r="P339" s="1304"/>
      <c r="Q339" s="1304"/>
      <c r="R339" s="1304"/>
      <c r="S339" s="1304"/>
      <c r="T339" s="1304"/>
      <c r="U339" s="1304"/>
      <c r="V339" s="1304"/>
      <c r="W339" s="1304"/>
      <c r="X339" s="1304"/>
      <c r="Y339" s="1304"/>
      <c r="Z339" s="1304"/>
      <c r="AA339" s="1304"/>
      <c r="AB339" s="1304"/>
      <c r="AC339" s="1304"/>
      <c r="AD339" s="1304"/>
      <c r="AE339" s="1304"/>
    </row>
    <row r="340" ht="15.0" customHeight="1">
      <c r="A340" s="1304"/>
      <c r="B340" s="1304"/>
      <c r="C340" s="1304"/>
      <c r="D340" s="1304"/>
      <c r="E340" s="1304"/>
      <c r="F340" s="1304"/>
      <c r="G340" s="1304"/>
      <c r="H340" s="1304"/>
      <c r="I340" s="1304"/>
      <c r="J340" s="1304"/>
      <c r="K340" s="1304"/>
      <c r="L340" s="1304"/>
      <c r="M340" s="1304"/>
      <c r="N340" s="1304"/>
      <c r="O340" s="1304"/>
      <c r="P340" s="1304"/>
      <c r="Q340" s="1304"/>
      <c r="R340" s="1304"/>
      <c r="S340" s="1304"/>
      <c r="T340" s="1304"/>
      <c r="U340" s="1304"/>
      <c r="V340" s="1304"/>
      <c r="W340" s="1304"/>
      <c r="X340" s="1304"/>
      <c r="Y340" s="1304"/>
      <c r="Z340" s="1304"/>
      <c r="AA340" s="1304"/>
      <c r="AB340" s="1304"/>
      <c r="AC340" s="1304"/>
      <c r="AD340" s="1304"/>
      <c r="AE340" s="1304"/>
    </row>
    <row r="341" ht="15.0" customHeight="1">
      <c r="A341" s="1304"/>
      <c r="B341" s="1304"/>
      <c r="C341" s="1304"/>
      <c r="D341" s="1304"/>
      <c r="E341" s="1304"/>
      <c r="F341" s="1304"/>
      <c r="G341" s="1304"/>
      <c r="H341" s="1304"/>
      <c r="I341" s="1304"/>
      <c r="J341" s="1304"/>
      <c r="K341" s="1304"/>
      <c r="L341" s="1304"/>
      <c r="M341" s="1304"/>
      <c r="N341" s="1304"/>
      <c r="O341" s="1304"/>
      <c r="P341" s="1304"/>
      <c r="Q341" s="1304"/>
      <c r="R341" s="1304"/>
      <c r="S341" s="1304"/>
      <c r="T341" s="1304"/>
      <c r="U341" s="1304"/>
      <c r="V341" s="1304"/>
      <c r="W341" s="1304"/>
      <c r="X341" s="1304"/>
      <c r="Y341" s="1304"/>
      <c r="Z341" s="1304"/>
      <c r="AA341" s="1304"/>
      <c r="AB341" s="1304"/>
      <c r="AC341" s="1304"/>
      <c r="AD341" s="1304"/>
      <c r="AE341" s="1304"/>
    </row>
    <row r="342" ht="15.0" customHeight="1">
      <c r="A342" s="1304"/>
      <c r="B342" s="1304"/>
      <c r="C342" s="1304"/>
      <c r="D342" s="1304"/>
      <c r="E342" s="1304"/>
      <c r="F342" s="1304"/>
      <c r="G342" s="1304"/>
      <c r="H342" s="1304"/>
      <c r="I342" s="1304"/>
      <c r="J342" s="1304"/>
      <c r="K342" s="1304"/>
      <c r="L342" s="1304"/>
      <c r="M342" s="1304"/>
      <c r="N342" s="1304"/>
      <c r="O342" s="1304"/>
      <c r="P342" s="1304"/>
      <c r="Q342" s="1304"/>
      <c r="R342" s="1304"/>
      <c r="S342" s="1304"/>
      <c r="T342" s="1304"/>
      <c r="U342" s="1304"/>
      <c r="V342" s="1304"/>
      <c r="W342" s="1304"/>
      <c r="X342" s="1304"/>
      <c r="Y342" s="1304"/>
      <c r="Z342" s="1304"/>
      <c r="AA342" s="1304"/>
      <c r="AB342" s="1304"/>
      <c r="AC342" s="1304"/>
      <c r="AD342" s="1304"/>
      <c r="AE342" s="1304"/>
    </row>
    <row r="343" ht="15.0" customHeight="1">
      <c r="A343" s="1304"/>
      <c r="B343" s="1304"/>
      <c r="C343" s="1304"/>
      <c r="D343" s="1304"/>
      <c r="E343" s="1304"/>
      <c r="F343" s="1304"/>
      <c r="G343" s="1304"/>
      <c r="H343" s="1304"/>
      <c r="I343" s="1304"/>
      <c r="J343" s="1304"/>
      <c r="K343" s="1304"/>
      <c r="L343" s="1304"/>
      <c r="M343" s="1304"/>
      <c r="N343" s="1304"/>
      <c r="O343" s="1304"/>
      <c r="P343" s="1304"/>
      <c r="Q343" s="1304"/>
      <c r="R343" s="1304"/>
      <c r="S343" s="1304"/>
      <c r="T343" s="1304"/>
      <c r="U343" s="1304"/>
      <c r="V343" s="1304"/>
      <c r="W343" s="1304"/>
      <c r="X343" s="1304"/>
      <c r="Y343" s="1304"/>
      <c r="Z343" s="1304"/>
      <c r="AA343" s="1304"/>
      <c r="AB343" s="1304"/>
      <c r="AC343" s="1304"/>
      <c r="AD343" s="1304"/>
      <c r="AE343" s="1304"/>
    </row>
    <row r="344" ht="15.0" customHeight="1">
      <c r="A344" s="1304"/>
      <c r="B344" s="1304"/>
      <c r="C344" s="1304"/>
      <c r="D344" s="1304"/>
      <c r="E344" s="1304"/>
      <c r="F344" s="1304"/>
      <c r="G344" s="1304"/>
      <c r="H344" s="1304"/>
      <c r="I344" s="1304"/>
      <c r="J344" s="1304"/>
      <c r="K344" s="1304"/>
      <c r="L344" s="1304"/>
      <c r="M344" s="1304"/>
      <c r="N344" s="1304"/>
      <c r="O344" s="1304"/>
      <c r="P344" s="1304"/>
      <c r="Q344" s="1304"/>
      <c r="R344" s="1304"/>
      <c r="S344" s="1304"/>
      <c r="T344" s="1304"/>
      <c r="U344" s="1304"/>
      <c r="V344" s="1304"/>
      <c r="W344" s="1304"/>
      <c r="X344" s="1304"/>
      <c r="Y344" s="1304"/>
      <c r="Z344" s="1304"/>
      <c r="AA344" s="1304"/>
      <c r="AB344" s="1304"/>
      <c r="AC344" s="1304"/>
      <c r="AD344" s="1304"/>
      <c r="AE344" s="1304"/>
    </row>
    <row r="345" ht="15.0" customHeight="1">
      <c r="A345" s="1304"/>
      <c r="B345" s="1304"/>
      <c r="C345" s="1304"/>
      <c r="D345" s="1304"/>
      <c r="E345" s="1304"/>
      <c r="F345" s="1304"/>
      <c r="G345" s="1304"/>
      <c r="H345" s="1304"/>
      <c r="I345" s="1304"/>
      <c r="J345" s="1304"/>
      <c r="K345" s="1304"/>
      <c r="L345" s="1304"/>
      <c r="M345" s="1304"/>
      <c r="N345" s="1304"/>
      <c r="O345" s="1304"/>
      <c r="P345" s="1304"/>
      <c r="Q345" s="1304"/>
      <c r="R345" s="1304"/>
      <c r="S345" s="1304"/>
      <c r="T345" s="1304"/>
      <c r="U345" s="1304"/>
      <c r="V345" s="1304"/>
      <c r="W345" s="1304"/>
      <c r="X345" s="1304"/>
      <c r="Y345" s="1304"/>
      <c r="Z345" s="1304"/>
      <c r="AA345" s="1304"/>
      <c r="AB345" s="1304"/>
      <c r="AC345" s="1304"/>
      <c r="AD345" s="1304"/>
      <c r="AE345" s="1304"/>
    </row>
    <row r="346" ht="15.0" customHeight="1">
      <c r="A346" s="1304"/>
      <c r="B346" s="1304"/>
      <c r="C346" s="1304"/>
      <c r="D346" s="1304"/>
      <c r="E346" s="1304"/>
      <c r="F346" s="1304"/>
      <c r="G346" s="1304"/>
      <c r="H346" s="1304"/>
      <c r="I346" s="1304"/>
      <c r="J346" s="1304"/>
      <c r="K346" s="1304"/>
      <c r="L346" s="1304"/>
      <c r="M346" s="1304"/>
      <c r="N346" s="1304"/>
      <c r="O346" s="1304"/>
      <c r="P346" s="1304"/>
      <c r="Q346" s="1304"/>
      <c r="R346" s="1304"/>
      <c r="S346" s="1304"/>
      <c r="T346" s="1304"/>
      <c r="U346" s="1304"/>
      <c r="V346" s="1304"/>
      <c r="W346" s="1304"/>
      <c r="X346" s="1304"/>
      <c r="Y346" s="1304"/>
      <c r="Z346" s="1304"/>
      <c r="AA346" s="1304"/>
      <c r="AB346" s="1304"/>
      <c r="AC346" s="1304"/>
      <c r="AD346" s="1304"/>
      <c r="AE346" s="1304"/>
    </row>
    <row r="347" ht="15.0" customHeight="1">
      <c r="A347" s="1304"/>
      <c r="B347" s="1304"/>
      <c r="C347" s="1304"/>
      <c r="D347" s="1304"/>
      <c r="E347" s="1304"/>
      <c r="F347" s="1304"/>
      <c r="G347" s="1304"/>
      <c r="H347" s="1304"/>
      <c r="I347" s="1304"/>
      <c r="J347" s="1304"/>
      <c r="K347" s="1304"/>
      <c r="L347" s="1304"/>
      <c r="M347" s="1304"/>
      <c r="N347" s="1304"/>
      <c r="O347" s="1304"/>
      <c r="P347" s="1304"/>
      <c r="Q347" s="1304"/>
      <c r="R347" s="1304"/>
      <c r="S347" s="1304"/>
      <c r="T347" s="1304"/>
      <c r="U347" s="1304"/>
      <c r="V347" s="1304"/>
      <c r="W347" s="1304"/>
      <c r="X347" s="1304"/>
      <c r="Y347" s="1304"/>
      <c r="Z347" s="1304"/>
      <c r="AA347" s="1304"/>
      <c r="AB347" s="1304"/>
      <c r="AC347" s="1304"/>
      <c r="AD347" s="1304"/>
      <c r="AE347" s="1304"/>
    </row>
    <row r="348" ht="15.0" customHeight="1">
      <c r="A348" s="1304"/>
      <c r="B348" s="1304"/>
      <c r="C348" s="1304"/>
      <c r="D348" s="1304"/>
      <c r="E348" s="1304"/>
      <c r="F348" s="1304"/>
      <c r="G348" s="1304"/>
      <c r="H348" s="1304"/>
      <c r="I348" s="1304"/>
      <c r="J348" s="1304"/>
      <c r="K348" s="1304"/>
      <c r="L348" s="1304"/>
      <c r="M348" s="1304"/>
      <c r="N348" s="1304"/>
      <c r="O348" s="1304"/>
      <c r="P348" s="1304"/>
      <c r="Q348" s="1304"/>
      <c r="R348" s="1304"/>
      <c r="S348" s="1304"/>
      <c r="T348" s="1304"/>
      <c r="U348" s="1304"/>
      <c r="V348" s="1304"/>
      <c r="W348" s="1304"/>
      <c r="X348" s="1304"/>
      <c r="Y348" s="1304"/>
      <c r="Z348" s="1304"/>
      <c r="AA348" s="1304"/>
      <c r="AB348" s="1304"/>
      <c r="AC348" s="1304"/>
      <c r="AD348" s="1304"/>
      <c r="AE348" s="1304"/>
    </row>
    <row r="349" ht="15.0" customHeight="1">
      <c r="A349" s="1304"/>
      <c r="B349" s="1304"/>
      <c r="C349" s="1304"/>
      <c r="D349" s="1304"/>
      <c r="E349" s="1304"/>
      <c r="F349" s="1304"/>
      <c r="G349" s="1304"/>
      <c r="H349" s="1304"/>
      <c r="I349" s="1304"/>
      <c r="J349" s="1304"/>
      <c r="K349" s="1304"/>
      <c r="L349" s="1304"/>
      <c r="M349" s="1304"/>
      <c r="N349" s="1304"/>
      <c r="O349" s="1304"/>
      <c r="P349" s="1304"/>
      <c r="Q349" s="1304"/>
      <c r="R349" s="1304"/>
      <c r="S349" s="1304"/>
      <c r="T349" s="1304"/>
      <c r="U349" s="1304"/>
      <c r="V349" s="1304"/>
      <c r="W349" s="1304"/>
      <c r="X349" s="1304"/>
      <c r="Y349" s="1304"/>
      <c r="Z349" s="1304"/>
      <c r="AA349" s="1304"/>
      <c r="AB349" s="1304"/>
      <c r="AC349" s="1304"/>
      <c r="AD349" s="1304"/>
      <c r="AE349" s="1304"/>
    </row>
    <row r="350" ht="15.0" customHeight="1">
      <c r="A350" s="1304"/>
      <c r="B350" s="1304"/>
      <c r="C350" s="1304"/>
      <c r="D350" s="1304"/>
      <c r="E350" s="1304"/>
      <c r="F350" s="1304"/>
      <c r="G350" s="1304"/>
      <c r="H350" s="1304"/>
      <c r="I350" s="1304"/>
      <c r="J350" s="1304"/>
      <c r="K350" s="1304"/>
      <c r="L350" s="1304"/>
      <c r="M350" s="1304"/>
      <c r="N350" s="1304"/>
      <c r="O350" s="1304"/>
      <c r="P350" s="1304"/>
      <c r="Q350" s="1304"/>
      <c r="R350" s="1304"/>
      <c r="S350" s="1304"/>
      <c r="T350" s="1304"/>
      <c r="U350" s="1304"/>
      <c r="V350" s="1304"/>
      <c r="W350" s="1304"/>
      <c r="X350" s="1304"/>
      <c r="Y350" s="1304"/>
      <c r="Z350" s="1304"/>
      <c r="AA350" s="1304"/>
      <c r="AB350" s="1304"/>
      <c r="AC350" s="1304"/>
      <c r="AD350" s="1304"/>
      <c r="AE350" s="1304"/>
    </row>
    <row r="351" ht="15.0" customHeight="1">
      <c r="A351" s="1304"/>
      <c r="B351" s="1304"/>
      <c r="C351" s="1304"/>
      <c r="D351" s="1304"/>
      <c r="E351" s="1304"/>
      <c r="F351" s="1304"/>
      <c r="G351" s="1304"/>
      <c r="H351" s="1304"/>
      <c r="I351" s="1304"/>
      <c r="J351" s="1304"/>
      <c r="K351" s="1304"/>
      <c r="L351" s="1304"/>
      <c r="M351" s="1304"/>
      <c r="N351" s="1304"/>
      <c r="O351" s="1304"/>
      <c r="P351" s="1304"/>
      <c r="Q351" s="1304"/>
      <c r="R351" s="1304"/>
      <c r="S351" s="1304"/>
      <c r="T351" s="1304"/>
      <c r="U351" s="1304"/>
      <c r="V351" s="1304"/>
      <c r="W351" s="1304"/>
      <c r="X351" s="1304"/>
      <c r="Y351" s="1304"/>
      <c r="Z351" s="1304"/>
      <c r="AA351" s="1304"/>
      <c r="AB351" s="1304"/>
      <c r="AC351" s="1304"/>
      <c r="AD351" s="1304"/>
      <c r="AE351" s="1304"/>
    </row>
    <row r="352" ht="15.0" customHeight="1">
      <c r="A352" s="1304"/>
      <c r="B352" s="1304"/>
      <c r="C352" s="1304"/>
      <c r="D352" s="1304"/>
      <c r="E352" s="1304"/>
      <c r="F352" s="1304"/>
      <c r="G352" s="1304"/>
      <c r="H352" s="1304"/>
      <c r="I352" s="1304"/>
      <c r="J352" s="1304"/>
      <c r="K352" s="1304"/>
      <c r="L352" s="1304"/>
      <c r="M352" s="1304"/>
      <c r="N352" s="1304"/>
      <c r="O352" s="1304"/>
      <c r="P352" s="1304"/>
      <c r="Q352" s="1304"/>
      <c r="R352" s="1304"/>
      <c r="S352" s="1304"/>
      <c r="T352" s="1304"/>
      <c r="U352" s="1304"/>
      <c r="V352" s="1304"/>
      <c r="W352" s="1304"/>
      <c r="X352" s="1304"/>
      <c r="Y352" s="1304"/>
      <c r="Z352" s="1304"/>
      <c r="AA352" s="1304"/>
      <c r="AB352" s="1304"/>
      <c r="AC352" s="1304"/>
      <c r="AD352" s="1304"/>
      <c r="AE352" s="1304"/>
    </row>
    <row r="353" ht="15.0" customHeight="1">
      <c r="A353" s="1304"/>
      <c r="B353" s="1304"/>
      <c r="C353" s="1304"/>
      <c r="D353" s="1304"/>
      <c r="E353" s="1304"/>
      <c r="F353" s="1304"/>
      <c r="G353" s="1304"/>
      <c r="H353" s="1304"/>
      <c r="I353" s="1304"/>
      <c r="J353" s="1304"/>
      <c r="K353" s="1304"/>
      <c r="L353" s="1304"/>
      <c r="M353" s="1304"/>
      <c r="N353" s="1304"/>
      <c r="O353" s="1304"/>
      <c r="P353" s="1304"/>
      <c r="Q353" s="1304"/>
      <c r="R353" s="1304"/>
      <c r="S353" s="1304"/>
      <c r="T353" s="1304"/>
      <c r="U353" s="1304"/>
      <c r="V353" s="1304"/>
      <c r="W353" s="1304"/>
      <c r="X353" s="1304"/>
      <c r="Y353" s="1304"/>
      <c r="Z353" s="1304"/>
      <c r="AA353" s="1304"/>
      <c r="AB353" s="1304"/>
      <c r="AC353" s="1304"/>
      <c r="AD353" s="1304"/>
      <c r="AE353" s="1304"/>
    </row>
    <row r="354" ht="15.0" customHeight="1">
      <c r="A354" s="1304"/>
      <c r="B354" s="1304"/>
      <c r="C354" s="1304"/>
      <c r="D354" s="1304"/>
      <c r="E354" s="1304"/>
      <c r="F354" s="1304"/>
      <c r="G354" s="1304"/>
      <c r="H354" s="1304"/>
      <c r="I354" s="1304"/>
      <c r="J354" s="1304"/>
      <c r="K354" s="1304"/>
      <c r="L354" s="1304"/>
      <c r="M354" s="1304"/>
      <c r="N354" s="1304"/>
      <c r="O354" s="1304"/>
      <c r="P354" s="1304"/>
      <c r="Q354" s="1304"/>
      <c r="R354" s="1304"/>
      <c r="S354" s="1304"/>
      <c r="T354" s="1304"/>
      <c r="U354" s="1304"/>
      <c r="V354" s="1304"/>
      <c r="W354" s="1304"/>
      <c r="X354" s="1304"/>
      <c r="Y354" s="1304"/>
      <c r="Z354" s="1304"/>
      <c r="AA354" s="1304"/>
      <c r="AB354" s="1304"/>
      <c r="AC354" s="1304"/>
      <c r="AD354" s="1304"/>
      <c r="AE354" s="1304"/>
    </row>
    <row r="355" ht="15.0" customHeight="1">
      <c r="A355" s="1304"/>
      <c r="B355" s="1304"/>
      <c r="C355" s="1304"/>
      <c r="D355" s="1304"/>
      <c r="E355" s="1304"/>
      <c r="F355" s="1304"/>
      <c r="G355" s="1304"/>
      <c r="H355" s="1304"/>
      <c r="I355" s="1304"/>
      <c r="J355" s="1304"/>
      <c r="K355" s="1304"/>
      <c r="L355" s="1304"/>
      <c r="M355" s="1304"/>
      <c r="N355" s="1304"/>
      <c r="O355" s="1304"/>
      <c r="P355" s="1304"/>
      <c r="Q355" s="1304"/>
      <c r="R355" s="1304"/>
      <c r="S355" s="1304"/>
      <c r="T355" s="1304"/>
      <c r="U355" s="1304"/>
      <c r="V355" s="1304"/>
      <c r="W355" s="1304"/>
      <c r="X355" s="1304"/>
      <c r="Y355" s="1304"/>
      <c r="Z355" s="1304"/>
      <c r="AA355" s="1304"/>
      <c r="AB355" s="1304"/>
      <c r="AC355" s="1304"/>
      <c r="AD355" s="1304"/>
      <c r="AE355" s="1304"/>
    </row>
    <row r="356" ht="15.0" customHeight="1">
      <c r="A356" s="1304"/>
      <c r="B356" s="1304"/>
      <c r="C356" s="1304"/>
      <c r="D356" s="1304"/>
      <c r="E356" s="1304"/>
      <c r="F356" s="1304"/>
      <c r="G356" s="1304"/>
      <c r="H356" s="1304"/>
      <c r="I356" s="1304"/>
      <c r="J356" s="1304"/>
      <c r="K356" s="1304"/>
      <c r="L356" s="1304"/>
      <c r="M356" s="1304"/>
      <c r="N356" s="1304"/>
      <c r="O356" s="1304"/>
      <c r="P356" s="1304"/>
      <c r="Q356" s="1304"/>
      <c r="R356" s="1304"/>
      <c r="S356" s="1304"/>
      <c r="T356" s="1304"/>
      <c r="U356" s="1304"/>
      <c r="V356" s="1304"/>
      <c r="W356" s="1304"/>
      <c r="X356" s="1304"/>
      <c r="Y356" s="1304"/>
      <c r="Z356" s="1304"/>
      <c r="AA356" s="1304"/>
      <c r="AB356" s="1304"/>
      <c r="AC356" s="1304"/>
      <c r="AD356" s="1304"/>
      <c r="AE356" s="1304"/>
    </row>
    <row r="357" ht="15.0" customHeight="1">
      <c r="A357" s="1304"/>
      <c r="B357" s="1304"/>
      <c r="C357" s="1304"/>
      <c r="D357" s="1304"/>
      <c r="E357" s="1304"/>
      <c r="F357" s="1304"/>
      <c r="G357" s="1304"/>
      <c r="H357" s="1304"/>
      <c r="I357" s="1304"/>
      <c r="J357" s="1304"/>
      <c r="K357" s="1304"/>
      <c r="L357" s="1304"/>
      <c r="M357" s="1304"/>
      <c r="N357" s="1304"/>
      <c r="O357" s="1304"/>
      <c r="P357" s="1304"/>
      <c r="Q357" s="1304"/>
      <c r="R357" s="1304"/>
      <c r="S357" s="1304"/>
      <c r="T357" s="1304"/>
      <c r="U357" s="1304"/>
      <c r="V357" s="1304"/>
      <c r="W357" s="1304"/>
      <c r="X357" s="1304"/>
      <c r="Y357" s="1304"/>
      <c r="Z357" s="1304"/>
      <c r="AA357" s="1304"/>
      <c r="AB357" s="1304"/>
      <c r="AC357" s="1304"/>
      <c r="AD357" s="1304"/>
      <c r="AE357" s="1304"/>
    </row>
    <row r="358" ht="15.0" customHeight="1">
      <c r="A358" s="1304"/>
      <c r="B358" s="1304"/>
      <c r="C358" s="1304"/>
      <c r="D358" s="1304"/>
      <c r="E358" s="1304"/>
      <c r="F358" s="1304"/>
      <c r="G358" s="1304"/>
      <c r="H358" s="1304"/>
      <c r="I358" s="1304"/>
      <c r="J358" s="1304"/>
      <c r="K358" s="1304"/>
      <c r="L358" s="1304"/>
      <c r="M358" s="1304"/>
      <c r="N358" s="1304"/>
      <c r="O358" s="1304"/>
      <c r="P358" s="1304"/>
      <c r="Q358" s="1304"/>
      <c r="R358" s="1304"/>
      <c r="S358" s="1304"/>
      <c r="T358" s="1304"/>
      <c r="U358" s="1304"/>
      <c r="V358" s="1304"/>
      <c r="W358" s="1304"/>
      <c r="X358" s="1304"/>
      <c r="Y358" s="1304"/>
      <c r="Z358" s="1304"/>
      <c r="AA358" s="1304"/>
      <c r="AB358" s="1304"/>
      <c r="AC358" s="1304"/>
      <c r="AD358" s="1304"/>
      <c r="AE358" s="1304"/>
    </row>
    <row r="359" ht="15.0" customHeight="1">
      <c r="A359" s="1304"/>
      <c r="B359" s="1304"/>
      <c r="C359" s="1304"/>
      <c r="D359" s="1304"/>
      <c r="E359" s="1304"/>
      <c r="F359" s="1304"/>
      <c r="G359" s="1304"/>
      <c r="H359" s="1304"/>
      <c r="I359" s="1304"/>
      <c r="J359" s="1304"/>
      <c r="K359" s="1304"/>
      <c r="L359" s="1304"/>
      <c r="M359" s="1304"/>
      <c r="N359" s="1304"/>
      <c r="O359" s="1304"/>
      <c r="P359" s="1304"/>
      <c r="Q359" s="1304"/>
      <c r="R359" s="1304"/>
      <c r="S359" s="1304"/>
      <c r="T359" s="1304"/>
      <c r="U359" s="1304"/>
      <c r="V359" s="1304"/>
      <c r="W359" s="1304"/>
      <c r="X359" s="1304"/>
      <c r="Y359" s="1304"/>
      <c r="Z359" s="1304"/>
      <c r="AA359" s="1304"/>
      <c r="AB359" s="1304"/>
      <c r="AC359" s="1304"/>
      <c r="AD359" s="1304"/>
      <c r="AE359" s="1304"/>
    </row>
    <row r="360" ht="15.0" customHeight="1">
      <c r="A360" s="1304"/>
      <c r="B360" s="1304"/>
      <c r="C360" s="1304"/>
      <c r="D360" s="1304"/>
      <c r="E360" s="1304"/>
      <c r="F360" s="1304"/>
      <c r="G360" s="1304"/>
      <c r="H360" s="1304"/>
      <c r="I360" s="1304"/>
      <c r="J360" s="1304"/>
      <c r="K360" s="1304"/>
      <c r="L360" s="1304"/>
      <c r="M360" s="1304"/>
      <c r="N360" s="1304"/>
      <c r="O360" s="1304"/>
      <c r="P360" s="1304"/>
      <c r="Q360" s="1304"/>
      <c r="R360" s="1304"/>
      <c r="S360" s="1304"/>
      <c r="T360" s="1304"/>
      <c r="U360" s="1304"/>
      <c r="V360" s="1304"/>
      <c r="W360" s="1304"/>
      <c r="X360" s="1304"/>
      <c r="Y360" s="1304"/>
      <c r="Z360" s="1304"/>
      <c r="AA360" s="1304"/>
      <c r="AB360" s="1304"/>
      <c r="AC360" s="1304"/>
      <c r="AD360" s="1304"/>
      <c r="AE360" s="1304"/>
    </row>
    <row r="361" ht="15.0" customHeight="1">
      <c r="A361" s="1304"/>
      <c r="B361" s="1304"/>
      <c r="C361" s="1304"/>
      <c r="D361" s="1304"/>
      <c r="E361" s="1304"/>
      <c r="F361" s="1304"/>
      <c r="G361" s="1304"/>
      <c r="H361" s="1304"/>
      <c r="I361" s="1304"/>
      <c r="J361" s="1304"/>
      <c r="K361" s="1304"/>
      <c r="L361" s="1304"/>
      <c r="M361" s="1304"/>
      <c r="N361" s="1304"/>
      <c r="O361" s="1304"/>
      <c r="P361" s="1304"/>
      <c r="Q361" s="1304"/>
      <c r="R361" s="1304"/>
      <c r="S361" s="1304"/>
      <c r="T361" s="1304"/>
      <c r="U361" s="1304"/>
      <c r="V361" s="1304"/>
      <c r="W361" s="1304"/>
      <c r="X361" s="1304"/>
      <c r="Y361" s="1304"/>
      <c r="Z361" s="1304"/>
      <c r="AA361" s="1304"/>
      <c r="AB361" s="1304"/>
      <c r="AC361" s="1304"/>
      <c r="AD361" s="1304"/>
      <c r="AE361" s="1304"/>
    </row>
    <row r="362" ht="15.0" customHeight="1">
      <c r="A362" s="1304"/>
      <c r="B362" s="1304"/>
      <c r="C362" s="1304"/>
      <c r="D362" s="1304"/>
      <c r="E362" s="1304"/>
      <c r="F362" s="1304"/>
      <c r="G362" s="1304"/>
      <c r="H362" s="1304"/>
      <c r="I362" s="1304"/>
      <c r="J362" s="1304"/>
      <c r="K362" s="1304"/>
      <c r="L362" s="1304"/>
      <c r="M362" s="1304"/>
      <c r="N362" s="1304"/>
      <c r="O362" s="1304"/>
      <c r="P362" s="1304"/>
      <c r="Q362" s="1304"/>
      <c r="R362" s="1304"/>
      <c r="S362" s="1304"/>
      <c r="T362" s="1304"/>
      <c r="U362" s="1304"/>
      <c r="V362" s="1304"/>
      <c r="W362" s="1304"/>
      <c r="X362" s="1304"/>
      <c r="Y362" s="1304"/>
      <c r="Z362" s="1304"/>
      <c r="AA362" s="1304"/>
      <c r="AB362" s="1304"/>
      <c r="AC362" s="1304"/>
      <c r="AD362" s="1304"/>
      <c r="AE362" s="1304"/>
    </row>
    <row r="363" ht="15.0" customHeight="1">
      <c r="A363" s="1304"/>
      <c r="B363" s="1304"/>
      <c r="C363" s="1304"/>
      <c r="D363" s="1304"/>
      <c r="E363" s="1304"/>
      <c r="F363" s="1304"/>
      <c r="G363" s="1304"/>
      <c r="H363" s="1304"/>
      <c r="I363" s="1304"/>
      <c r="J363" s="1304"/>
      <c r="K363" s="1304"/>
      <c r="L363" s="1304"/>
      <c r="M363" s="1304"/>
      <c r="N363" s="1304"/>
      <c r="O363" s="1304"/>
      <c r="P363" s="1304"/>
      <c r="Q363" s="1304"/>
      <c r="R363" s="1304"/>
      <c r="S363" s="1304"/>
      <c r="T363" s="1304"/>
      <c r="U363" s="1304"/>
      <c r="V363" s="1304"/>
      <c r="W363" s="1304"/>
      <c r="X363" s="1304"/>
      <c r="Y363" s="1304"/>
      <c r="Z363" s="1304"/>
      <c r="AA363" s="1304"/>
      <c r="AB363" s="1304"/>
      <c r="AC363" s="1304"/>
      <c r="AD363" s="1304"/>
      <c r="AE363" s="1304"/>
    </row>
    <row r="364" ht="15.0" customHeight="1">
      <c r="A364" s="1304"/>
      <c r="B364" s="1304"/>
      <c r="C364" s="1304"/>
      <c r="D364" s="1304"/>
      <c r="E364" s="1304"/>
      <c r="F364" s="1304"/>
      <c r="G364" s="1304"/>
      <c r="H364" s="1304"/>
      <c r="I364" s="1304"/>
      <c r="J364" s="1304"/>
      <c r="K364" s="1304"/>
      <c r="L364" s="1304"/>
      <c r="M364" s="1304"/>
      <c r="N364" s="1304"/>
      <c r="O364" s="1304"/>
      <c r="P364" s="1304"/>
      <c r="Q364" s="1304"/>
      <c r="R364" s="1304"/>
      <c r="S364" s="1304"/>
      <c r="T364" s="1304"/>
      <c r="U364" s="1304"/>
      <c r="V364" s="1304"/>
      <c r="W364" s="1304"/>
      <c r="X364" s="1304"/>
      <c r="Y364" s="1304"/>
      <c r="Z364" s="1304"/>
      <c r="AA364" s="1304"/>
      <c r="AB364" s="1304"/>
      <c r="AC364" s="1304"/>
      <c r="AD364" s="1304"/>
      <c r="AE364" s="1304"/>
    </row>
    <row r="365" ht="15.0" customHeight="1">
      <c r="A365" s="1304"/>
      <c r="B365" s="1304"/>
      <c r="C365" s="1304"/>
      <c r="D365" s="1304"/>
      <c r="E365" s="1304"/>
      <c r="F365" s="1304"/>
      <c r="G365" s="1304"/>
      <c r="H365" s="1304"/>
      <c r="I365" s="1304"/>
      <c r="J365" s="1304"/>
      <c r="K365" s="1304"/>
      <c r="L365" s="1304"/>
      <c r="M365" s="1304"/>
      <c r="N365" s="1304"/>
      <c r="O365" s="1304"/>
      <c r="P365" s="1304"/>
      <c r="Q365" s="1304"/>
      <c r="R365" s="1304"/>
      <c r="S365" s="1304"/>
      <c r="T365" s="1304"/>
      <c r="U365" s="1304"/>
      <c r="V365" s="1304"/>
      <c r="W365" s="1304"/>
      <c r="X365" s="1304"/>
      <c r="Y365" s="1304"/>
      <c r="Z365" s="1304"/>
      <c r="AA365" s="1304"/>
      <c r="AB365" s="1304"/>
      <c r="AC365" s="1304"/>
      <c r="AD365" s="1304"/>
      <c r="AE365" s="1304"/>
    </row>
    <row r="366" ht="15.0" customHeight="1">
      <c r="A366" s="1304"/>
      <c r="B366" s="1304"/>
      <c r="C366" s="1304"/>
      <c r="D366" s="1304"/>
      <c r="E366" s="1304"/>
      <c r="F366" s="1304"/>
      <c r="G366" s="1304"/>
      <c r="H366" s="1304"/>
      <c r="I366" s="1304"/>
      <c r="J366" s="1304"/>
      <c r="K366" s="1304"/>
      <c r="L366" s="1304"/>
      <c r="M366" s="1304"/>
      <c r="N366" s="1304"/>
      <c r="O366" s="1304"/>
      <c r="P366" s="1304"/>
      <c r="Q366" s="1304"/>
      <c r="R366" s="1304"/>
      <c r="S366" s="1304"/>
      <c r="T366" s="1304"/>
      <c r="U366" s="1304"/>
      <c r="V366" s="1304"/>
      <c r="W366" s="1304"/>
      <c r="X366" s="1304"/>
      <c r="Y366" s="1304"/>
      <c r="Z366" s="1304"/>
      <c r="AA366" s="1304"/>
      <c r="AB366" s="1304"/>
      <c r="AC366" s="1304"/>
      <c r="AD366" s="1304"/>
      <c r="AE366" s="1304"/>
    </row>
    <row r="367" ht="15.0" customHeight="1">
      <c r="A367" s="1304"/>
      <c r="B367" s="1304"/>
      <c r="C367" s="1304"/>
      <c r="D367" s="1304"/>
      <c r="E367" s="1304"/>
      <c r="F367" s="1304"/>
      <c r="G367" s="1304"/>
      <c r="H367" s="1304"/>
      <c r="I367" s="1304"/>
      <c r="J367" s="1304"/>
      <c r="K367" s="1304"/>
      <c r="L367" s="1304"/>
      <c r="M367" s="1304"/>
      <c r="N367" s="1304"/>
      <c r="O367" s="1304"/>
      <c r="P367" s="1304"/>
      <c r="Q367" s="1304"/>
      <c r="R367" s="1304"/>
      <c r="S367" s="1304"/>
      <c r="T367" s="1304"/>
      <c r="U367" s="1304"/>
      <c r="V367" s="1304"/>
      <c r="W367" s="1304"/>
      <c r="X367" s="1304"/>
      <c r="Y367" s="1304"/>
      <c r="Z367" s="1304"/>
      <c r="AA367" s="1304"/>
      <c r="AB367" s="1304"/>
      <c r="AC367" s="1304"/>
      <c r="AD367" s="1304"/>
      <c r="AE367" s="1304"/>
    </row>
    <row r="368" ht="15.0" customHeight="1">
      <c r="A368" s="1304"/>
      <c r="B368" s="1304"/>
      <c r="C368" s="1304"/>
      <c r="D368" s="1304"/>
      <c r="E368" s="1304"/>
      <c r="F368" s="1304"/>
      <c r="G368" s="1304"/>
      <c r="H368" s="1304"/>
      <c r="I368" s="1304"/>
      <c r="J368" s="1304"/>
      <c r="K368" s="1304"/>
      <c r="L368" s="1304"/>
      <c r="M368" s="1304"/>
      <c r="N368" s="1304"/>
      <c r="O368" s="1304"/>
      <c r="P368" s="1304"/>
      <c r="Q368" s="1304"/>
      <c r="R368" s="1304"/>
      <c r="S368" s="1304"/>
      <c r="T368" s="1304"/>
      <c r="U368" s="1304"/>
      <c r="V368" s="1304"/>
      <c r="W368" s="1304"/>
      <c r="X368" s="1304"/>
      <c r="Y368" s="1304"/>
      <c r="Z368" s="1304"/>
      <c r="AA368" s="1304"/>
      <c r="AB368" s="1304"/>
      <c r="AC368" s="1304"/>
      <c r="AD368" s="1304"/>
      <c r="AE368" s="1304"/>
    </row>
    <row r="369" ht="15.0" customHeight="1">
      <c r="A369" s="1304"/>
      <c r="B369" s="1304"/>
      <c r="C369" s="1304"/>
      <c r="D369" s="1304"/>
      <c r="E369" s="1304"/>
      <c r="F369" s="1304"/>
      <c r="G369" s="1304"/>
      <c r="H369" s="1304"/>
      <c r="I369" s="1304"/>
      <c r="J369" s="1304"/>
      <c r="K369" s="1304"/>
      <c r="L369" s="1304"/>
      <c r="M369" s="1304"/>
      <c r="N369" s="1304"/>
      <c r="O369" s="1304"/>
      <c r="P369" s="1304"/>
      <c r="Q369" s="1304"/>
      <c r="R369" s="1304"/>
      <c r="S369" s="1304"/>
      <c r="T369" s="1304"/>
      <c r="U369" s="1304"/>
      <c r="V369" s="1304"/>
      <c r="W369" s="1304"/>
      <c r="X369" s="1304"/>
      <c r="Y369" s="1304"/>
      <c r="Z369" s="1304"/>
      <c r="AA369" s="1304"/>
      <c r="AB369" s="1304"/>
      <c r="AC369" s="1304"/>
      <c r="AD369" s="1304"/>
      <c r="AE369" s="1304"/>
    </row>
    <row r="370" ht="15.0" customHeight="1">
      <c r="A370" s="1304"/>
      <c r="B370" s="1304"/>
      <c r="C370" s="1304"/>
      <c r="D370" s="1304"/>
      <c r="E370" s="1304"/>
      <c r="F370" s="1304"/>
      <c r="G370" s="1304"/>
      <c r="H370" s="1304"/>
      <c r="I370" s="1304"/>
      <c r="J370" s="1304"/>
      <c r="K370" s="1304"/>
      <c r="L370" s="1304"/>
      <c r="M370" s="1304"/>
      <c r="N370" s="1304"/>
      <c r="O370" s="1304"/>
      <c r="P370" s="1304"/>
      <c r="Q370" s="1304"/>
      <c r="R370" s="1304"/>
      <c r="S370" s="1304"/>
      <c r="T370" s="1304"/>
      <c r="U370" s="1304"/>
      <c r="V370" s="1304"/>
      <c r="W370" s="1304"/>
      <c r="X370" s="1304"/>
      <c r="Y370" s="1304"/>
      <c r="Z370" s="1304"/>
      <c r="AA370" s="1304"/>
      <c r="AB370" s="1304"/>
      <c r="AC370" s="1304"/>
      <c r="AD370" s="1304"/>
      <c r="AE370" s="1304"/>
    </row>
    <row r="371" ht="15.0" customHeight="1">
      <c r="A371" s="1304"/>
      <c r="B371" s="1304"/>
      <c r="C371" s="1304"/>
      <c r="D371" s="1304"/>
      <c r="E371" s="1304"/>
      <c r="F371" s="1304"/>
      <c r="G371" s="1304"/>
      <c r="H371" s="1304"/>
      <c r="I371" s="1304"/>
      <c r="J371" s="1304"/>
      <c r="K371" s="1304"/>
      <c r="L371" s="1304"/>
      <c r="M371" s="1304"/>
      <c r="N371" s="1304"/>
      <c r="O371" s="1304"/>
      <c r="P371" s="1304"/>
      <c r="Q371" s="1304"/>
      <c r="R371" s="1304"/>
      <c r="S371" s="1304"/>
      <c r="T371" s="1304"/>
      <c r="U371" s="1304"/>
      <c r="V371" s="1304"/>
      <c r="W371" s="1304"/>
      <c r="X371" s="1304"/>
      <c r="Y371" s="1304"/>
      <c r="Z371" s="1304"/>
      <c r="AA371" s="1304"/>
      <c r="AB371" s="1304"/>
      <c r="AC371" s="1304"/>
      <c r="AD371" s="1304"/>
      <c r="AE371" s="1304"/>
    </row>
    <row r="372" ht="15.0" customHeight="1">
      <c r="A372" s="1304"/>
      <c r="B372" s="1304"/>
      <c r="C372" s="1304"/>
      <c r="D372" s="1304"/>
      <c r="E372" s="1304"/>
      <c r="F372" s="1304"/>
      <c r="G372" s="1304"/>
      <c r="H372" s="1304"/>
      <c r="I372" s="1304"/>
      <c r="J372" s="1304"/>
      <c r="K372" s="1304"/>
      <c r="L372" s="1304"/>
      <c r="M372" s="1304"/>
      <c r="N372" s="1304"/>
      <c r="O372" s="1304"/>
      <c r="P372" s="1304"/>
      <c r="Q372" s="1304"/>
      <c r="R372" s="1304"/>
      <c r="S372" s="1304"/>
      <c r="T372" s="1304"/>
      <c r="U372" s="1304"/>
      <c r="V372" s="1304"/>
      <c r="W372" s="1304"/>
      <c r="X372" s="1304"/>
      <c r="Y372" s="1304"/>
      <c r="Z372" s="1304"/>
      <c r="AA372" s="1304"/>
      <c r="AB372" s="1304"/>
      <c r="AC372" s="1304"/>
      <c r="AD372" s="1304"/>
      <c r="AE372" s="1304"/>
    </row>
    <row r="373" ht="15.0" customHeight="1">
      <c r="A373" s="1304"/>
      <c r="B373" s="1304"/>
      <c r="C373" s="1304"/>
      <c r="D373" s="1304"/>
      <c r="E373" s="1304"/>
      <c r="F373" s="1304"/>
      <c r="G373" s="1304"/>
      <c r="H373" s="1304"/>
      <c r="I373" s="1304"/>
      <c r="J373" s="1304"/>
      <c r="K373" s="1304"/>
      <c r="L373" s="1304"/>
      <c r="M373" s="1304"/>
      <c r="N373" s="1304"/>
      <c r="O373" s="1304"/>
      <c r="P373" s="1304"/>
      <c r="Q373" s="1304"/>
      <c r="R373" s="1304"/>
      <c r="S373" s="1304"/>
      <c r="T373" s="1304"/>
      <c r="U373" s="1304"/>
      <c r="V373" s="1304"/>
      <c r="W373" s="1304"/>
      <c r="X373" s="1304"/>
      <c r="Y373" s="1304"/>
      <c r="Z373" s="1304"/>
      <c r="AA373" s="1304"/>
      <c r="AB373" s="1304"/>
      <c r="AC373" s="1304"/>
      <c r="AD373" s="1304"/>
      <c r="AE373" s="1304"/>
    </row>
    <row r="374" ht="15.0" customHeight="1">
      <c r="A374" s="1304"/>
      <c r="B374" s="1304"/>
      <c r="C374" s="1304"/>
      <c r="D374" s="1304"/>
      <c r="E374" s="1304"/>
      <c r="F374" s="1304"/>
      <c r="G374" s="1304"/>
      <c r="H374" s="1304"/>
      <c r="I374" s="1304"/>
      <c r="J374" s="1304"/>
      <c r="K374" s="1304"/>
      <c r="L374" s="1304"/>
      <c r="M374" s="1304"/>
      <c r="N374" s="1304"/>
      <c r="O374" s="1304"/>
      <c r="P374" s="1304"/>
      <c r="Q374" s="1304"/>
      <c r="R374" s="1304"/>
      <c r="S374" s="1304"/>
      <c r="T374" s="1304"/>
      <c r="U374" s="1304"/>
      <c r="V374" s="1304"/>
      <c r="W374" s="1304"/>
      <c r="X374" s="1304"/>
      <c r="Y374" s="1304"/>
      <c r="Z374" s="1304"/>
      <c r="AA374" s="1304"/>
      <c r="AB374" s="1304"/>
      <c r="AC374" s="1304"/>
      <c r="AD374" s="1304"/>
      <c r="AE374" s="1304"/>
    </row>
    <row r="375" ht="15.0" customHeight="1">
      <c r="A375" s="1304"/>
      <c r="B375" s="1304"/>
      <c r="C375" s="1304"/>
      <c r="D375" s="1304"/>
      <c r="E375" s="1304"/>
      <c r="F375" s="1304"/>
      <c r="G375" s="1304"/>
      <c r="H375" s="1304"/>
      <c r="I375" s="1304"/>
      <c r="J375" s="1304"/>
      <c r="K375" s="1304"/>
      <c r="L375" s="1304"/>
      <c r="M375" s="1304"/>
      <c r="N375" s="1304"/>
      <c r="O375" s="1304"/>
      <c r="P375" s="1304"/>
      <c r="Q375" s="1304"/>
      <c r="R375" s="1304"/>
      <c r="S375" s="1304"/>
      <c r="T375" s="1304"/>
      <c r="U375" s="1304"/>
      <c r="V375" s="1304"/>
      <c r="W375" s="1304"/>
      <c r="X375" s="1304"/>
      <c r="Y375" s="1304"/>
      <c r="Z375" s="1304"/>
      <c r="AA375" s="1304"/>
      <c r="AB375" s="1304"/>
      <c r="AC375" s="1304"/>
      <c r="AD375" s="1304"/>
      <c r="AE375" s="1304"/>
    </row>
    <row r="376" ht="15.0" customHeight="1">
      <c r="A376" s="1304"/>
      <c r="B376" s="1304"/>
      <c r="C376" s="1304"/>
      <c r="D376" s="1304"/>
      <c r="E376" s="1304"/>
      <c r="F376" s="1304"/>
      <c r="G376" s="1304"/>
      <c r="H376" s="1304"/>
      <c r="I376" s="1304"/>
      <c r="J376" s="1304"/>
      <c r="K376" s="1304"/>
      <c r="L376" s="1304"/>
      <c r="M376" s="1304"/>
      <c r="N376" s="1304"/>
      <c r="O376" s="1304"/>
      <c r="P376" s="1304"/>
      <c r="Q376" s="1304"/>
      <c r="R376" s="1304"/>
      <c r="S376" s="1304"/>
      <c r="T376" s="1304"/>
      <c r="U376" s="1304"/>
      <c r="V376" s="1304"/>
      <c r="W376" s="1304"/>
      <c r="X376" s="1304"/>
      <c r="Y376" s="1304"/>
      <c r="Z376" s="1304"/>
      <c r="AA376" s="1304"/>
      <c r="AB376" s="1304"/>
      <c r="AC376" s="1304"/>
      <c r="AD376" s="1304"/>
      <c r="AE376" s="1304"/>
    </row>
    <row r="377" ht="15.0" customHeight="1">
      <c r="A377" s="1304"/>
      <c r="B377" s="1304"/>
      <c r="C377" s="1304"/>
      <c r="D377" s="1304"/>
      <c r="E377" s="1304"/>
      <c r="F377" s="1304"/>
      <c r="G377" s="1304"/>
      <c r="H377" s="1304"/>
      <c r="I377" s="1304"/>
      <c r="J377" s="1304"/>
      <c r="K377" s="1304"/>
      <c r="L377" s="1304"/>
      <c r="M377" s="1304"/>
      <c r="N377" s="1304"/>
      <c r="O377" s="1304"/>
      <c r="P377" s="1304"/>
      <c r="Q377" s="1304"/>
      <c r="R377" s="1304"/>
      <c r="S377" s="1304"/>
      <c r="T377" s="1304"/>
      <c r="U377" s="1304"/>
      <c r="V377" s="1304"/>
      <c r="W377" s="1304"/>
      <c r="X377" s="1304"/>
      <c r="Y377" s="1304"/>
      <c r="Z377" s="1304"/>
      <c r="AA377" s="1304"/>
      <c r="AB377" s="1304"/>
      <c r="AC377" s="1304"/>
      <c r="AD377" s="1304"/>
      <c r="AE377" s="1304"/>
    </row>
    <row r="378" ht="15.0" customHeight="1">
      <c r="A378" s="1304"/>
      <c r="B378" s="1304"/>
      <c r="C378" s="1304"/>
      <c r="D378" s="1304"/>
      <c r="E378" s="1304"/>
      <c r="F378" s="1304"/>
      <c r="G378" s="1304"/>
      <c r="H378" s="1304"/>
      <c r="I378" s="1304"/>
      <c r="J378" s="1304"/>
      <c r="K378" s="1304"/>
      <c r="L378" s="1304"/>
      <c r="M378" s="1304"/>
      <c r="N378" s="1304"/>
      <c r="O378" s="1304"/>
      <c r="P378" s="1304"/>
      <c r="Q378" s="1304"/>
      <c r="R378" s="1304"/>
      <c r="S378" s="1304"/>
      <c r="T378" s="1304"/>
      <c r="U378" s="1304"/>
      <c r="V378" s="1304"/>
      <c r="W378" s="1304"/>
      <c r="X378" s="1304"/>
      <c r="Y378" s="1304"/>
      <c r="Z378" s="1304"/>
      <c r="AA378" s="1304"/>
      <c r="AB378" s="1304"/>
      <c r="AC378" s="1304"/>
      <c r="AD378" s="1304"/>
      <c r="AE378" s="1304"/>
    </row>
    <row r="379" ht="15.0" customHeight="1">
      <c r="A379" s="1304"/>
      <c r="B379" s="1304"/>
      <c r="C379" s="1304"/>
      <c r="D379" s="1304"/>
      <c r="E379" s="1304"/>
      <c r="F379" s="1304"/>
      <c r="G379" s="1304"/>
      <c r="H379" s="1304"/>
      <c r="I379" s="1304"/>
      <c r="J379" s="1304"/>
      <c r="K379" s="1304"/>
      <c r="L379" s="1304"/>
      <c r="M379" s="1304"/>
      <c r="N379" s="1304"/>
      <c r="O379" s="1304"/>
      <c r="P379" s="1304"/>
      <c r="Q379" s="1304"/>
      <c r="R379" s="1304"/>
      <c r="S379" s="1304"/>
      <c r="T379" s="1304"/>
      <c r="U379" s="1304"/>
      <c r="V379" s="1304"/>
      <c r="W379" s="1304"/>
      <c r="X379" s="1304"/>
      <c r="Y379" s="1304"/>
      <c r="Z379" s="1304"/>
      <c r="AA379" s="1304"/>
      <c r="AB379" s="1304"/>
      <c r="AC379" s="1304"/>
      <c r="AD379" s="1304"/>
      <c r="AE379" s="1304"/>
    </row>
    <row r="380" ht="15.0" customHeight="1">
      <c r="A380" s="1304"/>
      <c r="B380" s="1304"/>
      <c r="C380" s="1304"/>
      <c r="D380" s="1304"/>
      <c r="E380" s="1304"/>
      <c r="F380" s="1304"/>
      <c r="G380" s="1304"/>
      <c r="H380" s="1304"/>
      <c r="I380" s="1304"/>
      <c r="J380" s="1304"/>
      <c r="K380" s="1304"/>
      <c r="L380" s="1304"/>
      <c r="M380" s="1304"/>
      <c r="N380" s="1304"/>
      <c r="O380" s="1304"/>
      <c r="P380" s="1304"/>
      <c r="Q380" s="1304"/>
      <c r="R380" s="1304"/>
      <c r="S380" s="1304"/>
      <c r="T380" s="1304"/>
      <c r="U380" s="1304"/>
      <c r="V380" s="1304"/>
      <c r="W380" s="1304"/>
      <c r="X380" s="1304"/>
      <c r="Y380" s="1304"/>
      <c r="Z380" s="1304"/>
      <c r="AA380" s="1304"/>
      <c r="AB380" s="1304"/>
      <c r="AC380" s="1304"/>
      <c r="AD380" s="1304"/>
      <c r="AE380" s="1304"/>
    </row>
    <row r="381" ht="15.0" customHeight="1">
      <c r="A381" s="1304"/>
      <c r="B381" s="1304"/>
      <c r="C381" s="1304"/>
      <c r="D381" s="1304"/>
      <c r="E381" s="1304"/>
      <c r="F381" s="1304"/>
      <c r="G381" s="1304"/>
      <c r="H381" s="1304"/>
      <c r="I381" s="1304"/>
      <c r="J381" s="1304"/>
      <c r="K381" s="1304"/>
      <c r="L381" s="1304"/>
      <c r="M381" s="1304"/>
      <c r="N381" s="1304"/>
      <c r="O381" s="1304"/>
      <c r="P381" s="1304"/>
      <c r="Q381" s="1304"/>
      <c r="R381" s="1304"/>
      <c r="S381" s="1304"/>
      <c r="T381" s="1304"/>
      <c r="U381" s="1304"/>
      <c r="V381" s="1304"/>
      <c r="W381" s="1304"/>
      <c r="X381" s="1304"/>
      <c r="Y381" s="1304"/>
      <c r="Z381" s="1304"/>
      <c r="AA381" s="1304"/>
      <c r="AB381" s="1304"/>
      <c r="AC381" s="1304"/>
      <c r="AD381" s="1304"/>
      <c r="AE381" s="1304"/>
    </row>
    <row r="382" ht="15.0" customHeight="1">
      <c r="A382" s="1304"/>
      <c r="B382" s="1304"/>
      <c r="C382" s="1304"/>
      <c r="D382" s="1304"/>
      <c r="E382" s="1304"/>
      <c r="F382" s="1304"/>
      <c r="G382" s="1304"/>
      <c r="H382" s="1304"/>
      <c r="I382" s="1304"/>
      <c r="J382" s="1304"/>
      <c r="K382" s="1304"/>
      <c r="L382" s="1304"/>
      <c r="M382" s="1304"/>
      <c r="N382" s="1304"/>
      <c r="O382" s="1304"/>
      <c r="P382" s="1304"/>
      <c r="Q382" s="1304"/>
      <c r="R382" s="1304"/>
      <c r="S382" s="1304"/>
      <c r="T382" s="1304"/>
      <c r="U382" s="1304"/>
      <c r="V382" s="1304"/>
      <c r="W382" s="1304"/>
      <c r="X382" s="1304"/>
      <c r="Y382" s="1304"/>
      <c r="Z382" s="1304"/>
      <c r="AA382" s="1304"/>
      <c r="AB382" s="1304"/>
      <c r="AC382" s="1304"/>
      <c r="AD382" s="1304"/>
      <c r="AE382" s="1304"/>
    </row>
    <row r="383" ht="15.0" customHeight="1">
      <c r="A383" s="1304"/>
      <c r="B383" s="1304"/>
      <c r="C383" s="1304"/>
      <c r="D383" s="1304"/>
      <c r="E383" s="1304"/>
      <c r="F383" s="1304"/>
      <c r="G383" s="1304"/>
      <c r="H383" s="1304"/>
      <c r="I383" s="1304"/>
      <c r="J383" s="1304"/>
      <c r="K383" s="1304"/>
      <c r="L383" s="1304"/>
      <c r="M383" s="1304"/>
      <c r="N383" s="1304"/>
      <c r="O383" s="1304"/>
      <c r="P383" s="1304"/>
      <c r="Q383" s="1304"/>
      <c r="R383" s="1304"/>
      <c r="S383" s="1304"/>
      <c r="T383" s="1304"/>
      <c r="U383" s="1304"/>
      <c r="V383" s="1304"/>
      <c r="W383" s="1304"/>
      <c r="X383" s="1304"/>
      <c r="Y383" s="1304"/>
      <c r="Z383" s="1304"/>
      <c r="AA383" s="1304"/>
      <c r="AB383" s="1304"/>
      <c r="AC383" s="1304"/>
      <c r="AD383" s="1304"/>
      <c r="AE383" s="1304"/>
    </row>
    <row r="384" ht="15.0" customHeight="1">
      <c r="A384" s="1304"/>
      <c r="B384" s="1304"/>
      <c r="C384" s="1304"/>
      <c r="D384" s="1304"/>
      <c r="E384" s="1304"/>
      <c r="F384" s="1304"/>
      <c r="G384" s="1304"/>
      <c r="H384" s="1304"/>
      <c r="I384" s="1304"/>
      <c r="J384" s="1304"/>
      <c r="K384" s="1304"/>
      <c r="L384" s="1304"/>
      <c r="M384" s="1304"/>
      <c r="N384" s="1304"/>
      <c r="O384" s="1304"/>
      <c r="P384" s="1304"/>
      <c r="Q384" s="1304"/>
      <c r="R384" s="1304"/>
      <c r="S384" s="1304"/>
      <c r="T384" s="1304"/>
      <c r="U384" s="1304"/>
      <c r="V384" s="1304"/>
      <c r="W384" s="1304"/>
      <c r="X384" s="1304"/>
      <c r="Y384" s="1304"/>
      <c r="Z384" s="1304"/>
      <c r="AA384" s="1304"/>
      <c r="AB384" s="1304"/>
      <c r="AC384" s="1304"/>
      <c r="AD384" s="1304"/>
      <c r="AE384" s="1304"/>
    </row>
    <row r="385" ht="15.0" customHeight="1">
      <c r="A385" s="1304"/>
      <c r="B385" s="1304"/>
      <c r="C385" s="1304"/>
      <c r="D385" s="1304"/>
      <c r="E385" s="1304"/>
      <c r="F385" s="1304"/>
      <c r="G385" s="1304"/>
      <c r="H385" s="1304"/>
      <c r="I385" s="1304"/>
      <c r="J385" s="1304"/>
      <c r="K385" s="1304"/>
      <c r="L385" s="1304"/>
      <c r="M385" s="1304"/>
      <c r="N385" s="1304"/>
      <c r="O385" s="1304"/>
      <c r="P385" s="1304"/>
      <c r="Q385" s="1304"/>
      <c r="R385" s="1304"/>
      <c r="S385" s="1304"/>
      <c r="T385" s="1304"/>
      <c r="U385" s="1304"/>
      <c r="V385" s="1304"/>
      <c r="W385" s="1304"/>
      <c r="X385" s="1304"/>
      <c r="Y385" s="1304"/>
      <c r="Z385" s="1304"/>
      <c r="AA385" s="1304"/>
      <c r="AB385" s="1304"/>
      <c r="AC385" s="1304"/>
      <c r="AD385" s="1304"/>
      <c r="AE385" s="1304"/>
    </row>
    <row r="386" ht="15.0" customHeight="1">
      <c r="A386" s="1304"/>
      <c r="B386" s="1304"/>
      <c r="C386" s="1304"/>
      <c r="D386" s="1304"/>
      <c r="E386" s="1304"/>
      <c r="F386" s="1304"/>
      <c r="G386" s="1304"/>
      <c r="H386" s="1304"/>
      <c r="I386" s="1304"/>
      <c r="J386" s="1304"/>
      <c r="K386" s="1304"/>
      <c r="L386" s="1304"/>
      <c r="M386" s="1304"/>
      <c r="N386" s="1304"/>
      <c r="O386" s="1304"/>
      <c r="P386" s="1304"/>
      <c r="Q386" s="1304"/>
      <c r="R386" s="1304"/>
      <c r="S386" s="1304"/>
      <c r="T386" s="1304"/>
      <c r="U386" s="1304"/>
      <c r="V386" s="1304"/>
      <c r="W386" s="1304"/>
      <c r="X386" s="1304"/>
      <c r="Y386" s="1304"/>
      <c r="Z386" s="1304"/>
      <c r="AA386" s="1304"/>
      <c r="AB386" s="1304"/>
      <c r="AC386" s="1304"/>
      <c r="AD386" s="1304"/>
      <c r="AE386" s="1304"/>
    </row>
    <row r="387" ht="15.0" customHeight="1">
      <c r="A387" s="1304"/>
      <c r="B387" s="1304"/>
      <c r="C387" s="1304"/>
      <c r="D387" s="1304"/>
      <c r="E387" s="1304"/>
      <c r="F387" s="1304"/>
      <c r="G387" s="1304"/>
      <c r="H387" s="1304"/>
      <c r="I387" s="1304"/>
      <c r="J387" s="1304"/>
      <c r="K387" s="1304"/>
      <c r="L387" s="1304"/>
      <c r="M387" s="1304"/>
      <c r="N387" s="1304"/>
      <c r="O387" s="1304"/>
      <c r="P387" s="1304"/>
      <c r="Q387" s="1304"/>
      <c r="R387" s="1304"/>
      <c r="S387" s="1304"/>
      <c r="T387" s="1304"/>
      <c r="U387" s="1304"/>
      <c r="V387" s="1304"/>
      <c r="W387" s="1304"/>
      <c r="X387" s="1304"/>
      <c r="Y387" s="1304"/>
      <c r="Z387" s="1304"/>
      <c r="AA387" s="1304"/>
      <c r="AB387" s="1304"/>
      <c r="AC387" s="1304"/>
      <c r="AD387" s="1304"/>
      <c r="AE387" s="1304"/>
    </row>
    <row r="388" ht="15.0" customHeight="1">
      <c r="A388" s="1304"/>
      <c r="B388" s="1304"/>
      <c r="C388" s="1304"/>
      <c r="D388" s="1304"/>
      <c r="E388" s="1304"/>
      <c r="F388" s="1304"/>
      <c r="G388" s="1304"/>
      <c r="H388" s="1304"/>
      <c r="I388" s="1304"/>
      <c r="J388" s="1304"/>
      <c r="K388" s="1304"/>
      <c r="L388" s="1304"/>
      <c r="M388" s="1304"/>
      <c r="N388" s="1304"/>
      <c r="O388" s="1304"/>
      <c r="P388" s="1304"/>
      <c r="Q388" s="1304"/>
      <c r="R388" s="1304"/>
      <c r="S388" s="1304"/>
      <c r="T388" s="1304"/>
      <c r="U388" s="1304"/>
      <c r="V388" s="1304"/>
      <c r="W388" s="1304"/>
      <c r="X388" s="1304"/>
      <c r="Y388" s="1304"/>
      <c r="Z388" s="1304"/>
      <c r="AA388" s="1304"/>
      <c r="AB388" s="1304"/>
      <c r="AC388" s="1304"/>
      <c r="AD388" s="1304"/>
      <c r="AE388" s="1304"/>
    </row>
    <row r="389" ht="15.0" customHeight="1">
      <c r="A389" s="1304"/>
      <c r="B389" s="1304"/>
      <c r="C389" s="1304"/>
      <c r="D389" s="1304"/>
      <c r="E389" s="1304"/>
      <c r="F389" s="1304"/>
      <c r="G389" s="1304"/>
      <c r="H389" s="1304"/>
      <c r="I389" s="1304"/>
      <c r="J389" s="1304"/>
      <c r="K389" s="1304"/>
      <c r="L389" s="1304"/>
      <c r="M389" s="1304"/>
      <c r="N389" s="1304"/>
      <c r="O389" s="1304"/>
      <c r="P389" s="1304"/>
      <c r="Q389" s="1304"/>
      <c r="R389" s="1304"/>
      <c r="S389" s="1304"/>
      <c r="T389" s="1304"/>
      <c r="U389" s="1304"/>
      <c r="V389" s="1304"/>
      <c r="W389" s="1304"/>
      <c r="X389" s="1304"/>
      <c r="Y389" s="1304"/>
      <c r="Z389" s="1304"/>
      <c r="AA389" s="1304"/>
      <c r="AB389" s="1304"/>
      <c r="AC389" s="1304"/>
      <c r="AD389" s="1304"/>
      <c r="AE389" s="1304"/>
    </row>
    <row r="390" ht="15.0" customHeight="1">
      <c r="A390" s="1304"/>
      <c r="B390" s="1304"/>
      <c r="C390" s="1304"/>
      <c r="D390" s="1304"/>
      <c r="E390" s="1304"/>
      <c r="F390" s="1304"/>
      <c r="G390" s="1304"/>
      <c r="H390" s="1304"/>
      <c r="I390" s="1304"/>
      <c r="J390" s="1304"/>
      <c r="K390" s="1304"/>
      <c r="L390" s="1304"/>
      <c r="M390" s="1304"/>
      <c r="N390" s="1304"/>
      <c r="O390" s="1304"/>
      <c r="P390" s="1304"/>
      <c r="Q390" s="1304"/>
      <c r="R390" s="1304"/>
      <c r="S390" s="1304"/>
      <c r="T390" s="1304"/>
      <c r="U390" s="1304"/>
      <c r="V390" s="1304"/>
      <c r="W390" s="1304"/>
      <c r="X390" s="1304"/>
      <c r="Y390" s="1304"/>
      <c r="Z390" s="1304"/>
      <c r="AA390" s="1304"/>
      <c r="AB390" s="1304"/>
      <c r="AC390" s="1304"/>
      <c r="AD390" s="1304"/>
      <c r="AE390" s="1304"/>
    </row>
    <row r="391" ht="15.0" customHeight="1">
      <c r="A391" s="1304"/>
      <c r="B391" s="1304"/>
      <c r="C391" s="1304"/>
      <c r="D391" s="1304"/>
      <c r="E391" s="1304"/>
      <c r="F391" s="1304"/>
      <c r="G391" s="1304"/>
      <c r="H391" s="1304"/>
      <c r="I391" s="1304"/>
      <c r="J391" s="1304"/>
      <c r="K391" s="1304"/>
      <c r="L391" s="1304"/>
      <c r="M391" s="1304"/>
      <c r="N391" s="1304"/>
      <c r="O391" s="1304"/>
      <c r="P391" s="1304"/>
      <c r="Q391" s="1304"/>
      <c r="R391" s="1304"/>
      <c r="S391" s="1304"/>
      <c r="T391" s="1304"/>
      <c r="U391" s="1304"/>
      <c r="V391" s="1304"/>
      <c r="W391" s="1304"/>
      <c r="X391" s="1304"/>
      <c r="Y391" s="1304"/>
      <c r="Z391" s="1304"/>
      <c r="AA391" s="1304"/>
      <c r="AB391" s="1304"/>
      <c r="AC391" s="1304"/>
      <c r="AD391" s="1304"/>
      <c r="AE391" s="1304"/>
    </row>
    <row r="392" ht="15.0" customHeight="1">
      <c r="A392" s="1304"/>
      <c r="B392" s="1304"/>
      <c r="C392" s="1304"/>
      <c r="D392" s="1304"/>
      <c r="E392" s="1304"/>
      <c r="F392" s="1304"/>
      <c r="G392" s="1304"/>
      <c r="H392" s="1304"/>
      <c r="I392" s="1304"/>
      <c r="J392" s="1304"/>
      <c r="K392" s="1304"/>
      <c r="L392" s="1304"/>
      <c r="M392" s="1304"/>
      <c r="N392" s="1304"/>
      <c r="O392" s="1304"/>
      <c r="P392" s="1304"/>
      <c r="Q392" s="1304"/>
      <c r="R392" s="1304"/>
      <c r="S392" s="1304"/>
      <c r="T392" s="1304"/>
      <c r="U392" s="1304"/>
      <c r="V392" s="1304"/>
      <c r="W392" s="1304"/>
      <c r="X392" s="1304"/>
      <c r="Y392" s="1304"/>
      <c r="Z392" s="1304"/>
      <c r="AA392" s="1304"/>
      <c r="AB392" s="1304"/>
      <c r="AC392" s="1304"/>
      <c r="AD392" s="1304"/>
      <c r="AE392" s="1304"/>
    </row>
    <row r="393" ht="15.0" customHeight="1">
      <c r="A393" s="1304"/>
      <c r="B393" s="1304"/>
      <c r="C393" s="1304"/>
      <c r="D393" s="1304"/>
      <c r="E393" s="1304"/>
      <c r="F393" s="1304"/>
      <c r="G393" s="1304"/>
      <c r="H393" s="1304"/>
      <c r="I393" s="1304"/>
      <c r="J393" s="1304"/>
      <c r="K393" s="1304"/>
      <c r="L393" s="1304"/>
      <c r="M393" s="1304"/>
      <c r="N393" s="1304"/>
      <c r="O393" s="1304"/>
      <c r="P393" s="1304"/>
      <c r="Q393" s="1304"/>
      <c r="R393" s="1304"/>
      <c r="S393" s="1304"/>
      <c r="T393" s="1304"/>
      <c r="U393" s="1304"/>
      <c r="V393" s="1304"/>
      <c r="W393" s="1304"/>
      <c r="X393" s="1304"/>
      <c r="Y393" s="1304"/>
      <c r="Z393" s="1304"/>
      <c r="AA393" s="1304"/>
      <c r="AB393" s="1304"/>
      <c r="AC393" s="1304"/>
      <c r="AD393" s="1304"/>
      <c r="AE393" s="1304"/>
    </row>
    <row r="394" ht="15.0" customHeight="1">
      <c r="A394" s="1304"/>
      <c r="B394" s="1304"/>
      <c r="C394" s="1304"/>
      <c r="D394" s="1304"/>
      <c r="E394" s="1304"/>
      <c r="F394" s="1304"/>
      <c r="G394" s="1304"/>
      <c r="H394" s="1304"/>
      <c r="I394" s="1304"/>
      <c r="J394" s="1304"/>
      <c r="K394" s="1304"/>
      <c r="L394" s="1304"/>
      <c r="M394" s="1304"/>
      <c r="N394" s="1304"/>
      <c r="O394" s="1304"/>
      <c r="P394" s="1304"/>
      <c r="Q394" s="1304"/>
      <c r="R394" s="1304"/>
      <c r="S394" s="1304"/>
      <c r="T394" s="1304"/>
      <c r="U394" s="1304"/>
      <c r="V394" s="1304"/>
      <c r="W394" s="1304"/>
      <c r="X394" s="1304"/>
      <c r="Y394" s="1304"/>
      <c r="Z394" s="1304"/>
      <c r="AA394" s="1304"/>
      <c r="AB394" s="1304"/>
      <c r="AC394" s="1304"/>
      <c r="AD394" s="1304"/>
      <c r="AE394" s="1304"/>
    </row>
    <row r="395" ht="15.0" customHeight="1">
      <c r="A395" s="1304"/>
      <c r="B395" s="1304"/>
      <c r="C395" s="1304"/>
      <c r="D395" s="1304"/>
      <c r="E395" s="1304"/>
      <c r="F395" s="1304"/>
      <c r="G395" s="1304"/>
      <c r="H395" s="1304"/>
      <c r="I395" s="1304"/>
      <c r="J395" s="1304"/>
      <c r="K395" s="1304"/>
      <c r="L395" s="1304"/>
      <c r="M395" s="1304"/>
      <c r="N395" s="1304"/>
      <c r="O395" s="1304"/>
      <c r="P395" s="1304"/>
      <c r="Q395" s="1304"/>
      <c r="R395" s="1304"/>
      <c r="S395" s="1304"/>
      <c r="T395" s="1304"/>
      <c r="U395" s="1304"/>
      <c r="V395" s="1304"/>
      <c r="W395" s="1304"/>
      <c r="X395" s="1304"/>
      <c r="Y395" s="1304"/>
      <c r="Z395" s="1304"/>
      <c r="AA395" s="1304"/>
      <c r="AB395" s="1304"/>
      <c r="AC395" s="1304"/>
      <c r="AD395" s="1304"/>
      <c r="AE395" s="1304"/>
    </row>
    <row r="396" ht="15.0" customHeight="1">
      <c r="A396" s="1304"/>
      <c r="B396" s="1304"/>
      <c r="C396" s="1304"/>
      <c r="D396" s="1304"/>
      <c r="E396" s="1304"/>
      <c r="F396" s="1304"/>
      <c r="G396" s="1304"/>
      <c r="H396" s="1304"/>
      <c r="I396" s="1304"/>
      <c r="J396" s="1304"/>
      <c r="K396" s="1304"/>
      <c r="L396" s="1304"/>
      <c r="M396" s="1304"/>
      <c r="N396" s="1304"/>
      <c r="O396" s="1304"/>
      <c r="P396" s="1304"/>
      <c r="Q396" s="1304"/>
      <c r="R396" s="1304"/>
      <c r="S396" s="1304"/>
      <c r="T396" s="1304"/>
      <c r="U396" s="1304"/>
      <c r="V396" s="1304"/>
      <c r="W396" s="1304"/>
      <c r="X396" s="1304"/>
      <c r="Y396" s="1304"/>
      <c r="Z396" s="1304"/>
      <c r="AA396" s="1304"/>
      <c r="AB396" s="1304"/>
      <c r="AC396" s="1304"/>
      <c r="AD396" s="1304"/>
      <c r="AE396" s="1304"/>
    </row>
    <row r="397" ht="15.0" customHeight="1">
      <c r="A397" s="1304"/>
      <c r="B397" s="1304"/>
      <c r="C397" s="1304"/>
      <c r="D397" s="1304"/>
      <c r="E397" s="1304"/>
      <c r="F397" s="1304"/>
      <c r="G397" s="1304"/>
      <c r="H397" s="1304"/>
      <c r="I397" s="1304"/>
      <c r="J397" s="1304"/>
      <c r="K397" s="1304"/>
      <c r="L397" s="1304"/>
      <c r="M397" s="1304"/>
      <c r="N397" s="1304"/>
      <c r="O397" s="1304"/>
      <c r="P397" s="1304"/>
      <c r="Q397" s="1304"/>
      <c r="R397" s="1304"/>
      <c r="S397" s="1304"/>
      <c r="T397" s="1304"/>
      <c r="U397" s="1304"/>
      <c r="V397" s="1304"/>
      <c r="W397" s="1304"/>
      <c r="X397" s="1304"/>
      <c r="Y397" s="1304"/>
      <c r="Z397" s="1304"/>
      <c r="AA397" s="1304"/>
      <c r="AB397" s="1304"/>
      <c r="AC397" s="1304"/>
      <c r="AD397" s="1304"/>
      <c r="AE397" s="1304"/>
    </row>
    <row r="398" ht="15.0" customHeight="1">
      <c r="A398" s="1304"/>
      <c r="B398" s="1304"/>
      <c r="C398" s="1304"/>
      <c r="D398" s="1304"/>
      <c r="E398" s="1304"/>
      <c r="F398" s="1304"/>
      <c r="G398" s="1304"/>
      <c r="H398" s="1304"/>
      <c r="I398" s="1304"/>
      <c r="J398" s="1304"/>
      <c r="K398" s="1304"/>
      <c r="L398" s="1304"/>
      <c r="M398" s="1304"/>
      <c r="N398" s="1304"/>
      <c r="O398" s="1304"/>
      <c r="P398" s="1304"/>
      <c r="Q398" s="1304"/>
      <c r="R398" s="1304"/>
      <c r="S398" s="1304"/>
      <c r="T398" s="1304"/>
      <c r="U398" s="1304"/>
      <c r="V398" s="1304"/>
      <c r="W398" s="1304"/>
      <c r="X398" s="1304"/>
      <c r="Y398" s="1304"/>
      <c r="Z398" s="1304"/>
      <c r="AA398" s="1304"/>
      <c r="AB398" s="1304"/>
      <c r="AC398" s="1304"/>
      <c r="AD398" s="1304"/>
      <c r="AE398" s="1304"/>
    </row>
    <row r="399" ht="15.0" customHeight="1">
      <c r="A399" s="1304"/>
      <c r="B399" s="1304"/>
      <c r="C399" s="1304"/>
      <c r="D399" s="1304"/>
      <c r="E399" s="1304"/>
      <c r="F399" s="1304"/>
      <c r="G399" s="1304"/>
      <c r="H399" s="1304"/>
      <c r="I399" s="1304"/>
      <c r="J399" s="1304"/>
      <c r="K399" s="1304"/>
      <c r="L399" s="1304"/>
      <c r="M399" s="1304"/>
      <c r="N399" s="1304"/>
      <c r="O399" s="1304"/>
      <c r="P399" s="1304"/>
      <c r="Q399" s="1304"/>
      <c r="R399" s="1304"/>
      <c r="S399" s="1304"/>
      <c r="T399" s="1304"/>
      <c r="U399" s="1304"/>
      <c r="V399" s="1304"/>
      <c r="W399" s="1304"/>
      <c r="X399" s="1304"/>
      <c r="Y399" s="1304"/>
      <c r="Z399" s="1304"/>
      <c r="AA399" s="1304"/>
      <c r="AB399" s="1304"/>
      <c r="AC399" s="1304"/>
      <c r="AD399" s="1304"/>
      <c r="AE399" s="1304"/>
    </row>
    <row r="400" ht="15.0" customHeight="1">
      <c r="A400" s="1304"/>
      <c r="B400" s="1304"/>
      <c r="C400" s="1304"/>
      <c r="D400" s="1304"/>
      <c r="E400" s="1304"/>
      <c r="F400" s="1304"/>
      <c r="G400" s="1304"/>
      <c r="H400" s="1304"/>
      <c r="I400" s="1304"/>
      <c r="J400" s="1304"/>
      <c r="K400" s="1304"/>
      <c r="L400" s="1304"/>
      <c r="M400" s="1304"/>
      <c r="N400" s="1304"/>
      <c r="O400" s="1304"/>
      <c r="P400" s="1304"/>
      <c r="Q400" s="1304"/>
      <c r="R400" s="1304"/>
      <c r="S400" s="1304"/>
      <c r="T400" s="1304"/>
      <c r="U400" s="1304"/>
      <c r="V400" s="1304"/>
      <c r="W400" s="1304"/>
      <c r="X400" s="1304"/>
      <c r="Y400" s="1304"/>
      <c r="Z400" s="1304"/>
      <c r="AA400" s="1304"/>
      <c r="AB400" s="1304"/>
      <c r="AC400" s="1304"/>
      <c r="AD400" s="1304"/>
      <c r="AE400" s="1304"/>
    </row>
    <row r="401" ht="15.0" customHeight="1">
      <c r="A401" s="1304"/>
      <c r="B401" s="1304"/>
      <c r="C401" s="1304"/>
      <c r="D401" s="1304"/>
      <c r="E401" s="1304"/>
      <c r="F401" s="1304"/>
      <c r="G401" s="1304"/>
      <c r="H401" s="1304"/>
      <c r="I401" s="1304"/>
      <c r="J401" s="1304"/>
      <c r="K401" s="1304"/>
      <c r="L401" s="1304"/>
      <c r="M401" s="1304"/>
      <c r="N401" s="1304"/>
      <c r="O401" s="1304"/>
      <c r="P401" s="1304"/>
      <c r="Q401" s="1304"/>
      <c r="R401" s="1304"/>
      <c r="S401" s="1304"/>
      <c r="T401" s="1304"/>
      <c r="U401" s="1304"/>
      <c r="V401" s="1304"/>
      <c r="W401" s="1304"/>
      <c r="X401" s="1304"/>
      <c r="Y401" s="1304"/>
      <c r="Z401" s="1304"/>
      <c r="AA401" s="1304"/>
      <c r="AB401" s="1304"/>
      <c r="AC401" s="1304"/>
      <c r="AD401" s="1304"/>
      <c r="AE401" s="1304"/>
    </row>
    <row r="402" ht="15.0" customHeight="1">
      <c r="A402" s="1304"/>
      <c r="B402" s="1304"/>
      <c r="C402" s="1304"/>
      <c r="D402" s="1304"/>
      <c r="E402" s="1304"/>
      <c r="F402" s="1304"/>
      <c r="G402" s="1304"/>
      <c r="H402" s="1304"/>
      <c r="I402" s="1304"/>
      <c r="J402" s="1304"/>
      <c r="K402" s="1304"/>
      <c r="L402" s="1304"/>
      <c r="M402" s="1304"/>
      <c r="N402" s="1304"/>
      <c r="O402" s="1304"/>
      <c r="P402" s="1304"/>
      <c r="Q402" s="1304"/>
      <c r="R402" s="1304"/>
      <c r="S402" s="1304"/>
      <c r="T402" s="1304"/>
      <c r="U402" s="1304"/>
      <c r="V402" s="1304"/>
      <c r="W402" s="1304"/>
      <c r="X402" s="1304"/>
      <c r="Y402" s="1304"/>
      <c r="Z402" s="1304"/>
      <c r="AA402" s="1304"/>
      <c r="AB402" s="1304"/>
      <c r="AC402" s="1304"/>
      <c r="AD402" s="1304"/>
      <c r="AE402" s="1304"/>
    </row>
    <row r="403" ht="15.0" customHeight="1">
      <c r="A403" s="1304"/>
      <c r="B403" s="1304"/>
      <c r="C403" s="1304"/>
      <c r="D403" s="1304"/>
      <c r="E403" s="1304"/>
      <c r="F403" s="1304"/>
      <c r="G403" s="1304"/>
      <c r="H403" s="1304"/>
      <c r="I403" s="1304"/>
      <c r="J403" s="1304"/>
      <c r="K403" s="1304"/>
      <c r="L403" s="1304"/>
      <c r="M403" s="1304"/>
      <c r="N403" s="1304"/>
      <c r="O403" s="1304"/>
      <c r="P403" s="1304"/>
      <c r="Q403" s="1304"/>
      <c r="R403" s="1304"/>
      <c r="S403" s="1304"/>
      <c r="T403" s="1304"/>
      <c r="U403" s="1304"/>
      <c r="V403" s="1304"/>
      <c r="W403" s="1304"/>
      <c r="X403" s="1304"/>
      <c r="Y403" s="1304"/>
      <c r="Z403" s="1304"/>
      <c r="AA403" s="1304"/>
      <c r="AB403" s="1304"/>
      <c r="AC403" s="1304"/>
      <c r="AD403" s="1304"/>
      <c r="AE403" s="1304"/>
    </row>
    <row r="404" ht="15.0" customHeight="1">
      <c r="A404" s="1304"/>
      <c r="B404" s="1304"/>
      <c r="C404" s="1304"/>
      <c r="D404" s="1304"/>
      <c r="E404" s="1304"/>
      <c r="F404" s="1304"/>
      <c r="G404" s="1304"/>
      <c r="H404" s="1304"/>
      <c r="I404" s="1304"/>
      <c r="J404" s="1304"/>
      <c r="K404" s="1304"/>
      <c r="L404" s="1304"/>
      <c r="M404" s="1304"/>
      <c r="N404" s="1304"/>
      <c r="O404" s="1304"/>
      <c r="P404" s="1304"/>
      <c r="Q404" s="1304"/>
      <c r="R404" s="1304"/>
      <c r="S404" s="1304"/>
      <c r="T404" s="1304"/>
      <c r="U404" s="1304"/>
      <c r="V404" s="1304"/>
      <c r="W404" s="1304"/>
      <c r="X404" s="1304"/>
      <c r="Y404" s="1304"/>
      <c r="Z404" s="1304"/>
      <c r="AA404" s="1304"/>
      <c r="AB404" s="1304"/>
      <c r="AC404" s="1304"/>
      <c r="AD404" s="1304"/>
      <c r="AE404" s="1304"/>
    </row>
    <row r="405" ht="15.0" customHeight="1">
      <c r="A405" s="1304"/>
      <c r="B405" s="1304"/>
      <c r="C405" s="1304"/>
      <c r="D405" s="1304"/>
      <c r="E405" s="1304"/>
      <c r="F405" s="1304"/>
      <c r="G405" s="1304"/>
      <c r="H405" s="1304"/>
      <c r="I405" s="1304"/>
      <c r="J405" s="1304"/>
      <c r="K405" s="1304"/>
      <c r="L405" s="1304"/>
      <c r="M405" s="1304"/>
      <c r="N405" s="1304"/>
      <c r="O405" s="1304"/>
      <c r="P405" s="1304"/>
      <c r="Q405" s="1304"/>
      <c r="R405" s="1304"/>
      <c r="S405" s="1304"/>
      <c r="T405" s="1304"/>
      <c r="U405" s="1304"/>
      <c r="V405" s="1304"/>
      <c r="W405" s="1304"/>
      <c r="X405" s="1304"/>
      <c r="Y405" s="1304"/>
      <c r="Z405" s="1304"/>
      <c r="AA405" s="1304"/>
      <c r="AB405" s="1304"/>
      <c r="AC405" s="1304"/>
      <c r="AD405" s="1304"/>
      <c r="AE405" s="1304"/>
    </row>
    <row r="406" ht="15.0" customHeight="1">
      <c r="A406" s="1304"/>
      <c r="B406" s="1304"/>
      <c r="C406" s="1304"/>
      <c r="D406" s="1304"/>
      <c r="E406" s="1304"/>
      <c r="F406" s="1304"/>
      <c r="G406" s="1304"/>
      <c r="H406" s="1304"/>
      <c r="I406" s="1304"/>
      <c r="J406" s="1304"/>
      <c r="K406" s="1304"/>
      <c r="L406" s="1304"/>
      <c r="M406" s="1304"/>
      <c r="N406" s="1304"/>
      <c r="O406" s="1304"/>
      <c r="P406" s="1304"/>
      <c r="Q406" s="1304"/>
      <c r="R406" s="1304"/>
      <c r="S406" s="1304"/>
      <c r="T406" s="1304"/>
      <c r="U406" s="1304"/>
      <c r="V406" s="1304"/>
      <c r="W406" s="1304"/>
      <c r="X406" s="1304"/>
      <c r="Y406" s="1304"/>
      <c r="Z406" s="1304"/>
      <c r="AA406" s="1304"/>
      <c r="AB406" s="1304"/>
      <c r="AC406" s="1304"/>
      <c r="AD406" s="1304"/>
      <c r="AE406" s="1304"/>
    </row>
    <row r="407" ht="15.0" customHeight="1">
      <c r="A407" s="1304"/>
      <c r="B407" s="1304"/>
      <c r="C407" s="1304"/>
      <c r="D407" s="1304"/>
      <c r="E407" s="1304"/>
      <c r="F407" s="1304"/>
      <c r="G407" s="1304"/>
      <c r="H407" s="1304"/>
      <c r="I407" s="1304"/>
      <c r="J407" s="1304"/>
      <c r="K407" s="1304"/>
      <c r="L407" s="1304"/>
      <c r="M407" s="1304"/>
      <c r="N407" s="1304"/>
      <c r="O407" s="1304"/>
      <c r="P407" s="1304"/>
      <c r="Q407" s="1304"/>
      <c r="R407" s="1304"/>
      <c r="S407" s="1304"/>
      <c r="T407" s="1304"/>
      <c r="U407" s="1304"/>
      <c r="V407" s="1304"/>
      <c r="W407" s="1304"/>
      <c r="X407" s="1304"/>
      <c r="Y407" s="1304"/>
      <c r="Z407" s="1304"/>
      <c r="AA407" s="1304"/>
      <c r="AB407" s="1304"/>
      <c r="AC407" s="1304"/>
      <c r="AD407" s="1304"/>
      <c r="AE407" s="1304"/>
    </row>
    <row r="408" ht="15.0" customHeight="1">
      <c r="A408" s="1304"/>
      <c r="B408" s="1304"/>
      <c r="C408" s="1304"/>
      <c r="D408" s="1304"/>
      <c r="E408" s="1304"/>
      <c r="F408" s="1304"/>
      <c r="G408" s="1304"/>
      <c r="H408" s="1304"/>
      <c r="I408" s="1304"/>
      <c r="J408" s="1304"/>
      <c r="K408" s="1304"/>
      <c r="L408" s="1304"/>
      <c r="M408" s="1304"/>
      <c r="N408" s="1304"/>
      <c r="O408" s="1304"/>
      <c r="P408" s="1304"/>
      <c r="Q408" s="1304"/>
      <c r="R408" s="1304"/>
      <c r="S408" s="1304"/>
      <c r="T408" s="1304"/>
      <c r="U408" s="1304"/>
      <c r="V408" s="1304"/>
      <c r="W408" s="1304"/>
      <c r="X408" s="1304"/>
      <c r="Y408" s="1304"/>
      <c r="Z408" s="1304"/>
      <c r="AA408" s="1304"/>
      <c r="AB408" s="1304"/>
      <c r="AC408" s="1304"/>
      <c r="AD408" s="1304"/>
      <c r="AE408" s="1304"/>
    </row>
    <row r="409" ht="15.0" customHeight="1">
      <c r="A409" s="1304"/>
      <c r="B409" s="1304"/>
      <c r="C409" s="1304"/>
      <c r="D409" s="1304"/>
      <c r="E409" s="1304"/>
      <c r="F409" s="1304"/>
      <c r="G409" s="1304"/>
      <c r="H409" s="1304"/>
      <c r="I409" s="1304"/>
      <c r="J409" s="1304"/>
      <c r="K409" s="1304"/>
      <c r="L409" s="1304"/>
      <c r="M409" s="1304"/>
      <c r="N409" s="1304"/>
      <c r="O409" s="1304"/>
      <c r="P409" s="1304"/>
      <c r="Q409" s="1304"/>
      <c r="R409" s="1304"/>
      <c r="S409" s="1304"/>
      <c r="T409" s="1304"/>
      <c r="U409" s="1304"/>
      <c r="V409" s="1304"/>
      <c r="W409" s="1304"/>
      <c r="X409" s="1304"/>
      <c r="Y409" s="1304"/>
      <c r="Z409" s="1304"/>
      <c r="AA409" s="1304"/>
      <c r="AB409" s="1304"/>
      <c r="AC409" s="1304"/>
      <c r="AD409" s="1304"/>
      <c r="AE409" s="1304"/>
    </row>
    <row r="410" ht="15.0" customHeight="1">
      <c r="A410" s="1304"/>
      <c r="B410" s="1304"/>
      <c r="C410" s="1304"/>
      <c r="D410" s="1304"/>
      <c r="E410" s="1304"/>
      <c r="F410" s="1304"/>
      <c r="G410" s="1304"/>
      <c r="H410" s="1304"/>
      <c r="I410" s="1304"/>
      <c r="J410" s="1304"/>
      <c r="K410" s="1304"/>
      <c r="L410" s="1304"/>
      <c r="M410" s="1304"/>
      <c r="N410" s="1304"/>
      <c r="O410" s="1304"/>
      <c r="P410" s="1304"/>
      <c r="Q410" s="1304"/>
      <c r="R410" s="1304"/>
      <c r="S410" s="1304"/>
      <c r="T410" s="1304"/>
      <c r="U410" s="1304"/>
      <c r="V410" s="1304"/>
      <c r="W410" s="1304"/>
      <c r="X410" s="1304"/>
      <c r="Y410" s="1304"/>
      <c r="Z410" s="1304"/>
      <c r="AA410" s="1304"/>
      <c r="AB410" s="1304"/>
      <c r="AC410" s="1304"/>
      <c r="AD410" s="1304"/>
      <c r="AE410" s="1304"/>
    </row>
    <row r="411" ht="15.0" customHeight="1">
      <c r="A411" s="1304"/>
      <c r="B411" s="1304"/>
      <c r="C411" s="1304"/>
      <c r="D411" s="1304"/>
      <c r="E411" s="1304"/>
      <c r="F411" s="1304"/>
      <c r="G411" s="1304"/>
      <c r="H411" s="1304"/>
      <c r="I411" s="1304"/>
      <c r="J411" s="1304"/>
      <c r="K411" s="1304"/>
      <c r="L411" s="1304"/>
      <c r="M411" s="1304"/>
      <c r="N411" s="1304"/>
      <c r="O411" s="1304"/>
      <c r="P411" s="1304"/>
      <c r="Q411" s="1304"/>
      <c r="R411" s="1304"/>
      <c r="S411" s="1304"/>
      <c r="T411" s="1304"/>
      <c r="U411" s="1304"/>
      <c r="V411" s="1304"/>
      <c r="W411" s="1304"/>
      <c r="X411" s="1304"/>
      <c r="Y411" s="1304"/>
      <c r="Z411" s="1304"/>
      <c r="AA411" s="1304"/>
      <c r="AB411" s="1304"/>
      <c r="AC411" s="1304"/>
      <c r="AD411" s="1304"/>
      <c r="AE411" s="1304"/>
    </row>
    <row r="412" ht="15.0" customHeight="1">
      <c r="A412" s="1304"/>
      <c r="B412" s="1304"/>
      <c r="C412" s="1304"/>
      <c r="D412" s="1304"/>
      <c r="E412" s="1304"/>
      <c r="F412" s="1304"/>
      <c r="G412" s="1304"/>
      <c r="H412" s="1304"/>
      <c r="I412" s="1304"/>
      <c r="J412" s="1304"/>
      <c r="K412" s="1304"/>
      <c r="L412" s="1304"/>
      <c r="M412" s="1304"/>
      <c r="N412" s="1304"/>
      <c r="O412" s="1304"/>
      <c r="P412" s="1304"/>
      <c r="Q412" s="1304"/>
      <c r="R412" s="1304"/>
      <c r="S412" s="1304"/>
      <c r="T412" s="1304"/>
      <c r="U412" s="1304"/>
      <c r="V412" s="1304"/>
      <c r="W412" s="1304"/>
      <c r="X412" s="1304"/>
      <c r="Y412" s="1304"/>
      <c r="Z412" s="1304"/>
      <c r="AA412" s="1304"/>
      <c r="AB412" s="1304"/>
      <c r="AC412" s="1304"/>
      <c r="AD412" s="1304"/>
      <c r="AE412" s="1304"/>
    </row>
    <row r="413" ht="15.0" customHeight="1">
      <c r="A413" s="1304"/>
      <c r="B413" s="1304"/>
      <c r="C413" s="1304"/>
      <c r="D413" s="1304"/>
      <c r="E413" s="1304"/>
      <c r="F413" s="1304"/>
      <c r="G413" s="1304"/>
      <c r="H413" s="1304"/>
      <c r="I413" s="1304"/>
      <c r="J413" s="1304"/>
      <c r="K413" s="1304"/>
      <c r="L413" s="1304"/>
      <c r="M413" s="1304"/>
      <c r="N413" s="1304"/>
      <c r="O413" s="1304"/>
      <c r="P413" s="1304"/>
      <c r="Q413" s="1304"/>
      <c r="R413" s="1304"/>
      <c r="S413" s="1304"/>
      <c r="T413" s="1304"/>
      <c r="U413" s="1304"/>
      <c r="V413" s="1304"/>
      <c r="W413" s="1304"/>
      <c r="X413" s="1304"/>
      <c r="Y413" s="1304"/>
      <c r="Z413" s="1304"/>
      <c r="AA413" s="1304"/>
      <c r="AB413" s="1304"/>
      <c r="AC413" s="1304"/>
      <c r="AD413" s="1304"/>
      <c r="AE413" s="1304"/>
    </row>
    <row r="414" ht="15.0" customHeight="1">
      <c r="A414" s="1304"/>
      <c r="B414" s="1304"/>
      <c r="C414" s="1304"/>
      <c r="D414" s="1304"/>
      <c r="E414" s="1304"/>
      <c r="F414" s="1304"/>
      <c r="G414" s="1304"/>
      <c r="H414" s="1304"/>
      <c r="I414" s="1304"/>
      <c r="J414" s="1304"/>
      <c r="K414" s="1304"/>
      <c r="L414" s="1304"/>
      <c r="M414" s="1304"/>
      <c r="N414" s="1304"/>
      <c r="O414" s="1304"/>
      <c r="P414" s="1304"/>
      <c r="Q414" s="1304"/>
      <c r="R414" s="1304"/>
      <c r="S414" s="1304"/>
      <c r="T414" s="1304"/>
      <c r="U414" s="1304"/>
      <c r="V414" s="1304"/>
      <c r="W414" s="1304"/>
      <c r="X414" s="1304"/>
      <c r="Y414" s="1304"/>
      <c r="Z414" s="1304"/>
      <c r="AA414" s="1304"/>
      <c r="AB414" s="1304"/>
      <c r="AC414" s="1304"/>
      <c r="AD414" s="1304"/>
      <c r="AE414" s="1304"/>
    </row>
    <row r="415" ht="15.0" customHeight="1">
      <c r="A415" s="1304"/>
      <c r="B415" s="1304"/>
      <c r="C415" s="1304"/>
      <c r="D415" s="1304"/>
      <c r="E415" s="1304"/>
      <c r="F415" s="1304"/>
      <c r="G415" s="1304"/>
      <c r="H415" s="1304"/>
      <c r="I415" s="1304"/>
      <c r="J415" s="1304"/>
      <c r="K415" s="1304"/>
      <c r="L415" s="1304"/>
      <c r="M415" s="1304"/>
      <c r="N415" s="1304"/>
      <c r="O415" s="1304"/>
      <c r="P415" s="1304"/>
      <c r="Q415" s="1304"/>
      <c r="R415" s="1304"/>
      <c r="S415" s="1304"/>
      <c r="T415" s="1304"/>
      <c r="U415" s="1304"/>
      <c r="V415" s="1304"/>
      <c r="W415" s="1304"/>
      <c r="X415" s="1304"/>
      <c r="Y415" s="1304"/>
      <c r="Z415" s="1304"/>
      <c r="AA415" s="1304"/>
      <c r="AB415" s="1304"/>
      <c r="AC415" s="1304"/>
      <c r="AD415" s="1304"/>
      <c r="AE415" s="1304"/>
    </row>
    <row r="416" ht="15.0" customHeight="1">
      <c r="A416" s="1304"/>
      <c r="B416" s="1304"/>
      <c r="C416" s="1304"/>
      <c r="D416" s="1304"/>
      <c r="E416" s="1304"/>
      <c r="F416" s="1304"/>
      <c r="G416" s="1304"/>
      <c r="H416" s="1304"/>
      <c r="I416" s="1304"/>
      <c r="J416" s="1304"/>
      <c r="K416" s="1304"/>
      <c r="L416" s="1304"/>
      <c r="M416" s="1304"/>
      <c r="N416" s="1304"/>
      <c r="O416" s="1304"/>
      <c r="P416" s="1304"/>
      <c r="Q416" s="1304"/>
      <c r="R416" s="1304"/>
      <c r="S416" s="1304"/>
      <c r="T416" s="1304"/>
      <c r="U416" s="1304"/>
      <c r="V416" s="1304"/>
      <c r="W416" s="1304"/>
      <c r="X416" s="1304"/>
      <c r="Y416" s="1304"/>
      <c r="Z416" s="1304"/>
      <c r="AA416" s="1304"/>
      <c r="AB416" s="1304"/>
      <c r="AC416" s="1304"/>
      <c r="AD416" s="1304"/>
      <c r="AE416" s="1304"/>
    </row>
    <row r="417" ht="15.0" customHeight="1">
      <c r="A417" s="1304"/>
      <c r="B417" s="1304"/>
      <c r="C417" s="1304"/>
      <c r="D417" s="1304"/>
      <c r="E417" s="1304"/>
      <c r="F417" s="1304"/>
      <c r="G417" s="1304"/>
      <c r="H417" s="1304"/>
      <c r="I417" s="1304"/>
      <c r="J417" s="1304"/>
      <c r="K417" s="1304"/>
      <c r="L417" s="1304"/>
      <c r="M417" s="1304"/>
      <c r="N417" s="1304"/>
      <c r="O417" s="1304"/>
      <c r="P417" s="1304"/>
      <c r="Q417" s="1304"/>
      <c r="R417" s="1304"/>
      <c r="S417" s="1304"/>
      <c r="T417" s="1304"/>
      <c r="U417" s="1304"/>
      <c r="V417" s="1304"/>
      <c r="W417" s="1304"/>
      <c r="X417" s="1304"/>
      <c r="Y417" s="1304"/>
      <c r="Z417" s="1304"/>
      <c r="AA417" s="1304"/>
      <c r="AB417" s="1304"/>
      <c r="AC417" s="1304"/>
      <c r="AD417" s="1304"/>
      <c r="AE417" s="1304"/>
    </row>
    <row r="418" ht="15.0" customHeight="1">
      <c r="A418" s="1304"/>
      <c r="B418" s="1304"/>
      <c r="C418" s="1304"/>
      <c r="D418" s="1304"/>
      <c r="E418" s="1304"/>
      <c r="F418" s="1304"/>
      <c r="G418" s="1304"/>
      <c r="H418" s="1304"/>
      <c r="I418" s="1304"/>
      <c r="J418" s="1304"/>
      <c r="K418" s="1304"/>
      <c r="L418" s="1304"/>
      <c r="M418" s="1304"/>
      <c r="N418" s="1304"/>
      <c r="O418" s="1304"/>
      <c r="P418" s="1304"/>
      <c r="Q418" s="1304"/>
      <c r="R418" s="1304"/>
      <c r="S418" s="1304"/>
      <c r="T418" s="1304"/>
      <c r="U418" s="1304"/>
      <c r="V418" s="1304"/>
      <c r="W418" s="1304"/>
      <c r="X418" s="1304"/>
      <c r="Y418" s="1304"/>
      <c r="Z418" s="1304"/>
      <c r="AA418" s="1304"/>
      <c r="AB418" s="1304"/>
      <c r="AC418" s="1304"/>
      <c r="AD418" s="1304"/>
      <c r="AE418" s="1304"/>
    </row>
    <row r="419" ht="15.0" customHeight="1">
      <c r="A419" s="1304"/>
      <c r="B419" s="1304"/>
      <c r="C419" s="1304"/>
      <c r="D419" s="1304"/>
      <c r="E419" s="1304"/>
      <c r="F419" s="1304"/>
      <c r="G419" s="1304"/>
      <c r="H419" s="1304"/>
      <c r="I419" s="1304"/>
      <c r="J419" s="1304"/>
      <c r="K419" s="1304"/>
      <c r="L419" s="1304"/>
      <c r="M419" s="1304"/>
      <c r="N419" s="1304"/>
      <c r="O419" s="1304"/>
      <c r="P419" s="1304"/>
      <c r="Q419" s="1304"/>
      <c r="R419" s="1304"/>
      <c r="S419" s="1304"/>
      <c r="T419" s="1304"/>
      <c r="U419" s="1304"/>
      <c r="V419" s="1304"/>
      <c r="W419" s="1304"/>
      <c r="X419" s="1304"/>
      <c r="Y419" s="1304"/>
      <c r="Z419" s="1304"/>
      <c r="AA419" s="1304"/>
      <c r="AB419" s="1304"/>
      <c r="AC419" s="1304"/>
      <c r="AD419" s="1304"/>
      <c r="AE419" s="1304"/>
    </row>
    <row r="420" ht="15.0" customHeight="1">
      <c r="A420" s="1304"/>
      <c r="B420" s="1304"/>
      <c r="C420" s="1304"/>
      <c r="D420" s="1304"/>
      <c r="E420" s="1304"/>
      <c r="F420" s="1304"/>
      <c r="G420" s="1304"/>
      <c r="H420" s="1304"/>
      <c r="I420" s="1304"/>
      <c r="J420" s="1304"/>
      <c r="K420" s="1304"/>
      <c r="L420" s="1304"/>
      <c r="M420" s="1304"/>
      <c r="N420" s="1304"/>
      <c r="O420" s="1304"/>
      <c r="P420" s="1304"/>
      <c r="Q420" s="1304"/>
      <c r="R420" s="1304"/>
      <c r="S420" s="1304"/>
      <c r="T420" s="1304"/>
      <c r="U420" s="1304"/>
      <c r="V420" s="1304"/>
      <c r="W420" s="1304"/>
      <c r="X420" s="1304"/>
      <c r="Y420" s="1304"/>
      <c r="Z420" s="1304"/>
      <c r="AA420" s="1304"/>
      <c r="AB420" s="1304"/>
      <c r="AC420" s="1304"/>
      <c r="AD420" s="1304"/>
      <c r="AE420" s="1304"/>
    </row>
    <row r="421" ht="15.0" customHeight="1">
      <c r="A421" s="1304"/>
      <c r="B421" s="1304"/>
      <c r="C421" s="1304"/>
      <c r="D421" s="1304"/>
      <c r="E421" s="1304"/>
      <c r="F421" s="1304"/>
      <c r="G421" s="1304"/>
      <c r="H421" s="1304"/>
      <c r="I421" s="1304"/>
      <c r="J421" s="1304"/>
      <c r="K421" s="1304"/>
      <c r="L421" s="1304"/>
      <c r="M421" s="1304"/>
      <c r="N421" s="1304"/>
      <c r="O421" s="1304"/>
      <c r="P421" s="1304"/>
      <c r="Q421" s="1304"/>
      <c r="R421" s="1304"/>
      <c r="S421" s="1304"/>
      <c r="T421" s="1304"/>
      <c r="U421" s="1304"/>
      <c r="V421" s="1304"/>
      <c r="W421" s="1304"/>
      <c r="X421" s="1304"/>
      <c r="Y421" s="1304"/>
      <c r="Z421" s="1304"/>
      <c r="AA421" s="1304"/>
      <c r="AB421" s="1304"/>
      <c r="AC421" s="1304"/>
      <c r="AD421" s="1304"/>
      <c r="AE421" s="1304"/>
    </row>
    <row r="422" ht="15.0" customHeight="1">
      <c r="A422" s="1304"/>
      <c r="B422" s="1304"/>
      <c r="C422" s="1304"/>
      <c r="D422" s="1304"/>
      <c r="E422" s="1304"/>
      <c r="F422" s="1304"/>
      <c r="G422" s="1304"/>
      <c r="H422" s="1304"/>
      <c r="I422" s="1304"/>
      <c r="J422" s="1304"/>
      <c r="K422" s="1304"/>
      <c r="L422" s="1304"/>
      <c r="M422" s="1304"/>
      <c r="N422" s="1304"/>
      <c r="O422" s="1304"/>
      <c r="P422" s="1304"/>
      <c r="Q422" s="1304"/>
      <c r="R422" s="1304"/>
      <c r="S422" s="1304"/>
      <c r="T422" s="1304"/>
      <c r="U422" s="1304"/>
      <c r="V422" s="1304"/>
      <c r="W422" s="1304"/>
      <c r="X422" s="1304"/>
      <c r="Y422" s="1304"/>
      <c r="Z422" s="1304"/>
      <c r="AA422" s="1304"/>
      <c r="AB422" s="1304"/>
      <c r="AC422" s="1304"/>
      <c r="AD422" s="1304"/>
      <c r="AE422" s="1304"/>
    </row>
    <row r="423" ht="15.0" customHeight="1">
      <c r="A423" s="1304"/>
      <c r="B423" s="1304"/>
      <c r="C423" s="1304"/>
      <c r="D423" s="1304"/>
      <c r="E423" s="1304"/>
      <c r="F423" s="1304"/>
      <c r="G423" s="1304"/>
      <c r="H423" s="1304"/>
      <c r="I423" s="1304"/>
      <c r="J423" s="1304"/>
      <c r="K423" s="1304"/>
      <c r="L423" s="1304"/>
      <c r="M423" s="1304"/>
      <c r="N423" s="1304"/>
      <c r="O423" s="1304"/>
      <c r="P423" s="1304"/>
      <c r="Q423" s="1304"/>
      <c r="R423" s="1304"/>
      <c r="S423" s="1304"/>
      <c r="T423" s="1304"/>
      <c r="U423" s="1304"/>
      <c r="V423" s="1304"/>
      <c r="W423" s="1304"/>
      <c r="X423" s="1304"/>
      <c r="Y423" s="1304"/>
      <c r="Z423" s="1304"/>
      <c r="AA423" s="1304"/>
      <c r="AB423" s="1304"/>
      <c r="AC423" s="1304"/>
      <c r="AD423" s="1304"/>
      <c r="AE423" s="1304"/>
    </row>
    <row r="424" ht="15.0" customHeight="1">
      <c r="A424" s="1304"/>
      <c r="B424" s="1304"/>
      <c r="C424" s="1304"/>
      <c r="D424" s="1304"/>
      <c r="E424" s="1304"/>
      <c r="F424" s="1304"/>
      <c r="G424" s="1304"/>
      <c r="H424" s="1304"/>
      <c r="I424" s="1304"/>
      <c r="J424" s="1304"/>
      <c r="K424" s="1304"/>
      <c r="L424" s="1304"/>
      <c r="M424" s="1304"/>
      <c r="N424" s="1304"/>
      <c r="O424" s="1304"/>
      <c r="P424" s="1304"/>
      <c r="Q424" s="1304"/>
      <c r="R424" s="1304"/>
      <c r="S424" s="1304"/>
      <c r="T424" s="1304"/>
      <c r="U424" s="1304"/>
      <c r="V424" s="1304"/>
      <c r="W424" s="1304"/>
      <c r="X424" s="1304"/>
      <c r="Y424" s="1304"/>
      <c r="Z424" s="1304"/>
      <c r="AA424" s="1304"/>
      <c r="AB424" s="1304"/>
      <c r="AC424" s="1304"/>
      <c r="AD424" s="1304"/>
      <c r="AE424" s="1304"/>
    </row>
    <row r="425" ht="15.0" customHeight="1">
      <c r="A425" s="1304"/>
      <c r="B425" s="1304"/>
      <c r="C425" s="1304"/>
      <c r="D425" s="1304"/>
      <c r="E425" s="1304"/>
      <c r="F425" s="1304"/>
      <c r="G425" s="1304"/>
      <c r="H425" s="1304"/>
      <c r="I425" s="1304"/>
      <c r="J425" s="1304"/>
      <c r="K425" s="1304"/>
      <c r="L425" s="1304"/>
      <c r="M425" s="1304"/>
      <c r="N425" s="1304"/>
      <c r="O425" s="1304"/>
      <c r="P425" s="1304"/>
      <c r="Q425" s="1304"/>
      <c r="R425" s="1304"/>
      <c r="S425" s="1304"/>
      <c r="T425" s="1304"/>
      <c r="U425" s="1304"/>
      <c r="V425" s="1304"/>
      <c r="W425" s="1304"/>
      <c r="X425" s="1304"/>
      <c r="Y425" s="1304"/>
      <c r="Z425" s="1304"/>
      <c r="AA425" s="1304"/>
      <c r="AB425" s="1304"/>
      <c r="AC425" s="1304"/>
      <c r="AD425" s="1304"/>
      <c r="AE425" s="1304"/>
    </row>
    <row r="426" ht="15.0" customHeight="1">
      <c r="A426" s="1304"/>
      <c r="B426" s="1304"/>
      <c r="C426" s="1304"/>
      <c r="D426" s="1304"/>
      <c r="E426" s="1304"/>
      <c r="F426" s="1304"/>
      <c r="G426" s="1304"/>
      <c r="H426" s="1304"/>
      <c r="I426" s="1304"/>
      <c r="J426" s="1304"/>
      <c r="K426" s="1304"/>
      <c r="L426" s="1304"/>
      <c r="M426" s="1304"/>
      <c r="N426" s="1304"/>
      <c r="O426" s="1304"/>
      <c r="P426" s="1304"/>
      <c r="Q426" s="1304"/>
      <c r="R426" s="1304"/>
      <c r="S426" s="1304"/>
      <c r="T426" s="1304"/>
      <c r="U426" s="1304"/>
      <c r="V426" s="1304"/>
      <c r="W426" s="1304"/>
      <c r="X426" s="1304"/>
      <c r="Y426" s="1304"/>
      <c r="Z426" s="1304"/>
      <c r="AA426" s="1304"/>
      <c r="AB426" s="1304"/>
      <c r="AC426" s="1304"/>
      <c r="AD426" s="1304"/>
      <c r="AE426" s="1304"/>
    </row>
    <row r="427" ht="15.0" customHeight="1">
      <c r="A427" s="1304"/>
      <c r="B427" s="1304"/>
      <c r="C427" s="1304"/>
      <c r="D427" s="1304"/>
      <c r="E427" s="1304"/>
      <c r="F427" s="1304"/>
      <c r="G427" s="1304"/>
      <c r="H427" s="1304"/>
      <c r="I427" s="1304"/>
      <c r="J427" s="1304"/>
      <c r="K427" s="1304"/>
      <c r="L427" s="1304"/>
      <c r="M427" s="1304"/>
      <c r="N427" s="1304"/>
      <c r="O427" s="1304"/>
      <c r="P427" s="1304"/>
      <c r="Q427" s="1304"/>
      <c r="R427" s="1304"/>
      <c r="S427" s="1304"/>
      <c r="T427" s="1304"/>
      <c r="U427" s="1304"/>
      <c r="V427" s="1304"/>
      <c r="W427" s="1304"/>
      <c r="X427" s="1304"/>
      <c r="Y427" s="1304"/>
      <c r="Z427" s="1304"/>
      <c r="AA427" s="1304"/>
      <c r="AB427" s="1304"/>
      <c r="AC427" s="1304"/>
      <c r="AD427" s="1304"/>
      <c r="AE427" s="1304"/>
    </row>
    <row r="428" ht="15.0" customHeight="1">
      <c r="A428" s="1304"/>
      <c r="B428" s="1304"/>
      <c r="C428" s="1304"/>
      <c r="D428" s="1304"/>
      <c r="E428" s="1304"/>
      <c r="F428" s="1304"/>
      <c r="G428" s="1304"/>
      <c r="H428" s="1304"/>
      <c r="I428" s="1304"/>
      <c r="J428" s="1304"/>
      <c r="K428" s="1304"/>
      <c r="L428" s="1304"/>
      <c r="M428" s="1304"/>
      <c r="N428" s="1304"/>
      <c r="O428" s="1304"/>
      <c r="P428" s="1304"/>
      <c r="Q428" s="1304"/>
      <c r="R428" s="1304"/>
      <c r="S428" s="1304"/>
      <c r="T428" s="1304"/>
      <c r="U428" s="1304"/>
      <c r="V428" s="1304"/>
      <c r="W428" s="1304"/>
      <c r="X428" s="1304"/>
      <c r="Y428" s="1304"/>
      <c r="Z428" s="1304"/>
      <c r="AA428" s="1304"/>
      <c r="AB428" s="1304"/>
      <c r="AC428" s="1304"/>
      <c r="AD428" s="1304"/>
      <c r="AE428" s="1304"/>
    </row>
    <row r="429" ht="15.0" customHeight="1">
      <c r="A429" s="1304"/>
      <c r="B429" s="1304"/>
      <c r="C429" s="1304"/>
      <c r="D429" s="1304"/>
      <c r="E429" s="1304"/>
      <c r="F429" s="1304"/>
      <c r="G429" s="1304"/>
      <c r="H429" s="1304"/>
      <c r="I429" s="1304"/>
      <c r="J429" s="1304"/>
      <c r="K429" s="1304"/>
      <c r="L429" s="1304"/>
      <c r="M429" s="1304"/>
      <c r="N429" s="1304"/>
      <c r="O429" s="1304"/>
      <c r="P429" s="1304"/>
      <c r="Q429" s="1304"/>
      <c r="R429" s="1304"/>
      <c r="S429" s="1304"/>
      <c r="T429" s="1304"/>
      <c r="U429" s="1304"/>
      <c r="V429" s="1304"/>
      <c r="W429" s="1304"/>
      <c r="X429" s="1304"/>
      <c r="Y429" s="1304"/>
      <c r="Z429" s="1304"/>
      <c r="AA429" s="1304"/>
      <c r="AB429" s="1304"/>
      <c r="AC429" s="1304"/>
      <c r="AD429" s="1304"/>
      <c r="AE429" s="1304"/>
    </row>
    <row r="430" ht="15.0" customHeight="1">
      <c r="A430" s="1304"/>
      <c r="B430" s="1304"/>
      <c r="C430" s="1304"/>
      <c r="D430" s="1304"/>
      <c r="E430" s="1304"/>
      <c r="F430" s="1304"/>
      <c r="G430" s="1304"/>
      <c r="H430" s="1304"/>
      <c r="I430" s="1304"/>
      <c r="J430" s="1304"/>
      <c r="K430" s="1304"/>
      <c r="L430" s="1304"/>
      <c r="M430" s="1304"/>
      <c r="N430" s="1304"/>
      <c r="O430" s="1304"/>
      <c r="P430" s="1304"/>
      <c r="Q430" s="1304"/>
      <c r="R430" s="1304"/>
      <c r="S430" s="1304"/>
      <c r="T430" s="1304"/>
      <c r="U430" s="1304"/>
      <c r="V430" s="1304"/>
      <c r="W430" s="1304"/>
      <c r="X430" s="1304"/>
      <c r="Y430" s="1304"/>
      <c r="Z430" s="1304"/>
      <c r="AA430" s="1304"/>
      <c r="AB430" s="1304"/>
      <c r="AC430" s="1304"/>
      <c r="AD430" s="1304"/>
      <c r="AE430" s="1304"/>
    </row>
    <row r="431" ht="15.0" customHeight="1">
      <c r="A431" s="1304"/>
      <c r="B431" s="1304"/>
      <c r="C431" s="1304"/>
      <c r="D431" s="1304"/>
      <c r="E431" s="1304"/>
      <c r="F431" s="1304"/>
      <c r="G431" s="1304"/>
      <c r="H431" s="1304"/>
      <c r="I431" s="1304"/>
      <c r="J431" s="1304"/>
      <c r="K431" s="1304"/>
      <c r="L431" s="1304"/>
      <c r="M431" s="1304"/>
      <c r="N431" s="1304"/>
      <c r="O431" s="1304"/>
      <c r="P431" s="1304"/>
      <c r="Q431" s="1304"/>
      <c r="R431" s="1304"/>
      <c r="S431" s="1304"/>
      <c r="T431" s="1304"/>
      <c r="U431" s="1304"/>
      <c r="V431" s="1304"/>
      <c r="W431" s="1304"/>
      <c r="X431" s="1304"/>
      <c r="Y431" s="1304"/>
      <c r="Z431" s="1304"/>
      <c r="AA431" s="1304"/>
      <c r="AB431" s="1304"/>
      <c r="AC431" s="1304"/>
      <c r="AD431" s="1304"/>
      <c r="AE431" s="1304"/>
    </row>
    <row r="432" ht="15.0" customHeight="1">
      <c r="A432" s="1304"/>
      <c r="B432" s="1304"/>
      <c r="C432" s="1304"/>
      <c r="D432" s="1304"/>
      <c r="E432" s="1304"/>
      <c r="F432" s="1304"/>
      <c r="G432" s="1304"/>
      <c r="H432" s="1304"/>
      <c r="I432" s="1304"/>
      <c r="J432" s="1304"/>
      <c r="K432" s="1304"/>
      <c r="L432" s="1304"/>
      <c r="M432" s="1304"/>
      <c r="N432" s="1304"/>
      <c r="O432" s="1304"/>
      <c r="P432" s="1304"/>
      <c r="Q432" s="1304"/>
      <c r="R432" s="1304"/>
      <c r="S432" s="1304"/>
      <c r="T432" s="1304"/>
      <c r="U432" s="1304"/>
      <c r="V432" s="1304"/>
      <c r="W432" s="1304"/>
      <c r="X432" s="1304"/>
      <c r="Y432" s="1304"/>
      <c r="Z432" s="1304"/>
      <c r="AA432" s="1304"/>
      <c r="AB432" s="1304"/>
      <c r="AC432" s="1304"/>
      <c r="AD432" s="1304"/>
      <c r="AE432" s="1304"/>
    </row>
    <row r="433" ht="15.0" customHeight="1">
      <c r="A433" s="1304"/>
      <c r="B433" s="1304"/>
      <c r="C433" s="1304"/>
      <c r="D433" s="1304"/>
      <c r="E433" s="1304"/>
      <c r="F433" s="1304"/>
      <c r="G433" s="1304"/>
      <c r="H433" s="1304"/>
      <c r="I433" s="1304"/>
      <c r="J433" s="1304"/>
      <c r="K433" s="1304"/>
      <c r="L433" s="1304"/>
      <c r="M433" s="1304"/>
      <c r="N433" s="1304"/>
      <c r="O433" s="1304"/>
      <c r="P433" s="1304"/>
      <c r="Q433" s="1304"/>
      <c r="R433" s="1304"/>
      <c r="S433" s="1304"/>
      <c r="T433" s="1304"/>
      <c r="U433" s="1304"/>
      <c r="V433" s="1304"/>
      <c r="W433" s="1304"/>
      <c r="X433" s="1304"/>
      <c r="Y433" s="1304"/>
      <c r="Z433" s="1304"/>
      <c r="AA433" s="1304"/>
      <c r="AB433" s="1304"/>
      <c r="AC433" s="1304"/>
      <c r="AD433" s="1304"/>
      <c r="AE433" s="1304"/>
    </row>
    <row r="434" ht="15.0" customHeight="1">
      <c r="A434" s="1304"/>
      <c r="B434" s="1304"/>
      <c r="C434" s="1304"/>
      <c r="D434" s="1304"/>
      <c r="E434" s="1304"/>
      <c r="F434" s="1304"/>
      <c r="G434" s="1304"/>
      <c r="H434" s="1304"/>
      <c r="I434" s="1304"/>
      <c r="J434" s="1304"/>
      <c r="K434" s="1304"/>
      <c r="L434" s="1304"/>
      <c r="M434" s="1304"/>
      <c r="N434" s="1304"/>
      <c r="O434" s="1304"/>
      <c r="P434" s="1304"/>
      <c r="Q434" s="1304"/>
      <c r="R434" s="1304"/>
      <c r="S434" s="1304"/>
      <c r="T434" s="1304"/>
      <c r="U434" s="1304"/>
      <c r="V434" s="1304"/>
      <c r="W434" s="1304"/>
      <c r="X434" s="1304"/>
      <c r="Y434" s="1304"/>
      <c r="Z434" s="1304"/>
      <c r="AA434" s="1304"/>
      <c r="AB434" s="1304"/>
      <c r="AC434" s="1304"/>
      <c r="AD434" s="1304"/>
      <c r="AE434" s="1304"/>
    </row>
    <row r="435" ht="15.0" customHeight="1">
      <c r="A435" s="1304"/>
      <c r="B435" s="1304"/>
      <c r="C435" s="1304"/>
      <c r="D435" s="1304"/>
      <c r="E435" s="1304"/>
      <c r="F435" s="1304"/>
      <c r="G435" s="1304"/>
      <c r="H435" s="1304"/>
      <c r="I435" s="1304"/>
      <c r="J435" s="1304"/>
      <c r="K435" s="1304"/>
      <c r="L435" s="1304"/>
      <c r="M435" s="1304"/>
      <c r="N435" s="1304"/>
      <c r="O435" s="1304"/>
      <c r="P435" s="1304"/>
      <c r="Q435" s="1304"/>
      <c r="R435" s="1304"/>
      <c r="S435" s="1304"/>
      <c r="T435" s="1304"/>
      <c r="U435" s="1304"/>
      <c r="V435" s="1304"/>
      <c r="W435" s="1304"/>
      <c r="X435" s="1304"/>
      <c r="Y435" s="1304"/>
      <c r="Z435" s="1304"/>
      <c r="AA435" s="1304"/>
      <c r="AB435" s="1304"/>
      <c r="AC435" s="1304"/>
      <c r="AD435" s="1304"/>
      <c r="AE435" s="1304"/>
    </row>
    <row r="436" ht="15.0" customHeight="1">
      <c r="A436" s="1304"/>
      <c r="B436" s="1304"/>
      <c r="C436" s="1304"/>
      <c r="D436" s="1304"/>
      <c r="E436" s="1304"/>
      <c r="F436" s="1304"/>
      <c r="G436" s="1304"/>
      <c r="H436" s="1304"/>
      <c r="I436" s="1304"/>
      <c r="J436" s="1304"/>
      <c r="K436" s="1304"/>
      <c r="L436" s="1304"/>
      <c r="M436" s="1304"/>
      <c r="N436" s="1304"/>
      <c r="O436" s="1304"/>
      <c r="P436" s="1304"/>
      <c r="Q436" s="1304"/>
      <c r="R436" s="1304"/>
      <c r="S436" s="1304"/>
      <c r="T436" s="1304"/>
      <c r="U436" s="1304"/>
      <c r="V436" s="1304"/>
      <c r="W436" s="1304"/>
      <c r="X436" s="1304"/>
      <c r="Y436" s="1304"/>
      <c r="Z436" s="1304"/>
      <c r="AA436" s="1304"/>
      <c r="AB436" s="1304"/>
      <c r="AC436" s="1304"/>
      <c r="AD436" s="1304"/>
      <c r="AE436" s="1304"/>
    </row>
    <row r="437" ht="15.0" customHeight="1">
      <c r="A437" s="1304"/>
      <c r="B437" s="1304"/>
      <c r="C437" s="1304"/>
      <c r="D437" s="1304"/>
      <c r="E437" s="1304"/>
      <c r="F437" s="1304"/>
      <c r="G437" s="1304"/>
      <c r="H437" s="1304"/>
      <c r="I437" s="1304"/>
      <c r="J437" s="1304"/>
      <c r="K437" s="1304"/>
      <c r="L437" s="1304"/>
      <c r="M437" s="1304"/>
      <c r="N437" s="1304"/>
      <c r="O437" s="1304"/>
      <c r="P437" s="1304"/>
      <c r="Q437" s="1304"/>
      <c r="R437" s="1304"/>
      <c r="S437" s="1304"/>
      <c r="T437" s="1304"/>
      <c r="U437" s="1304"/>
      <c r="V437" s="1304"/>
      <c r="W437" s="1304"/>
      <c r="X437" s="1304"/>
      <c r="Y437" s="1304"/>
      <c r="Z437" s="1304"/>
      <c r="AA437" s="1304"/>
      <c r="AB437" s="1304"/>
      <c r="AC437" s="1304"/>
      <c r="AD437" s="1304"/>
      <c r="AE437" s="1304"/>
    </row>
    <row r="438" ht="15.0" customHeight="1">
      <c r="A438" s="1304"/>
      <c r="B438" s="1304"/>
      <c r="C438" s="1304"/>
      <c r="D438" s="1304"/>
      <c r="E438" s="1304"/>
      <c r="F438" s="1304"/>
      <c r="G438" s="1304"/>
      <c r="H438" s="1304"/>
      <c r="I438" s="1304"/>
      <c r="J438" s="1304"/>
      <c r="K438" s="1304"/>
      <c r="L438" s="1304"/>
      <c r="M438" s="1304"/>
      <c r="N438" s="1304"/>
      <c r="O438" s="1304"/>
      <c r="P438" s="1304"/>
      <c r="Q438" s="1304"/>
      <c r="R438" s="1304"/>
      <c r="S438" s="1304"/>
      <c r="T438" s="1304"/>
      <c r="U438" s="1304"/>
      <c r="V438" s="1304"/>
      <c r="W438" s="1304"/>
      <c r="X438" s="1304"/>
      <c r="Y438" s="1304"/>
      <c r="Z438" s="1304"/>
      <c r="AA438" s="1304"/>
      <c r="AB438" s="1304"/>
      <c r="AC438" s="1304"/>
      <c r="AD438" s="1304"/>
      <c r="AE438" s="1304"/>
    </row>
    <row r="439" ht="15.0" customHeight="1">
      <c r="A439" s="1304"/>
      <c r="B439" s="1304"/>
      <c r="C439" s="1304"/>
      <c r="D439" s="1304"/>
      <c r="E439" s="1304"/>
      <c r="F439" s="1304"/>
      <c r="G439" s="1304"/>
      <c r="H439" s="1304"/>
      <c r="I439" s="1304"/>
      <c r="J439" s="1304"/>
      <c r="K439" s="1304"/>
      <c r="L439" s="1304"/>
      <c r="M439" s="1304"/>
      <c r="N439" s="1304"/>
      <c r="O439" s="1304"/>
      <c r="P439" s="1304"/>
      <c r="Q439" s="1304"/>
      <c r="R439" s="1304"/>
      <c r="S439" s="1304"/>
      <c r="T439" s="1304"/>
      <c r="U439" s="1304"/>
      <c r="V439" s="1304"/>
      <c r="W439" s="1304"/>
      <c r="X439" s="1304"/>
      <c r="Y439" s="1304"/>
      <c r="Z439" s="1304"/>
      <c r="AA439" s="1304"/>
      <c r="AB439" s="1304"/>
      <c r="AC439" s="1304"/>
      <c r="AD439" s="1304"/>
      <c r="AE439" s="1304"/>
    </row>
    <row r="440" ht="15.0" customHeight="1">
      <c r="A440" s="1304"/>
      <c r="B440" s="1304"/>
      <c r="C440" s="1304"/>
      <c r="D440" s="1304"/>
      <c r="E440" s="1304"/>
      <c r="F440" s="1304"/>
      <c r="G440" s="1304"/>
      <c r="H440" s="1304"/>
      <c r="I440" s="1304"/>
      <c r="J440" s="1304"/>
      <c r="K440" s="1304"/>
      <c r="L440" s="1304"/>
      <c r="M440" s="1304"/>
      <c r="N440" s="1304"/>
      <c r="O440" s="1304"/>
      <c r="P440" s="1304"/>
      <c r="Q440" s="1304"/>
      <c r="R440" s="1304"/>
      <c r="S440" s="1304"/>
      <c r="T440" s="1304"/>
      <c r="U440" s="1304"/>
      <c r="V440" s="1304"/>
      <c r="W440" s="1304"/>
      <c r="X440" s="1304"/>
      <c r="Y440" s="1304"/>
      <c r="Z440" s="1304"/>
      <c r="AA440" s="1304"/>
      <c r="AB440" s="1304"/>
      <c r="AC440" s="1304"/>
      <c r="AD440" s="1304"/>
      <c r="AE440" s="1304"/>
    </row>
    <row r="441" ht="15.0" customHeight="1">
      <c r="A441" s="1304"/>
      <c r="B441" s="1304"/>
      <c r="C441" s="1304"/>
      <c r="D441" s="1304"/>
      <c r="E441" s="1304"/>
      <c r="F441" s="1304"/>
      <c r="G441" s="1304"/>
      <c r="H441" s="1304"/>
      <c r="I441" s="1304"/>
      <c r="J441" s="1304"/>
      <c r="K441" s="1304"/>
      <c r="L441" s="1304"/>
      <c r="M441" s="1304"/>
      <c r="N441" s="1304"/>
      <c r="O441" s="1304"/>
      <c r="P441" s="1304"/>
      <c r="Q441" s="1304"/>
      <c r="R441" s="1304"/>
      <c r="S441" s="1304"/>
      <c r="T441" s="1304"/>
      <c r="U441" s="1304"/>
      <c r="V441" s="1304"/>
      <c r="W441" s="1304"/>
      <c r="X441" s="1304"/>
      <c r="Y441" s="1304"/>
      <c r="Z441" s="1304"/>
      <c r="AA441" s="1304"/>
      <c r="AB441" s="1304"/>
      <c r="AC441" s="1304"/>
      <c r="AD441" s="1304"/>
      <c r="AE441" s="1304"/>
    </row>
    <row r="442" ht="15.0" customHeight="1">
      <c r="A442" s="1304"/>
      <c r="B442" s="1304"/>
      <c r="C442" s="1304"/>
      <c r="D442" s="1304"/>
      <c r="E442" s="1304"/>
      <c r="F442" s="1304"/>
      <c r="G442" s="1304"/>
      <c r="H442" s="1304"/>
      <c r="I442" s="1304"/>
      <c r="J442" s="1304"/>
      <c r="K442" s="1304"/>
      <c r="L442" s="1304"/>
      <c r="M442" s="1304"/>
      <c r="N442" s="1304"/>
      <c r="O442" s="1304"/>
      <c r="P442" s="1304"/>
      <c r="Q442" s="1304"/>
      <c r="R442" s="1304"/>
      <c r="S442" s="1304"/>
      <c r="T442" s="1304"/>
      <c r="U442" s="1304"/>
      <c r="V442" s="1304"/>
      <c r="W442" s="1304"/>
      <c r="X442" s="1304"/>
      <c r="Y442" s="1304"/>
      <c r="Z442" s="1304"/>
      <c r="AA442" s="1304"/>
      <c r="AB442" s="1304"/>
      <c r="AC442" s="1304"/>
      <c r="AD442" s="1304"/>
      <c r="AE442" s="1304"/>
    </row>
    <row r="443" ht="15.0" customHeight="1">
      <c r="A443" s="1304"/>
      <c r="B443" s="1304"/>
      <c r="C443" s="1304"/>
      <c r="D443" s="1304"/>
      <c r="E443" s="1304"/>
      <c r="F443" s="1304"/>
      <c r="G443" s="1304"/>
      <c r="H443" s="1304"/>
      <c r="I443" s="1304"/>
      <c r="J443" s="1304"/>
      <c r="K443" s="1304"/>
      <c r="L443" s="1304"/>
      <c r="M443" s="1304"/>
      <c r="N443" s="1304"/>
      <c r="O443" s="1304"/>
      <c r="P443" s="1304"/>
      <c r="Q443" s="1304"/>
      <c r="R443" s="1304"/>
      <c r="S443" s="1304"/>
      <c r="T443" s="1304"/>
      <c r="U443" s="1304"/>
      <c r="V443" s="1304"/>
      <c r="W443" s="1304"/>
      <c r="X443" s="1304"/>
      <c r="Y443" s="1304"/>
      <c r="Z443" s="1304"/>
      <c r="AA443" s="1304"/>
      <c r="AB443" s="1304"/>
      <c r="AC443" s="1304"/>
      <c r="AD443" s="1304"/>
      <c r="AE443" s="1304"/>
    </row>
    <row r="444" ht="15.0" customHeight="1">
      <c r="A444" s="1304"/>
      <c r="B444" s="1304"/>
      <c r="C444" s="1304"/>
      <c r="D444" s="1304"/>
      <c r="E444" s="1304"/>
      <c r="F444" s="1304"/>
      <c r="G444" s="1304"/>
      <c r="H444" s="1304"/>
      <c r="I444" s="1304"/>
      <c r="J444" s="1304"/>
      <c r="K444" s="1304"/>
      <c r="L444" s="1304"/>
      <c r="M444" s="1304"/>
      <c r="N444" s="1304"/>
      <c r="O444" s="1304"/>
      <c r="P444" s="1304"/>
      <c r="Q444" s="1304"/>
      <c r="R444" s="1304"/>
      <c r="S444" s="1304"/>
      <c r="T444" s="1304"/>
      <c r="U444" s="1304"/>
      <c r="V444" s="1304"/>
      <c r="W444" s="1304"/>
      <c r="X444" s="1304"/>
      <c r="Y444" s="1304"/>
      <c r="Z444" s="1304"/>
      <c r="AA444" s="1304"/>
      <c r="AB444" s="1304"/>
      <c r="AC444" s="1304"/>
      <c r="AD444" s="1304"/>
      <c r="AE444" s="1304"/>
    </row>
    <row r="445" ht="15.0" customHeight="1">
      <c r="A445" s="1304"/>
      <c r="B445" s="1304"/>
      <c r="C445" s="1304"/>
      <c r="D445" s="1304"/>
      <c r="E445" s="1304"/>
      <c r="F445" s="1304"/>
      <c r="G445" s="1304"/>
      <c r="H445" s="1304"/>
      <c r="I445" s="1304"/>
      <c r="J445" s="1304"/>
      <c r="K445" s="1304"/>
      <c r="L445" s="1304"/>
      <c r="M445" s="1304"/>
      <c r="N445" s="1304"/>
      <c r="O445" s="1304"/>
      <c r="P445" s="1304"/>
      <c r="Q445" s="1304"/>
      <c r="R445" s="1304"/>
      <c r="S445" s="1304"/>
      <c r="T445" s="1304"/>
      <c r="U445" s="1304"/>
      <c r="V445" s="1304"/>
      <c r="W445" s="1304"/>
      <c r="X445" s="1304"/>
      <c r="Y445" s="1304"/>
      <c r="Z445" s="1304"/>
      <c r="AA445" s="1304"/>
      <c r="AB445" s="1304"/>
      <c r="AC445" s="1304"/>
      <c r="AD445" s="1304"/>
      <c r="AE445" s="1304"/>
    </row>
    <row r="446" ht="15.0" customHeight="1">
      <c r="A446" s="1304"/>
      <c r="B446" s="1304"/>
      <c r="C446" s="1304"/>
      <c r="D446" s="1304"/>
      <c r="E446" s="1304"/>
      <c r="F446" s="1304"/>
      <c r="G446" s="1304"/>
      <c r="H446" s="1304"/>
      <c r="I446" s="1304"/>
      <c r="J446" s="1304"/>
      <c r="K446" s="1304"/>
      <c r="L446" s="1304"/>
      <c r="M446" s="1304"/>
      <c r="N446" s="1304"/>
      <c r="O446" s="1304"/>
      <c r="P446" s="1304"/>
      <c r="Q446" s="1304"/>
      <c r="R446" s="1304"/>
      <c r="S446" s="1304"/>
      <c r="T446" s="1304"/>
      <c r="U446" s="1304"/>
      <c r="V446" s="1304"/>
      <c r="W446" s="1304"/>
      <c r="X446" s="1304"/>
      <c r="Y446" s="1304"/>
      <c r="Z446" s="1304"/>
      <c r="AA446" s="1304"/>
      <c r="AB446" s="1304"/>
      <c r="AC446" s="1304"/>
      <c r="AD446" s="1304"/>
      <c r="AE446" s="1304"/>
    </row>
    <row r="447" ht="15.0" customHeight="1">
      <c r="A447" s="1304"/>
      <c r="B447" s="1304"/>
      <c r="C447" s="1304"/>
      <c r="D447" s="1304"/>
      <c r="E447" s="1304"/>
      <c r="F447" s="1304"/>
      <c r="G447" s="1304"/>
      <c r="H447" s="1304"/>
      <c r="I447" s="1304"/>
      <c r="J447" s="1304"/>
      <c r="K447" s="1304"/>
      <c r="L447" s="1304"/>
      <c r="M447" s="1304"/>
      <c r="N447" s="1304"/>
      <c r="O447" s="1304"/>
      <c r="P447" s="1304"/>
      <c r="Q447" s="1304"/>
      <c r="R447" s="1304"/>
      <c r="S447" s="1304"/>
      <c r="T447" s="1304"/>
      <c r="U447" s="1304"/>
      <c r="V447" s="1304"/>
      <c r="W447" s="1304"/>
      <c r="X447" s="1304"/>
      <c r="Y447" s="1304"/>
      <c r="Z447" s="1304"/>
      <c r="AA447" s="1304"/>
      <c r="AB447" s="1304"/>
      <c r="AC447" s="1304"/>
      <c r="AD447" s="1304"/>
      <c r="AE447" s="1304"/>
    </row>
    <row r="448" ht="15.0" customHeight="1">
      <c r="A448" s="1304"/>
      <c r="B448" s="1304"/>
      <c r="C448" s="1304"/>
      <c r="D448" s="1304"/>
      <c r="E448" s="1304"/>
      <c r="F448" s="1304"/>
      <c r="G448" s="1304"/>
      <c r="H448" s="1304"/>
      <c r="I448" s="1304"/>
      <c r="J448" s="1304"/>
      <c r="K448" s="1304"/>
      <c r="L448" s="1304"/>
      <c r="M448" s="1304"/>
      <c r="N448" s="1304"/>
      <c r="O448" s="1304"/>
      <c r="P448" s="1304"/>
      <c r="Q448" s="1304"/>
      <c r="R448" s="1304"/>
      <c r="S448" s="1304"/>
      <c r="T448" s="1304"/>
      <c r="U448" s="1304"/>
      <c r="V448" s="1304"/>
      <c r="W448" s="1304"/>
      <c r="X448" s="1304"/>
      <c r="Y448" s="1304"/>
      <c r="Z448" s="1304"/>
      <c r="AA448" s="1304"/>
      <c r="AB448" s="1304"/>
      <c r="AC448" s="1304"/>
      <c r="AD448" s="1304"/>
      <c r="AE448" s="1304"/>
    </row>
    <row r="449" ht="15.0" customHeight="1">
      <c r="A449" s="1304"/>
      <c r="B449" s="1304"/>
      <c r="C449" s="1304"/>
      <c r="D449" s="1304"/>
      <c r="E449" s="1304"/>
      <c r="F449" s="1304"/>
      <c r="G449" s="1304"/>
      <c r="H449" s="1304"/>
      <c r="I449" s="1304"/>
      <c r="J449" s="1304"/>
      <c r="K449" s="1304"/>
      <c r="L449" s="1304"/>
      <c r="M449" s="1304"/>
      <c r="N449" s="1304"/>
      <c r="O449" s="1304"/>
      <c r="P449" s="1304"/>
      <c r="Q449" s="1304"/>
      <c r="R449" s="1304"/>
      <c r="S449" s="1304"/>
      <c r="T449" s="1304"/>
      <c r="U449" s="1304"/>
      <c r="V449" s="1304"/>
      <c r="W449" s="1304"/>
      <c r="X449" s="1304"/>
      <c r="Y449" s="1304"/>
      <c r="Z449" s="1304"/>
      <c r="AA449" s="1304"/>
      <c r="AB449" s="1304"/>
      <c r="AC449" s="1304"/>
      <c r="AD449" s="1304"/>
      <c r="AE449" s="1304"/>
    </row>
    <row r="450" ht="15.0" customHeight="1">
      <c r="A450" s="1304"/>
      <c r="B450" s="1304"/>
      <c r="C450" s="1304"/>
      <c r="D450" s="1304"/>
      <c r="E450" s="1304"/>
      <c r="F450" s="1304"/>
      <c r="G450" s="1304"/>
      <c r="H450" s="1304"/>
      <c r="I450" s="1304"/>
      <c r="J450" s="1304"/>
      <c r="K450" s="1304"/>
      <c r="L450" s="1304"/>
      <c r="M450" s="1304"/>
      <c r="N450" s="1304"/>
      <c r="O450" s="1304"/>
      <c r="P450" s="1304"/>
      <c r="Q450" s="1304"/>
      <c r="R450" s="1304"/>
      <c r="S450" s="1304"/>
      <c r="T450" s="1304"/>
      <c r="U450" s="1304"/>
      <c r="V450" s="1304"/>
      <c r="W450" s="1304"/>
      <c r="X450" s="1304"/>
      <c r="Y450" s="1304"/>
      <c r="Z450" s="1304"/>
      <c r="AA450" s="1304"/>
      <c r="AB450" s="1304"/>
      <c r="AC450" s="1304"/>
      <c r="AD450" s="1304"/>
      <c r="AE450" s="1304"/>
    </row>
    <row r="451" ht="15.0" customHeight="1">
      <c r="A451" s="1304"/>
      <c r="B451" s="1304"/>
      <c r="C451" s="1304"/>
      <c r="D451" s="1304"/>
      <c r="E451" s="1304"/>
      <c r="F451" s="1304"/>
      <c r="G451" s="1304"/>
      <c r="H451" s="1304"/>
      <c r="I451" s="1304"/>
      <c r="J451" s="1304"/>
      <c r="K451" s="1304"/>
      <c r="L451" s="1304"/>
      <c r="M451" s="1304"/>
      <c r="N451" s="1304"/>
      <c r="O451" s="1304"/>
      <c r="P451" s="1304"/>
      <c r="Q451" s="1304"/>
      <c r="R451" s="1304"/>
      <c r="S451" s="1304"/>
      <c r="T451" s="1304"/>
      <c r="U451" s="1304"/>
      <c r="V451" s="1304"/>
      <c r="W451" s="1304"/>
      <c r="X451" s="1304"/>
      <c r="Y451" s="1304"/>
      <c r="Z451" s="1304"/>
      <c r="AA451" s="1304"/>
      <c r="AB451" s="1304"/>
      <c r="AC451" s="1304"/>
      <c r="AD451" s="1304"/>
      <c r="AE451" s="1304"/>
    </row>
    <row r="452" ht="15.0" customHeight="1">
      <c r="A452" s="1304"/>
      <c r="B452" s="1304"/>
      <c r="C452" s="1304"/>
      <c r="D452" s="1304"/>
      <c r="E452" s="1304"/>
      <c r="F452" s="1304"/>
      <c r="G452" s="1304"/>
      <c r="H452" s="1304"/>
      <c r="I452" s="1304"/>
      <c r="J452" s="1304"/>
      <c r="K452" s="1304"/>
      <c r="L452" s="1304"/>
      <c r="M452" s="1304"/>
      <c r="N452" s="1304"/>
      <c r="O452" s="1304"/>
      <c r="P452" s="1304"/>
      <c r="Q452" s="1304"/>
      <c r="R452" s="1304"/>
      <c r="S452" s="1304"/>
      <c r="T452" s="1304"/>
      <c r="U452" s="1304"/>
      <c r="V452" s="1304"/>
      <c r="W452" s="1304"/>
      <c r="X452" s="1304"/>
      <c r="Y452" s="1304"/>
      <c r="Z452" s="1304"/>
      <c r="AA452" s="1304"/>
      <c r="AB452" s="1304"/>
      <c r="AC452" s="1304"/>
      <c r="AD452" s="1304"/>
      <c r="AE452" s="1304"/>
    </row>
    <row r="453" ht="15.0" customHeight="1">
      <c r="A453" s="1304"/>
      <c r="B453" s="1304"/>
      <c r="C453" s="1304"/>
      <c r="D453" s="1304"/>
      <c r="E453" s="1304"/>
      <c r="F453" s="1304"/>
      <c r="G453" s="1304"/>
      <c r="H453" s="1304"/>
      <c r="I453" s="1304"/>
      <c r="J453" s="1304"/>
      <c r="K453" s="1304"/>
      <c r="L453" s="1304"/>
      <c r="M453" s="1304"/>
      <c r="N453" s="1304"/>
      <c r="O453" s="1304"/>
      <c r="P453" s="1304"/>
      <c r="Q453" s="1304"/>
      <c r="R453" s="1304"/>
      <c r="S453" s="1304"/>
      <c r="T453" s="1304"/>
      <c r="U453" s="1304"/>
      <c r="V453" s="1304"/>
      <c r="W453" s="1304"/>
      <c r="X453" s="1304"/>
      <c r="Y453" s="1304"/>
      <c r="Z453" s="1304"/>
      <c r="AA453" s="1304"/>
      <c r="AB453" s="1304"/>
      <c r="AC453" s="1304"/>
      <c r="AD453" s="1304"/>
      <c r="AE453" s="1304"/>
    </row>
    <row r="454" ht="15.0" customHeight="1">
      <c r="A454" s="1304"/>
      <c r="B454" s="1304"/>
      <c r="C454" s="1304"/>
      <c r="D454" s="1304"/>
      <c r="E454" s="1304"/>
      <c r="F454" s="1304"/>
      <c r="G454" s="1304"/>
      <c r="H454" s="1304"/>
      <c r="I454" s="1304"/>
      <c r="J454" s="1304"/>
      <c r="K454" s="1304"/>
      <c r="L454" s="1304"/>
      <c r="M454" s="1304"/>
      <c r="N454" s="1304"/>
      <c r="O454" s="1304"/>
      <c r="P454" s="1304"/>
      <c r="Q454" s="1304"/>
      <c r="R454" s="1304"/>
      <c r="S454" s="1304"/>
      <c r="T454" s="1304"/>
      <c r="U454" s="1304"/>
      <c r="V454" s="1304"/>
      <c r="W454" s="1304"/>
      <c r="X454" s="1304"/>
      <c r="Y454" s="1304"/>
      <c r="Z454" s="1304"/>
      <c r="AA454" s="1304"/>
      <c r="AB454" s="1304"/>
      <c r="AC454" s="1304"/>
      <c r="AD454" s="1304"/>
      <c r="AE454" s="1304"/>
    </row>
    <row r="455" ht="15.0" customHeight="1">
      <c r="A455" s="1304"/>
      <c r="B455" s="1304"/>
      <c r="C455" s="1304"/>
      <c r="D455" s="1304"/>
      <c r="E455" s="1304"/>
      <c r="F455" s="1304"/>
      <c r="G455" s="1304"/>
      <c r="H455" s="1304"/>
      <c r="I455" s="1304"/>
      <c r="J455" s="1304"/>
      <c r="K455" s="1304"/>
      <c r="L455" s="1304"/>
      <c r="M455" s="1304"/>
      <c r="N455" s="1304"/>
      <c r="O455" s="1304"/>
      <c r="P455" s="1304"/>
      <c r="Q455" s="1304"/>
      <c r="R455" s="1304"/>
      <c r="S455" s="1304"/>
      <c r="T455" s="1304"/>
      <c r="U455" s="1304"/>
      <c r="V455" s="1304"/>
      <c r="W455" s="1304"/>
      <c r="X455" s="1304"/>
      <c r="Y455" s="1304"/>
      <c r="Z455" s="1304"/>
      <c r="AA455" s="1304"/>
      <c r="AB455" s="1304"/>
      <c r="AC455" s="1304"/>
      <c r="AD455" s="1304"/>
      <c r="AE455" s="1304"/>
    </row>
    <row r="456" ht="15.0" customHeight="1">
      <c r="A456" s="1304"/>
      <c r="B456" s="1304"/>
      <c r="C456" s="1304"/>
      <c r="D456" s="1304"/>
      <c r="E456" s="1304"/>
      <c r="F456" s="1304"/>
      <c r="G456" s="1304"/>
      <c r="H456" s="1304"/>
      <c r="I456" s="1304"/>
      <c r="J456" s="1304"/>
      <c r="K456" s="1304"/>
      <c r="L456" s="1304"/>
      <c r="M456" s="1304"/>
      <c r="N456" s="1304"/>
      <c r="O456" s="1304"/>
      <c r="P456" s="1304"/>
      <c r="Q456" s="1304"/>
      <c r="R456" s="1304"/>
      <c r="S456" s="1304"/>
      <c r="T456" s="1304"/>
      <c r="U456" s="1304"/>
      <c r="V456" s="1304"/>
      <c r="W456" s="1304"/>
      <c r="X456" s="1304"/>
      <c r="Y456" s="1304"/>
      <c r="Z456" s="1304"/>
      <c r="AA456" s="1304"/>
      <c r="AB456" s="1304"/>
      <c r="AC456" s="1304"/>
      <c r="AD456" s="1304"/>
      <c r="AE456" s="1304"/>
    </row>
    <row r="457" ht="15.0" customHeight="1">
      <c r="A457" s="1304"/>
      <c r="B457" s="1304"/>
      <c r="C457" s="1304"/>
      <c r="D457" s="1304"/>
      <c r="E457" s="1304"/>
      <c r="F457" s="1304"/>
      <c r="G457" s="1304"/>
      <c r="H457" s="1304"/>
      <c r="I457" s="1304"/>
      <c r="J457" s="1304"/>
      <c r="K457" s="1304"/>
      <c r="L457" s="1304"/>
      <c r="M457" s="1304"/>
      <c r="N457" s="1304"/>
      <c r="O457" s="1304"/>
      <c r="P457" s="1304"/>
      <c r="Q457" s="1304"/>
      <c r="R457" s="1304"/>
      <c r="S457" s="1304"/>
      <c r="T457" s="1304"/>
      <c r="U457" s="1304"/>
      <c r="V457" s="1304"/>
      <c r="W457" s="1304"/>
      <c r="X457" s="1304"/>
      <c r="Y457" s="1304"/>
      <c r="Z457" s="1304"/>
      <c r="AA457" s="1304"/>
      <c r="AB457" s="1304"/>
      <c r="AC457" s="1304"/>
      <c r="AD457" s="1304"/>
      <c r="AE457" s="1304"/>
    </row>
    <row r="458" ht="15.0" customHeight="1">
      <c r="A458" s="1304"/>
      <c r="B458" s="1304"/>
      <c r="C458" s="1304"/>
      <c r="D458" s="1304"/>
      <c r="E458" s="1304"/>
      <c r="F458" s="1304"/>
      <c r="G458" s="1304"/>
      <c r="H458" s="1304"/>
      <c r="I458" s="1304"/>
      <c r="J458" s="1304"/>
      <c r="K458" s="1304"/>
      <c r="L458" s="1304"/>
      <c r="M458" s="1304"/>
      <c r="N458" s="1304"/>
      <c r="O458" s="1304"/>
      <c r="P458" s="1304"/>
      <c r="Q458" s="1304"/>
      <c r="R458" s="1304"/>
      <c r="S458" s="1304"/>
      <c r="T458" s="1304"/>
      <c r="U458" s="1304"/>
      <c r="V458" s="1304"/>
      <c r="W458" s="1304"/>
      <c r="X458" s="1304"/>
      <c r="Y458" s="1304"/>
      <c r="Z458" s="1304"/>
      <c r="AA458" s="1304"/>
      <c r="AB458" s="1304"/>
      <c r="AC458" s="1304"/>
      <c r="AD458" s="1304"/>
      <c r="AE458" s="1304"/>
    </row>
    <row r="459" ht="15.0" customHeight="1">
      <c r="A459" s="1304"/>
      <c r="B459" s="1304"/>
      <c r="C459" s="1304"/>
      <c r="D459" s="1304"/>
      <c r="E459" s="1304"/>
      <c r="F459" s="1304"/>
      <c r="G459" s="1304"/>
      <c r="H459" s="1304"/>
      <c r="I459" s="1304"/>
      <c r="J459" s="1304"/>
      <c r="K459" s="1304"/>
      <c r="L459" s="1304"/>
      <c r="M459" s="1304"/>
      <c r="N459" s="1304"/>
      <c r="O459" s="1304"/>
      <c r="P459" s="1304"/>
      <c r="Q459" s="1304"/>
      <c r="R459" s="1304"/>
      <c r="S459" s="1304"/>
      <c r="T459" s="1304"/>
      <c r="U459" s="1304"/>
      <c r="V459" s="1304"/>
      <c r="W459" s="1304"/>
      <c r="X459" s="1304"/>
      <c r="Y459" s="1304"/>
      <c r="Z459" s="1304"/>
      <c r="AA459" s="1304"/>
      <c r="AB459" s="1304"/>
      <c r="AC459" s="1304"/>
      <c r="AD459" s="1304"/>
      <c r="AE459" s="1304"/>
    </row>
    <row r="460" ht="15.0" customHeight="1">
      <c r="A460" s="1304"/>
      <c r="B460" s="1304"/>
      <c r="C460" s="1304"/>
      <c r="D460" s="1304"/>
      <c r="E460" s="1304"/>
      <c r="F460" s="1304"/>
      <c r="G460" s="1304"/>
      <c r="H460" s="1304"/>
      <c r="I460" s="1304"/>
      <c r="J460" s="1304"/>
      <c r="K460" s="1304"/>
      <c r="L460" s="1304"/>
      <c r="M460" s="1304"/>
      <c r="N460" s="1304"/>
      <c r="O460" s="1304"/>
      <c r="P460" s="1304"/>
      <c r="Q460" s="1304"/>
      <c r="R460" s="1304"/>
      <c r="S460" s="1304"/>
      <c r="T460" s="1304"/>
      <c r="U460" s="1304"/>
      <c r="V460" s="1304"/>
      <c r="W460" s="1304"/>
      <c r="X460" s="1304"/>
      <c r="Y460" s="1304"/>
      <c r="Z460" s="1304"/>
      <c r="AA460" s="1304"/>
      <c r="AB460" s="1304"/>
      <c r="AC460" s="1304"/>
      <c r="AD460" s="1304"/>
      <c r="AE460" s="1304"/>
    </row>
    <row r="461" ht="15.0" customHeight="1">
      <c r="A461" s="1304"/>
      <c r="B461" s="1304"/>
      <c r="C461" s="1304"/>
      <c r="D461" s="1304"/>
      <c r="E461" s="1304"/>
      <c r="F461" s="1304"/>
      <c r="G461" s="1304"/>
      <c r="H461" s="1304"/>
      <c r="I461" s="1304"/>
      <c r="J461" s="1304"/>
      <c r="K461" s="1304"/>
      <c r="L461" s="1304"/>
      <c r="M461" s="1304"/>
      <c r="N461" s="1304"/>
      <c r="O461" s="1304"/>
      <c r="P461" s="1304"/>
      <c r="Q461" s="1304"/>
      <c r="R461" s="1304"/>
      <c r="S461" s="1304"/>
      <c r="T461" s="1304"/>
      <c r="U461" s="1304"/>
      <c r="V461" s="1304"/>
      <c r="W461" s="1304"/>
      <c r="X461" s="1304"/>
      <c r="Y461" s="1304"/>
      <c r="Z461" s="1304"/>
      <c r="AA461" s="1304"/>
      <c r="AB461" s="1304"/>
      <c r="AC461" s="1304"/>
      <c r="AD461" s="1304"/>
      <c r="AE461" s="1304"/>
    </row>
    <row r="462" ht="15.0" customHeight="1">
      <c r="A462" s="1304"/>
      <c r="B462" s="1304"/>
      <c r="C462" s="1304"/>
      <c r="D462" s="1304"/>
      <c r="E462" s="1304"/>
      <c r="F462" s="1304"/>
      <c r="G462" s="1304"/>
      <c r="H462" s="1304"/>
      <c r="I462" s="1304"/>
      <c r="J462" s="1304"/>
      <c r="K462" s="1304"/>
      <c r="L462" s="1304"/>
      <c r="M462" s="1304"/>
      <c r="N462" s="1304"/>
      <c r="O462" s="1304"/>
      <c r="P462" s="1304"/>
      <c r="Q462" s="1304"/>
      <c r="R462" s="1304"/>
      <c r="S462" s="1304"/>
      <c r="T462" s="1304"/>
      <c r="U462" s="1304"/>
      <c r="V462" s="1304"/>
      <c r="W462" s="1304"/>
      <c r="X462" s="1304"/>
      <c r="Y462" s="1304"/>
      <c r="Z462" s="1304"/>
      <c r="AA462" s="1304"/>
      <c r="AB462" s="1304"/>
      <c r="AC462" s="1304"/>
      <c r="AD462" s="1304"/>
      <c r="AE462" s="1304"/>
    </row>
    <row r="463" ht="15.0" customHeight="1">
      <c r="A463" s="1304"/>
      <c r="B463" s="1304"/>
      <c r="C463" s="1304"/>
      <c r="D463" s="1304"/>
      <c r="E463" s="1304"/>
      <c r="F463" s="1304"/>
      <c r="G463" s="1304"/>
      <c r="H463" s="1304"/>
      <c r="I463" s="1304"/>
      <c r="J463" s="1304"/>
      <c r="K463" s="1304"/>
      <c r="L463" s="1304"/>
      <c r="M463" s="1304"/>
      <c r="N463" s="1304"/>
      <c r="O463" s="1304"/>
      <c r="P463" s="1304"/>
      <c r="Q463" s="1304"/>
      <c r="R463" s="1304"/>
      <c r="S463" s="1304"/>
      <c r="T463" s="1304"/>
      <c r="U463" s="1304"/>
      <c r="V463" s="1304"/>
      <c r="W463" s="1304"/>
      <c r="X463" s="1304"/>
      <c r="Y463" s="1304"/>
      <c r="Z463" s="1304"/>
      <c r="AA463" s="1304"/>
      <c r="AB463" s="1304"/>
      <c r="AC463" s="1304"/>
      <c r="AD463" s="1304"/>
      <c r="AE463" s="1304"/>
    </row>
    <row r="464" ht="15.0" customHeight="1">
      <c r="A464" s="1304"/>
      <c r="B464" s="1304"/>
      <c r="C464" s="1304"/>
      <c r="D464" s="1304"/>
      <c r="E464" s="1304"/>
      <c r="F464" s="1304"/>
      <c r="G464" s="1304"/>
      <c r="H464" s="1304"/>
      <c r="I464" s="1304"/>
      <c r="J464" s="1304"/>
      <c r="K464" s="1304"/>
      <c r="L464" s="1304"/>
      <c r="M464" s="1304"/>
      <c r="N464" s="1304"/>
      <c r="O464" s="1304"/>
      <c r="P464" s="1304"/>
      <c r="Q464" s="1304"/>
      <c r="R464" s="1304"/>
      <c r="S464" s="1304"/>
      <c r="T464" s="1304"/>
      <c r="U464" s="1304"/>
      <c r="V464" s="1304"/>
      <c r="W464" s="1304"/>
      <c r="X464" s="1304"/>
      <c r="Y464" s="1304"/>
      <c r="Z464" s="1304"/>
      <c r="AA464" s="1304"/>
      <c r="AB464" s="1304"/>
      <c r="AC464" s="1304"/>
      <c r="AD464" s="1304"/>
      <c r="AE464" s="1304"/>
    </row>
    <row r="465" ht="15.0" customHeight="1">
      <c r="A465" s="1304"/>
      <c r="B465" s="1304"/>
      <c r="C465" s="1304"/>
      <c r="D465" s="1304"/>
      <c r="E465" s="1304"/>
      <c r="F465" s="1304"/>
      <c r="G465" s="1304"/>
      <c r="H465" s="1304"/>
      <c r="I465" s="1304"/>
      <c r="J465" s="1304"/>
      <c r="K465" s="1304"/>
      <c r="L465" s="1304"/>
      <c r="M465" s="1304"/>
      <c r="N465" s="1304"/>
      <c r="O465" s="1304"/>
      <c r="P465" s="1304"/>
      <c r="Q465" s="1304"/>
      <c r="R465" s="1304"/>
      <c r="S465" s="1304"/>
      <c r="T465" s="1304"/>
      <c r="U465" s="1304"/>
      <c r="V465" s="1304"/>
      <c r="W465" s="1304"/>
      <c r="X465" s="1304"/>
      <c r="Y465" s="1304"/>
      <c r="Z465" s="1304"/>
      <c r="AA465" s="1304"/>
      <c r="AB465" s="1304"/>
      <c r="AC465" s="1304"/>
      <c r="AD465" s="1304"/>
      <c r="AE465" s="1304"/>
    </row>
    <row r="466" ht="15.0" customHeight="1">
      <c r="A466" s="1304"/>
      <c r="B466" s="1304"/>
      <c r="C466" s="1304"/>
      <c r="D466" s="1304"/>
      <c r="E466" s="1304"/>
      <c r="F466" s="1304"/>
      <c r="G466" s="1304"/>
      <c r="H466" s="1304"/>
      <c r="I466" s="1304"/>
      <c r="J466" s="1304"/>
      <c r="K466" s="1304"/>
      <c r="L466" s="1304"/>
      <c r="M466" s="1304"/>
      <c r="N466" s="1304"/>
      <c r="O466" s="1304"/>
      <c r="P466" s="1304"/>
      <c r="Q466" s="1304"/>
      <c r="R466" s="1304"/>
      <c r="S466" s="1304"/>
      <c r="T466" s="1304"/>
      <c r="U466" s="1304"/>
      <c r="V466" s="1304"/>
      <c r="W466" s="1304"/>
      <c r="X466" s="1304"/>
      <c r="Y466" s="1304"/>
      <c r="Z466" s="1304"/>
      <c r="AA466" s="1304"/>
      <c r="AB466" s="1304"/>
      <c r="AC466" s="1304"/>
      <c r="AD466" s="1304"/>
      <c r="AE466" s="1304"/>
    </row>
    <row r="467" ht="15.0" customHeight="1">
      <c r="A467" s="1304"/>
      <c r="B467" s="1304"/>
      <c r="C467" s="1304"/>
      <c r="D467" s="1304"/>
      <c r="E467" s="1304"/>
      <c r="F467" s="1304"/>
      <c r="G467" s="1304"/>
      <c r="H467" s="1304"/>
      <c r="I467" s="1304"/>
      <c r="J467" s="1304"/>
      <c r="K467" s="1304"/>
      <c r="L467" s="1304"/>
      <c r="M467" s="1304"/>
      <c r="N467" s="1304"/>
      <c r="O467" s="1304"/>
      <c r="P467" s="1304"/>
      <c r="Q467" s="1304"/>
      <c r="R467" s="1304"/>
      <c r="S467" s="1304"/>
      <c r="T467" s="1304"/>
      <c r="U467" s="1304"/>
      <c r="V467" s="1304"/>
      <c r="W467" s="1304"/>
      <c r="X467" s="1304"/>
      <c r="Y467" s="1304"/>
      <c r="Z467" s="1304"/>
      <c r="AA467" s="1304"/>
      <c r="AB467" s="1304"/>
      <c r="AC467" s="1304"/>
      <c r="AD467" s="1304"/>
      <c r="AE467" s="1304"/>
    </row>
    <row r="468" ht="15.0" customHeight="1">
      <c r="A468" s="1304"/>
      <c r="B468" s="1304"/>
      <c r="C468" s="1304"/>
      <c r="D468" s="1304"/>
      <c r="E468" s="1304"/>
      <c r="F468" s="1304"/>
      <c r="G468" s="1304"/>
      <c r="H468" s="1304"/>
      <c r="I468" s="1304"/>
      <c r="J468" s="1304"/>
      <c r="K468" s="1304"/>
      <c r="L468" s="1304"/>
      <c r="M468" s="1304"/>
      <c r="N468" s="1304"/>
      <c r="O468" s="1304"/>
      <c r="P468" s="1304"/>
      <c r="Q468" s="1304"/>
      <c r="R468" s="1304"/>
      <c r="S468" s="1304"/>
      <c r="T468" s="1304"/>
      <c r="U468" s="1304"/>
      <c r="V468" s="1304"/>
      <c r="W468" s="1304"/>
      <c r="X468" s="1304"/>
      <c r="Y468" s="1304"/>
      <c r="Z468" s="1304"/>
      <c r="AA468" s="1304"/>
      <c r="AB468" s="1304"/>
      <c r="AC468" s="1304"/>
      <c r="AD468" s="1304"/>
      <c r="AE468" s="1304"/>
    </row>
    <row r="469" ht="15.0" customHeight="1">
      <c r="A469" s="1304"/>
      <c r="B469" s="1304"/>
      <c r="C469" s="1304"/>
      <c r="D469" s="1304"/>
      <c r="E469" s="1304"/>
      <c r="F469" s="1304"/>
      <c r="G469" s="1304"/>
      <c r="H469" s="1304"/>
      <c r="I469" s="1304"/>
      <c r="J469" s="1304"/>
      <c r="K469" s="1304"/>
      <c r="L469" s="1304"/>
      <c r="M469" s="1304"/>
      <c r="N469" s="1304"/>
      <c r="O469" s="1304"/>
      <c r="P469" s="1304"/>
      <c r="Q469" s="1304"/>
      <c r="R469" s="1304"/>
      <c r="S469" s="1304"/>
      <c r="T469" s="1304"/>
      <c r="U469" s="1304"/>
      <c r="V469" s="1304"/>
      <c r="W469" s="1304"/>
      <c r="X469" s="1304"/>
      <c r="Y469" s="1304"/>
      <c r="Z469" s="1304"/>
      <c r="AA469" s="1304"/>
      <c r="AB469" s="1304"/>
      <c r="AC469" s="1304"/>
      <c r="AD469" s="1304"/>
      <c r="AE469" s="1304"/>
    </row>
    <row r="470" ht="15.0" customHeight="1">
      <c r="A470" s="1304"/>
      <c r="B470" s="1304"/>
      <c r="C470" s="1304"/>
      <c r="D470" s="1304"/>
      <c r="E470" s="1304"/>
      <c r="F470" s="1304"/>
      <c r="G470" s="1304"/>
      <c r="H470" s="1304"/>
      <c r="I470" s="1304"/>
      <c r="J470" s="1304"/>
      <c r="K470" s="1304"/>
      <c r="L470" s="1304"/>
      <c r="M470" s="1304"/>
      <c r="N470" s="1304"/>
      <c r="O470" s="1304"/>
      <c r="P470" s="1304"/>
      <c r="Q470" s="1304"/>
      <c r="R470" s="1304"/>
      <c r="S470" s="1304"/>
      <c r="T470" s="1304"/>
      <c r="U470" s="1304"/>
      <c r="V470" s="1304"/>
      <c r="W470" s="1304"/>
      <c r="X470" s="1304"/>
      <c r="Y470" s="1304"/>
      <c r="Z470" s="1304"/>
      <c r="AA470" s="1304"/>
      <c r="AB470" s="1304"/>
      <c r="AC470" s="1304"/>
      <c r="AD470" s="1304"/>
      <c r="AE470" s="1304"/>
    </row>
    <row r="471" ht="15.0" customHeight="1">
      <c r="A471" s="1304"/>
      <c r="B471" s="1304"/>
      <c r="C471" s="1304"/>
      <c r="D471" s="1304"/>
      <c r="E471" s="1304"/>
      <c r="F471" s="1304"/>
      <c r="G471" s="1304"/>
      <c r="H471" s="1304"/>
      <c r="I471" s="1304"/>
      <c r="J471" s="1304"/>
      <c r="K471" s="1304"/>
      <c r="L471" s="1304"/>
      <c r="M471" s="1304"/>
      <c r="N471" s="1304"/>
      <c r="O471" s="1304"/>
      <c r="P471" s="1304"/>
      <c r="Q471" s="1304"/>
      <c r="R471" s="1304"/>
      <c r="S471" s="1304"/>
      <c r="T471" s="1304"/>
      <c r="U471" s="1304"/>
      <c r="V471" s="1304"/>
      <c r="W471" s="1304"/>
      <c r="X471" s="1304"/>
      <c r="Y471" s="1304"/>
      <c r="Z471" s="1304"/>
      <c r="AA471" s="1304"/>
      <c r="AB471" s="1304"/>
      <c r="AC471" s="1304"/>
      <c r="AD471" s="1304"/>
      <c r="AE471" s="1304"/>
    </row>
    <row r="472" ht="15.0" customHeight="1">
      <c r="A472" s="1304"/>
      <c r="B472" s="1304"/>
      <c r="C472" s="1304"/>
      <c r="D472" s="1304"/>
      <c r="E472" s="1304"/>
      <c r="F472" s="1304"/>
      <c r="G472" s="1304"/>
      <c r="H472" s="1304"/>
      <c r="I472" s="1304"/>
      <c r="J472" s="1304"/>
      <c r="K472" s="1304"/>
      <c r="L472" s="1304"/>
      <c r="M472" s="1304"/>
      <c r="N472" s="1304"/>
      <c r="O472" s="1304"/>
      <c r="P472" s="1304"/>
      <c r="Q472" s="1304"/>
      <c r="R472" s="1304"/>
      <c r="S472" s="1304"/>
      <c r="T472" s="1304"/>
      <c r="U472" s="1304"/>
      <c r="V472" s="1304"/>
      <c r="W472" s="1304"/>
      <c r="X472" s="1304"/>
      <c r="Y472" s="1304"/>
      <c r="Z472" s="1304"/>
      <c r="AA472" s="1304"/>
      <c r="AB472" s="1304"/>
      <c r="AC472" s="1304"/>
      <c r="AD472" s="1304"/>
      <c r="AE472" s="1304"/>
    </row>
    <row r="473" ht="15.0" customHeight="1">
      <c r="A473" s="1304"/>
      <c r="B473" s="1304"/>
      <c r="C473" s="1304"/>
      <c r="D473" s="1304"/>
      <c r="E473" s="1304"/>
      <c r="F473" s="1304"/>
      <c r="G473" s="1304"/>
      <c r="H473" s="1304"/>
      <c r="I473" s="1304"/>
      <c r="J473" s="1304"/>
      <c r="K473" s="1304"/>
      <c r="L473" s="1304"/>
      <c r="M473" s="1304"/>
      <c r="N473" s="1304"/>
      <c r="O473" s="1304"/>
      <c r="P473" s="1304"/>
      <c r="Q473" s="1304"/>
      <c r="R473" s="1304"/>
      <c r="S473" s="1304"/>
      <c r="T473" s="1304"/>
      <c r="U473" s="1304"/>
      <c r="V473" s="1304"/>
      <c r="W473" s="1304"/>
      <c r="X473" s="1304"/>
      <c r="Y473" s="1304"/>
      <c r="Z473" s="1304"/>
      <c r="AA473" s="1304"/>
      <c r="AB473" s="1304"/>
      <c r="AC473" s="1304"/>
      <c r="AD473" s="1304"/>
      <c r="AE473" s="1304"/>
    </row>
    <row r="474" ht="15.0" customHeight="1">
      <c r="A474" s="1304"/>
      <c r="B474" s="1304"/>
      <c r="C474" s="1304"/>
      <c r="D474" s="1304"/>
      <c r="E474" s="1304"/>
      <c r="F474" s="1304"/>
      <c r="G474" s="1304"/>
      <c r="H474" s="1304"/>
      <c r="I474" s="1304"/>
      <c r="J474" s="1304"/>
      <c r="K474" s="1304"/>
      <c r="L474" s="1304"/>
      <c r="M474" s="1304"/>
      <c r="N474" s="1304"/>
      <c r="O474" s="1304"/>
      <c r="P474" s="1304"/>
      <c r="Q474" s="1304"/>
      <c r="R474" s="1304"/>
      <c r="S474" s="1304"/>
      <c r="T474" s="1304"/>
      <c r="U474" s="1304"/>
      <c r="V474" s="1304"/>
      <c r="W474" s="1304"/>
      <c r="X474" s="1304"/>
      <c r="Y474" s="1304"/>
      <c r="Z474" s="1304"/>
      <c r="AA474" s="1304"/>
      <c r="AB474" s="1304"/>
      <c r="AC474" s="1304"/>
      <c r="AD474" s="1304"/>
      <c r="AE474" s="1304"/>
    </row>
    <row r="475" ht="15.0" customHeight="1">
      <c r="A475" s="1304"/>
      <c r="B475" s="1304"/>
      <c r="C475" s="1304"/>
      <c r="D475" s="1304"/>
      <c r="E475" s="1304"/>
      <c r="F475" s="1304"/>
      <c r="G475" s="1304"/>
      <c r="H475" s="1304"/>
      <c r="I475" s="1304"/>
      <c r="J475" s="1304"/>
      <c r="K475" s="1304"/>
      <c r="L475" s="1304"/>
      <c r="M475" s="1304"/>
      <c r="N475" s="1304"/>
      <c r="O475" s="1304"/>
      <c r="P475" s="1304"/>
      <c r="Q475" s="1304"/>
      <c r="R475" s="1304"/>
      <c r="S475" s="1304"/>
      <c r="T475" s="1304"/>
      <c r="U475" s="1304"/>
      <c r="V475" s="1304"/>
      <c r="W475" s="1304"/>
      <c r="X475" s="1304"/>
      <c r="Y475" s="1304"/>
      <c r="Z475" s="1304"/>
      <c r="AA475" s="1304"/>
      <c r="AB475" s="1304"/>
      <c r="AC475" s="1304"/>
      <c r="AD475" s="1304"/>
      <c r="AE475" s="1304"/>
    </row>
    <row r="476" ht="15.0" customHeight="1">
      <c r="A476" s="1304"/>
      <c r="B476" s="1304"/>
      <c r="C476" s="1304"/>
      <c r="D476" s="1304"/>
      <c r="E476" s="1304"/>
      <c r="F476" s="1304"/>
      <c r="G476" s="1304"/>
      <c r="H476" s="1304"/>
      <c r="I476" s="1304"/>
      <c r="J476" s="1304"/>
      <c r="K476" s="1304"/>
      <c r="L476" s="1304"/>
      <c r="M476" s="1304"/>
      <c r="N476" s="1304"/>
      <c r="O476" s="1304"/>
      <c r="P476" s="1304"/>
      <c r="Q476" s="1304"/>
      <c r="R476" s="1304"/>
      <c r="S476" s="1304"/>
      <c r="T476" s="1304"/>
      <c r="U476" s="1304"/>
      <c r="V476" s="1304"/>
      <c r="W476" s="1304"/>
      <c r="X476" s="1304"/>
      <c r="Y476" s="1304"/>
      <c r="Z476" s="1304"/>
      <c r="AA476" s="1304"/>
      <c r="AB476" s="1304"/>
      <c r="AC476" s="1304"/>
      <c r="AD476" s="1304"/>
      <c r="AE476" s="1304"/>
    </row>
    <row r="477" ht="15.0" customHeight="1">
      <c r="A477" s="1304"/>
      <c r="B477" s="1304"/>
      <c r="C477" s="1304"/>
      <c r="D477" s="1304"/>
      <c r="E477" s="1304"/>
      <c r="F477" s="1304"/>
      <c r="G477" s="1304"/>
      <c r="H477" s="1304"/>
      <c r="I477" s="1304"/>
      <c r="J477" s="1304"/>
      <c r="K477" s="1304"/>
      <c r="L477" s="1304"/>
      <c r="M477" s="1304"/>
      <c r="N477" s="1304"/>
      <c r="O477" s="1304"/>
      <c r="P477" s="1304"/>
      <c r="Q477" s="1304"/>
      <c r="R477" s="1304"/>
      <c r="S477" s="1304"/>
      <c r="T477" s="1304"/>
      <c r="U477" s="1304"/>
      <c r="V477" s="1304"/>
      <c r="W477" s="1304"/>
      <c r="X477" s="1304"/>
      <c r="Y477" s="1304"/>
      <c r="Z477" s="1304"/>
      <c r="AA477" s="1304"/>
      <c r="AB477" s="1304"/>
      <c r="AC477" s="1304"/>
      <c r="AD477" s="1304"/>
      <c r="AE477" s="1304"/>
    </row>
    <row r="478" ht="15.0" customHeight="1">
      <c r="A478" s="1304"/>
      <c r="B478" s="1304"/>
      <c r="C478" s="1304"/>
      <c r="D478" s="1304"/>
      <c r="E478" s="1304"/>
      <c r="F478" s="1304"/>
      <c r="G478" s="1304"/>
      <c r="H478" s="1304"/>
      <c r="I478" s="1304"/>
      <c r="J478" s="1304"/>
      <c r="K478" s="1304"/>
      <c r="L478" s="1304"/>
      <c r="M478" s="1304"/>
      <c r="N478" s="1304"/>
      <c r="O478" s="1304"/>
      <c r="P478" s="1304"/>
      <c r="Q478" s="1304"/>
      <c r="R478" s="1304"/>
      <c r="S478" s="1304"/>
      <c r="T478" s="1304"/>
      <c r="U478" s="1304"/>
      <c r="V478" s="1304"/>
      <c r="W478" s="1304"/>
      <c r="X478" s="1304"/>
      <c r="Y478" s="1304"/>
      <c r="Z478" s="1304"/>
      <c r="AA478" s="1304"/>
      <c r="AB478" s="1304"/>
      <c r="AC478" s="1304"/>
      <c r="AD478" s="1304"/>
      <c r="AE478" s="1304"/>
    </row>
    <row r="479" ht="15.0" customHeight="1">
      <c r="A479" s="1304"/>
      <c r="B479" s="1304"/>
      <c r="C479" s="1304"/>
      <c r="D479" s="1304"/>
      <c r="E479" s="1304"/>
      <c r="F479" s="1304"/>
      <c r="G479" s="1304"/>
      <c r="H479" s="1304"/>
      <c r="I479" s="1304"/>
      <c r="J479" s="1304"/>
      <c r="K479" s="1304"/>
      <c r="L479" s="1304"/>
      <c r="M479" s="1304"/>
      <c r="N479" s="1304"/>
      <c r="O479" s="1304"/>
      <c r="P479" s="1304"/>
      <c r="Q479" s="1304"/>
      <c r="R479" s="1304"/>
      <c r="S479" s="1304"/>
      <c r="T479" s="1304"/>
      <c r="U479" s="1304"/>
      <c r="V479" s="1304"/>
      <c r="W479" s="1304"/>
      <c r="X479" s="1304"/>
      <c r="Y479" s="1304"/>
      <c r="Z479" s="1304"/>
      <c r="AA479" s="1304"/>
      <c r="AB479" s="1304"/>
      <c r="AC479" s="1304"/>
      <c r="AD479" s="1304"/>
      <c r="AE479" s="1304"/>
    </row>
    <row r="480" ht="15.0" customHeight="1">
      <c r="A480" s="1304"/>
      <c r="B480" s="1304"/>
      <c r="C480" s="1304"/>
      <c r="D480" s="1304"/>
      <c r="E480" s="1304"/>
      <c r="F480" s="1304"/>
      <c r="G480" s="1304"/>
      <c r="H480" s="1304"/>
      <c r="I480" s="1304"/>
      <c r="J480" s="1304"/>
      <c r="K480" s="1304"/>
      <c r="L480" s="1304"/>
      <c r="M480" s="1304"/>
      <c r="N480" s="1304"/>
      <c r="O480" s="1304"/>
      <c r="P480" s="1304"/>
      <c r="Q480" s="1304"/>
      <c r="R480" s="1304"/>
      <c r="S480" s="1304"/>
      <c r="T480" s="1304"/>
      <c r="U480" s="1304"/>
      <c r="V480" s="1304"/>
      <c r="W480" s="1304"/>
      <c r="X480" s="1304"/>
      <c r="Y480" s="1304"/>
      <c r="Z480" s="1304"/>
      <c r="AA480" s="1304"/>
      <c r="AB480" s="1304"/>
      <c r="AC480" s="1304"/>
      <c r="AD480" s="1304"/>
      <c r="AE480" s="1304"/>
    </row>
    <row r="481" ht="15.0" customHeight="1">
      <c r="A481" s="1304"/>
      <c r="B481" s="1304"/>
      <c r="C481" s="1304"/>
      <c r="D481" s="1304"/>
      <c r="E481" s="1304"/>
      <c r="F481" s="1304"/>
      <c r="G481" s="1304"/>
      <c r="H481" s="1304"/>
      <c r="I481" s="1304"/>
      <c r="J481" s="1304"/>
      <c r="K481" s="1304"/>
      <c r="L481" s="1304"/>
      <c r="M481" s="1304"/>
      <c r="N481" s="1304"/>
      <c r="O481" s="1304"/>
      <c r="P481" s="1304"/>
      <c r="Q481" s="1304"/>
      <c r="R481" s="1304"/>
      <c r="S481" s="1304"/>
      <c r="T481" s="1304"/>
      <c r="U481" s="1304"/>
      <c r="V481" s="1304"/>
      <c r="W481" s="1304"/>
      <c r="X481" s="1304"/>
      <c r="Y481" s="1304"/>
      <c r="Z481" s="1304"/>
      <c r="AA481" s="1304"/>
      <c r="AB481" s="1304"/>
      <c r="AC481" s="1304"/>
      <c r="AD481" s="1304"/>
      <c r="AE481" s="1304"/>
    </row>
    <row r="482" ht="15.0" customHeight="1">
      <c r="A482" s="1304"/>
      <c r="B482" s="1304"/>
      <c r="C482" s="1304"/>
      <c r="D482" s="1304"/>
      <c r="E482" s="1304"/>
      <c r="F482" s="1304"/>
      <c r="G482" s="1304"/>
      <c r="H482" s="1304"/>
      <c r="I482" s="1304"/>
      <c r="J482" s="1304"/>
      <c r="K482" s="1304"/>
      <c r="L482" s="1304"/>
      <c r="M482" s="1304"/>
      <c r="N482" s="1304"/>
      <c r="O482" s="1304"/>
      <c r="P482" s="1304"/>
      <c r="Q482" s="1304"/>
      <c r="R482" s="1304"/>
      <c r="S482" s="1304"/>
      <c r="T482" s="1304"/>
      <c r="U482" s="1304"/>
      <c r="V482" s="1304"/>
      <c r="W482" s="1304"/>
      <c r="X482" s="1304"/>
      <c r="Y482" s="1304"/>
      <c r="Z482" s="1304"/>
      <c r="AA482" s="1304"/>
      <c r="AB482" s="1304"/>
      <c r="AC482" s="1304"/>
      <c r="AD482" s="1304"/>
      <c r="AE482" s="1304"/>
    </row>
    <row r="483" ht="15.0" customHeight="1">
      <c r="A483" s="1304"/>
      <c r="B483" s="1304"/>
      <c r="C483" s="1304"/>
      <c r="D483" s="1304"/>
      <c r="E483" s="1304"/>
      <c r="F483" s="1304"/>
      <c r="G483" s="1304"/>
      <c r="H483" s="1304"/>
      <c r="I483" s="1304"/>
      <c r="J483" s="1304"/>
      <c r="K483" s="1304"/>
      <c r="L483" s="1304"/>
      <c r="M483" s="1304"/>
      <c r="N483" s="1304"/>
      <c r="O483" s="1304"/>
      <c r="P483" s="1304"/>
      <c r="Q483" s="1304"/>
      <c r="R483" s="1304"/>
      <c r="S483" s="1304"/>
      <c r="T483" s="1304"/>
      <c r="U483" s="1304"/>
      <c r="V483" s="1304"/>
      <c r="W483" s="1304"/>
      <c r="X483" s="1304"/>
      <c r="Y483" s="1304"/>
      <c r="Z483" s="1304"/>
      <c r="AA483" s="1304"/>
      <c r="AB483" s="1304"/>
      <c r="AC483" s="1304"/>
      <c r="AD483" s="1304"/>
      <c r="AE483" s="1304"/>
    </row>
    <row r="484" ht="15.0" customHeight="1">
      <c r="A484" s="1304"/>
      <c r="B484" s="1304"/>
      <c r="C484" s="1304"/>
      <c r="D484" s="1304"/>
      <c r="E484" s="1304"/>
      <c r="F484" s="1304"/>
      <c r="G484" s="1304"/>
      <c r="H484" s="1304"/>
      <c r="I484" s="1304"/>
      <c r="J484" s="1304"/>
      <c r="K484" s="1304"/>
      <c r="L484" s="1304"/>
      <c r="M484" s="1304"/>
      <c r="N484" s="1304"/>
      <c r="O484" s="1304"/>
      <c r="P484" s="1304"/>
      <c r="Q484" s="1304"/>
      <c r="R484" s="1304"/>
      <c r="S484" s="1304"/>
      <c r="T484" s="1304"/>
      <c r="U484" s="1304"/>
      <c r="V484" s="1304"/>
      <c r="W484" s="1304"/>
      <c r="X484" s="1304"/>
      <c r="Y484" s="1304"/>
      <c r="Z484" s="1304"/>
      <c r="AA484" s="1304"/>
      <c r="AB484" s="1304"/>
      <c r="AC484" s="1304"/>
      <c r="AD484" s="1304"/>
      <c r="AE484" s="1304"/>
    </row>
    <row r="485" ht="15.0" customHeight="1">
      <c r="A485" s="1304"/>
      <c r="B485" s="1304"/>
      <c r="C485" s="1304"/>
      <c r="D485" s="1304"/>
      <c r="E485" s="1304"/>
      <c r="F485" s="1304"/>
      <c r="G485" s="1304"/>
      <c r="H485" s="1304"/>
      <c r="I485" s="1304"/>
      <c r="J485" s="1304"/>
      <c r="K485" s="1304"/>
      <c r="L485" s="1304"/>
      <c r="M485" s="1304"/>
      <c r="N485" s="1304"/>
      <c r="O485" s="1304"/>
      <c r="P485" s="1304"/>
      <c r="Q485" s="1304"/>
      <c r="R485" s="1304"/>
      <c r="S485" s="1304"/>
      <c r="T485" s="1304"/>
      <c r="U485" s="1304"/>
      <c r="V485" s="1304"/>
      <c r="W485" s="1304"/>
      <c r="X485" s="1304"/>
      <c r="Y485" s="1304"/>
      <c r="Z485" s="1304"/>
      <c r="AA485" s="1304"/>
      <c r="AB485" s="1304"/>
      <c r="AC485" s="1304"/>
      <c r="AD485" s="1304"/>
      <c r="AE485" s="1304"/>
    </row>
    <row r="486" ht="15.0" customHeight="1">
      <c r="A486" s="1304"/>
      <c r="B486" s="1304"/>
      <c r="C486" s="1304"/>
      <c r="D486" s="1304"/>
      <c r="E486" s="1304"/>
      <c r="F486" s="1304"/>
      <c r="G486" s="1304"/>
      <c r="H486" s="1304"/>
      <c r="I486" s="1304"/>
      <c r="J486" s="1304"/>
      <c r="K486" s="1304"/>
      <c r="L486" s="1304"/>
      <c r="M486" s="1304"/>
      <c r="N486" s="1304"/>
      <c r="O486" s="1304"/>
      <c r="P486" s="1304"/>
      <c r="Q486" s="1304"/>
      <c r="R486" s="1304"/>
      <c r="S486" s="1304"/>
      <c r="T486" s="1304"/>
      <c r="U486" s="1304"/>
      <c r="V486" s="1304"/>
      <c r="W486" s="1304"/>
      <c r="X486" s="1304"/>
      <c r="Y486" s="1304"/>
      <c r="Z486" s="1304"/>
      <c r="AA486" s="1304"/>
      <c r="AB486" s="1304"/>
      <c r="AC486" s="1304"/>
      <c r="AD486" s="1304"/>
      <c r="AE486" s="1304"/>
    </row>
    <row r="487" ht="15.0" customHeight="1">
      <c r="A487" s="1304"/>
      <c r="B487" s="1304"/>
      <c r="C487" s="1304"/>
      <c r="D487" s="1304"/>
      <c r="E487" s="1304"/>
      <c r="F487" s="1304"/>
      <c r="G487" s="1304"/>
      <c r="H487" s="1304"/>
      <c r="I487" s="1304"/>
      <c r="J487" s="1304"/>
      <c r="K487" s="1304"/>
      <c r="L487" s="1304"/>
      <c r="M487" s="1304"/>
      <c r="N487" s="1304"/>
      <c r="O487" s="1304"/>
      <c r="P487" s="1304"/>
      <c r="Q487" s="1304"/>
      <c r="R487" s="1304"/>
      <c r="S487" s="1304"/>
      <c r="T487" s="1304"/>
      <c r="U487" s="1304"/>
      <c r="V487" s="1304"/>
      <c r="W487" s="1304"/>
      <c r="X487" s="1304"/>
      <c r="Y487" s="1304"/>
      <c r="Z487" s="1304"/>
      <c r="AA487" s="1304"/>
      <c r="AB487" s="1304"/>
      <c r="AC487" s="1304"/>
      <c r="AD487" s="1304"/>
      <c r="AE487" s="1304"/>
    </row>
    <row r="488" ht="15.0" customHeight="1">
      <c r="A488" s="1304"/>
      <c r="B488" s="1304"/>
      <c r="C488" s="1304"/>
      <c r="D488" s="1304"/>
      <c r="E488" s="1304"/>
      <c r="F488" s="1304"/>
      <c r="G488" s="1304"/>
      <c r="H488" s="1304"/>
      <c r="I488" s="1304"/>
      <c r="J488" s="1304"/>
      <c r="K488" s="1304"/>
      <c r="L488" s="1304"/>
      <c r="M488" s="1304"/>
      <c r="N488" s="1304"/>
      <c r="O488" s="1304"/>
      <c r="P488" s="1304"/>
      <c r="Q488" s="1304"/>
      <c r="R488" s="1304"/>
      <c r="S488" s="1304"/>
      <c r="T488" s="1304"/>
      <c r="U488" s="1304"/>
      <c r="V488" s="1304"/>
      <c r="W488" s="1304"/>
      <c r="X488" s="1304"/>
      <c r="Y488" s="1304"/>
      <c r="Z488" s="1304"/>
      <c r="AA488" s="1304"/>
      <c r="AB488" s="1304"/>
      <c r="AC488" s="1304"/>
      <c r="AD488" s="1304"/>
      <c r="AE488" s="1304"/>
    </row>
    <row r="489" ht="15.0" customHeight="1">
      <c r="A489" s="1304"/>
      <c r="B489" s="1304"/>
      <c r="C489" s="1304"/>
      <c r="D489" s="1304"/>
      <c r="E489" s="1304"/>
      <c r="F489" s="1304"/>
      <c r="G489" s="1304"/>
      <c r="H489" s="1304"/>
      <c r="I489" s="1304"/>
      <c r="J489" s="1304"/>
      <c r="K489" s="1304"/>
      <c r="L489" s="1304"/>
      <c r="M489" s="1304"/>
      <c r="N489" s="1304"/>
      <c r="O489" s="1304"/>
      <c r="P489" s="1304"/>
      <c r="Q489" s="1304"/>
      <c r="R489" s="1304"/>
      <c r="S489" s="1304"/>
      <c r="T489" s="1304"/>
      <c r="U489" s="1304"/>
      <c r="V489" s="1304"/>
      <c r="W489" s="1304"/>
      <c r="X489" s="1304"/>
      <c r="Y489" s="1304"/>
      <c r="Z489" s="1304"/>
      <c r="AA489" s="1304"/>
      <c r="AB489" s="1304"/>
      <c r="AC489" s="1304"/>
      <c r="AD489" s="1304"/>
      <c r="AE489" s="1304"/>
    </row>
    <row r="490" ht="15.0" customHeight="1">
      <c r="A490" s="1304"/>
      <c r="B490" s="1304"/>
      <c r="C490" s="1304"/>
      <c r="D490" s="1304"/>
      <c r="E490" s="1304"/>
      <c r="F490" s="1304"/>
      <c r="G490" s="1304"/>
      <c r="H490" s="1304"/>
      <c r="I490" s="1304"/>
      <c r="J490" s="1304"/>
      <c r="K490" s="1304"/>
      <c r="L490" s="1304"/>
      <c r="M490" s="1304"/>
      <c r="N490" s="1304"/>
      <c r="O490" s="1304"/>
      <c r="P490" s="1304"/>
      <c r="Q490" s="1304"/>
      <c r="R490" s="1304"/>
      <c r="S490" s="1304"/>
      <c r="T490" s="1304"/>
      <c r="U490" s="1304"/>
      <c r="V490" s="1304"/>
      <c r="W490" s="1304"/>
      <c r="X490" s="1304"/>
      <c r="Y490" s="1304"/>
      <c r="Z490" s="1304"/>
      <c r="AA490" s="1304"/>
      <c r="AB490" s="1304"/>
      <c r="AC490" s="1304"/>
      <c r="AD490" s="1304"/>
      <c r="AE490" s="1304"/>
    </row>
    <row r="491" ht="15.0" customHeight="1">
      <c r="A491" s="1304"/>
      <c r="B491" s="1304"/>
      <c r="C491" s="1304"/>
      <c r="D491" s="1304"/>
      <c r="E491" s="1304"/>
      <c r="F491" s="1304"/>
      <c r="G491" s="1304"/>
      <c r="H491" s="1304"/>
      <c r="I491" s="1304"/>
      <c r="J491" s="1304"/>
      <c r="K491" s="1304"/>
      <c r="L491" s="1304"/>
      <c r="M491" s="1304"/>
      <c r="N491" s="1304"/>
      <c r="O491" s="1304"/>
      <c r="P491" s="1304"/>
      <c r="Q491" s="1304"/>
      <c r="R491" s="1304"/>
      <c r="S491" s="1304"/>
      <c r="T491" s="1304"/>
      <c r="U491" s="1304"/>
      <c r="V491" s="1304"/>
      <c r="W491" s="1304"/>
      <c r="X491" s="1304"/>
      <c r="Y491" s="1304"/>
      <c r="Z491" s="1304"/>
      <c r="AA491" s="1304"/>
      <c r="AB491" s="1304"/>
      <c r="AC491" s="1304"/>
      <c r="AD491" s="1304"/>
      <c r="AE491" s="1304"/>
    </row>
    <row r="492" ht="15.0" customHeight="1">
      <c r="A492" s="1304"/>
      <c r="B492" s="1304"/>
      <c r="C492" s="1304"/>
      <c r="D492" s="1304"/>
      <c r="E492" s="1304"/>
      <c r="F492" s="1304"/>
      <c r="G492" s="1304"/>
      <c r="H492" s="1304"/>
      <c r="I492" s="1304"/>
      <c r="J492" s="1304"/>
      <c r="K492" s="1304"/>
      <c r="L492" s="1304"/>
      <c r="M492" s="1304"/>
      <c r="N492" s="1304"/>
      <c r="O492" s="1304"/>
      <c r="P492" s="1304"/>
      <c r="Q492" s="1304"/>
      <c r="R492" s="1304"/>
      <c r="S492" s="1304"/>
      <c r="T492" s="1304"/>
      <c r="U492" s="1304"/>
      <c r="V492" s="1304"/>
      <c r="W492" s="1304"/>
      <c r="X492" s="1304"/>
      <c r="Y492" s="1304"/>
      <c r="Z492" s="1304"/>
      <c r="AA492" s="1304"/>
      <c r="AB492" s="1304"/>
      <c r="AC492" s="1304"/>
      <c r="AD492" s="1304"/>
      <c r="AE492" s="1304"/>
    </row>
    <row r="493" ht="15.0" customHeight="1">
      <c r="A493" s="1304"/>
      <c r="B493" s="1304"/>
      <c r="C493" s="1304"/>
      <c r="D493" s="1304"/>
      <c r="E493" s="1304"/>
      <c r="F493" s="1304"/>
      <c r="G493" s="1304"/>
      <c r="H493" s="1304"/>
      <c r="I493" s="1304"/>
      <c r="J493" s="1304"/>
      <c r="K493" s="1304"/>
      <c r="L493" s="1304"/>
      <c r="M493" s="1304"/>
      <c r="N493" s="1304"/>
      <c r="O493" s="1304"/>
      <c r="P493" s="1304"/>
      <c r="Q493" s="1304"/>
      <c r="R493" s="1304"/>
      <c r="S493" s="1304"/>
      <c r="T493" s="1304"/>
      <c r="U493" s="1304"/>
      <c r="V493" s="1304"/>
      <c r="W493" s="1304"/>
      <c r="X493" s="1304"/>
      <c r="Y493" s="1304"/>
      <c r="Z493" s="1304"/>
      <c r="AA493" s="1304"/>
      <c r="AB493" s="1304"/>
      <c r="AC493" s="1304"/>
      <c r="AD493" s="1304"/>
      <c r="AE493" s="1304"/>
    </row>
    <row r="494" ht="15.0" customHeight="1">
      <c r="A494" s="1304"/>
      <c r="B494" s="1304"/>
      <c r="C494" s="1304"/>
      <c r="D494" s="1304"/>
      <c r="E494" s="1304"/>
      <c r="F494" s="1304"/>
      <c r="G494" s="1304"/>
      <c r="H494" s="1304"/>
      <c r="I494" s="1304"/>
      <c r="J494" s="1304"/>
      <c r="K494" s="1304"/>
      <c r="L494" s="1304"/>
      <c r="M494" s="1304"/>
      <c r="N494" s="1304"/>
      <c r="O494" s="1304"/>
      <c r="P494" s="1304"/>
      <c r="Q494" s="1304"/>
      <c r="R494" s="1304"/>
      <c r="S494" s="1304"/>
      <c r="T494" s="1304"/>
      <c r="U494" s="1304"/>
      <c r="V494" s="1304"/>
      <c r="W494" s="1304"/>
      <c r="X494" s="1304"/>
      <c r="Y494" s="1304"/>
      <c r="Z494" s="1304"/>
      <c r="AA494" s="1304"/>
      <c r="AB494" s="1304"/>
      <c r="AC494" s="1304"/>
      <c r="AD494" s="1304"/>
      <c r="AE494" s="1304"/>
    </row>
    <row r="495" ht="15.0" customHeight="1">
      <c r="A495" s="1304"/>
      <c r="B495" s="1304"/>
      <c r="C495" s="1304"/>
      <c r="D495" s="1304"/>
      <c r="E495" s="1304"/>
      <c r="F495" s="1304"/>
      <c r="G495" s="1304"/>
      <c r="H495" s="1304"/>
      <c r="I495" s="1304"/>
      <c r="J495" s="1304"/>
      <c r="K495" s="1304"/>
      <c r="L495" s="1304"/>
      <c r="M495" s="1304"/>
      <c r="N495" s="1304"/>
      <c r="O495" s="1304"/>
      <c r="P495" s="1304"/>
      <c r="Q495" s="1304"/>
      <c r="R495" s="1304"/>
      <c r="S495" s="1304"/>
      <c r="T495" s="1304"/>
      <c r="U495" s="1304"/>
      <c r="V495" s="1304"/>
      <c r="W495" s="1304"/>
      <c r="X495" s="1304"/>
      <c r="Y495" s="1304"/>
      <c r="Z495" s="1304"/>
      <c r="AA495" s="1304"/>
      <c r="AB495" s="1304"/>
      <c r="AC495" s="1304"/>
      <c r="AD495" s="1304"/>
      <c r="AE495" s="1304"/>
    </row>
    <row r="496" ht="15.0" customHeight="1">
      <c r="A496" s="1304"/>
      <c r="B496" s="1304"/>
      <c r="C496" s="1304"/>
      <c r="D496" s="1304"/>
      <c r="E496" s="1304"/>
      <c r="F496" s="1304"/>
      <c r="G496" s="1304"/>
      <c r="H496" s="1304"/>
      <c r="I496" s="1304"/>
      <c r="J496" s="1304"/>
      <c r="K496" s="1304"/>
      <c r="L496" s="1304"/>
      <c r="M496" s="1304"/>
      <c r="N496" s="1304"/>
      <c r="O496" s="1304"/>
      <c r="P496" s="1304"/>
      <c r="Q496" s="1304"/>
      <c r="R496" s="1304"/>
      <c r="S496" s="1304"/>
      <c r="T496" s="1304"/>
      <c r="U496" s="1304"/>
      <c r="V496" s="1304"/>
      <c r="W496" s="1304"/>
      <c r="X496" s="1304"/>
      <c r="Y496" s="1304"/>
      <c r="Z496" s="1304"/>
      <c r="AA496" s="1304"/>
      <c r="AB496" s="1304"/>
      <c r="AC496" s="1304"/>
      <c r="AD496" s="1304"/>
      <c r="AE496" s="1304"/>
    </row>
    <row r="497" ht="15.0" customHeight="1">
      <c r="A497" s="1304"/>
      <c r="B497" s="1304"/>
      <c r="C497" s="1304"/>
      <c r="D497" s="1304"/>
      <c r="E497" s="1304"/>
      <c r="F497" s="1304"/>
      <c r="G497" s="1304"/>
      <c r="H497" s="1304"/>
      <c r="I497" s="1304"/>
      <c r="J497" s="1304"/>
      <c r="K497" s="1304"/>
      <c r="L497" s="1304"/>
      <c r="M497" s="1304"/>
      <c r="N497" s="1304"/>
      <c r="O497" s="1304"/>
      <c r="P497" s="1304"/>
      <c r="Q497" s="1304"/>
      <c r="R497" s="1304"/>
      <c r="S497" s="1304"/>
      <c r="T497" s="1304"/>
      <c r="U497" s="1304"/>
      <c r="V497" s="1304"/>
      <c r="W497" s="1304"/>
      <c r="X497" s="1304"/>
      <c r="Y497" s="1304"/>
      <c r="Z497" s="1304"/>
      <c r="AA497" s="1304"/>
      <c r="AB497" s="1304"/>
      <c r="AC497" s="1304"/>
      <c r="AD497" s="1304"/>
      <c r="AE497" s="1304"/>
    </row>
    <row r="498" ht="15.0" customHeight="1">
      <c r="A498" s="1304"/>
      <c r="B498" s="1304"/>
      <c r="C498" s="1304"/>
      <c r="D498" s="1304"/>
      <c r="E498" s="1304"/>
      <c r="F498" s="1304"/>
      <c r="G498" s="1304"/>
      <c r="H498" s="1304"/>
      <c r="I498" s="1304"/>
      <c r="J498" s="1304"/>
      <c r="K498" s="1304"/>
      <c r="L498" s="1304"/>
      <c r="M498" s="1304"/>
      <c r="N498" s="1304"/>
      <c r="O498" s="1304"/>
      <c r="P498" s="1304"/>
      <c r="Q498" s="1304"/>
      <c r="R498" s="1304"/>
      <c r="S498" s="1304"/>
      <c r="T498" s="1304"/>
      <c r="U498" s="1304"/>
      <c r="V498" s="1304"/>
      <c r="W498" s="1304"/>
      <c r="X498" s="1304"/>
      <c r="Y498" s="1304"/>
      <c r="Z498" s="1304"/>
      <c r="AA498" s="1304"/>
      <c r="AB498" s="1304"/>
      <c r="AC498" s="1304"/>
      <c r="AD498" s="1304"/>
      <c r="AE498" s="1304"/>
    </row>
    <row r="499" ht="15.0" customHeight="1">
      <c r="A499" s="1304"/>
      <c r="B499" s="1304"/>
      <c r="C499" s="1304"/>
      <c r="D499" s="1304"/>
      <c r="E499" s="1304"/>
      <c r="F499" s="1304"/>
      <c r="G499" s="1304"/>
      <c r="H499" s="1304"/>
      <c r="I499" s="1304"/>
      <c r="J499" s="1304"/>
      <c r="K499" s="1304"/>
      <c r="L499" s="1304"/>
      <c r="M499" s="1304"/>
      <c r="N499" s="1304"/>
      <c r="O499" s="1304"/>
      <c r="P499" s="1304"/>
      <c r="Q499" s="1304"/>
      <c r="R499" s="1304"/>
      <c r="S499" s="1304"/>
      <c r="T499" s="1304"/>
      <c r="U499" s="1304"/>
      <c r="V499" s="1304"/>
      <c r="W499" s="1304"/>
      <c r="X499" s="1304"/>
      <c r="Y499" s="1304"/>
      <c r="Z499" s="1304"/>
      <c r="AA499" s="1304"/>
      <c r="AB499" s="1304"/>
      <c r="AC499" s="1304"/>
      <c r="AD499" s="1304"/>
      <c r="AE499" s="1304"/>
    </row>
    <row r="500" ht="15.0" customHeight="1">
      <c r="A500" s="1329" t="s">
        <v>1790</v>
      </c>
      <c r="B500" s="1304"/>
      <c r="C500" s="1330"/>
      <c r="D500" s="1304"/>
      <c r="E500" s="1304"/>
      <c r="F500" s="1304"/>
      <c r="G500" s="1304"/>
      <c r="H500" s="1304"/>
      <c r="I500" s="1304"/>
      <c r="J500" s="1304"/>
      <c r="K500" s="1304"/>
      <c r="L500" s="1304"/>
      <c r="M500" s="1304"/>
      <c r="N500" s="1304"/>
      <c r="O500" s="1304"/>
      <c r="P500" s="1304"/>
      <c r="Q500" s="1304"/>
      <c r="R500" s="1304"/>
      <c r="S500" s="1304"/>
      <c r="T500" s="1304"/>
      <c r="U500" s="1304"/>
      <c r="V500" s="1304"/>
      <c r="W500" s="1304"/>
      <c r="X500" s="1304"/>
      <c r="Y500" s="1304"/>
      <c r="Z500" s="1304"/>
      <c r="AA500" s="1304"/>
      <c r="AB500" s="1304"/>
      <c r="AC500" s="1304"/>
      <c r="AD500" s="1304"/>
      <c r="AE500" s="1304"/>
    </row>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A57:M57"/>
    <mergeCell ref="C58:M58"/>
    <mergeCell ref="C60:M60"/>
    <mergeCell ref="A1:K1"/>
    <mergeCell ref="A2:A3"/>
    <mergeCell ref="G2:H2"/>
    <mergeCell ref="J2:K2"/>
    <mergeCell ref="A5:A13"/>
    <mergeCell ref="A15:A53"/>
    <mergeCell ref="C56:M56"/>
  </mergeCells>
  <printOptions gridLines="1" horizontalCentered="1"/>
  <pageMargins bottom="0.7874015748031495" footer="0.0" header="0.0" left="0.23622047244094488" right="0.23622047244094488" top="0.7874015748031495"/>
  <pageSetup fitToHeight="0" paperSize="9" cellComments="atEnd" orientation="portrait" pageOrder="overThenDown"/>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0"/>
  <cols>
    <col customWidth="1" min="1" max="1" width="196.86"/>
  </cols>
  <sheetData>
    <row r="1">
      <c r="A1" s="1331" t="s">
        <v>2113</v>
      </c>
    </row>
    <row r="2">
      <c r="A2" s="1332" t="s">
        <v>2114</v>
      </c>
    </row>
    <row r="3">
      <c r="A3" s="1333" t="s">
        <v>2115</v>
      </c>
    </row>
    <row r="4">
      <c r="A4" s="1332" t="s">
        <v>2116</v>
      </c>
    </row>
    <row r="5" ht="462.75" customHeight="1">
      <c r="A5" s="1334"/>
    </row>
    <row r="6">
      <c r="A6" s="1334"/>
    </row>
    <row r="7" hidden="1">
      <c r="A7" s="1331" t="s">
        <v>2117</v>
      </c>
    </row>
    <row r="8" ht="489.0" hidden="1" customHeight="1">
      <c r="A8" s="1335"/>
    </row>
    <row r="9">
      <c r="A9" s="1335"/>
    </row>
    <row r="10">
      <c r="A10" s="1336" t="s">
        <v>2118</v>
      </c>
    </row>
    <row r="11">
      <c r="A11" s="1331" t="s">
        <v>2119</v>
      </c>
    </row>
    <row r="12" ht="564.75" customHeight="1">
      <c r="A12" s="1335"/>
    </row>
    <row r="13">
      <c r="A13" s="1335"/>
    </row>
    <row r="14">
      <c r="A14" s="1337" t="s">
        <v>2120</v>
      </c>
    </row>
    <row r="15">
      <c r="A15" s="1336" t="s">
        <v>2121</v>
      </c>
    </row>
    <row r="16">
      <c r="A16" s="1337" t="s">
        <v>2122</v>
      </c>
    </row>
    <row r="17">
      <c r="A17" s="1336" t="s">
        <v>2123</v>
      </c>
    </row>
    <row r="18">
      <c r="A18" s="1337" t="s">
        <v>2124</v>
      </c>
    </row>
    <row r="19">
      <c r="A19" s="1334" t="s">
        <v>2125</v>
      </c>
    </row>
    <row r="20">
      <c r="A20" s="1334" t="s">
        <v>2126</v>
      </c>
    </row>
    <row r="21">
      <c r="A21" s="1334" t="s">
        <v>2127</v>
      </c>
    </row>
    <row r="22">
      <c r="A22" s="1331" t="s">
        <v>2128</v>
      </c>
    </row>
    <row r="23" ht="622.5" customHeight="1">
      <c r="A23" s="1335"/>
    </row>
    <row r="24">
      <c r="A24" s="1335"/>
    </row>
    <row r="25">
      <c r="A25" s="1337" t="s">
        <v>2129</v>
      </c>
    </row>
    <row r="26">
      <c r="A26" s="1336" t="s">
        <v>2130</v>
      </c>
    </row>
    <row r="27" ht="500.25" customHeight="1">
      <c r="A27" s="1334"/>
    </row>
    <row r="28">
      <c r="A28" s="1334"/>
    </row>
    <row r="29">
      <c r="A29" s="1336" t="s">
        <v>2131</v>
      </c>
    </row>
    <row r="30">
      <c r="A30" s="1335"/>
    </row>
    <row r="31">
      <c r="A31" s="1337" t="s">
        <v>2132</v>
      </c>
    </row>
    <row r="32">
      <c r="A32" s="1334" t="s">
        <v>2133</v>
      </c>
    </row>
    <row r="33">
      <c r="A33" s="1337"/>
    </row>
    <row r="34">
      <c r="A34" s="1335"/>
    </row>
    <row r="35">
      <c r="A35" s="1335"/>
    </row>
    <row r="36">
      <c r="A36" s="1335"/>
    </row>
    <row r="37">
      <c r="A37" s="1335"/>
    </row>
    <row r="38">
      <c r="A38" s="1335"/>
    </row>
    <row r="39">
      <c r="A39" s="1335"/>
    </row>
    <row r="40">
      <c r="A40" s="1335"/>
    </row>
    <row r="41">
      <c r="A41" s="1335"/>
    </row>
    <row r="42">
      <c r="A42" s="1335"/>
    </row>
    <row r="43">
      <c r="A43" s="1335"/>
    </row>
    <row r="44">
      <c r="A44" s="1335"/>
    </row>
    <row r="45">
      <c r="A45" s="1335"/>
    </row>
    <row r="46">
      <c r="A46" s="1335"/>
    </row>
    <row r="47">
      <c r="A47" s="1335"/>
    </row>
    <row r="48">
      <c r="A48" s="1335"/>
    </row>
    <row r="49">
      <c r="A49" s="1335"/>
    </row>
    <row r="50">
      <c r="A50" s="1335"/>
    </row>
    <row r="51">
      <c r="A51" s="1335"/>
    </row>
    <row r="52">
      <c r="A52" s="1335"/>
    </row>
    <row r="53">
      <c r="A53" s="1335"/>
    </row>
    <row r="54">
      <c r="A54" s="1335"/>
    </row>
    <row r="55">
      <c r="A55" s="1335"/>
    </row>
    <row r="56">
      <c r="A56" s="1335"/>
    </row>
    <row r="57">
      <c r="A57" s="1335"/>
    </row>
    <row r="58">
      <c r="A58" s="1335"/>
    </row>
    <row r="59">
      <c r="A59" s="1335"/>
    </row>
    <row r="60">
      <c r="A60" s="1335"/>
    </row>
    <row r="61">
      <c r="A61" s="1335"/>
    </row>
    <row r="62">
      <c r="A62" s="1335"/>
    </row>
    <row r="63">
      <c r="A63" s="1335"/>
    </row>
    <row r="64">
      <c r="A64" s="1335"/>
    </row>
    <row r="65">
      <c r="A65" s="1335"/>
    </row>
    <row r="66">
      <c r="A66" s="1335"/>
    </row>
    <row r="67">
      <c r="A67" s="1335"/>
    </row>
    <row r="68">
      <c r="A68" s="1335"/>
    </row>
    <row r="69">
      <c r="A69" s="1335"/>
    </row>
    <row r="70">
      <c r="A70" s="1335"/>
    </row>
    <row r="71">
      <c r="A71" s="1335"/>
    </row>
    <row r="72">
      <c r="A72" s="1335"/>
    </row>
    <row r="73">
      <c r="A73" s="1335"/>
    </row>
    <row r="74">
      <c r="A74" s="1335"/>
    </row>
    <row r="75">
      <c r="A75" s="1335"/>
    </row>
    <row r="76">
      <c r="A76" s="1335"/>
    </row>
    <row r="77">
      <c r="A77" s="1335"/>
    </row>
    <row r="78">
      <c r="A78" s="1335"/>
    </row>
    <row r="79">
      <c r="A79" s="1335"/>
    </row>
    <row r="80">
      <c r="A80" s="1335"/>
    </row>
    <row r="81">
      <c r="A81" s="1335"/>
    </row>
    <row r="82">
      <c r="A82" s="1335"/>
    </row>
    <row r="83">
      <c r="A83" s="1335"/>
    </row>
    <row r="84">
      <c r="A84" s="1335"/>
    </row>
    <row r="85">
      <c r="A85" s="1335"/>
    </row>
    <row r="86">
      <c r="A86" s="1335"/>
    </row>
    <row r="87">
      <c r="A87" s="1335"/>
    </row>
    <row r="88">
      <c r="A88" s="1335"/>
    </row>
    <row r="89">
      <c r="A89" s="1335"/>
    </row>
    <row r="90">
      <c r="A90" s="1335"/>
    </row>
    <row r="91">
      <c r="A91" s="1335"/>
    </row>
    <row r="92">
      <c r="A92" s="1335"/>
    </row>
    <row r="93">
      <c r="A93" s="1335"/>
    </row>
    <row r="94">
      <c r="A94" s="1335"/>
    </row>
    <row r="95">
      <c r="A95" s="1335"/>
    </row>
    <row r="96">
      <c r="A96" s="1335"/>
    </row>
    <row r="97">
      <c r="A97" s="1335"/>
    </row>
    <row r="98">
      <c r="A98" s="1335"/>
    </row>
    <row r="99">
      <c r="A99" s="1335"/>
    </row>
    <row r="100">
      <c r="A100" s="1335"/>
    </row>
    <row r="101">
      <c r="A101" s="1335"/>
    </row>
    <row r="102">
      <c r="A102" s="1335"/>
    </row>
    <row r="103">
      <c r="A103" s="1335"/>
    </row>
    <row r="104">
      <c r="A104" s="1335"/>
    </row>
    <row r="105">
      <c r="A105" s="1335"/>
    </row>
    <row r="106">
      <c r="A106" s="1335"/>
    </row>
    <row r="107">
      <c r="A107" s="1335"/>
    </row>
    <row r="108">
      <c r="A108" s="1335"/>
    </row>
    <row r="109">
      <c r="A109" s="1335"/>
    </row>
    <row r="110">
      <c r="A110" s="1335"/>
    </row>
    <row r="111">
      <c r="A111" s="1335"/>
    </row>
    <row r="112">
      <c r="A112" s="1335"/>
    </row>
    <row r="113">
      <c r="A113" s="1335"/>
    </row>
    <row r="114">
      <c r="A114" s="1335"/>
    </row>
    <row r="115">
      <c r="A115" s="1335"/>
    </row>
    <row r="116">
      <c r="A116" s="1335"/>
    </row>
    <row r="117">
      <c r="A117" s="1335"/>
    </row>
    <row r="118">
      <c r="A118" s="1335"/>
    </row>
    <row r="119">
      <c r="A119" s="1335"/>
    </row>
    <row r="120">
      <c r="A120" s="1335"/>
    </row>
    <row r="121">
      <c r="A121" s="1335"/>
    </row>
    <row r="122">
      <c r="A122" s="1335"/>
    </row>
    <row r="123">
      <c r="A123" s="1335"/>
    </row>
    <row r="124">
      <c r="A124" s="1335"/>
    </row>
    <row r="125">
      <c r="A125" s="1335"/>
    </row>
    <row r="126">
      <c r="A126" s="1335"/>
    </row>
    <row r="127">
      <c r="A127" s="1335"/>
    </row>
    <row r="128">
      <c r="A128" s="1335"/>
    </row>
    <row r="129">
      <c r="A129" s="1335"/>
    </row>
    <row r="130">
      <c r="A130" s="1335"/>
    </row>
    <row r="131">
      <c r="A131" s="1335"/>
    </row>
    <row r="132">
      <c r="A132" s="1335"/>
    </row>
    <row r="133">
      <c r="A133" s="1335"/>
    </row>
    <row r="134">
      <c r="A134" s="1335"/>
    </row>
    <row r="135">
      <c r="A135" s="1335"/>
    </row>
    <row r="136">
      <c r="A136" s="1335"/>
    </row>
    <row r="137">
      <c r="A137" s="1335"/>
    </row>
    <row r="138">
      <c r="A138" s="1335"/>
    </row>
    <row r="139">
      <c r="A139" s="1335"/>
    </row>
    <row r="140">
      <c r="A140" s="1335"/>
    </row>
    <row r="141">
      <c r="A141" s="1335"/>
    </row>
    <row r="142">
      <c r="A142" s="1335"/>
    </row>
    <row r="143">
      <c r="A143" s="1335"/>
    </row>
    <row r="144">
      <c r="A144" s="1335"/>
    </row>
    <row r="145">
      <c r="A145" s="1335"/>
    </row>
    <row r="146">
      <c r="A146" s="1335"/>
    </row>
    <row r="147">
      <c r="A147" s="1335"/>
    </row>
    <row r="148">
      <c r="A148" s="1335"/>
    </row>
    <row r="149">
      <c r="A149" s="1335"/>
    </row>
    <row r="150">
      <c r="A150" s="1335"/>
    </row>
    <row r="151">
      <c r="A151" s="1335"/>
    </row>
    <row r="152">
      <c r="A152" s="1335"/>
    </row>
    <row r="153">
      <c r="A153" s="1335"/>
    </row>
    <row r="154">
      <c r="A154" s="1335"/>
    </row>
    <row r="155">
      <c r="A155" s="1335"/>
    </row>
    <row r="156">
      <c r="A156" s="1335"/>
    </row>
    <row r="157">
      <c r="A157" s="1335"/>
    </row>
    <row r="158">
      <c r="A158" s="1335"/>
    </row>
    <row r="159">
      <c r="A159" s="1335"/>
    </row>
    <row r="160">
      <c r="A160" s="1335"/>
    </row>
    <row r="161">
      <c r="A161" s="1335"/>
    </row>
    <row r="162">
      <c r="A162" s="1335"/>
    </row>
    <row r="163">
      <c r="A163" s="1335"/>
    </row>
    <row r="164">
      <c r="A164" s="1335"/>
    </row>
    <row r="165">
      <c r="A165" s="1335"/>
    </row>
    <row r="166">
      <c r="A166" s="1335"/>
    </row>
    <row r="167">
      <c r="A167" s="1335"/>
    </row>
    <row r="168">
      <c r="A168" s="1335"/>
    </row>
    <row r="169">
      <c r="A169" s="1335"/>
    </row>
    <row r="170">
      <c r="A170" s="1335"/>
    </row>
    <row r="171">
      <c r="A171" s="1335"/>
    </row>
    <row r="172">
      <c r="A172" s="1335"/>
    </row>
    <row r="173">
      <c r="A173" s="1335"/>
    </row>
    <row r="174">
      <c r="A174" s="1335"/>
    </row>
    <row r="175">
      <c r="A175" s="1335"/>
    </row>
    <row r="176">
      <c r="A176" s="1335"/>
    </row>
    <row r="177">
      <c r="A177" s="1335"/>
    </row>
    <row r="178">
      <c r="A178" s="1335"/>
    </row>
    <row r="179">
      <c r="A179" s="1335"/>
    </row>
    <row r="180">
      <c r="A180" s="1335"/>
    </row>
    <row r="181">
      <c r="A181" s="1335"/>
    </row>
    <row r="182">
      <c r="A182" s="1335"/>
    </row>
    <row r="183">
      <c r="A183" s="1335"/>
    </row>
    <row r="184">
      <c r="A184" s="1335"/>
    </row>
    <row r="185">
      <c r="A185" s="1335"/>
    </row>
    <row r="186">
      <c r="A186" s="1335"/>
    </row>
    <row r="187">
      <c r="A187" s="1335"/>
    </row>
    <row r="188">
      <c r="A188" s="1335"/>
    </row>
    <row r="189">
      <c r="A189" s="1335"/>
    </row>
    <row r="190">
      <c r="A190" s="1335"/>
    </row>
    <row r="191">
      <c r="A191" s="1335"/>
    </row>
    <row r="192">
      <c r="A192" s="1335"/>
    </row>
    <row r="193">
      <c r="A193" s="1335"/>
    </row>
    <row r="194">
      <c r="A194" s="1335"/>
    </row>
    <row r="195">
      <c r="A195" s="1335"/>
    </row>
    <row r="196">
      <c r="A196" s="1335"/>
    </row>
    <row r="197">
      <c r="A197" s="1335"/>
    </row>
    <row r="198">
      <c r="A198" s="1335"/>
    </row>
    <row r="199">
      <c r="A199" s="1335"/>
    </row>
    <row r="200">
      <c r="A200" s="1335"/>
    </row>
    <row r="201">
      <c r="A201" s="1335"/>
    </row>
    <row r="202">
      <c r="A202" s="1335"/>
    </row>
    <row r="203">
      <c r="A203" s="1335"/>
    </row>
    <row r="204">
      <c r="A204" s="1335"/>
    </row>
    <row r="205">
      <c r="A205" s="1335"/>
    </row>
    <row r="206">
      <c r="A206" s="1335"/>
    </row>
    <row r="207">
      <c r="A207" s="1335"/>
    </row>
    <row r="208">
      <c r="A208" s="1335"/>
    </row>
    <row r="209">
      <c r="A209" s="1335"/>
    </row>
    <row r="210">
      <c r="A210" s="1335"/>
    </row>
    <row r="211">
      <c r="A211" s="1335"/>
    </row>
    <row r="212">
      <c r="A212" s="1335"/>
    </row>
    <row r="213">
      <c r="A213" s="1335"/>
    </row>
    <row r="214">
      <c r="A214" s="1335"/>
    </row>
    <row r="215">
      <c r="A215" s="1335"/>
    </row>
    <row r="216">
      <c r="A216" s="1335"/>
    </row>
    <row r="217">
      <c r="A217" s="1335"/>
    </row>
    <row r="218">
      <c r="A218" s="1335"/>
    </row>
    <row r="219">
      <c r="A219" s="1335"/>
    </row>
    <row r="220">
      <c r="A220" s="1335"/>
    </row>
    <row r="221">
      <c r="A221" s="1335"/>
    </row>
    <row r="222">
      <c r="A222" s="1335"/>
    </row>
    <row r="223">
      <c r="A223" s="1335"/>
    </row>
    <row r="224">
      <c r="A224" s="1335"/>
    </row>
    <row r="225">
      <c r="A225" s="1335"/>
    </row>
    <row r="226">
      <c r="A226" s="1335"/>
    </row>
    <row r="227">
      <c r="A227" s="1335"/>
    </row>
    <row r="228">
      <c r="A228" s="1335"/>
    </row>
    <row r="229">
      <c r="A229" s="1335"/>
    </row>
    <row r="230">
      <c r="A230" s="1335"/>
    </row>
    <row r="231">
      <c r="A231" s="1335"/>
    </row>
    <row r="232">
      <c r="A232" s="1335"/>
    </row>
    <row r="233">
      <c r="A233" s="1335"/>
    </row>
    <row r="234">
      <c r="A234" s="1335"/>
    </row>
    <row r="235">
      <c r="A235" s="1335"/>
    </row>
    <row r="236">
      <c r="A236" s="1335"/>
    </row>
    <row r="237">
      <c r="A237" s="1335"/>
    </row>
    <row r="238">
      <c r="A238" s="1335"/>
    </row>
    <row r="239">
      <c r="A239" s="1335"/>
    </row>
    <row r="240">
      <c r="A240" s="1335"/>
    </row>
    <row r="241">
      <c r="A241" s="1335"/>
    </row>
    <row r="242">
      <c r="A242" s="1335"/>
    </row>
    <row r="243">
      <c r="A243" s="1335"/>
    </row>
    <row r="244">
      <c r="A244" s="1335"/>
    </row>
    <row r="245">
      <c r="A245" s="1335"/>
    </row>
    <row r="246">
      <c r="A246" s="1335"/>
    </row>
    <row r="247">
      <c r="A247" s="1335"/>
    </row>
    <row r="248">
      <c r="A248" s="1335"/>
    </row>
    <row r="249">
      <c r="A249" s="1335"/>
    </row>
    <row r="250">
      <c r="A250" s="1335"/>
    </row>
    <row r="251">
      <c r="A251" s="1335"/>
    </row>
    <row r="252">
      <c r="A252" s="1335"/>
    </row>
    <row r="253">
      <c r="A253" s="1335"/>
    </row>
    <row r="254">
      <c r="A254" s="1335"/>
    </row>
    <row r="255">
      <c r="A255" s="1335"/>
    </row>
    <row r="256">
      <c r="A256" s="1335"/>
    </row>
    <row r="257">
      <c r="A257" s="1335"/>
    </row>
    <row r="258">
      <c r="A258" s="1335"/>
    </row>
    <row r="259">
      <c r="A259" s="1335"/>
    </row>
    <row r="260">
      <c r="A260" s="1335"/>
    </row>
    <row r="261">
      <c r="A261" s="1335"/>
    </row>
    <row r="262">
      <c r="A262" s="1335"/>
    </row>
    <row r="263">
      <c r="A263" s="1335"/>
    </row>
    <row r="264">
      <c r="A264" s="1335"/>
    </row>
    <row r="265">
      <c r="A265" s="1335"/>
    </row>
    <row r="266">
      <c r="A266" s="1335"/>
    </row>
    <row r="267">
      <c r="A267" s="1335"/>
    </row>
    <row r="268">
      <c r="A268" s="1335"/>
    </row>
    <row r="269">
      <c r="A269" s="1335"/>
    </row>
    <row r="270">
      <c r="A270" s="1335"/>
    </row>
    <row r="271">
      <c r="A271" s="1335"/>
    </row>
    <row r="272">
      <c r="A272" s="1335"/>
    </row>
    <row r="273">
      <c r="A273" s="1335"/>
    </row>
    <row r="274">
      <c r="A274" s="1335"/>
    </row>
    <row r="275">
      <c r="A275" s="1335"/>
    </row>
    <row r="276">
      <c r="A276" s="1335"/>
    </row>
    <row r="277">
      <c r="A277" s="1335"/>
    </row>
    <row r="278">
      <c r="A278" s="1335"/>
    </row>
    <row r="279">
      <c r="A279" s="1335"/>
    </row>
    <row r="280">
      <c r="A280" s="1335"/>
    </row>
    <row r="281">
      <c r="A281" s="1335"/>
    </row>
    <row r="282">
      <c r="A282" s="1335"/>
    </row>
    <row r="283">
      <c r="A283" s="1335"/>
    </row>
    <row r="284">
      <c r="A284" s="1335"/>
    </row>
    <row r="285">
      <c r="A285" s="1335"/>
    </row>
    <row r="286">
      <c r="A286" s="1335"/>
    </row>
    <row r="287">
      <c r="A287" s="1335"/>
    </row>
    <row r="288">
      <c r="A288" s="1335"/>
    </row>
    <row r="289">
      <c r="A289" s="1335"/>
    </row>
    <row r="290">
      <c r="A290" s="1335"/>
    </row>
    <row r="291">
      <c r="A291" s="1335"/>
    </row>
    <row r="292">
      <c r="A292" s="1335"/>
    </row>
    <row r="293">
      <c r="A293" s="1335"/>
    </row>
    <row r="294">
      <c r="A294" s="1335"/>
    </row>
    <row r="295">
      <c r="A295" s="1335"/>
    </row>
    <row r="296">
      <c r="A296" s="1335"/>
    </row>
    <row r="297">
      <c r="A297" s="1335"/>
    </row>
    <row r="298">
      <c r="A298" s="1335"/>
    </row>
    <row r="299">
      <c r="A299" s="1335"/>
    </row>
    <row r="300">
      <c r="A300" s="1335"/>
    </row>
    <row r="301">
      <c r="A301" s="1335"/>
    </row>
    <row r="302">
      <c r="A302" s="1335"/>
    </row>
    <row r="303">
      <c r="A303" s="1335"/>
    </row>
    <row r="304">
      <c r="A304" s="1335"/>
    </row>
    <row r="305">
      <c r="A305" s="1335"/>
    </row>
    <row r="306">
      <c r="A306" s="1335"/>
    </row>
    <row r="307">
      <c r="A307" s="1335"/>
    </row>
    <row r="308">
      <c r="A308" s="1335"/>
    </row>
    <row r="309">
      <c r="A309" s="1335"/>
    </row>
    <row r="310">
      <c r="A310" s="1335"/>
    </row>
    <row r="311">
      <c r="A311" s="1335"/>
    </row>
    <row r="312">
      <c r="A312" s="1335"/>
    </row>
    <row r="313">
      <c r="A313" s="1335"/>
    </row>
    <row r="314">
      <c r="A314" s="1335"/>
    </row>
    <row r="315">
      <c r="A315" s="1335"/>
    </row>
    <row r="316">
      <c r="A316" s="1335"/>
    </row>
    <row r="317">
      <c r="A317" s="1335"/>
    </row>
    <row r="318">
      <c r="A318" s="1335"/>
    </row>
    <row r="319">
      <c r="A319" s="1335"/>
    </row>
    <row r="320">
      <c r="A320" s="1335"/>
    </row>
    <row r="321">
      <c r="A321" s="1335"/>
    </row>
    <row r="322">
      <c r="A322" s="1335"/>
    </row>
    <row r="323">
      <c r="A323" s="1335"/>
    </row>
    <row r="324">
      <c r="A324" s="1335"/>
    </row>
    <row r="325">
      <c r="A325" s="1335"/>
    </row>
    <row r="326">
      <c r="A326" s="1335"/>
    </row>
    <row r="327">
      <c r="A327" s="1335"/>
    </row>
    <row r="328">
      <c r="A328" s="1335"/>
    </row>
    <row r="329">
      <c r="A329" s="1335"/>
    </row>
    <row r="330">
      <c r="A330" s="1335"/>
    </row>
    <row r="331">
      <c r="A331" s="1335"/>
    </row>
    <row r="332">
      <c r="A332" s="1335"/>
    </row>
    <row r="333">
      <c r="A333" s="1335"/>
    </row>
    <row r="334">
      <c r="A334" s="1335"/>
    </row>
    <row r="335">
      <c r="A335" s="1335"/>
    </row>
    <row r="336">
      <c r="A336" s="1335"/>
    </row>
    <row r="337">
      <c r="A337" s="1335"/>
    </row>
    <row r="338">
      <c r="A338" s="1335"/>
    </row>
    <row r="339">
      <c r="A339" s="1335"/>
    </row>
    <row r="340">
      <c r="A340" s="1335"/>
    </row>
    <row r="341">
      <c r="A341" s="1335"/>
    </row>
    <row r="342">
      <c r="A342" s="1335"/>
    </row>
    <row r="343">
      <c r="A343" s="1335"/>
    </row>
    <row r="344">
      <c r="A344" s="1335"/>
    </row>
    <row r="345">
      <c r="A345" s="1335"/>
    </row>
    <row r="346">
      <c r="A346" s="1335"/>
    </row>
    <row r="347">
      <c r="A347" s="1335"/>
    </row>
    <row r="348">
      <c r="A348" s="1335"/>
    </row>
    <row r="349">
      <c r="A349" s="1335"/>
    </row>
    <row r="350">
      <c r="A350" s="1335"/>
    </row>
    <row r="351">
      <c r="A351" s="1335"/>
    </row>
    <row r="352">
      <c r="A352" s="1335"/>
    </row>
    <row r="353">
      <c r="A353" s="1335"/>
    </row>
    <row r="354">
      <c r="A354" s="1335"/>
    </row>
    <row r="355">
      <c r="A355" s="1335"/>
    </row>
    <row r="356">
      <c r="A356" s="1335"/>
    </row>
    <row r="357">
      <c r="A357" s="1335"/>
    </row>
    <row r="358">
      <c r="A358" s="1335"/>
    </row>
    <row r="359">
      <c r="A359" s="1335"/>
    </row>
    <row r="360">
      <c r="A360" s="1335"/>
    </row>
    <row r="361">
      <c r="A361" s="1335"/>
    </row>
    <row r="362">
      <c r="A362" s="1335"/>
    </row>
    <row r="363">
      <c r="A363" s="1335"/>
    </row>
    <row r="364">
      <c r="A364" s="1335"/>
    </row>
    <row r="365">
      <c r="A365" s="1335"/>
    </row>
    <row r="366">
      <c r="A366" s="1335"/>
    </row>
    <row r="367">
      <c r="A367" s="1335"/>
    </row>
    <row r="368">
      <c r="A368" s="1335"/>
    </row>
    <row r="369">
      <c r="A369" s="1335"/>
    </row>
    <row r="370">
      <c r="A370" s="1335"/>
    </row>
    <row r="371">
      <c r="A371" s="1335"/>
    </row>
    <row r="372">
      <c r="A372" s="1335"/>
    </row>
    <row r="373">
      <c r="A373" s="1335"/>
    </row>
    <row r="374">
      <c r="A374" s="1335"/>
    </row>
    <row r="375">
      <c r="A375" s="1335"/>
    </row>
    <row r="376">
      <c r="A376" s="1335"/>
    </row>
    <row r="377">
      <c r="A377" s="1335"/>
    </row>
    <row r="378">
      <c r="A378" s="1335"/>
    </row>
    <row r="379">
      <c r="A379" s="1335"/>
    </row>
    <row r="380">
      <c r="A380" s="1335"/>
    </row>
    <row r="381">
      <c r="A381" s="1335"/>
    </row>
    <row r="382">
      <c r="A382" s="1335"/>
    </row>
    <row r="383">
      <c r="A383" s="1335"/>
    </row>
    <row r="384">
      <c r="A384" s="1335"/>
    </row>
    <row r="385">
      <c r="A385" s="1335"/>
    </row>
    <row r="386">
      <c r="A386" s="1335"/>
    </row>
    <row r="387">
      <c r="A387" s="1335"/>
    </row>
    <row r="388">
      <c r="A388" s="1335"/>
    </row>
    <row r="389">
      <c r="A389" s="1335"/>
    </row>
    <row r="390">
      <c r="A390" s="1335"/>
    </row>
    <row r="391">
      <c r="A391" s="1335"/>
    </row>
    <row r="392">
      <c r="A392" s="1335"/>
    </row>
    <row r="393">
      <c r="A393" s="1335"/>
    </row>
    <row r="394">
      <c r="A394" s="1335"/>
    </row>
    <row r="395">
      <c r="A395" s="1335"/>
    </row>
    <row r="396">
      <c r="A396" s="1335"/>
    </row>
    <row r="397">
      <c r="A397" s="1335"/>
    </row>
    <row r="398">
      <c r="A398" s="1335"/>
    </row>
    <row r="399">
      <c r="A399" s="1335"/>
    </row>
    <row r="400">
      <c r="A400" s="1335"/>
    </row>
    <row r="401">
      <c r="A401" s="1335"/>
    </row>
    <row r="402">
      <c r="A402" s="1335"/>
    </row>
    <row r="403">
      <c r="A403" s="1335"/>
    </row>
    <row r="404">
      <c r="A404" s="1335"/>
    </row>
    <row r="405">
      <c r="A405" s="1335"/>
    </row>
    <row r="406">
      <c r="A406" s="1335"/>
    </row>
    <row r="407">
      <c r="A407" s="1335"/>
    </row>
    <row r="408">
      <c r="A408" s="1335"/>
    </row>
    <row r="409">
      <c r="A409" s="1335"/>
    </row>
    <row r="410">
      <c r="A410" s="1335"/>
    </row>
    <row r="411">
      <c r="A411" s="1335"/>
    </row>
    <row r="412">
      <c r="A412" s="1335"/>
    </row>
    <row r="413">
      <c r="A413" s="1335"/>
    </row>
    <row r="414">
      <c r="A414" s="1335"/>
    </row>
    <row r="415">
      <c r="A415" s="1335"/>
    </row>
    <row r="416">
      <c r="A416" s="1335"/>
    </row>
    <row r="417">
      <c r="A417" s="1335"/>
    </row>
    <row r="418">
      <c r="A418" s="1335"/>
    </row>
    <row r="419">
      <c r="A419" s="1335"/>
    </row>
    <row r="420">
      <c r="A420" s="1335"/>
    </row>
    <row r="421">
      <c r="A421" s="1335"/>
    </row>
    <row r="422">
      <c r="A422" s="1335"/>
    </row>
    <row r="423">
      <c r="A423" s="1335"/>
    </row>
    <row r="424">
      <c r="A424" s="1335"/>
    </row>
    <row r="425">
      <c r="A425" s="1335"/>
    </row>
    <row r="426">
      <c r="A426" s="1335"/>
    </row>
    <row r="427">
      <c r="A427" s="1335"/>
    </row>
    <row r="428">
      <c r="A428" s="1335"/>
    </row>
    <row r="429">
      <c r="A429" s="1335"/>
    </row>
    <row r="430">
      <c r="A430" s="1335"/>
    </row>
    <row r="431">
      <c r="A431" s="1335"/>
    </row>
    <row r="432">
      <c r="A432" s="1335"/>
    </row>
    <row r="433">
      <c r="A433" s="1335"/>
    </row>
    <row r="434">
      <c r="A434" s="1335"/>
    </row>
    <row r="435">
      <c r="A435" s="1335"/>
    </row>
    <row r="436">
      <c r="A436" s="1335"/>
    </row>
    <row r="437">
      <c r="A437" s="1335"/>
    </row>
    <row r="438">
      <c r="A438" s="1335"/>
    </row>
    <row r="439">
      <c r="A439" s="1335"/>
    </row>
    <row r="440">
      <c r="A440" s="1335"/>
    </row>
    <row r="441">
      <c r="A441" s="1335"/>
    </row>
    <row r="442">
      <c r="A442" s="1335"/>
    </row>
    <row r="443">
      <c r="A443" s="1335"/>
    </row>
    <row r="444">
      <c r="A444" s="1335"/>
    </row>
    <row r="445">
      <c r="A445" s="1335"/>
    </row>
    <row r="446">
      <c r="A446" s="1335"/>
    </row>
    <row r="447">
      <c r="A447" s="1335"/>
    </row>
    <row r="448">
      <c r="A448" s="1335"/>
    </row>
    <row r="449">
      <c r="A449" s="1335"/>
    </row>
    <row r="450">
      <c r="A450" s="1335"/>
    </row>
    <row r="451">
      <c r="A451" s="1335"/>
    </row>
    <row r="452">
      <c r="A452" s="1335"/>
    </row>
    <row r="453">
      <c r="A453" s="1335"/>
    </row>
    <row r="454">
      <c r="A454" s="1335"/>
    </row>
    <row r="455">
      <c r="A455" s="1335"/>
    </row>
    <row r="456">
      <c r="A456" s="1335"/>
    </row>
    <row r="457">
      <c r="A457" s="1335"/>
    </row>
    <row r="458">
      <c r="A458" s="1335"/>
    </row>
    <row r="459">
      <c r="A459" s="1335"/>
    </row>
    <row r="460">
      <c r="A460" s="1335"/>
    </row>
    <row r="461">
      <c r="A461" s="1335"/>
    </row>
    <row r="462">
      <c r="A462" s="1335"/>
    </row>
    <row r="463">
      <c r="A463" s="1335"/>
    </row>
    <row r="464">
      <c r="A464" s="1335"/>
    </row>
    <row r="465">
      <c r="A465" s="1335"/>
    </row>
    <row r="466">
      <c r="A466" s="1335"/>
    </row>
    <row r="467">
      <c r="A467" s="1335"/>
    </row>
    <row r="468">
      <c r="A468" s="1335"/>
    </row>
    <row r="469">
      <c r="A469" s="1335"/>
    </row>
    <row r="470">
      <c r="A470" s="1335"/>
    </row>
    <row r="471">
      <c r="A471" s="1335"/>
    </row>
    <row r="472">
      <c r="A472" s="1335"/>
    </row>
    <row r="473">
      <c r="A473" s="1335"/>
    </row>
    <row r="474">
      <c r="A474" s="1335"/>
    </row>
    <row r="475">
      <c r="A475" s="1335"/>
    </row>
    <row r="476">
      <c r="A476" s="1335"/>
    </row>
    <row r="477">
      <c r="A477" s="1335"/>
    </row>
    <row r="478">
      <c r="A478" s="1335"/>
    </row>
    <row r="479">
      <c r="A479" s="1335"/>
    </row>
    <row r="480">
      <c r="A480" s="1335"/>
    </row>
    <row r="481">
      <c r="A481" s="1335"/>
    </row>
    <row r="482">
      <c r="A482" s="1335"/>
    </row>
    <row r="483">
      <c r="A483" s="1335"/>
    </row>
    <row r="484">
      <c r="A484" s="1335"/>
    </row>
    <row r="485">
      <c r="A485" s="1335"/>
    </row>
    <row r="486">
      <c r="A486" s="1335"/>
    </row>
    <row r="487">
      <c r="A487" s="1335"/>
    </row>
    <row r="488">
      <c r="A488" s="1335"/>
    </row>
    <row r="489">
      <c r="A489" s="1335"/>
    </row>
    <row r="490">
      <c r="A490" s="1335"/>
    </row>
    <row r="491">
      <c r="A491" s="1335"/>
    </row>
    <row r="492">
      <c r="A492" s="1335"/>
    </row>
    <row r="493">
      <c r="A493" s="1335"/>
    </row>
    <row r="494">
      <c r="A494" s="1335"/>
    </row>
    <row r="495">
      <c r="A495" s="1335"/>
    </row>
    <row r="496">
      <c r="A496" s="1335"/>
    </row>
    <row r="497">
      <c r="A497" s="1335"/>
    </row>
    <row r="498">
      <c r="A498" s="1335"/>
    </row>
    <row r="499">
      <c r="A499" s="1335"/>
    </row>
    <row r="500">
      <c r="A500" s="1335"/>
    </row>
    <row r="501">
      <c r="A501" s="1335"/>
    </row>
    <row r="502">
      <c r="A502" s="1335"/>
    </row>
    <row r="503">
      <c r="A503" s="1335"/>
    </row>
    <row r="504">
      <c r="A504" s="1335"/>
    </row>
    <row r="505">
      <c r="A505" s="1335"/>
    </row>
    <row r="506">
      <c r="A506" s="1335"/>
    </row>
    <row r="507">
      <c r="A507" s="1335"/>
    </row>
    <row r="508">
      <c r="A508" s="1335"/>
    </row>
    <row r="509">
      <c r="A509" s="1335"/>
    </row>
    <row r="510">
      <c r="A510" s="1335"/>
    </row>
    <row r="511">
      <c r="A511" s="1335"/>
    </row>
    <row r="512">
      <c r="A512" s="1335"/>
    </row>
    <row r="513">
      <c r="A513" s="1335"/>
    </row>
    <row r="514">
      <c r="A514" s="1335"/>
    </row>
    <row r="515">
      <c r="A515" s="1335"/>
    </row>
    <row r="516">
      <c r="A516" s="1335"/>
    </row>
    <row r="517">
      <c r="A517" s="1335"/>
    </row>
    <row r="518">
      <c r="A518" s="1335"/>
    </row>
    <row r="519">
      <c r="A519" s="1335"/>
    </row>
    <row r="520">
      <c r="A520" s="1335"/>
    </row>
    <row r="521">
      <c r="A521" s="1335"/>
    </row>
    <row r="522">
      <c r="A522" s="1335"/>
    </row>
    <row r="523">
      <c r="A523" s="1335"/>
    </row>
    <row r="524">
      <c r="A524" s="1335"/>
    </row>
    <row r="525">
      <c r="A525" s="1335"/>
    </row>
    <row r="526">
      <c r="A526" s="1335"/>
    </row>
    <row r="527">
      <c r="A527" s="1335"/>
    </row>
    <row r="528">
      <c r="A528" s="1335"/>
    </row>
    <row r="529">
      <c r="A529" s="1335"/>
    </row>
    <row r="530">
      <c r="A530" s="1335"/>
    </row>
    <row r="531">
      <c r="A531" s="1335"/>
    </row>
    <row r="532">
      <c r="A532" s="1335"/>
    </row>
    <row r="533">
      <c r="A533" s="1335"/>
    </row>
    <row r="534">
      <c r="A534" s="1335"/>
    </row>
    <row r="535">
      <c r="A535" s="1335"/>
    </row>
    <row r="536">
      <c r="A536" s="1335"/>
    </row>
    <row r="537">
      <c r="A537" s="1335"/>
    </row>
    <row r="538">
      <c r="A538" s="1335"/>
    </row>
    <row r="539">
      <c r="A539" s="1335"/>
    </row>
    <row r="540">
      <c r="A540" s="1335"/>
    </row>
    <row r="541">
      <c r="A541" s="1335"/>
    </row>
    <row r="542">
      <c r="A542" s="1335"/>
    </row>
    <row r="543">
      <c r="A543" s="1335"/>
    </row>
    <row r="544">
      <c r="A544" s="1335"/>
    </row>
    <row r="545">
      <c r="A545" s="1335"/>
    </row>
    <row r="546">
      <c r="A546" s="1335"/>
    </row>
    <row r="547">
      <c r="A547" s="1335"/>
    </row>
    <row r="548">
      <c r="A548" s="1335"/>
    </row>
    <row r="549">
      <c r="A549" s="1335"/>
    </row>
    <row r="550">
      <c r="A550" s="1335"/>
    </row>
    <row r="551">
      <c r="A551" s="1335"/>
    </row>
    <row r="552">
      <c r="A552" s="1335"/>
    </row>
    <row r="553">
      <c r="A553" s="1335"/>
    </row>
    <row r="554">
      <c r="A554" s="1335"/>
    </row>
    <row r="555">
      <c r="A555" s="1335"/>
    </row>
    <row r="556">
      <c r="A556" s="1335"/>
    </row>
    <row r="557">
      <c r="A557" s="1335"/>
    </row>
    <row r="558">
      <c r="A558" s="1335"/>
    </row>
    <row r="559">
      <c r="A559" s="1335"/>
    </row>
    <row r="560">
      <c r="A560" s="1335"/>
    </row>
    <row r="561">
      <c r="A561" s="1335"/>
    </row>
    <row r="562">
      <c r="A562" s="1335"/>
    </row>
    <row r="563">
      <c r="A563" s="1335"/>
    </row>
    <row r="564">
      <c r="A564" s="1335"/>
    </row>
    <row r="565">
      <c r="A565" s="1335"/>
    </row>
    <row r="566">
      <c r="A566" s="1335"/>
    </row>
    <row r="567">
      <c r="A567" s="1335"/>
    </row>
    <row r="568">
      <c r="A568" s="1335"/>
    </row>
    <row r="569">
      <c r="A569" s="1335"/>
    </row>
    <row r="570">
      <c r="A570" s="1335"/>
    </row>
    <row r="571">
      <c r="A571" s="1335"/>
    </row>
    <row r="572">
      <c r="A572" s="1335"/>
    </row>
    <row r="573">
      <c r="A573" s="1335"/>
    </row>
    <row r="574">
      <c r="A574" s="1335"/>
    </row>
    <row r="575">
      <c r="A575" s="1335"/>
    </row>
    <row r="576">
      <c r="A576" s="1335"/>
    </row>
    <row r="577">
      <c r="A577" s="1335"/>
    </row>
    <row r="578">
      <c r="A578" s="1335"/>
    </row>
    <row r="579">
      <c r="A579" s="1335"/>
    </row>
    <row r="580">
      <c r="A580" s="1335"/>
    </row>
    <row r="581">
      <c r="A581" s="1335"/>
    </row>
    <row r="582">
      <c r="A582" s="1335"/>
    </row>
    <row r="583">
      <c r="A583" s="1335"/>
    </row>
    <row r="584">
      <c r="A584" s="1335"/>
    </row>
    <row r="585">
      <c r="A585" s="1335"/>
    </row>
    <row r="586">
      <c r="A586" s="1335"/>
    </row>
    <row r="587">
      <c r="A587" s="1335"/>
    </row>
    <row r="588">
      <c r="A588" s="1335"/>
    </row>
    <row r="589">
      <c r="A589" s="1335"/>
    </row>
    <row r="590">
      <c r="A590" s="1335"/>
    </row>
    <row r="591">
      <c r="A591" s="1335"/>
    </row>
    <row r="592">
      <c r="A592" s="1335"/>
    </row>
    <row r="593">
      <c r="A593" s="1335"/>
    </row>
    <row r="594">
      <c r="A594" s="1335"/>
    </row>
    <row r="595">
      <c r="A595" s="1335"/>
    </row>
    <row r="596">
      <c r="A596" s="1335"/>
    </row>
    <row r="597">
      <c r="A597" s="1335"/>
    </row>
    <row r="598">
      <c r="A598" s="1335"/>
    </row>
    <row r="599">
      <c r="A599" s="1335"/>
    </row>
    <row r="600">
      <c r="A600" s="1335"/>
    </row>
    <row r="601">
      <c r="A601" s="1335"/>
    </row>
    <row r="602">
      <c r="A602" s="1335"/>
    </row>
    <row r="603">
      <c r="A603" s="1335"/>
    </row>
    <row r="604">
      <c r="A604" s="1335"/>
    </row>
    <row r="605">
      <c r="A605" s="1335"/>
    </row>
    <row r="606">
      <c r="A606" s="1335"/>
    </row>
    <row r="607">
      <c r="A607" s="1335"/>
    </row>
    <row r="608">
      <c r="A608" s="1335"/>
    </row>
    <row r="609">
      <c r="A609" s="1335"/>
    </row>
    <row r="610">
      <c r="A610" s="1335"/>
    </row>
    <row r="611">
      <c r="A611" s="1335"/>
    </row>
    <row r="612">
      <c r="A612" s="1335"/>
    </row>
    <row r="613">
      <c r="A613" s="1335"/>
    </row>
    <row r="614">
      <c r="A614" s="1335"/>
    </row>
    <row r="615">
      <c r="A615" s="1335"/>
    </row>
    <row r="616">
      <c r="A616" s="1335"/>
    </row>
    <row r="617">
      <c r="A617" s="1335"/>
    </row>
    <row r="618">
      <c r="A618" s="1335"/>
    </row>
    <row r="619">
      <c r="A619" s="1335"/>
    </row>
    <row r="620">
      <c r="A620" s="1335"/>
    </row>
    <row r="621">
      <c r="A621" s="1335"/>
    </row>
    <row r="622">
      <c r="A622" s="1335"/>
    </row>
    <row r="623">
      <c r="A623" s="1335"/>
    </row>
    <row r="624">
      <c r="A624" s="1335"/>
    </row>
    <row r="625">
      <c r="A625" s="1335"/>
    </row>
    <row r="626">
      <c r="A626" s="1335"/>
    </row>
    <row r="627">
      <c r="A627" s="1335"/>
    </row>
    <row r="628">
      <c r="A628" s="1335"/>
    </row>
    <row r="629">
      <c r="A629" s="1335"/>
    </row>
    <row r="630">
      <c r="A630" s="1335"/>
    </row>
    <row r="631">
      <c r="A631" s="1335"/>
    </row>
    <row r="632">
      <c r="A632" s="1335"/>
    </row>
    <row r="633">
      <c r="A633" s="1335"/>
    </row>
    <row r="634">
      <c r="A634" s="1335"/>
    </row>
    <row r="635">
      <c r="A635" s="1335"/>
    </row>
    <row r="636">
      <c r="A636" s="1335"/>
    </row>
    <row r="637">
      <c r="A637" s="1335"/>
    </row>
    <row r="638">
      <c r="A638" s="1335"/>
    </row>
    <row r="639">
      <c r="A639" s="1335"/>
    </row>
    <row r="640">
      <c r="A640" s="1335"/>
    </row>
    <row r="641">
      <c r="A641" s="1335"/>
    </row>
    <row r="642">
      <c r="A642" s="1335"/>
    </row>
    <row r="643">
      <c r="A643" s="1335"/>
    </row>
    <row r="644">
      <c r="A644" s="1335"/>
    </row>
    <row r="645">
      <c r="A645" s="1335"/>
    </row>
    <row r="646">
      <c r="A646" s="1335"/>
    </row>
    <row r="647">
      <c r="A647" s="1335"/>
    </row>
    <row r="648">
      <c r="A648" s="1335"/>
    </row>
    <row r="649">
      <c r="A649" s="1335"/>
    </row>
    <row r="650">
      <c r="A650" s="1335"/>
    </row>
    <row r="651">
      <c r="A651" s="1335"/>
    </row>
    <row r="652">
      <c r="A652" s="1335"/>
    </row>
    <row r="653">
      <c r="A653" s="1335"/>
    </row>
    <row r="654">
      <c r="A654" s="1335"/>
    </row>
    <row r="655">
      <c r="A655" s="1335"/>
    </row>
    <row r="656">
      <c r="A656" s="1335"/>
    </row>
    <row r="657">
      <c r="A657" s="1335"/>
    </row>
    <row r="658">
      <c r="A658" s="1335"/>
    </row>
    <row r="659">
      <c r="A659" s="1335"/>
    </row>
    <row r="660">
      <c r="A660" s="1335"/>
    </row>
    <row r="661">
      <c r="A661" s="1335"/>
    </row>
    <row r="662">
      <c r="A662" s="1335"/>
    </row>
    <row r="663">
      <c r="A663" s="1335"/>
    </row>
    <row r="664">
      <c r="A664" s="1335"/>
    </row>
    <row r="665">
      <c r="A665" s="1335"/>
    </row>
    <row r="666">
      <c r="A666" s="1335"/>
    </row>
    <row r="667">
      <c r="A667" s="1335"/>
    </row>
    <row r="668">
      <c r="A668" s="1335"/>
    </row>
    <row r="669">
      <c r="A669" s="1335"/>
    </row>
    <row r="670">
      <c r="A670" s="1335"/>
    </row>
    <row r="671">
      <c r="A671" s="1335"/>
    </row>
    <row r="672">
      <c r="A672" s="1335"/>
    </row>
    <row r="673">
      <c r="A673" s="1335"/>
    </row>
    <row r="674">
      <c r="A674" s="1335"/>
    </row>
    <row r="675">
      <c r="A675" s="1335"/>
    </row>
    <row r="676">
      <c r="A676" s="1335"/>
    </row>
    <row r="677">
      <c r="A677" s="1335"/>
    </row>
    <row r="678">
      <c r="A678" s="1335"/>
    </row>
    <row r="679">
      <c r="A679" s="1335"/>
    </row>
    <row r="680">
      <c r="A680" s="1335"/>
    </row>
    <row r="681">
      <c r="A681" s="1335"/>
    </row>
    <row r="682">
      <c r="A682" s="1335"/>
    </row>
    <row r="683">
      <c r="A683" s="1335"/>
    </row>
    <row r="684">
      <c r="A684" s="1335"/>
    </row>
    <row r="685">
      <c r="A685" s="1335"/>
    </row>
    <row r="686">
      <c r="A686" s="1335"/>
    </row>
    <row r="687">
      <c r="A687" s="1335"/>
    </row>
    <row r="688">
      <c r="A688" s="1335"/>
    </row>
    <row r="689">
      <c r="A689" s="1335"/>
    </row>
    <row r="690">
      <c r="A690" s="1335"/>
    </row>
    <row r="691">
      <c r="A691" s="1335"/>
    </row>
    <row r="692">
      <c r="A692" s="1335"/>
    </row>
    <row r="693">
      <c r="A693" s="1335"/>
    </row>
    <row r="694">
      <c r="A694" s="1335"/>
    </row>
    <row r="695">
      <c r="A695" s="1335"/>
    </row>
    <row r="696">
      <c r="A696" s="1335"/>
    </row>
    <row r="697">
      <c r="A697" s="1335"/>
    </row>
    <row r="698">
      <c r="A698" s="1335"/>
    </row>
    <row r="699">
      <c r="A699" s="1335"/>
    </row>
    <row r="700">
      <c r="A700" s="1335"/>
    </row>
    <row r="701">
      <c r="A701" s="1335"/>
    </row>
    <row r="702">
      <c r="A702" s="1335"/>
    </row>
    <row r="703">
      <c r="A703" s="1335"/>
    </row>
    <row r="704">
      <c r="A704" s="1335"/>
    </row>
    <row r="705">
      <c r="A705" s="1335"/>
    </row>
    <row r="706">
      <c r="A706" s="1335"/>
    </row>
    <row r="707">
      <c r="A707" s="1335"/>
    </row>
    <row r="708">
      <c r="A708" s="1335"/>
    </row>
    <row r="709">
      <c r="A709" s="1335"/>
    </row>
    <row r="710">
      <c r="A710" s="1335"/>
    </row>
    <row r="711">
      <c r="A711" s="1335"/>
    </row>
    <row r="712">
      <c r="A712" s="1335"/>
    </row>
    <row r="713">
      <c r="A713" s="1335"/>
    </row>
    <row r="714">
      <c r="A714" s="1335"/>
    </row>
    <row r="715">
      <c r="A715" s="1335"/>
    </row>
    <row r="716">
      <c r="A716" s="1335"/>
    </row>
    <row r="717">
      <c r="A717" s="1335"/>
    </row>
    <row r="718">
      <c r="A718" s="1335"/>
    </row>
    <row r="719">
      <c r="A719" s="1335"/>
    </row>
    <row r="720">
      <c r="A720" s="1335"/>
    </row>
    <row r="721">
      <c r="A721" s="1335"/>
    </row>
    <row r="722">
      <c r="A722" s="1335"/>
    </row>
    <row r="723">
      <c r="A723" s="1335"/>
    </row>
    <row r="724">
      <c r="A724" s="1335"/>
    </row>
    <row r="725">
      <c r="A725" s="1335"/>
    </row>
    <row r="726">
      <c r="A726" s="1335"/>
    </row>
    <row r="727">
      <c r="A727" s="1335"/>
    </row>
    <row r="728">
      <c r="A728" s="1335"/>
    </row>
    <row r="729">
      <c r="A729" s="1335"/>
    </row>
    <row r="730">
      <c r="A730" s="1335"/>
    </row>
    <row r="731">
      <c r="A731" s="1335"/>
    </row>
    <row r="732">
      <c r="A732" s="1335"/>
    </row>
    <row r="733">
      <c r="A733" s="1335"/>
    </row>
    <row r="734">
      <c r="A734" s="1335"/>
    </row>
    <row r="735">
      <c r="A735" s="1335"/>
    </row>
    <row r="736">
      <c r="A736" s="1335"/>
    </row>
    <row r="737">
      <c r="A737" s="1335"/>
    </row>
    <row r="738">
      <c r="A738" s="1335"/>
    </row>
    <row r="739">
      <c r="A739" s="1335"/>
    </row>
    <row r="740">
      <c r="A740" s="1335"/>
    </row>
    <row r="741">
      <c r="A741" s="1335"/>
    </row>
    <row r="742">
      <c r="A742" s="1335"/>
    </row>
    <row r="743">
      <c r="A743" s="1335"/>
    </row>
    <row r="744">
      <c r="A744" s="1335"/>
    </row>
    <row r="745">
      <c r="A745" s="1335"/>
    </row>
    <row r="746">
      <c r="A746" s="1335"/>
    </row>
    <row r="747">
      <c r="A747" s="1335"/>
    </row>
    <row r="748">
      <c r="A748" s="1335"/>
    </row>
    <row r="749">
      <c r="A749" s="1335"/>
    </row>
    <row r="750">
      <c r="A750" s="1335"/>
    </row>
    <row r="751">
      <c r="A751" s="1335"/>
    </row>
    <row r="752">
      <c r="A752" s="1335"/>
    </row>
    <row r="753">
      <c r="A753" s="1335"/>
    </row>
    <row r="754">
      <c r="A754" s="1335"/>
    </row>
    <row r="755">
      <c r="A755" s="1335"/>
    </row>
    <row r="756">
      <c r="A756" s="1335"/>
    </row>
    <row r="757">
      <c r="A757" s="1335"/>
    </row>
    <row r="758">
      <c r="A758" s="1335"/>
    </row>
    <row r="759">
      <c r="A759" s="1335"/>
    </row>
    <row r="760">
      <c r="A760" s="1335"/>
    </row>
    <row r="761">
      <c r="A761" s="1335"/>
    </row>
    <row r="762">
      <c r="A762" s="1335"/>
    </row>
    <row r="763">
      <c r="A763" s="1335"/>
    </row>
    <row r="764">
      <c r="A764" s="1335"/>
    </row>
    <row r="765">
      <c r="A765" s="1335"/>
    </row>
    <row r="766">
      <c r="A766" s="1335"/>
    </row>
    <row r="767">
      <c r="A767" s="1335"/>
    </row>
    <row r="768">
      <c r="A768" s="1335"/>
    </row>
    <row r="769">
      <c r="A769" s="1335"/>
    </row>
    <row r="770">
      <c r="A770" s="1335"/>
    </row>
    <row r="771">
      <c r="A771" s="1335"/>
    </row>
    <row r="772">
      <c r="A772" s="1335"/>
    </row>
    <row r="773">
      <c r="A773" s="1335"/>
    </row>
    <row r="774">
      <c r="A774" s="1335"/>
    </row>
    <row r="775">
      <c r="A775" s="1335"/>
    </row>
    <row r="776">
      <c r="A776" s="1335"/>
    </row>
    <row r="777">
      <c r="A777" s="1335"/>
    </row>
    <row r="778">
      <c r="A778" s="1335"/>
    </row>
    <row r="779">
      <c r="A779" s="1335"/>
    </row>
    <row r="780">
      <c r="A780" s="1335"/>
    </row>
    <row r="781">
      <c r="A781" s="1335"/>
    </row>
    <row r="782">
      <c r="A782" s="1335"/>
    </row>
    <row r="783">
      <c r="A783" s="1335"/>
    </row>
    <row r="784">
      <c r="A784" s="1335"/>
    </row>
    <row r="785">
      <c r="A785" s="1335"/>
    </row>
    <row r="786">
      <c r="A786" s="1335"/>
    </row>
    <row r="787">
      <c r="A787" s="1335"/>
    </row>
    <row r="788">
      <c r="A788" s="1335"/>
    </row>
    <row r="789">
      <c r="A789" s="1335"/>
    </row>
    <row r="790">
      <c r="A790" s="1335"/>
    </row>
    <row r="791">
      <c r="A791" s="1335"/>
    </row>
    <row r="792">
      <c r="A792" s="1335"/>
    </row>
    <row r="793">
      <c r="A793" s="1335"/>
    </row>
    <row r="794">
      <c r="A794" s="1335"/>
    </row>
    <row r="795">
      <c r="A795" s="1335"/>
    </row>
    <row r="796">
      <c r="A796" s="1335"/>
    </row>
    <row r="797">
      <c r="A797" s="1335"/>
    </row>
    <row r="798">
      <c r="A798" s="1335"/>
    </row>
    <row r="799">
      <c r="A799" s="1335"/>
    </row>
    <row r="800">
      <c r="A800" s="1335"/>
    </row>
    <row r="801">
      <c r="A801" s="1335"/>
    </row>
    <row r="802">
      <c r="A802" s="1335"/>
    </row>
    <row r="803">
      <c r="A803" s="1335"/>
    </row>
    <row r="804">
      <c r="A804" s="1335"/>
    </row>
    <row r="805">
      <c r="A805" s="1335"/>
    </row>
    <row r="806">
      <c r="A806" s="1335"/>
    </row>
    <row r="807">
      <c r="A807" s="1335"/>
    </row>
    <row r="808">
      <c r="A808" s="1335"/>
    </row>
    <row r="809">
      <c r="A809" s="1335"/>
    </row>
    <row r="810">
      <c r="A810" s="1335"/>
    </row>
    <row r="811">
      <c r="A811" s="1335"/>
    </row>
    <row r="812">
      <c r="A812" s="1335"/>
    </row>
    <row r="813">
      <c r="A813" s="1335"/>
    </row>
    <row r="814">
      <c r="A814" s="1335"/>
    </row>
    <row r="815">
      <c r="A815" s="1335"/>
    </row>
    <row r="816">
      <c r="A816" s="1335"/>
    </row>
    <row r="817">
      <c r="A817" s="1335"/>
    </row>
    <row r="818">
      <c r="A818" s="1335"/>
    </row>
    <row r="819">
      <c r="A819" s="1335"/>
    </row>
    <row r="820">
      <c r="A820" s="1335"/>
    </row>
    <row r="821">
      <c r="A821" s="1335"/>
    </row>
    <row r="822">
      <c r="A822" s="1335"/>
    </row>
    <row r="823">
      <c r="A823" s="1335"/>
    </row>
    <row r="824">
      <c r="A824" s="1335"/>
    </row>
    <row r="825">
      <c r="A825" s="1335"/>
    </row>
    <row r="826">
      <c r="A826" s="1335"/>
    </row>
    <row r="827">
      <c r="A827" s="1335"/>
    </row>
    <row r="828">
      <c r="A828" s="1335"/>
    </row>
    <row r="829">
      <c r="A829" s="1335"/>
    </row>
    <row r="830">
      <c r="A830" s="1335"/>
    </row>
    <row r="831">
      <c r="A831" s="1335"/>
    </row>
    <row r="832">
      <c r="A832" s="1335"/>
    </row>
    <row r="833">
      <c r="A833" s="1335"/>
    </row>
    <row r="834">
      <c r="A834" s="1335"/>
    </row>
    <row r="835">
      <c r="A835" s="1335"/>
    </row>
    <row r="836">
      <c r="A836" s="1335"/>
    </row>
    <row r="837">
      <c r="A837" s="1335"/>
    </row>
    <row r="838">
      <c r="A838" s="1335"/>
    </row>
    <row r="839">
      <c r="A839" s="1335"/>
    </row>
    <row r="840">
      <c r="A840" s="1335"/>
    </row>
    <row r="841">
      <c r="A841" s="1335"/>
    </row>
    <row r="842">
      <c r="A842" s="1335"/>
    </row>
    <row r="843">
      <c r="A843" s="1335"/>
    </row>
    <row r="844">
      <c r="A844" s="1335"/>
    </row>
    <row r="845">
      <c r="A845" s="1335"/>
    </row>
    <row r="846">
      <c r="A846" s="1335"/>
    </row>
    <row r="847">
      <c r="A847" s="1335"/>
    </row>
    <row r="848">
      <c r="A848" s="1335"/>
    </row>
    <row r="849">
      <c r="A849" s="1335"/>
    </row>
    <row r="850">
      <c r="A850" s="1335"/>
    </row>
    <row r="851">
      <c r="A851" s="1335"/>
    </row>
    <row r="852">
      <c r="A852" s="1335"/>
    </row>
    <row r="853">
      <c r="A853" s="1335"/>
    </row>
    <row r="854">
      <c r="A854" s="1335"/>
    </row>
    <row r="855">
      <c r="A855" s="1335"/>
    </row>
    <row r="856">
      <c r="A856" s="1335"/>
    </row>
    <row r="857">
      <c r="A857" s="1335"/>
    </row>
    <row r="858">
      <c r="A858" s="1335"/>
    </row>
    <row r="859">
      <c r="A859" s="1335"/>
    </row>
    <row r="860">
      <c r="A860" s="1335"/>
    </row>
    <row r="861">
      <c r="A861" s="1335"/>
    </row>
    <row r="862">
      <c r="A862" s="1335"/>
    </row>
    <row r="863">
      <c r="A863" s="1335"/>
    </row>
    <row r="864">
      <c r="A864" s="1335"/>
    </row>
    <row r="865">
      <c r="A865" s="1335"/>
    </row>
    <row r="866">
      <c r="A866" s="1335"/>
    </row>
    <row r="867">
      <c r="A867" s="1335"/>
    </row>
    <row r="868">
      <c r="A868" s="1335"/>
    </row>
    <row r="869">
      <c r="A869" s="1335"/>
    </row>
    <row r="870">
      <c r="A870" s="1335"/>
    </row>
    <row r="871">
      <c r="A871" s="1335"/>
    </row>
    <row r="872">
      <c r="A872" s="1335"/>
    </row>
    <row r="873">
      <c r="A873" s="1335"/>
    </row>
    <row r="874">
      <c r="A874" s="1335"/>
    </row>
    <row r="875">
      <c r="A875" s="1335"/>
    </row>
    <row r="876">
      <c r="A876" s="1335"/>
    </row>
    <row r="877">
      <c r="A877" s="1335"/>
    </row>
    <row r="878">
      <c r="A878" s="1335"/>
    </row>
    <row r="879">
      <c r="A879" s="1335"/>
    </row>
    <row r="880">
      <c r="A880" s="1335"/>
    </row>
    <row r="881">
      <c r="A881" s="1335"/>
    </row>
    <row r="882">
      <c r="A882" s="1335"/>
    </row>
    <row r="883">
      <c r="A883" s="1335"/>
    </row>
  </sheetData>
  <hyperlinks>
    <hyperlink r:id="rId1" ref="A3"/>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1.57"/>
    <col customWidth="1" min="2" max="2" width="60.43"/>
    <col customWidth="1" min="3" max="3" width="18.0"/>
    <col customWidth="1" min="4" max="4" width="21.86"/>
    <col customWidth="1" min="5" max="5" width="18.57"/>
    <col customWidth="1" min="6" max="6" width="20.0"/>
    <col customWidth="1" min="7" max="7" width="18.0"/>
    <col customWidth="1" min="8" max="8" width="19.0"/>
    <col customWidth="1" min="9" max="9" width="21.43"/>
  </cols>
  <sheetData>
    <row r="1" ht="40.5" customHeight="1">
      <c r="A1" s="1338" t="s">
        <v>2134</v>
      </c>
      <c r="B1" s="1339" t="s">
        <v>1791</v>
      </c>
      <c r="C1" s="1338" t="s">
        <v>2135</v>
      </c>
      <c r="D1" s="1338" t="s">
        <v>2136</v>
      </c>
      <c r="E1" s="1340" t="s">
        <v>2137</v>
      </c>
      <c r="F1" s="1338" t="s">
        <v>2138</v>
      </c>
      <c r="G1" s="1341" t="s">
        <v>2139</v>
      </c>
      <c r="H1" s="1342" t="s">
        <v>2140</v>
      </c>
      <c r="I1" s="1343" t="s">
        <v>85</v>
      </c>
    </row>
    <row r="2">
      <c r="A2" s="1344" t="s">
        <v>146</v>
      </c>
      <c r="B2" s="1345" t="s">
        <v>2141</v>
      </c>
      <c r="C2" s="1346" t="s">
        <v>1495</v>
      </c>
      <c r="D2" s="1346">
        <v>6.9</v>
      </c>
      <c r="E2" s="1347">
        <v>10.35</v>
      </c>
      <c r="F2" s="1348" t="s">
        <v>2142</v>
      </c>
      <c r="G2" s="1349">
        <v>2.0</v>
      </c>
      <c r="H2" s="1346"/>
      <c r="I2" s="1350" t="s">
        <v>2143</v>
      </c>
    </row>
    <row r="3">
      <c r="A3" s="1351" t="s">
        <v>146</v>
      </c>
      <c r="B3" s="1352" t="s">
        <v>148</v>
      </c>
      <c r="C3" s="1353" t="s">
        <v>1495</v>
      </c>
      <c r="D3" s="1353">
        <v>13.5</v>
      </c>
      <c r="E3" s="1354">
        <v>20.25</v>
      </c>
      <c r="F3" s="1355" t="s">
        <v>2144</v>
      </c>
      <c r="G3" s="1356">
        <v>4.0</v>
      </c>
      <c r="H3" s="1353">
        <v>89.0</v>
      </c>
      <c r="I3" s="1357" t="s">
        <v>2145</v>
      </c>
    </row>
    <row r="4">
      <c r="A4" s="1344" t="s">
        <v>146</v>
      </c>
      <c r="B4" s="1345" t="s">
        <v>344</v>
      </c>
      <c r="C4" s="1346" t="s">
        <v>1495</v>
      </c>
      <c r="D4" s="1346">
        <v>10.35</v>
      </c>
      <c r="E4" s="1347">
        <v>15.55</v>
      </c>
      <c r="F4" s="1348" t="s">
        <v>2146</v>
      </c>
      <c r="G4" s="1349">
        <v>4.0</v>
      </c>
      <c r="H4" s="1358"/>
      <c r="I4" s="1350" t="s">
        <v>2147</v>
      </c>
    </row>
    <row r="5">
      <c r="A5" s="1351" t="s">
        <v>14</v>
      </c>
      <c r="B5" s="1352" t="s">
        <v>345</v>
      </c>
      <c r="C5" s="1353" t="s">
        <v>1495</v>
      </c>
      <c r="D5" s="1353"/>
      <c r="E5" s="1354"/>
      <c r="F5" s="1355">
        <v>4652133.0</v>
      </c>
      <c r="G5" s="1356"/>
      <c r="H5" s="1353"/>
      <c r="I5" s="1357" t="s">
        <v>2148</v>
      </c>
    </row>
    <row r="6">
      <c r="A6" s="1344" t="s">
        <v>315</v>
      </c>
      <c r="B6" s="1345" t="s">
        <v>346</v>
      </c>
      <c r="C6" s="1346" t="s">
        <v>1495</v>
      </c>
      <c r="D6" s="1346"/>
      <c r="E6" s="1346"/>
      <c r="F6" s="1348">
        <v>4661405.0</v>
      </c>
      <c r="G6" s="1349"/>
      <c r="H6" s="1358"/>
      <c r="I6" s="1350" t="s">
        <v>2149</v>
      </c>
    </row>
    <row r="7">
      <c r="A7" s="1351" t="s">
        <v>315</v>
      </c>
      <c r="B7" s="1352" t="s">
        <v>347</v>
      </c>
      <c r="C7" s="1353" t="s">
        <v>1495</v>
      </c>
      <c r="D7" s="1353"/>
      <c r="E7" s="1354"/>
      <c r="F7" s="1355">
        <v>4661406.0</v>
      </c>
      <c r="G7" s="1356"/>
      <c r="H7" s="1353"/>
      <c r="I7" s="1357" t="s">
        <v>2150</v>
      </c>
    </row>
    <row r="8">
      <c r="A8" s="1344" t="s">
        <v>315</v>
      </c>
      <c r="B8" s="1345" t="s">
        <v>2151</v>
      </c>
      <c r="C8" s="1346" t="s">
        <v>1495</v>
      </c>
      <c r="D8" s="1346">
        <v>7.65</v>
      </c>
      <c r="E8" s="1347">
        <v>8.8</v>
      </c>
      <c r="F8" s="1348" t="s">
        <v>2152</v>
      </c>
      <c r="G8" s="1349"/>
      <c r="H8" s="1346">
        <v>11.0</v>
      </c>
      <c r="I8" s="1350" t="s">
        <v>2153</v>
      </c>
    </row>
    <row r="9">
      <c r="A9" s="1351" t="s">
        <v>315</v>
      </c>
      <c r="B9" s="1352" t="s">
        <v>2154</v>
      </c>
      <c r="C9" s="1353" t="s">
        <v>1495</v>
      </c>
      <c r="D9" s="1353">
        <v>15.5</v>
      </c>
      <c r="E9" s="1354">
        <v>17.85</v>
      </c>
      <c r="F9" s="1355" t="s">
        <v>2155</v>
      </c>
      <c r="G9" s="1356"/>
      <c r="H9" s="1359">
        <v>4.0</v>
      </c>
      <c r="I9" s="1357" t="s">
        <v>2156</v>
      </c>
    </row>
    <row r="10">
      <c r="A10" s="1344" t="s">
        <v>2157</v>
      </c>
      <c r="B10" s="1345" t="s">
        <v>2158</v>
      </c>
      <c r="C10" s="1346" t="s">
        <v>1495</v>
      </c>
      <c r="D10" s="1346">
        <v>1.91</v>
      </c>
      <c r="E10" s="1346">
        <v>2.2</v>
      </c>
      <c r="F10" s="1348" t="s">
        <v>2159</v>
      </c>
      <c r="G10" s="1349">
        <v>1.0</v>
      </c>
      <c r="H10" s="1358">
        <v>9.0</v>
      </c>
      <c r="I10" s="1350" t="s">
        <v>2160</v>
      </c>
    </row>
    <row r="11">
      <c r="A11" s="1351" t="s">
        <v>326</v>
      </c>
      <c r="B11" s="1352" t="s">
        <v>351</v>
      </c>
      <c r="C11" s="1353" t="s">
        <v>1495</v>
      </c>
      <c r="D11" s="1353">
        <v>234.52</v>
      </c>
      <c r="E11" s="1354">
        <v>269.7</v>
      </c>
      <c r="F11" s="1355">
        <v>4671072.0</v>
      </c>
      <c r="G11" s="1356"/>
      <c r="H11" s="1359"/>
      <c r="I11" s="1357" t="s">
        <v>2161</v>
      </c>
    </row>
    <row r="12">
      <c r="A12" s="1344" t="s">
        <v>326</v>
      </c>
      <c r="B12" s="1345" t="s">
        <v>352</v>
      </c>
      <c r="C12" s="1346" t="s">
        <v>1495</v>
      </c>
      <c r="D12" s="1346">
        <v>175.73</v>
      </c>
      <c r="E12" s="1347">
        <v>202.1</v>
      </c>
      <c r="F12" s="1348">
        <v>4671073.0</v>
      </c>
      <c r="G12" s="1349"/>
      <c r="H12" s="1358"/>
      <c r="I12" s="1350" t="s">
        <v>2162</v>
      </c>
    </row>
    <row r="13">
      <c r="A13" s="1351" t="s">
        <v>326</v>
      </c>
      <c r="B13" s="1352" t="s">
        <v>353</v>
      </c>
      <c r="C13" s="1353" t="s">
        <v>1495</v>
      </c>
      <c r="D13" s="1353">
        <v>130.17</v>
      </c>
      <c r="E13" s="1354">
        <v>149.7</v>
      </c>
      <c r="F13" s="1355">
        <v>4671882.0</v>
      </c>
      <c r="G13" s="1356"/>
      <c r="H13" s="1359"/>
      <c r="I13" s="1357" t="s">
        <v>2163</v>
      </c>
    </row>
    <row r="14">
      <c r="A14" s="1344" t="s">
        <v>326</v>
      </c>
      <c r="B14" s="1345" t="s">
        <v>354</v>
      </c>
      <c r="C14" s="1346" t="s">
        <v>1495</v>
      </c>
      <c r="D14" s="1346">
        <v>153.84</v>
      </c>
      <c r="E14" s="1346">
        <v>176.95</v>
      </c>
      <c r="F14" s="1348">
        <v>4671904.0</v>
      </c>
      <c r="G14" s="1349"/>
      <c r="H14" s="1358"/>
      <c r="I14" s="1350" t="s">
        <v>2164</v>
      </c>
    </row>
    <row r="15">
      <c r="A15" s="1351" t="s">
        <v>326</v>
      </c>
      <c r="B15" s="1352" t="s">
        <v>355</v>
      </c>
      <c r="C15" s="1353" t="s">
        <v>1495</v>
      </c>
      <c r="D15" s="1353">
        <v>89.29</v>
      </c>
      <c r="E15" s="1354">
        <v>102.7</v>
      </c>
      <c r="F15" s="1355">
        <v>4671836.0</v>
      </c>
      <c r="G15" s="1356"/>
      <c r="H15" s="1353"/>
      <c r="I15" s="1357" t="s">
        <v>2165</v>
      </c>
    </row>
    <row r="16">
      <c r="A16" s="1344" t="s">
        <v>14</v>
      </c>
      <c r="B16" s="1345" t="s">
        <v>2166</v>
      </c>
      <c r="C16" s="1346" t="s">
        <v>1495</v>
      </c>
      <c r="D16" s="1346">
        <v>7.6</v>
      </c>
      <c r="E16" s="1347">
        <v>8.75</v>
      </c>
      <c r="F16" s="1348">
        <v>2473021.0</v>
      </c>
      <c r="G16" s="1349"/>
      <c r="H16" s="1346">
        <v>2.0</v>
      </c>
      <c r="I16" s="1350" t="s">
        <v>2167</v>
      </c>
    </row>
    <row r="17">
      <c r="A17" s="1351" t="s">
        <v>14</v>
      </c>
      <c r="B17" s="1352" t="s">
        <v>2168</v>
      </c>
      <c r="C17" s="1353" t="s">
        <v>1495</v>
      </c>
      <c r="D17" s="1353">
        <v>4.43</v>
      </c>
      <c r="E17" s="1353">
        <v>5.1</v>
      </c>
      <c r="F17" s="1355">
        <v>2473011.0</v>
      </c>
      <c r="G17" s="1356"/>
      <c r="H17" s="1359">
        <v>72.0</v>
      </c>
      <c r="I17" s="1357" t="s">
        <v>2169</v>
      </c>
    </row>
    <row r="18">
      <c r="A18" s="1344" t="s">
        <v>2170</v>
      </c>
      <c r="B18" s="1345" t="s">
        <v>358</v>
      </c>
      <c r="C18" s="1346" t="s">
        <v>1495</v>
      </c>
      <c r="D18" s="1346">
        <v>39.2</v>
      </c>
      <c r="E18" s="1347">
        <v>45.1</v>
      </c>
      <c r="F18" s="1348" t="s">
        <v>2171</v>
      </c>
      <c r="G18" s="1349"/>
      <c r="H18" s="1346"/>
      <c r="I18" s="1350" t="s">
        <v>2172</v>
      </c>
    </row>
    <row r="19">
      <c r="A19" s="1351" t="s">
        <v>326</v>
      </c>
      <c r="B19" s="1352" t="s">
        <v>359</v>
      </c>
      <c r="C19" s="1353" t="s">
        <v>1495</v>
      </c>
      <c r="D19" s="1353"/>
      <c r="E19" s="1353"/>
      <c r="F19" s="1355">
        <v>2133732.0</v>
      </c>
      <c r="G19" s="1356">
        <v>3.0</v>
      </c>
      <c r="H19" s="1353"/>
      <c r="I19" s="1357" t="s">
        <v>2173</v>
      </c>
    </row>
    <row r="20">
      <c r="A20" s="1344" t="s">
        <v>2157</v>
      </c>
      <c r="B20" s="1345" t="s">
        <v>2174</v>
      </c>
      <c r="C20" s="1346" t="s">
        <v>1495</v>
      </c>
      <c r="D20" s="1346">
        <v>3.5</v>
      </c>
      <c r="E20" s="1346">
        <v>4.05</v>
      </c>
      <c r="F20" s="1348">
        <v>2141516.0</v>
      </c>
      <c r="G20" s="1349">
        <v>1.0</v>
      </c>
      <c r="H20" s="1346">
        <v>5.0</v>
      </c>
      <c r="I20" s="1350" t="s">
        <v>2175</v>
      </c>
    </row>
    <row r="21">
      <c r="A21" s="1351" t="s">
        <v>2157</v>
      </c>
      <c r="B21" s="1352" t="s">
        <v>361</v>
      </c>
      <c r="C21" s="1353" t="s">
        <v>1495</v>
      </c>
      <c r="D21" s="1353">
        <v>8.84</v>
      </c>
      <c r="E21" s="1353">
        <v>10.2</v>
      </c>
      <c r="F21" s="1355">
        <v>2141504.0</v>
      </c>
      <c r="G21" s="1356">
        <v>1.0</v>
      </c>
      <c r="H21" s="1353"/>
      <c r="I21" s="1357" t="s">
        <v>2176</v>
      </c>
    </row>
    <row r="22">
      <c r="A22" s="1344" t="s">
        <v>2157</v>
      </c>
      <c r="B22" s="1345" t="s">
        <v>362</v>
      </c>
      <c r="C22" s="1346" t="s">
        <v>1495</v>
      </c>
      <c r="D22" s="1346"/>
      <c r="E22" s="1347"/>
      <c r="F22" s="1348">
        <v>2141517.0</v>
      </c>
      <c r="G22" s="1349">
        <v>1.0</v>
      </c>
      <c r="H22" s="1346"/>
      <c r="I22" s="1350" t="s">
        <v>2177</v>
      </c>
    </row>
    <row r="23">
      <c r="A23" s="1351" t="s">
        <v>2157</v>
      </c>
      <c r="B23" s="1352" t="s">
        <v>2178</v>
      </c>
      <c r="C23" s="1353" t="s">
        <v>1495</v>
      </c>
      <c r="D23" s="1353">
        <v>3.8</v>
      </c>
      <c r="E23" s="1354">
        <v>4.4</v>
      </c>
      <c r="F23" s="1355">
        <v>2141518.0</v>
      </c>
      <c r="G23" s="1356">
        <v>1.0</v>
      </c>
      <c r="H23" s="1353">
        <v>5.0</v>
      </c>
      <c r="I23" s="1357" t="s">
        <v>2179</v>
      </c>
    </row>
    <row r="24">
      <c r="A24" s="1344" t="s">
        <v>2157</v>
      </c>
      <c r="B24" s="1345" t="s">
        <v>364</v>
      </c>
      <c r="C24" s="1346" t="s">
        <v>1495</v>
      </c>
      <c r="D24" s="1346"/>
      <c r="E24" s="1347"/>
      <c r="F24" s="1348">
        <v>2141519.0</v>
      </c>
      <c r="G24" s="1349">
        <v>1.0</v>
      </c>
      <c r="H24" s="1358"/>
      <c r="I24" s="1350" t="s">
        <v>2180</v>
      </c>
    </row>
    <row r="25">
      <c r="A25" s="1351" t="s">
        <v>2157</v>
      </c>
      <c r="B25" s="1352" t="s">
        <v>365</v>
      </c>
      <c r="C25" s="1353" t="s">
        <v>1495</v>
      </c>
      <c r="D25" s="1353"/>
      <c r="E25" s="1354"/>
      <c r="F25" s="1355">
        <v>2141520.0</v>
      </c>
      <c r="G25" s="1356">
        <v>1.0</v>
      </c>
      <c r="H25" s="1359"/>
      <c r="I25" s="1357" t="s">
        <v>2181</v>
      </c>
    </row>
    <row r="26">
      <c r="A26" s="1344" t="s">
        <v>2157</v>
      </c>
      <c r="B26" s="1345" t="s">
        <v>366</v>
      </c>
      <c r="C26" s="1346" t="s">
        <v>1495</v>
      </c>
      <c r="D26" s="1346"/>
      <c r="E26" s="1347"/>
      <c r="F26" s="1348">
        <v>2141521.0</v>
      </c>
      <c r="G26" s="1349">
        <v>1.0</v>
      </c>
      <c r="H26" s="1346"/>
      <c r="I26" s="1350" t="s">
        <v>2182</v>
      </c>
    </row>
    <row r="27">
      <c r="A27" s="1351" t="s">
        <v>2157</v>
      </c>
      <c r="B27" s="1352" t="s">
        <v>367</v>
      </c>
      <c r="C27" s="1353" t="s">
        <v>1495</v>
      </c>
      <c r="D27" s="1353">
        <v>11.15</v>
      </c>
      <c r="E27" s="1353">
        <v>12.85</v>
      </c>
      <c r="F27" s="1355">
        <v>2141522.0</v>
      </c>
      <c r="G27" s="1356">
        <v>1.0</v>
      </c>
      <c r="H27" s="1359"/>
      <c r="I27" s="1357" t="s">
        <v>2183</v>
      </c>
    </row>
    <row r="28">
      <c r="A28" s="1344" t="s">
        <v>2157</v>
      </c>
      <c r="B28" s="1345" t="s">
        <v>368</v>
      </c>
      <c r="C28" s="1346" t="s">
        <v>1495</v>
      </c>
      <c r="D28" s="1346">
        <v>5.85</v>
      </c>
      <c r="E28" s="1346">
        <v>6.75</v>
      </c>
      <c r="F28" s="1348">
        <v>2113517.0</v>
      </c>
      <c r="G28" s="1349">
        <v>2.0</v>
      </c>
      <c r="H28" s="1346"/>
      <c r="I28" s="1350" t="s">
        <v>2184</v>
      </c>
    </row>
    <row r="29">
      <c r="A29" s="1351" t="s">
        <v>2157</v>
      </c>
      <c r="B29" s="1352" t="s">
        <v>369</v>
      </c>
      <c r="C29" s="1353" t="s">
        <v>1495</v>
      </c>
      <c r="D29" s="1353">
        <v>6.15</v>
      </c>
      <c r="E29" s="1354">
        <v>7.1</v>
      </c>
      <c r="F29" s="1355">
        <v>2143516.0</v>
      </c>
      <c r="G29" s="1356">
        <v>2.0</v>
      </c>
      <c r="H29" s="1353"/>
      <c r="I29" s="1357" t="s">
        <v>2185</v>
      </c>
    </row>
    <row r="30">
      <c r="A30" s="1344" t="s">
        <v>2157</v>
      </c>
      <c r="B30" s="1345" t="s">
        <v>370</v>
      </c>
      <c r="C30" s="1346" t="s">
        <v>1495</v>
      </c>
      <c r="D30" s="1346"/>
      <c r="E30" s="1346"/>
      <c r="F30" s="1348">
        <v>2143517.0</v>
      </c>
      <c r="G30" s="1349">
        <v>2.0</v>
      </c>
      <c r="H30" s="1358"/>
      <c r="I30" s="1350" t="s">
        <v>2186</v>
      </c>
    </row>
    <row r="31">
      <c r="A31" s="1351" t="s">
        <v>326</v>
      </c>
      <c r="B31" s="1352" t="s">
        <v>184</v>
      </c>
      <c r="C31" s="1353" t="s">
        <v>1495</v>
      </c>
      <c r="D31" s="1353">
        <v>7.36</v>
      </c>
      <c r="E31" s="1354">
        <v>8.5</v>
      </c>
      <c r="F31" s="1355">
        <v>2143518.0</v>
      </c>
      <c r="G31" s="1356">
        <v>2.0</v>
      </c>
      <c r="H31" s="1359">
        <v>50.0</v>
      </c>
      <c r="I31" s="1357" t="s">
        <v>2187</v>
      </c>
    </row>
    <row r="32">
      <c r="A32" s="1344" t="s">
        <v>326</v>
      </c>
      <c r="B32" s="1345" t="s">
        <v>2188</v>
      </c>
      <c r="C32" s="1346" t="s">
        <v>1495</v>
      </c>
      <c r="D32" s="1346">
        <v>8.67</v>
      </c>
      <c r="E32" s="1346">
        <v>10.0</v>
      </c>
      <c r="F32" s="1348">
        <v>2143519.0</v>
      </c>
      <c r="G32" s="1349">
        <v>2.0</v>
      </c>
      <c r="H32" s="1358">
        <v>31.0</v>
      </c>
      <c r="I32" s="1350" t="s">
        <v>2189</v>
      </c>
    </row>
    <row r="33">
      <c r="A33" s="1351" t="s">
        <v>326</v>
      </c>
      <c r="B33" s="1352" t="s">
        <v>2190</v>
      </c>
      <c r="C33" s="1353" t="s">
        <v>1495</v>
      </c>
      <c r="D33" s="1353">
        <v>9.38</v>
      </c>
      <c r="E33" s="1354">
        <v>10.8</v>
      </c>
      <c r="F33" s="1355">
        <v>2143520.0</v>
      </c>
      <c r="G33" s="1356">
        <v>2.0</v>
      </c>
      <c r="H33" s="1353">
        <v>35.0</v>
      </c>
      <c r="I33" s="1357" t="s">
        <v>2191</v>
      </c>
    </row>
    <row r="34">
      <c r="A34" s="1344" t="s">
        <v>326</v>
      </c>
      <c r="B34" s="1345" t="s">
        <v>374</v>
      </c>
      <c r="C34" s="1346" t="s">
        <v>1495</v>
      </c>
      <c r="D34" s="1346">
        <v>15.06</v>
      </c>
      <c r="E34" s="1346">
        <v>17.35</v>
      </c>
      <c r="F34" s="1348">
        <v>2143521.0</v>
      </c>
      <c r="G34" s="1349">
        <v>2.0</v>
      </c>
      <c r="H34" s="1358"/>
      <c r="I34" s="1350" t="s">
        <v>2192</v>
      </c>
    </row>
    <row r="35">
      <c r="A35" s="1351" t="s">
        <v>326</v>
      </c>
      <c r="B35" s="1352" t="s">
        <v>375</v>
      </c>
      <c r="C35" s="1353" t="s">
        <v>1495</v>
      </c>
      <c r="D35" s="1353">
        <v>14.35</v>
      </c>
      <c r="E35" s="1354">
        <v>16.55</v>
      </c>
      <c r="F35" s="1355">
        <v>2143522.0</v>
      </c>
      <c r="G35" s="1356">
        <v>2.0</v>
      </c>
      <c r="H35" s="1359"/>
      <c r="I35" s="1357" t="s">
        <v>2193</v>
      </c>
    </row>
    <row r="36">
      <c r="A36" s="1344" t="s">
        <v>2157</v>
      </c>
      <c r="B36" s="1345" t="s">
        <v>2194</v>
      </c>
      <c r="C36" s="1346" t="s">
        <v>1495</v>
      </c>
      <c r="D36" s="1346">
        <v>10.2</v>
      </c>
      <c r="E36" s="1347">
        <v>11.75</v>
      </c>
      <c r="F36" s="1348">
        <v>2145514.0</v>
      </c>
      <c r="G36" s="1349">
        <v>3.0</v>
      </c>
      <c r="H36" s="1358">
        <v>1.0</v>
      </c>
      <c r="I36" s="1350" t="s">
        <v>2195</v>
      </c>
    </row>
    <row r="37">
      <c r="A37" s="1351" t="s">
        <v>2157</v>
      </c>
      <c r="B37" s="1352" t="s">
        <v>377</v>
      </c>
      <c r="C37" s="1353" t="s">
        <v>1495</v>
      </c>
      <c r="D37" s="1353">
        <v>9.6</v>
      </c>
      <c r="E37" s="1353">
        <v>11.05</v>
      </c>
      <c r="F37" s="1355">
        <v>2145515.0</v>
      </c>
      <c r="G37" s="1356">
        <v>3.0</v>
      </c>
      <c r="H37" s="1359"/>
      <c r="I37" s="1357" t="s">
        <v>2196</v>
      </c>
    </row>
    <row r="38">
      <c r="A38" s="1344" t="s">
        <v>2157</v>
      </c>
      <c r="B38" s="1345" t="s">
        <v>378</v>
      </c>
      <c r="C38" s="1346" t="s">
        <v>1495</v>
      </c>
      <c r="D38" s="1346"/>
      <c r="E38" s="1347"/>
      <c r="F38" s="1348">
        <v>2145516.0</v>
      </c>
      <c r="G38" s="1349">
        <v>3.0</v>
      </c>
      <c r="H38" s="1358"/>
      <c r="I38" s="1350" t="s">
        <v>2197</v>
      </c>
    </row>
    <row r="39">
      <c r="A39" s="1351" t="s">
        <v>326</v>
      </c>
      <c r="B39" s="1352" t="s">
        <v>2198</v>
      </c>
      <c r="C39" s="1353" t="s">
        <v>1495</v>
      </c>
      <c r="D39" s="1353">
        <v>10.62</v>
      </c>
      <c r="E39" s="1354">
        <v>12.25</v>
      </c>
      <c r="F39" s="1355">
        <v>2145517.0</v>
      </c>
      <c r="G39" s="1356">
        <v>3.0</v>
      </c>
      <c r="H39" s="1359">
        <v>29.0</v>
      </c>
      <c r="I39" s="1357" t="s">
        <v>2199</v>
      </c>
    </row>
    <row r="40">
      <c r="A40" s="1344" t="s">
        <v>326</v>
      </c>
      <c r="B40" s="1345" t="s">
        <v>2200</v>
      </c>
      <c r="C40" s="1346" t="s">
        <v>1495</v>
      </c>
      <c r="D40" s="1346">
        <v>11.13</v>
      </c>
      <c r="E40" s="1346">
        <v>12.8</v>
      </c>
      <c r="F40" s="1348">
        <v>2145518.0</v>
      </c>
      <c r="G40" s="1349">
        <v>3.0</v>
      </c>
      <c r="H40" s="1358">
        <v>24.0</v>
      </c>
      <c r="I40" s="1350" t="s">
        <v>2201</v>
      </c>
    </row>
    <row r="41">
      <c r="A41" s="1351" t="s">
        <v>326</v>
      </c>
      <c r="B41" s="1352" t="s">
        <v>2202</v>
      </c>
      <c r="C41" s="1353" t="s">
        <v>1495</v>
      </c>
      <c r="D41" s="1353">
        <v>12.44</v>
      </c>
      <c r="E41" s="1354">
        <v>14.35</v>
      </c>
      <c r="F41" s="1355">
        <v>2145519.0</v>
      </c>
      <c r="G41" s="1356">
        <v>3.0</v>
      </c>
      <c r="H41" s="1359">
        <v>37.0</v>
      </c>
      <c r="I41" s="1357" t="s">
        <v>2203</v>
      </c>
    </row>
    <row r="42">
      <c r="A42" s="1344" t="s">
        <v>326</v>
      </c>
      <c r="B42" s="1345" t="s">
        <v>2204</v>
      </c>
      <c r="C42" s="1346" t="s">
        <v>1495</v>
      </c>
      <c r="D42" s="1346">
        <v>13.6</v>
      </c>
      <c r="E42" s="1346">
        <v>15.65</v>
      </c>
      <c r="F42" s="1348">
        <v>2145520.0</v>
      </c>
      <c r="G42" s="1349">
        <v>3.0</v>
      </c>
      <c r="H42" s="1358">
        <v>6.0</v>
      </c>
      <c r="I42" s="1350" t="s">
        <v>2205</v>
      </c>
    </row>
    <row r="43">
      <c r="A43" s="1351" t="s">
        <v>326</v>
      </c>
      <c r="B43" s="1352" t="s">
        <v>2206</v>
      </c>
      <c r="C43" s="1353" t="s">
        <v>1495</v>
      </c>
      <c r="D43" s="1353">
        <v>20.71</v>
      </c>
      <c r="E43" s="1354">
        <v>23.85</v>
      </c>
      <c r="F43" s="1355">
        <v>2145521.0</v>
      </c>
      <c r="G43" s="1356">
        <v>3.0</v>
      </c>
      <c r="H43" s="1359">
        <v>4.0</v>
      </c>
      <c r="I43" s="1357" t="s">
        <v>2207</v>
      </c>
    </row>
    <row r="44">
      <c r="A44" s="1344" t="s">
        <v>326</v>
      </c>
      <c r="B44" s="1345" t="s">
        <v>172</v>
      </c>
      <c r="C44" s="1346" t="s">
        <v>1495</v>
      </c>
      <c r="D44" s="1346">
        <v>21.37</v>
      </c>
      <c r="E44" s="1347">
        <v>24.6</v>
      </c>
      <c r="F44" s="1348">
        <v>2145522.0</v>
      </c>
      <c r="G44" s="1349">
        <v>3.0</v>
      </c>
      <c r="H44" s="1346">
        <v>31.0</v>
      </c>
      <c r="I44" s="1350" t="s">
        <v>2208</v>
      </c>
    </row>
    <row r="45">
      <c r="A45" s="1351" t="s">
        <v>2157</v>
      </c>
      <c r="B45" s="1352" t="s">
        <v>2209</v>
      </c>
      <c r="C45" s="1353" t="s">
        <v>1495</v>
      </c>
      <c r="D45" s="1353">
        <v>12.45</v>
      </c>
      <c r="E45" s="1353">
        <v>14.35</v>
      </c>
      <c r="F45" s="1355">
        <v>2164519.0</v>
      </c>
      <c r="G45" s="1356">
        <v>3.0</v>
      </c>
      <c r="H45" s="1359">
        <v>1.0</v>
      </c>
      <c r="I45" s="1357" t="s">
        <v>2210</v>
      </c>
    </row>
    <row r="46">
      <c r="A46" s="1344" t="s">
        <v>2157</v>
      </c>
      <c r="B46" s="1345" t="s">
        <v>386</v>
      </c>
      <c r="C46" s="1346" t="s">
        <v>1495</v>
      </c>
      <c r="D46" s="1346"/>
      <c r="E46" s="1346"/>
      <c r="F46" s="1348">
        <v>2142516.0</v>
      </c>
      <c r="G46" s="1349">
        <v>2.0</v>
      </c>
      <c r="H46" s="1346"/>
      <c r="I46" s="1350" t="s">
        <v>2211</v>
      </c>
    </row>
    <row r="47">
      <c r="A47" s="1351" t="s">
        <v>2157</v>
      </c>
      <c r="B47" s="1352" t="s">
        <v>387</v>
      </c>
      <c r="C47" s="1353" t="s">
        <v>1495</v>
      </c>
      <c r="D47" s="1353"/>
      <c r="E47" s="1354"/>
      <c r="F47" s="1355">
        <v>2142518.0</v>
      </c>
      <c r="G47" s="1356">
        <v>2.0</v>
      </c>
      <c r="H47" s="1353"/>
      <c r="I47" s="1357" t="s">
        <v>2212</v>
      </c>
    </row>
    <row r="48">
      <c r="A48" s="1344" t="s">
        <v>2157</v>
      </c>
      <c r="B48" s="1345" t="s">
        <v>388</v>
      </c>
      <c r="C48" s="1346" t="s">
        <v>1495</v>
      </c>
      <c r="D48" s="1346"/>
      <c r="E48" s="1347"/>
      <c r="F48" s="1348">
        <v>2191127.0</v>
      </c>
      <c r="G48" s="1349">
        <v>1.0</v>
      </c>
      <c r="H48" s="1346"/>
      <c r="I48" s="1350" t="s">
        <v>2213</v>
      </c>
    </row>
    <row r="49">
      <c r="A49" s="1351" t="s">
        <v>2157</v>
      </c>
      <c r="B49" s="1352" t="s">
        <v>389</v>
      </c>
      <c r="C49" s="1353" t="s">
        <v>1495</v>
      </c>
      <c r="D49" s="1353"/>
      <c r="E49" s="1353"/>
      <c r="F49" s="1355">
        <v>2142521.0</v>
      </c>
      <c r="G49" s="1356">
        <v>2.0</v>
      </c>
      <c r="H49" s="1353"/>
      <c r="I49" s="1357" t="s">
        <v>2214</v>
      </c>
    </row>
    <row r="50">
      <c r="A50" s="1344" t="s">
        <v>2157</v>
      </c>
      <c r="B50" s="1345" t="s">
        <v>390</v>
      </c>
      <c r="C50" s="1346" t="s">
        <v>1495</v>
      </c>
      <c r="D50" s="1346"/>
      <c r="E50" s="1347"/>
      <c r="F50" s="1348">
        <v>2142512.0</v>
      </c>
      <c r="G50" s="1349">
        <v>2.0</v>
      </c>
      <c r="H50" s="1346"/>
      <c r="I50" s="1350" t="s">
        <v>2215</v>
      </c>
    </row>
    <row r="51">
      <c r="A51" s="1351" t="s">
        <v>2157</v>
      </c>
      <c r="B51" s="1352" t="s">
        <v>391</v>
      </c>
      <c r="C51" s="1353" t="s">
        <v>1495</v>
      </c>
      <c r="D51" s="1353"/>
      <c r="E51" s="1354"/>
      <c r="F51" s="1355">
        <v>2146520.0</v>
      </c>
      <c r="G51" s="1356">
        <v>4.0</v>
      </c>
      <c r="H51" s="1353"/>
      <c r="I51" s="1357" t="s">
        <v>2216</v>
      </c>
    </row>
    <row r="52">
      <c r="A52" s="1344" t="s">
        <v>2157</v>
      </c>
      <c r="B52" s="1345" t="s">
        <v>392</v>
      </c>
      <c r="C52" s="1346" t="s">
        <v>1495</v>
      </c>
      <c r="D52" s="1346"/>
      <c r="E52" s="1347"/>
      <c r="F52" s="1348">
        <v>2146514.0</v>
      </c>
      <c r="G52" s="1349">
        <v>4.0</v>
      </c>
      <c r="H52" s="1358"/>
      <c r="I52" s="1350" t="s">
        <v>2217</v>
      </c>
    </row>
    <row r="53">
      <c r="A53" s="1351" t="s">
        <v>2157</v>
      </c>
      <c r="B53" s="1352" t="s">
        <v>393</v>
      </c>
      <c r="C53" s="1353" t="s">
        <v>1495</v>
      </c>
      <c r="D53" s="1353"/>
      <c r="E53" s="1354"/>
      <c r="F53" s="1355">
        <v>2146517.0</v>
      </c>
      <c r="G53" s="1356">
        <v>4.0</v>
      </c>
      <c r="H53" s="1359"/>
      <c r="I53" s="1357" t="s">
        <v>2218</v>
      </c>
    </row>
    <row r="54">
      <c r="A54" s="1344" t="s">
        <v>2157</v>
      </c>
      <c r="B54" s="1345" t="s">
        <v>394</v>
      </c>
      <c r="C54" s="1346" t="s">
        <v>1495</v>
      </c>
      <c r="D54" s="1346"/>
      <c r="E54" s="1347"/>
      <c r="F54" s="1348">
        <v>2146518.0</v>
      </c>
      <c r="G54" s="1349">
        <v>4.0</v>
      </c>
      <c r="H54" s="1358"/>
      <c r="I54" s="1350" t="s">
        <v>2219</v>
      </c>
    </row>
    <row r="55">
      <c r="A55" s="1351" t="s">
        <v>2157</v>
      </c>
      <c r="B55" s="1352" t="s">
        <v>395</v>
      </c>
      <c r="C55" s="1353" t="s">
        <v>1495</v>
      </c>
      <c r="D55" s="1353"/>
      <c r="E55" s="1354"/>
      <c r="F55" s="1355">
        <v>2146521.0</v>
      </c>
      <c r="G55" s="1356">
        <v>4.0</v>
      </c>
      <c r="H55" s="1359"/>
      <c r="I55" s="1357" t="s">
        <v>2220</v>
      </c>
    </row>
    <row r="56">
      <c r="A56" s="1344" t="s">
        <v>2157</v>
      </c>
      <c r="B56" s="1345" t="s">
        <v>2221</v>
      </c>
      <c r="C56" s="1346" t="s">
        <v>1495</v>
      </c>
      <c r="D56" s="1346">
        <v>6.95</v>
      </c>
      <c r="E56" s="1347">
        <v>8.0</v>
      </c>
      <c r="F56" s="1348">
        <v>100132.0</v>
      </c>
      <c r="G56" s="1349">
        <v>2.0</v>
      </c>
      <c r="H56" s="1358">
        <v>2.0</v>
      </c>
      <c r="I56" s="1350" t="s">
        <v>2222</v>
      </c>
    </row>
    <row r="57">
      <c r="A57" s="1351" t="s">
        <v>2157</v>
      </c>
      <c r="B57" s="1352" t="s">
        <v>2223</v>
      </c>
      <c r="C57" s="1353" t="s">
        <v>1495</v>
      </c>
      <c r="D57" s="1353">
        <v>85.35</v>
      </c>
      <c r="E57" s="1354">
        <v>98.2</v>
      </c>
      <c r="F57" s="1355" t="s">
        <v>2224</v>
      </c>
      <c r="G57" s="1356">
        <v>3.0</v>
      </c>
      <c r="H57" s="1359">
        <v>1.0</v>
      </c>
      <c r="I57" s="1357" t="s">
        <v>2225</v>
      </c>
    </row>
    <row r="58">
      <c r="A58" s="1344" t="s">
        <v>2170</v>
      </c>
      <c r="B58" s="1345" t="s">
        <v>2226</v>
      </c>
      <c r="C58" s="1346" t="s">
        <v>1495</v>
      </c>
      <c r="D58" s="1346">
        <v>15.4</v>
      </c>
      <c r="E58" s="1347">
        <v>17.75</v>
      </c>
      <c r="F58" s="1348" t="s">
        <v>2227</v>
      </c>
      <c r="G58" s="1349"/>
      <c r="H58" s="1358">
        <v>1.0</v>
      </c>
      <c r="I58" s="1360"/>
    </row>
    <row r="59">
      <c r="A59" s="1351" t="s">
        <v>315</v>
      </c>
      <c r="B59" s="1352" t="s">
        <v>399</v>
      </c>
      <c r="C59" s="1353" t="s">
        <v>1495</v>
      </c>
      <c r="D59" s="1353"/>
      <c r="E59" s="1354"/>
      <c r="F59" s="1355">
        <v>4661455.0</v>
      </c>
      <c r="G59" s="1356"/>
      <c r="H59" s="1359"/>
      <c r="I59" s="1357" t="s">
        <v>2228</v>
      </c>
    </row>
    <row r="60">
      <c r="A60" s="1344" t="s">
        <v>315</v>
      </c>
      <c r="B60" s="1345" t="s">
        <v>400</v>
      </c>
      <c r="C60" s="1346" t="s">
        <v>1495</v>
      </c>
      <c r="D60" s="1346"/>
      <c r="E60" s="1347"/>
      <c r="F60" s="1348">
        <v>4661451.0</v>
      </c>
      <c r="G60" s="1349"/>
      <c r="H60" s="1346"/>
      <c r="I60" s="1350" t="s">
        <v>2229</v>
      </c>
    </row>
    <row r="61">
      <c r="A61" s="1351" t="s">
        <v>315</v>
      </c>
      <c r="B61" s="1352" t="s">
        <v>401</v>
      </c>
      <c r="C61" s="1353" t="s">
        <v>1495</v>
      </c>
      <c r="D61" s="1353"/>
      <c r="E61" s="1354"/>
      <c r="F61" s="1355">
        <v>4661452.0</v>
      </c>
      <c r="G61" s="1356"/>
      <c r="H61" s="1359"/>
      <c r="I61" s="1357" t="s">
        <v>2230</v>
      </c>
    </row>
    <row r="62">
      <c r="A62" s="1344" t="s">
        <v>146</v>
      </c>
      <c r="B62" s="1345" t="s">
        <v>402</v>
      </c>
      <c r="C62" s="1346" t="s">
        <v>1495</v>
      </c>
      <c r="D62" s="1346">
        <v>33.45</v>
      </c>
      <c r="E62" s="1347">
        <v>38.5</v>
      </c>
      <c r="F62" s="1348">
        <v>4660062.0</v>
      </c>
      <c r="G62" s="1349">
        <v>4.0</v>
      </c>
      <c r="H62" s="1358"/>
      <c r="I62" s="1350" t="s">
        <v>2231</v>
      </c>
    </row>
    <row r="63">
      <c r="A63" s="1351" t="s">
        <v>146</v>
      </c>
      <c r="B63" s="1352" t="s">
        <v>2232</v>
      </c>
      <c r="C63" s="1353" t="s">
        <v>1495</v>
      </c>
      <c r="D63" s="1353">
        <v>50.22</v>
      </c>
      <c r="E63" s="1354">
        <v>57.8</v>
      </c>
      <c r="F63" s="1355">
        <v>4660065.0</v>
      </c>
      <c r="G63" s="1356">
        <v>4.0</v>
      </c>
      <c r="H63" s="1359">
        <v>2.0</v>
      </c>
      <c r="I63" s="1357" t="s">
        <v>2233</v>
      </c>
    </row>
    <row r="64">
      <c r="A64" s="1344" t="s">
        <v>326</v>
      </c>
      <c r="B64" s="1345" t="s">
        <v>2234</v>
      </c>
      <c r="C64" s="1346" t="s">
        <v>1495</v>
      </c>
      <c r="D64" s="1346">
        <v>9.9</v>
      </c>
      <c r="E64" s="1347">
        <v>11.4</v>
      </c>
      <c r="F64" s="1348" t="s">
        <v>2235</v>
      </c>
      <c r="G64" s="1349">
        <v>2.0</v>
      </c>
      <c r="H64" s="1358">
        <v>21.0</v>
      </c>
      <c r="I64" s="1350" t="s">
        <v>2236</v>
      </c>
    </row>
    <row r="65">
      <c r="A65" s="1351" t="s">
        <v>326</v>
      </c>
      <c r="B65" s="1352" t="s">
        <v>2237</v>
      </c>
      <c r="C65" s="1353" t="s">
        <v>1495</v>
      </c>
      <c r="D65" s="1353">
        <v>14.15</v>
      </c>
      <c r="E65" s="1353">
        <v>16.3</v>
      </c>
      <c r="F65" s="1355" t="s">
        <v>2238</v>
      </c>
      <c r="G65" s="1356">
        <v>3.0</v>
      </c>
      <c r="H65" s="1359">
        <v>3.0</v>
      </c>
      <c r="I65" s="1357" t="s">
        <v>2239</v>
      </c>
    </row>
    <row r="66">
      <c r="A66" s="1344" t="s">
        <v>326</v>
      </c>
      <c r="B66" s="1345" t="s">
        <v>2240</v>
      </c>
      <c r="C66" s="1346" t="s">
        <v>1495</v>
      </c>
      <c r="D66" s="1346">
        <v>15.45</v>
      </c>
      <c r="E66" s="1347">
        <v>17.8</v>
      </c>
      <c r="F66" s="1348" t="s">
        <v>2241</v>
      </c>
      <c r="G66" s="1349">
        <v>3.0</v>
      </c>
      <c r="H66" s="1358">
        <v>3.0</v>
      </c>
      <c r="I66" s="1350" t="s">
        <v>2242</v>
      </c>
    </row>
    <row r="67">
      <c r="A67" s="1351" t="s">
        <v>326</v>
      </c>
      <c r="B67" s="1352" t="s">
        <v>2243</v>
      </c>
      <c r="C67" s="1353" t="s">
        <v>1495</v>
      </c>
      <c r="D67" s="1353">
        <v>14.95</v>
      </c>
      <c r="E67" s="1354">
        <v>17.2</v>
      </c>
      <c r="F67" s="1355" t="s">
        <v>2244</v>
      </c>
      <c r="G67" s="1356">
        <v>3.0</v>
      </c>
      <c r="H67" s="1353">
        <v>2.0</v>
      </c>
      <c r="I67" s="1357" t="s">
        <v>2245</v>
      </c>
    </row>
    <row r="68">
      <c r="A68" s="1344" t="s">
        <v>326</v>
      </c>
      <c r="B68" s="1345" t="s">
        <v>2246</v>
      </c>
      <c r="C68" s="1346" t="s">
        <v>1495</v>
      </c>
      <c r="D68" s="1346">
        <v>17.6</v>
      </c>
      <c r="E68" s="1347">
        <v>20.25</v>
      </c>
      <c r="F68" s="1348" t="s">
        <v>2247</v>
      </c>
      <c r="G68" s="1349">
        <v>3.0</v>
      </c>
      <c r="H68" s="1358">
        <v>3.0</v>
      </c>
      <c r="I68" s="1350" t="s">
        <v>2248</v>
      </c>
    </row>
    <row r="69">
      <c r="A69" s="1351" t="s">
        <v>326</v>
      </c>
      <c r="B69" s="1352" t="s">
        <v>2249</v>
      </c>
      <c r="C69" s="1353" t="s">
        <v>1495</v>
      </c>
      <c r="D69" s="1353">
        <v>18.4</v>
      </c>
      <c r="E69" s="1354">
        <v>21.2</v>
      </c>
      <c r="F69" s="1355" t="s">
        <v>2250</v>
      </c>
      <c r="G69" s="1356">
        <v>3.0</v>
      </c>
      <c r="H69" s="1359">
        <v>4.0</v>
      </c>
      <c r="I69" s="1357" t="s">
        <v>2251</v>
      </c>
    </row>
    <row r="70">
      <c r="A70" s="1344" t="s">
        <v>14</v>
      </c>
      <c r="B70" s="1345" t="s">
        <v>2252</v>
      </c>
      <c r="C70" s="1346" t="s">
        <v>1495</v>
      </c>
      <c r="D70" s="1346">
        <v>33.65</v>
      </c>
      <c r="E70" s="1347">
        <v>38.7</v>
      </c>
      <c r="F70" s="1348">
        <v>2464096.0</v>
      </c>
      <c r="G70" s="1349">
        <v>3.0</v>
      </c>
      <c r="H70" s="1358">
        <v>24.0</v>
      </c>
      <c r="I70" s="1350" t="s">
        <v>2253</v>
      </c>
    </row>
    <row r="71">
      <c r="A71" s="1351" t="s">
        <v>2170</v>
      </c>
      <c r="B71" s="1352" t="s">
        <v>2254</v>
      </c>
      <c r="C71" s="1353" t="s">
        <v>1495</v>
      </c>
      <c r="D71" s="1353">
        <v>19.6</v>
      </c>
      <c r="E71" s="1353">
        <v>22.55</v>
      </c>
      <c r="F71" s="1355">
        <v>2464014.0</v>
      </c>
      <c r="G71" s="1356"/>
      <c r="H71" s="1359">
        <v>2.0</v>
      </c>
      <c r="I71" s="1357" t="s">
        <v>2255</v>
      </c>
    </row>
    <row r="72">
      <c r="A72" s="1344" t="s">
        <v>2170</v>
      </c>
      <c r="B72" s="1345" t="s">
        <v>2256</v>
      </c>
      <c r="C72" s="1346" t="s">
        <v>1495</v>
      </c>
      <c r="D72" s="1346">
        <v>18.09</v>
      </c>
      <c r="E72" s="1347">
        <v>20.85</v>
      </c>
      <c r="F72" s="1348">
        <v>2464077.0</v>
      </c>
      <c r="G72" s="1349"/>
      <c r="H72" s="1346">
        <v>3.0</v>
      </c>
      <c r="I72" s="1350" t="s">
        <v>2257</v>
      </c>
    </row>
    <row r="73">
      <c r="A73" s="1351" t="s">
        <v>2170</v>
      </c>
      <c r="B73" s="1352" t="s">
        <v>413</v>
      </c>
      <c r="C73" s="1353" t="s">
        <v>1495</v>
      </c>
      <c r="D73" s="1353">
        <v>32.65</v>
      </c>
      <c r="E73" s="1354">
        <v>37.55</v>
      </c>
      <c r="F73" s="1355">
        <v>2464022.0</v>
      </c>
      <c r="G73" s="1356"/>
      <c r="H73" s="1359"/>
      <c r="I73" s="1357" t="s">
        <v>2258</v>
      </c>
    </row>
    <row r="74">
      <c r="A74" s="1344" t="s">
        <v>14</v>
      </c>
      <c r="B74" s="1345" t="s">
        <v>2259</v>
      </c>
      <c r="C74" s="1346" t="s">
        <v>1495</v>
      </c>
      <c r="D74" s="1346">
        <v>40.15</v>
      </c>
      <c r="E74" s="1347">
        <v>46.2</v>
      </c>
      <c r="F74" s="1348">
        <v>2464030.0</v>
      </c>
      <c r="G74" s="1349">
        <v>3.0</v>
      </c>
      <c r="H74" s="1358">
        <v>28.0</v>
      </c>
      <c r="I74" s="1350" t="s">
        <v>2260</v>
      </c>
    </row>
    <row r="75">
      <c r="A75" s="1351" t="s">
        <v>2170</v>
      </c>
      <c r="B75" s="1352" t="s">
        <v>415</v>
      </c>
      <c r="C75" s="1353" t="s">
        <v>1495</v>
      </c>
      <c r="D75" s="1353">
        <v>51.4</v>
      </c>
      <c r="E75" s="1354">
        <v>59.15</v>
      </c>
      <c r="F75" s="1355">
        <v>2464028.0</v>
      </c>
      <c r="G75" s="1356"/>
      <c r="H75" s="1359"/>
      <c r="I75" s="1357" t="s">
        <v>2261</v>
      </c>
    </row>
    <row r="76">
      <c r="A76" s="1344" t="s">
        <v>14</v>
      </c>
      <c r="B76" s="1345" t="s">
        <v>205</v>
      </c>
      <c r="C76" s="1346" t="s">
        <v>1495</v>
      </c>
      <c r="D76" s="1346">
        <v>39.65</v>
      </c>
      <c r="E76" s="1347">
        <v>45.6</v>
      </c>
      <c r="F76" s="1348">
        <v>2464026.0</v>
      </c>
      <c r="G76" s="1349">
        <v>3.0</v>
      </c>
      <c r="H76" s="1358">
        <v>1.0</v>
      </c>
      <c r="I76" s="1350" t="s">
        <v>2262</v>
      </c>
    </row>
    <row r="77">
      <c r="A77" s="1351" t="s">
        <v>2157</v>
      </c>
      <c r="B77" s="1352" t="s">
        <v>417</v>
      </c>
      <c r="C77" s="1353" t="s">
        <v>1495</v>
      </c>
      <c r="D77" s="1353">
        <v>8.55</v>
      </c>
      <c r="E77" s="1354">
        <v>9.85</v>
      </c>
      <c r="F77" s="1355" t="s">
        <v>2263</v>
      </c>
      <c r="G77" s="1356">
        <v>2.0</v>
      </c>
      <c r="H77" s="1359"/>
      <c r="I77" s="1357" t="s">
        <v>2264</v>
      </c>
    </row>
    <row r="78">
      <c r="A78" s="1344" t="s">
        <v>2170</v>
      </c>
      <c r="B78" s="1345" t="s">
        <v>418</v>
      </c>
      <c r="C78" s="1346" t="s">
        <v>1495</v>
      </c>
      <c r="D78" s="1346">
        <v>38.7</v>
      </c>
      <c r="E78" s="1346">
        <v>44.55</v>
      </c>
      <c r="F78" s="1348">
        <v>2470050.0</v>
      </c>
      <c r="G78" s="1349"/>
      <c r="H78" s="1358"/>
      <c r="I78" s="1350" t="s">
        <v>2265</v>
      </c>
    </row>
    <row r="79">
      <c r="A79" s="1351" t="s">
        <v>2157</v>
      </c>
      <c r="B79" s="1352" t="s">
        <v>419</v>
      </c>
      <c r="C79" s="1353" t="s">
        <v>1495</v>
      </c>
      <c r="D79" s="1353">
        <v>4.55</v>
      </c>
      <c r="E79" s="1354">
        <v>5.25</v>
      </c>
      <c r="F79" s="1355">
        <v>2181312.0</v>
      </c>
      <c r="G79" s="1356">
        <v>1.0</v>
      </c>
      <c r="H79" s="1359"/>
      <c r="I79" s="1357" t="s">
        <v>2266</v>
      </c>
    </row>
    <row r="80">
      <c r="A80" s="1344" t="s">
        <v>2157</v>
      </c>
      <c r="B80" s="1345" t="s">
        <v>2267</v>
      </c>
      <c r="C80" s="1346" t="s">
        <v>1495</v>
      </c>
      <c r="D80" s="1346">
        <v>8.2</v>
      </c>
      <c r="E80" s="1346">
        <v>9.45</v>
      </c>
      <c r="F80" s="1348">
        <v>2185317.0</v>
      </c>
      <c r="G80" s="1349">
        <v>3.0</v>
      </c>
      <c r="H80" s="1358">
        <v>1.0</v>
      </c>
      <c r="I80" s="1350" t="s">
        <v>2268</v>
      </c>
    </row>
    <row r="81">
      <c r="A81" s="1351" t="s">
        <v>2157</v>
      </c>
      <c r="B81" s="1352" t="s">
        <v>421</v>
      </c>
      <c r="C81" s="1353" t="s">
        <v>1495</v>
      </c>
      <c r="D81" s="1353">
        <v>7.35</v>
      </c>
      <c r="E81" s="1353">
        <v>8.5</v>
      </c>
      <c r="F81" s="1355">
        <v>2185319.0</v>
      </c>
      <c r="G81" s="1356">
        <v>3.0</v>
      </c>
      <c r="H81" s="1359"/>
      <c r="I81" s="1357" t="s">
        <v>2269</v>
      </c>
    </row>
    <row r="82">
      <c r="A82" s="1344" t="s">
        <v>2157</v>
      </c>
      <c r="B82" s="1345" t="s">
        <v>422</v>
      </c>
      <c r="C82" s="1346" t="s">
        <v>1495</v>
      </c>
      <c r="D82" s="1346">
        <v>10.05</v>
      </c>
      <c r="E82" s="1346">
        <v>11.6</v>
      </c>
      <c r="F82" s="1348">
        <v>2185322.0</v>
      </c>
      <c r="G82" s="1349">
        <v>3.0</v>
      </c>
      <c r="H82" s="1358"/>
      <c r="I82" s="1350" t="s">
        <v>2270</v>
      </c>
    </row>
    <row r="83">
      <c r="A83" s="1351" t="s">
        <v>2271</v>
      </c>
      <c r="B83" s="1352" t="s">
        <v>2272</v>
      </c>
      <c r="C83" s="1353" t="s">
        <v>1495</v>
      </c>
      <c r="D83" s="1353">
        <v>0.65</v>
      </c>
      <c r="E83" s="1353">
        <v>0.75</v>
      </c>
      <c r="F83" s="1355" t="s">
        <v>2273</v>
      </c>
      <c r="G83" s="1356"/>
      <c r="H83" s="1359">
        <v>2.0</v>
      </c>
      <c r="I83" s="1357" t="s">
        <v>2274</v>
      </c>
    </row>
    <row r="84">
      <c r="A84" s="1344" t="s">
        <v>2271</v>
      </c>
      <c r="B84" s="1345" t="s">
        <v>2275</v>
      </c>
      <c r="C84" s="1346" t="s">
        <v>1495</v>
      </c>
      <c r="D84" s="1346">
        <v>0.65</v>
      </c>
      <c r="E84" s="1347">
        <v>0.75</v>
      </c>
      <c r="F84" s="1348" t="s">
        <v>2276</v>
      </c>
      <c r="G84" s="1349"/>
      <c r="H84" s="1346">
        <v>6.0</v>
      </c>
      <c r="I84" s="1350" t="s">
        <v>2277</v>
      </c>
    </row>
    <row r="85">
      <c r="A85" s="1351" t="s">
        <v>2157</v>
      </c>
      <c r="B85" s="1352" t="s">
        <v>2278</v>
      </c>
      <c r="C85" s="1353" t="s">
        <v>1495</v>
      </c>
      <c r="D85" s="1353">
        <v>1.8</v>
      </c>
      <c r="E85" s="1353">
        <v>2.1</v>
      </c>
      <c r="F85" s="1355" t="s">
        <v>2279</v>
      </c>
      <c r="G85" s="1356">
        <v>1.0</v>
      </c>
      <c r="H85" s="1353">
        <v>1.0</v>
      </c>
      <c r="I85" s="1357" t="s">
        <v>2280</v>
      </c>
    </row>
    <row r="86">
      <c r="A86" s="1344" t="s">
        <v>2157</v>
      </c>
      <c r="B86" s="1345" t="s">
        <v>426</v>
      </c>
      <c r="C86" s="1346" t="s">
        <v>1495</v>
      </c>
      <c r="D86" s="1346">
        <v>1.5</v>
      </c>
      <c r="E86" s="1346">
        <v>1.75</v>
      </c>
      <c r="F86" s="1348" t="s">
        <v>2281</v>
      </c>
      <c r="G86" s="1349">
        <v>1.0</v>
      </c>
      <c r="H86" s="1346"/>
      <c r="I86" s="1350" t="s">
        <v>2282</v>
      </c>
    </row>
    <row r="87">
      <c r="A87" s="1351" t="s">
        <v>2157</v>
      </c>
      <c r="B87" s="1352" t="s">
        <v>427</v>
      </c>
      <c r="C87" s="1353" t="s">
        <v>1495</v>
      </c>
      <c r="D87" s="1353"/>
      <c r="E87" s="1353"/>
      <c r="F87" s="1355" t="s">
        <v>2283</v>
      </c>
      <c r="G87" s="1356">
        <v>1.0</v>
      </c>
      <c r="H87" s="1359"/>
      <c r="I87" s="1357" t="s">
        <v>2284</v>
      </c>
    </row>
    <row r="88">
      <c r="A88" s="1344" t="s">
        <v>2157</v>
      </c>
      <c r="B88" s="1345" t="s">
        <v>428</v>
      </c>
      <c r="C88" s="1346" t="s">
        <v>1495</v>
      </c>
      <c r="D88" s="1346">
        <v>4.55</v>
      </c>
      <c r="E88" s="1347">
        <v>5.25</v>
      </c>
      <c r="F88" s="1348" t="s">
        <v>2285</v>
      </c>
      <c r="G88" s="1349">
        <v>2.0</v>
      </c>
      <c r="H88" s="1358"/>
      <c r="I88" s="1350" t="s">
        <v>2286</v>
      </c>
    </row>
    <row r="89">
      <c r="A89" s="1351" t="s">
        <v>2157</v>
      </c>
      <c r="B89" s="1352" t="s">
        <v>429</v>
      </c>
      <c r="C89" s="1353" t="s">
        <v>1495</v>
      </c>
      <c r="D89" s="1353">
        <v>3.15</v>
      </c>
      <c r="E89" s="1354">
        <v>3.65</v>
      </c>
      <c r="F89" s="1355" t="s">
        <v>2287</v>
      </c>
      <c r="G89" s="1356">
        <v>2.0</v>
      </c>
      <c r="H89" s="1359"/>
      <c r="I89" s="1357" t="s">
        <v>2288</v>
      </c>
    </row>
    <row r="90">
      <c r="A90" s="1344" t="s">
        <v>2157</v>
      </c>
      <c r="B90" s="1345" t="s">
        <v>2289</v>
      </c>
      <c r="C90" s="1346" t="s">
        <v>1495</v>
      </c>
      <c r="D90" s="1346">
        <v>3.55</v>
      </c>
      <c r="E90" s="1347">
        <v>4.1</v>
      </c>
      <c r="F90" s="1348" t="s">
        <v>2290</v>
      </c>
      <c r="G90" s="1349">
        <v>2.0</v>
      </c>
      <c r="H90" s="1358">
        <v>5.0</v>
      </c>
      <c r="I90" s="1350" t="s">
        <v>2291</v>
      </c>
    </row>
    <row r="91">
      <c r="A91" s="1351" t="s">
        <v>2157</v>
      </c>
      <c r="B91" s="1352" t="s">
        <v>2292</v>
      </c>
      <c r="C91" s="1353" t="s">
        <v>1495</v>
      </c>
      <c r="D91" s="1353">
        <v>7.25</v>
      </c>
      <c r="E91" s="1354">
        <v>8.35</v>
      </c>
      <c r="F91" s="1355" t="s">
        <v>2293</v>
      </c>
      <c r="G91" s="1356">
        <v>3.0</v>
      </c>
      <c r="H91" s="1359">
        <v>2.0</v>
      </c>
      <c r="I91" s="1357" t="s">
        <v>2294</v>
      </c>
    </row>
    <row r="92">
      <c r="A92" s="1344" t="s">
        <v>2157</v>
      </c>
      <c r="B92" s="1345" t="s">
        <v>432</v>
      </c>
      <c r="C92" s="1346" t="s">
        <v>1495</v>
      </c>
      <c r="D92" s="1346">
        <v>7.5</v>
      </c>
      <c r="E92" s="1347">
        <v>8.65</v>
      </c>
      <c r="F92" s="1348" t="s">
        <v>2295</v>
      </c>
      <c r="G92" s="1349">
        <v>3.0</v>
      </c>
      <c r="H92" s="1358"/>
      <c r="I92" s="1350" t="s">
        <v>2296</v>
      </c>
    </row>
    <row r="93">
      <c r="A93" s="1351" t="s">
        <v>2157</v>
      </c>
      <c r="B93" s="1352" t="s">
        <v>2297</v>
      </c>
      <c r="C93" s="1353" t="s">
        <v>1495</v>
      </c>
      <c r="D93" s="1353">
        <v>1.75</v>
      </c>
      <c r="E93" s="1354">
        <v>2.05</v>
      </c>
      <c r="F93" s="1355" t="s">
        <v>2298</v>
      </c>
      <c r="G93" s="1356">
        <v>1.0</v>
      </c>
      <c r="H93" s="1359">
        <v>8.0</v>
      </c>
      <c r="I93" s="1357" t="s">
        <v>2299</v>
      </c>
    </row>
    <row r="94">
      <c r="A94" s="1344" t="s">
        <v>2157</v>
      </c>
      <c r="B94" s="1345" t="s">
        <v>434</v>
      </c>
      <c r="C94" s="1346" t="s">
        <v>1495</v>
      </c>
      <c r="D94" s="1346">
        <v>5.9</v>
      </c>
      <c r="E94" s="1347">
        <v>6.8</v>
      </c>
      <c r="F94" s="1348" t="s">
        <v>2287</v>
      </c>
      <c r="G94" s="1349">
        <v>2.0</v>
      </c>
      <c r="H94" s="1358"/>
      <c r="I94" s="1350" t="s">
        <v>2300</v>
      </c>
    </row>
    <row r="95">
      <c r="A95" s="1351" t="s">
        <v>2157</v>
      </c>
      <c r="B95" s="1352" t="s">
        <v>435</v>
      </c>
      <c r="C95" s="1353" t="s">
        <v>1495</v>
      </c>
      <c r="D95" s="1353">
        <v>6.25</v>
      </c>
      <c r="E95" s="1354">
        <v>7.2</v>
      </c>
      <c r="F95" s="1355" t="s">
        <v>2301</v>
      </c>
      <c r="G95" s="1356">
        <v>2.0</v>
      </c>
      <c r="H95" s="1353"/>
      <c r="I95" s="1357" t="s">
        <v>2302</v>
      </c>
    </row>
    <row r="96">
      <c r="A96" s="1344" t="s">
        <v>2157</v>
      </c>
      <c r="B96" s="1345" t="s">
        <v>436</v>
      </c>
      <c r="C96" s="1346" t="s">
        <v>1495</v>
      </c>
      <c r="D96" s="1346">
        <v>3.55</v>
      </c>
      <c r="E96" s="1347">
        <v>4.1</v>
      </c>
      <c r="F96" s="1348" t="s">
        <v>2303</v>
      </c>
      <c r="G96" s="1349">
        <v>2.0</v>
      </c>
      <c r="H96" s="1346"/>
      <c r="I96" s="1350" t="s">
        <v>2304</v>
      </c>
    </row>
    <row r="97">
      <c r="A97" s="1351" t="s">
        <v>2157</v>
      </c>
      <c r="B97" s="1352" t="s">
        <v>437</v>
      </c>
      <c r="C97" s="1353" t="s">
        <v>1495</v>
      </c>
      <c r="D97" s="1353">
        <v>7.35</v>
      </c>
      <c r="E97" s="1354">
        <v>8.5</v>
      </c>
      <c r="F97" s="1355" t="s">
        <v>2305</v>
      </c>
      <c r="G97" s="1356">
        <v>3.0</v>
      </c>
      <c r="H97" s="1359"/>
      <c r="I97" s="1357" t="s">
        <v>2306</v>
      </c>
    </row>
    <row r="98">
      <c r="A98" s="1344" t="s">
        <v>2157</v>
      </c>
      <c r="B98" s="1345" t="s">
        <v>438</v>
      </c>
      <c r="C98" s="1346" t="s">
        <v>1495</v>
      </c>
      <c r="D98" s="1346">
        <v>7.5</v>
      </c>
      <c r="E98" s="1346">
        <v>8.65</v>
      </c>
      <c r="F98" s="1348" t="s">
        <v>2307</v>
      </c>
      <c r="G98" s="1349">
        <v>3.0</v>
      </c>
      <c r="H98" s="1358"/>
      <c r="I98" s="1350" t="s">
        <v>2308</v>
      </c>
    </row>
    <row r="99">
      <c r="A99" s="1351" t="s">
        <v>2157</v>
      </c>
      <c r="B99" s="1352" t="s">
        <v>2309</v>
      </c>
      <c r="C99" s="1353" t="s">
        <v>1495</v>
      </c>
      <c r="D99" s="1353">
        <v>10.2</v>
      </c>
      <c r="E99" s="1353">
        <v>11.75</v>
      </c>
      <c r="F99" s="1355" t="s">
        <v>2310</v>
      </c>
      <c r="G99" s="1356">
        <v>3.0</v>
      </c>
      <c r="H99" s="1359">
        <v>1.0</v>
      </c>
      <c r="I99" s="1357" t="s">
        <v>2311</v>
      </c>
    </row>
    <row r="100">
      <c r="A100" s="1344" t="s">
        <v>2271</v>
      </c>
      <c r="B100" s="1345" t="s">
        <v>440</v>
      </c>
      <c r="C100" s="1346" t="s">
        <v>1495</v>
      </c>
      <c r="D100" s="1346">
        <v>12.7</v>
      </c>
      <c r="E100" s="1346">
        <v>14.65</v>
      </c>
      <c r="F100" s="1348" t="s">
        <v>2312</v>
      </c>
      <c r="G100" s="1349"/>
      <c r="H100" s="1358"/>
      <c r="I100" s="1350" t="s">
        <v>2313</v>
      </c>
    </row>
    <row r="101">
      <c r="A101" s="1351" t="s">
        <v>315</v>
      </c>
      <c r="B101" s="1352" t="s">
        <v>441</v>
      </c>
      <c r="C101" s="1353" t="s">
        <v>1495</v>
      </c>
      <c r="D101" s="1353">
        <v>2.05</v>
      </c>
      <c r="E101" s="1354">
        <v>2.4</v>
      </c>
      <c r="F101" s="1355" t="s">
        <v>2314</v>
      </c>
      <c r="G101" s="1356">
        <v>1.0</v>
      </c>
      <c r="H101" s="1359"/>
      <c r="I101" s="1357" t="s">
        <v>2315</v>
      </c>
    </row>
    <row r="102">
      <c r="A102" s="1344" t="s">
        <v>315</v>
      </c>
      <c r="B102" s="1345" t="s">
        <v>2316</v>
      </c>
      <c r="C102" s="1346" t="s">
        <v>1495</v>
      </c>
      <c r="D102" s="1346">
        <v>2.1</v>
      </c>
      <c r="E102" s="1347">
        <v>2.45</v>
      </c>
      <c r="F102" s="1348" t="s">
        <v>2317</v>
      </c>
      <c r="G102" s="1349"/>
      <c r="H102" s="1346">
        <v>6.0</v>
      </c>
      <c r="I102" s="1350" t="s">
        <v>2318</v>
      </c>
    </row>
    <row r="103">
      <c r="A103" s="1351" t="s">
        <v>315</v>
      </c>
      <c r="B103" s="1352" t="s">
        <v>2319</v>
      </c>
      <c r="C103" s="1353" t="s">
        <v>1495</v>
      </c>
      <c r="D103" s="1353">
        <v>5.0</v>
      </c>
      <c r="E103" s="1354">
        <v>5.75</v>
      </c>
      <c r="F103" s="1355" t="s">
        <v>2320</v>
      </c>
      <c r="G103" s="1356"/>
      <c r="H103" s="1353">
        <v>1.0</v>
      </c>
      <c r="I103" s="1357" t="s">
        <v>2321</v>
      </c>
    </row>
    <row r="104">
      <c r="A104" s="1344" t="s">
        <v>321</v>
      </c>
      <c r="B104" s="1345" t="s">
        <v>444</v>
      </c>
      <c r="C104" s="1346" t="s">
        <v>1495</v>
      </c>
      <c r="D104" s="1346">
        <v>95.0</v>
      </c>
      <c r="E104" s="1346">
        <v>114.0</v>
      </c>
      <c r="F104" s="1348">
        <v>50103.0</v>
      </c>
      <c r="G104" s="1349"/>
      <c r="H104" s="1358"/>
      <c r="I104" s="1361"/>
    </row>
    <row r="105">
      <c r="A105" s="1351" t="s">
        <v>329</v>
      </c>
      <c r="B105" s="1352" t="s">
        <v>445</v>
      </c>
      <c r="C105" s="1353" t="s">
        <v>1495</v>
      </c>
      <c r="D105" s="1353"/>
      <c r="E105" s="1354"/>
      <c r="F105" s="1355">
        <v>8.5444221E11</v>
      </c>
      <c r="G105" s="1356"/>
      <c r="H105" s="1359"/>
      <c r="I105" s="1362"/>
    </row>
    <row r="106">
      <c r="A106" s="1344" t="s">
        <v>321</v>
      </c>
      <c r="B106" s="1345" t="s">
        <v>2322</v>
      </c>
      <c r="C106" s="1346" t="s">
        <v>1495</v>
      </c>
      <c r="D106" s="1346">
        <v>60.0</v>
      </c>
      <c r="E106" s="1347">
        <v>84.0</v>
      </c>
      <c r="F106" s="1348"/>
      <c r="G106" s="1349"/>
      <c r="H106" s="1346">
        <v>4.0</v>
      </c>
      <c r="I106" s="1360"/>
    </row>
    <row r="107">
      <c r="A107" s="1351" t="s">
        <v>329</v>
      </c>
      <c r="B107" s="1352" t="s">
        <v>2323</v>
      </c>
      <c r="C107" s="1353" t="s">
        <v>1495</v>
      </c>
      <c r="D107" s="1353">
        <v>12.25</v>
      </c>
      <c r="E107" s="1354">
        <v>17.15</v>
      </c>
      <c r="F107" s="1355">
        <v>50103.0</v>
      </c>
      <c r="G107" s="1356"/>
      <c r="H107" s="1353">
        <v>65.0</v>
      </c>
      <c r="I107" s="1362"/>
    </row>
    <row r="108">
      <c r="A108" s="1344" t="s">
        <v>326</v>
      </c>
      <c r="B108" s="1345" t="s">
        <v>448</v>
      </c>
      <c r="C108" s="1346" t="s">
        <v>1495</v>
      </c>
      <c r="D108" s="1346">
        <v>31.0</v>
      </c>
      <c r="E108" s="1347">
        <v>35.65</v>
      </c>
      <c r="F108" s="1348" t="s">
        <v>2324</v>
      </c>
      <c r="G108" s="1349">
        <v>3.0</v>
      </c>
      <c r="H108" s="1346"/>
      <c r="I108" s="1350" t="s">
        <v>2325</v>
      </c>
    </row>
    <row r="109">
      <c r="A109" s="1351" t="s">
        <v>2326</v>
      </c>
      <c r="B109" s="1352" t="s">
        <v>449</v>
      </c>
      <c r="C109" s="1353" t="s">
        <v>1495</v>
      </c>
      <c r="D109" s="1353"/>
      <c r="E109" s="1354"/>
      <c r="F109" s="1355"/>
      <c r="G109" s="1356"/>
      <c r="H109" s="1353"/>
      <c r="I109" s="1362"/>
    </row>
    <row r="110">
      <c r="A110" s="1344" t="s">
        <v>2326</v>
      </c>
      <c r="B110" s="1345" t="s">
        <v>450</v>
      </c>
      <c r="C110" s="1346" t="s">
        <v>1495</v>
      </c>
      <c r="D110" s="1346"/>
      <c r="E110" s="1347"/>
      <c r="F110" s="1348"/>
      <c r="G110" s="1349"/>
      <c r="H110" s="1346"/>
      <c r="I110" s="1360"/>
    </row>
    <row r="111">
      <c r="A111" s="1351" t="s">
        <v>2326</v>
      </c>
      <c r="B111" s="1352" t="s">
        <v>451</v>
      </c>
      <c r="C111" s="1353" t="s">
        <v>1495</v>
      </c>
      <c r="D111" s="1353"/>
      <c r="E111" s="1354"/>
      <c r="F111" s="1355"/>
      <c r="G111" s="1356"/>
      <c r="H111" s="1353"/>
      <c r="I111" s="1362"/>
    </row>
    <row r="112">
      <c r="A112" s="1344" t="s">
        <v>326</v>
      </c>
      <c r="B112" s="1345" t="s">
        <v>2327</v>
      </c>
      <c r="C112" s="1346" t="s">
        <v>1495</v>
      </c>
      <c r="D112" s="1346">
        <v>5.84</v>
      </c>
      <c r="E112" s="1347">
        <v>6.75</v>
      </c>
      <c r="F112" s="1348">
        <v>2471553.0</v>
      </c>
      <c r="G112" s="1349">
        <v>1.0</v>
      </c>
      <c r="H112" s="1346">
        <v>16.0</v>
      </c>
      <c r="I112" s="1350" t="s">
        <v>2328</v>
      </c>
    </row>
    <row r="113">
      <c r="A113" s="1351" t="s">
        <v>320</v>
      </c>
      <c r="B113" s="1352" t="s">
        <v>453</v>
      </c>
      <c r="C113" s="1353" t="s">
        <v>1495</v>
      </c>
      <c r="D113" s="1353">
        <v>1750.0</v>
      </c>
      <c r="E113" s="1354">
        <v>2012.5</v>
      </c>
      <c r="F113" s="1355"/>
      <c r="G113" s="1356"/>
      <c r="H113" s="1359"/>
      <c r="I113" s="1362"/>
    </row>
    <row r="114">
      <c r="A114" s="1344" t="s">
        <v>320</v>
      </c>
      <c r="B114" s="1345" t="s">
        <v>454</v>
      </c>
      <c r="C114" s="1346" t="s">
        <v>1495</v>
      </c>
      <c r="D114" s="1346"/>
      <c r="E114" s="1347"/>
      <c r="F114" s="1348"/>
      <c r="G114" s="1349"/>
      <c r="H114" s="1358"/>
      <c r="I114" s="1360"/>
    </row>
    <row r="115">
      <c r="A115" s="1351" t="s">
        <v>321</v>
      </c>
      <c r="B115" s="1352" t="s">
        <v>2329</v>
      </c>
      <c r="C115" s="1353" t="s">
        <v>1495</v>
      </c>
      <c r="D115" s="1353">
        <v>985.41</v>
      </c>
      <c r="E115" s="1354">
        <v>1133.25</v>
      </c>
      <c r="F115" s="1355" t="s">
        <v>2330</v>
      </c>
      <c r="G115" s="1356"/>
      <c r="H115" s="1359">
        <v>3.0</v>
      </c>
      <c r="I115" s="1362"/>
    </row>
    <row r="116">
      <c r="A116" s="1344" t="s">
        <v>320</v>
      </c>
      <c r="B116" s="1345" t="s">
        <v>456</v>
      </c>
      <c r="C116" s="1346" t="s">
        <v>1495</v>
      </c>
      <c r="D116" s="1346">
        <v>1000.0</v>
      </c>
      <c r="E116" s="1346">
        <v>1150.0</v>
      </c>
      <c r="F116" s="1348"/>
      <c r="G116" s="1349"/>
      <c r="H116" s="1358"/>
      <c r="I116" s="1361"/>
    </row>
    <row r="117">
      <c r="A117" s="1351" t="s">
        <v>320</v>
      </c>
      <c r="B117" s="1352" t="s">
        <v>2331</v>
      </c>
      <c r="C117" s="1353" t="s">
        <v>1495</v>
      </c>
      <c r="D117" s="1353"/>
      <c r="E117" s="1353"/>
      <c r="F117" s="1355" t="s">
        <v>2332</v>
      </c>
      <c r="G117" s="1356"/>
      <c r="H117" s="1359">
        <v>6.0</v>
      </c>
      <c r="I117" s="1363"/>
    </row>
    <row r="118">
      <c r="A118" s="1344" t="s">
        <v>320</v>
      </c>
      <c r="B118" s="1345" t="s">
        <v>458</v>
      </c>
      <c r="C118" s="1346" t="s">
        <v>1495</v>
      </c>
      <c r="D118" s="1346"/>
      <c r="E118" s="1346"/>
      <c r="F118" s="1348">
        <v>8.50760009E9</v>
      </c>
      <c r="G118" s="1349"/>
      <c r="H118" s="1358"/>
      <c r="I118" s="1361"/>
    </row>
    <row r="119">
      <c r="A119" s="1351" t="s">
        <v>320</v>
      </c>
      <c r="B119" s="1352" t="s">
        <v>459</v>
      </c>
      <c r="C119" s="1353" t="s">
        <v>1495</v>
      </c>
      <c r="D119" s="1353"/>
      <c r="E119" s="1353"/>
      <c r="F119" s="1355">
        <v>8.50760009E9</v>
      </c>
      <c r="G119" s="1356"/>
      <c r="H119" s="1359"/>
      <c r="I119" s="1363"/>
    </row>
    <row r="120">
      <c r="A120" s="1344" t="s">
        <v>320</v>
      </c>
      <c r="B120" s="1345" t="s">
        <v>460</v>
      </c>
      <c r="C120" s="1346" t="s">
        <v>1495</v>
      </c>
      <c r="D120" s="1346"/>
      <c r="E120" s="1346"/>
      <c r="F120" s="1348"/>
      <c r="G120" s="1349"/>
      <c r="H120" s="1358"/>
      <c r="I120" s="1361"/>
    </row>
    <row r="121">
      <c r="A121" s="1351" t="s">
        <v>320</v>
      </c>
      <c r="B121" s="1352" t="s">
        <v>2333</v>
      </c>
      <c r="C121" s="1353" t="s">
        <v>1495</v>
      </c>
      <c r="D121" s="1353">
        <v>950.0</v>
      </c>
      <c r="E121" s="1354">
        <v>1330.0</v>
      </c>
      <c r="F121" s="1355">
        <v>50101.0</v>
      </c>
      <c r="G121" s="1356"/>
      <c r="H121" s="1359">
        <v>8.0</v>
      </c>
      <c r="I121" s="1362"/>
    </row>
    <row r="122">
      <c r="A122" s="1344" t="s">
        <v>320</v>
      </c>
      <c r="B122" s="1345" t="s">
        <v>2334</v>
      </c>
      <c r="C122" s="1346" t="s">
        <v>1495</v>
      </c>
      <c r="D122" s="1346">
        <v>883.0</v>
      </c>
      <c r="E122" s="1347">
        <v>1236.2</v>
      </c>
      <c r="F122" s="1348">
        <v>50102.0</v>
      </c>
      <c r="G122" s="1349"/>
      <c r="H122" s="1358">
        <v>12.0</v>
      </c>
      <c r="I122" s="1360"/>
    </row>
    <row r="123">
      <c r="A123" s="1351" t="s">
        <v>320</v>
      </c>
      <c r="B123" s="1352" t="s">
        <v>463</v>
      </c>
      <c r="C123" s="1353" t="s">
        <v>1495</v>
      </c>
      <c r="D123" s="1353">
        <v>1045.0</v>
      </c>
      <c r="E123" s="1354">
        <v>1463.0</v>
      </c>
      <c r="F123" s="1355">
        <v>50105.0</v>
      </c>
      <c r="G123" s="1356"/>
      <c r="H123" s="1359"/>
      <c r="I123" s="1362"/>
    </row>
    <row r="124">
      <c r="A124" s="1344" t="s">
        <v>321</v>
      </c>
      <c r="B124" s="1345" t="s">
        <v>2335</v>
      </c>
      <c r="C124" s="1346" t="s">
        <v>1495</v>
      </c>
      <c r="D124" s="1346">
        <v>1095.0</v>
      </c>
      <c r="E124" s="1347">
        <v>1533.0</v>
      </c>
      <c r="F124" s="1348"/>
      <c r="G124" s="1349"/>
      <c r="H124" s="1346">
        <v>22.0</v>
      </c>
      <c r="I124" s="1360"/>
    </row>
    <row r="125">
      <c r="A125" s="1351" t="s">
        <v>321</v>
      </c>
      <c r="B125" s="1352" t="s">
        <v>465</v>
      </c>
      <c r="C125" s="1353" t="s">
        <v>1495</v>
      </c>
      <c r="D125" s="1353">
        <v>772.97</v>
      </c>
      <c r="E125" s="1354">
        <v>888.95</v>
      </c>
      <c r="F125" s="1355" t="s">
        <v>2336</v>
      </c>
      <c r="G125" s="1356"/>
      <c r="H125" s="1359"/>
      <c r="I125" s="1362"/>
    </row>
    <row r="126">
      <c r="A126" s="1344" t="s">
        <v>321</v>
      </c>
      <c r="B126" s="1345" t="s">
        <v>466</v>
      </c>
      <c r="C126" s="1346" t="s">
        <v>1495</v>
      </c>
      <c r="D126" s="1346"/>
      <c r="E126" s="1347"/>
      <c r="F126" s="1348"/>
      <c r="G126" s="1349"/>
      <c r="H126" s="1358"/>
      <c r="I126" s="1360"/>
    </row>
    <row r="127">
      <c r="A127" s="1351" t="s">
        <v>319</v>
      </c>
      <c r="B127" s="1352" t="s">
        <v>467</v>
      </c>
      <c r="C127" s="1353" t="s">
        <v>1495</v>
      </c>
      <c r="D127" s="1353">
        <v>750.0</v>
      </c>
      <c r="E127" s="1353">
        <v>862.5</v>
      </c>
      <c r="F127" s="1355"/>
      <c r="G127" s="1356"/>
      <c r="H127" s="1359"/>
      <c r="I127" s="1362"/>
    </row>
    <row r="128">
      <c r="A128" s="1344" t="s">
        <v>320</v>
      </c>
      <c r="B128" s="1345" t="s">
        <v>2337</v>
      </c>
      <c r="C128" s="1346" t="s">
        <v>1495</v>
      </c>
      <c r="D128" s="1346">
        <v>500.0</v>
      </c>
      <c r="E128" s="1347">
        <v>575.0</v>
      </c>
      <c r="F128" s="1348"/>
      <c r="G128" s="1349"/>
      <c r="H128" s="1358">
        <v>20.0</v>
      </c>
      <c r="I128" s="1350" t="s">
        <v>2338</v>
      </c>
    </row>
    <row r="129">
      <c r="A129" s="1351" t="s">
        <v>321</v>
      </c>
      <c r="B129" s="1352" t="s">
        <v>469</v>
      </c>
      <c r="C129" s="1353" t="s">
        <v>1495</v>
      </c>
      <c r="D129" s="1353"/>
      <c r="E129" s="1354"/>
      <c r="F129" s="1355"/>
      <c r="G129" s="1356"/>
      <c r="H129" s="1353"/>
      <c r="I129" s="1362"/>
    </row>
    <row r="130">
      <c r="A130" s="1344" t="s">
        <v>320</v>
      </c>
      <c r="B130" s="1345" t="s">
        <v>470</v>
      </c>
      <c r="C130" s="1346" t="s">
        <v>1495</v>
      </c>
      <c r="D130" s="1346"/>
      <c r="E130" s="1347"/>
      <c r="F130" s="1348"/>
      <c r="G130" s="1349"/>
      <c r="H130" s="1358"/>
      <c r="I130" s="1360"/>
    </row>
    <row r="131">
      <c r="A131" s="1351" t="s">
        <v>146</v>
      </c>
      <c r="B131" s="1352" t="s">
        <v>154</v>
      </c>
      <c r="C131" s="1353" t="s">
        <v>1495</v>
      </c>
      <c r="D131" s="1353">
        <v>1.77</v>
      </c>
      <c r="E131" s="1354">
        <v>2.7</v>
      </c>
      <c r="F131" s="1355" t="s">
        <v>2339</v>
      </c>
      <c r="G131" s="1356">
        <v>1.0</v>
      </c>
      <c r="H131" s="1359">
        <v>239.0</v>
      </c>
      <c r="I131" s="1357" t="s">
        <v>2340</v>
      </c>
    </row>
    <row r="132">
      <c r="A132" s="1344" t="s">
        <v>2341</v>
      </c>
      <c r="B132" s="1345" t="s">
        <v>2342</v>
      </c>
      <c r="C132" s="1346" t="s">
        <v>1495</v>
      </c>
      <c r="D132" s="1346">
        <v>2.0</v>
      </c>
      <c r="E132" s="1346">
        <v>2.3</v>
      </c>
      <c r="F132" s="1348">
        <v>2625105.0</v>
      </c>
      <c r="G132" s="1349"/>
      <c r="H132" s="1358">
        <v>2.0</v>
      </c>
      <c r="I132" s="1350" t="s">
        <v>2343</v>
      </c>
    </row>
    <row r="133">
      <c r="A133" s="1351" t="s">
        <v>146</v>
      </c>
      <c r="B133" s="1352" t="s">
        <v>2344</v>
      </c>
      <c r="C133" s="1353" t="s">
        <v>1495</v>
      </c>
      <c r="D133" s="1353">
        <v>2.0</v>
      </c>
      <c r="E133" s="1354">
        <v>2.3</v>
      </c>
      <c r="F133" s="1355">
        <v>2625077.0</v>
      </c>
      <c r="G133" s="1356"/>
      <c r="H133" s="1359">
        <v>59.0</v>
      </c>
      <c r="I133" s="1357" t="s">
        <v>2345</v>
      </c>
    </row>
    <row r="134">
      <c r="A134" s="1344" t="s">
        <v>146</v>
      </c>
      <c r="B134" s="1345" t="s">
        <v>152</v>
      </c>
      <c r="C134" s="1346" t="s">
        <v>1495</v>
      </c>
      <c r="D134" s="1346">
        <v>2.35</v>
      </c>
      <c r="E134" s="1347">
        <v>2.75</v>
      </c>
      <c r="F134" s="1348">
        <v>2625080.0</v>
      </c>
      <c r="G134" s="1364"/>
      <c r="H134" s="1346">
        <v>2.0</v>
      </c>
      <c r="I134" s="1350" t="s">
        <v>2346</v>
      </c>
    </row>
    <row r="135">
      <c r="A135" s="1351" t="s">
        <v>2341</v>
      </c>
      <c r="B135" s="1352" t="s">
        <v>2347</v>
      </c>
      <c r="C135" s="1353" t="s">
        <v>1495</v>
      </c>
      <c r="D135" s="1353">
        <v>2.2</v>
      </c>
      <c r="E135" s="1354">
        <v>2.55</v>
      </c>
      <c r="F135" s="1355">
        <v>2625081.0</v>
      </c>
      <c r="G135" s="1356"/>
      <c r="H135" s="1353">
        <v>1.0</v>
      </c>
      <c r="I135" s="1357" t="s">
        <v>2348</v>
      </c>
    </row>
    <row r="136">
      <c r="A136" s="1344" t="s">
        <v>146</v>
      </c>
      <c r="B136" s="1345" t="s">
        <v>2349</v>
      </c>
      <c r="C136" s="1346" t="s">
        <v>1495</v>
      </c>
      <c r="D136" s="1346">
        <v>2.41</v>
      </c>
      <c r="E136" s="1346">
        <v>2.8</v>
      </c>
      <c r="F136" s="1348">
        <v>2625085.0</v>
      </c>
      <c r="G136" s="1349"/>
      <c r="H136" s="1346">
        <v>1.0</v>
      </c>
      <c r="I136" s="1350" t="s">
        <v>2350</v>
      </c>
    </row>
    <row r="137">
      <c r="A137" s="1351" t="s">
        <v>146</v>
      </c>
      <c r="B137" s="1352" t="s">
        <v>2351</v>
      </c>
      <c r="C137" s="1353" t="s">
        <v>1495</v>
      </c>
      <c r="D137" s="1353">
        <v>3.0</v>
      </c>
      <c r="E137" s="1354">
        <v>3.45</v>
      </c>
      <c r="F137" s="1355">
        <v>2625139.0</v>
      </c>
      <c r="G137" s="1356"/>
      <c r="H137" s="1359">
        <v>2.0</v>
      </c>
      <c r="I137" s="1357" t="s">
        <v>2352</v>
      </c>
    </row>
    <row r="138">
      <c r="A138" s="1344" t="s">
        <v>146</v>
      </c>
      <c r="B138" s="1345" t="s">
        <v>2353</v>
      </c>
      <c r="C138" s="1346" t="s">
        <v>1495</v>
      </c>
      <c r="D138" s="1346">
        <v>2.75</v>
      </c>
      <c r="E138" s="1347">
        <v>3.2</v>
      </c>
      <c r="F138" s="1348">
        <v>2540201.0</v>
      </c>
      <c r="G138" s="1349">
        <v>1.0</v>
      </c>
      <c r="H138" s="1358">
        <v>17.0</v>
      </c>
      <c r="I138" s="1350" t="s">
        <v>2354</v>
      </c>
    </row>
    <row r="139">
      <c r="A139" s="1351" t="s">
        <v>146</v>
      </c>
      <c r="B139" s="1352" t="s">
        <v>479</v>
      </c>
      <c r="C139" s="1353" t="s">
        <v>1495</v>
      </c>
      <c r="D139" s="1353">
        <v>5.25</v>
      </c>
      <c r="E139" s="1354">
        <v>6.05</v>
      </c>
      <c r="F139" s="1355">
        <v>2540203.0</v>
      </c>
      <c r="G139" s="1356">
        <v>2.0</v>
      </c>
      <c r="H139" s="1359"/>
      <c r="I139" s="1357" t="s">
        <v>2354</v>
      </c>
    </row>
    <row r="140">
      <c r="A140" s="1344" t="s">
        <v>326</v>
      </c>
      <c r="B140" s="1345" t="s">
        <v>2355</v>
      </c>
      <c r="C140" s="1346" t="s">
        <v>1495</v>
      </c>
      <c r="D140" s="1346">
        <v>15.62</v>
      </c>
      <c r="E140" s="1347">
        <v>18.0</v>
      </c>
      <c r="F140" s="1348">
        <v>2440393.0</v>
      </c>
      <c r="G140" s="1349">
        <v>1.0</v>
      </c>
      <c r="H140" s="1358">
        <v>10.0</v>
      </c>
      <c r="I140" s="1350" t="s">
        <v>2356</v>
      </c>
    </row>
    <row r="141">
      <c r="A141" s="1351" t="s">
        <v>326</v>
      </c>
      <c r="B141" s="1352" t="s">
        <v>2357</v>
      </c>
      <c r="C141" s="1353" t="s">
        <v>1495</v>
      </c>
      <c r="D141" s="1353">
        <v>47.02</v>
      </c>
      <c r="E141" s="1354">
        <v>54.1</v>
      </c>
      <c r="F141" s="1355">
        <v>2440399.0</v>
      </c>
      <c r="G141" s="1356">
        <v>3.0</v>
      </c>
      <c r="H141" s="1359">
        <v>1.0</v>
      </c>
      <c r="I141" s="1357" t="s">
        <v>2358</v>
      </c>
    </row>
    <row r="142">
      <c r="A142" s="1344" t="s">
        <v>326</v>
      </c>
      <c r="B142" s="1345" t="s">
        <v>174</v>
      </c>
      <c r="C142" s="1346" t="s">
        <v>1495</v>
      </c>
      <c r="D142" s="1346">
        <v>67.2</v>
      </c>
      <c r="E142" s="1347">
        <v>77.3</v>
      </c>
      <c r="F142" s="1348">
        <v>2440395.0</v>
      </c>
      <c r="G142" s="1349">
        <v>4.0</v>
      </c>
      <c r="H142" s="1358">
        <v>4.0</v>
      </c>
      <c r="I142" s="1350" t="s">
        <v>2359</v>
      </c>
    </row>
    <row r="143">
      <c r="A143" s="1351" t="s">
        <v>146</v>
      </c>
      <c r="B143" s="1352" t="s">
        <v>2360</v>
      </c>
      <c r="C143" s="1353" t="s">
        <v>1495</v>
      </c>
      <c r="D143" s="1353">
        <v>62.61</v>
      </c>
      <c r="E143" s="1354">
        <v>72.05</v>
      </c>
      <c r="F143" s="1355">
        <v>2440515.0</v>
      </c>
      <c r="G143" s="1356">
        <v>3.0</v>
      </c>
      <c r="H143" s="1359">
        <v>16.0</v>
      </c>
      <c r="I143" s="1357" t="s">
        <v>2361</v>
      </c>
    </row>
    <row r="144">
      <c r="A144" s="1344" t="s">
        <v>146</v>
      </c>
      <c r="B144" s="1345" t="s">
        <v>2362</v>
      </c>
      <c r="C144" s="1346" t="s">
        <v>1495</v>
      </c>
      <c r="D144" s="1346">
        <v>0.67</v>
      </c>
      <c r="E144" s="1347">
        <v>0.8</v>
      </c>
      <c r="F144" s="1348"/>
      <c r="G144" s="1364"/>
      <c r="H144" s="1346">
        <v>690.0</v>
      </c>
      <c r="I144" s="1360"/>
    </row>
    <row r="145">
      <c r="A145" s="1351" t="s">
        <v>146</v>
      </c>
      <c r="B145" s="1352" t="s">
        <v>2363</v>
      </c>
      <c r="C145" s="1353" t="s">
        <v>1495</v>
      </c>
      <c r="D145" s="1353">
        <v>0.67</v>
      </c>
      <c r="E145" s="1353">
        <v>0.8</v>
      </c>
      <c r="F145" s="1355"/>
      <c r="G145" s="1356"/>
      <c r="H145" s="1359">
        <v>48.0</v>
      </c>
      <c r="I145" s="1362"/>
    </row>
    <row r="146">
      <c r="A146" s="1344" t="s">
        <v>326</v>
      </c>
      <c r="B146" s="1345" t="s">
        <v>486</v>
      </c>
      <c r="C146" s="1346" t="s">
        <v>1495</v>
      </c>
      <c r="D146" s="1346">
        <v>4.4</v>
      </c>
      <c r="E146" s="1347">
        <v>5.1</v>
      </c>
      <c r="F146" s="1348" t="s">
        <v>2364</v>
      </c>
      <c r="G146" s="1349">
        <v>1.0</v>
      </c>
      <c r="H146" s="1358"/>
      <c r="I146" s="1350" t="s">
        <v>2365</v>
      </c>
    </row>
    <row r="147">
      <c r="A147" s="1351" t="s">
        <v>2366</v>
      </c>
      <c r="B147" s="1352" t="s">
        <v>487</v>
      </c>
      <c r="C147" s="1353" t="s">
        <v>1495</v>
      </c>
      <c r="D147" s="1353">
        <v>0.5</v>
      </c>
      <c r="E147" s="1353">
        <v>0.6</v>
      </c>
      <c r="F147" s="1355" t="s">
        <v>2367</v>
      </c>
      <c r="G147" s="1356"/>
      <c r="H147" s="1359"/>
      <c r="I147" s="1357" t="s">
        <v>2368</v>
      </c>
    </row>
    <row r="148">
      <c r="A148" s="1344" t="s">
        <v>2271</v>
      </c>
      <c r="B148" s="1345" t="s">
        <v>2369</v>
      </c>
      <c r="C148" s="1346" t="s">
        <v>1495</v>
      </c>
      <c r="D148" s="1346">
        <v>2.8</v>
      </c>
      <c r="E148" s="1346">
        <v>3.25</v>
      </c>
      <c r="F148" s="1348" t="s">
        <v>2370</v>
      </c>
      <c r="G148" s="1349"/>
      <c r="H148" s="1358">
        <v>5.0</v>
      </c>
      <c r="I148" s="1350" t="s">
        <v>2371</v>
      </c>
    </row>
    <row r="149">
      <c r="A149" s="1351" t="s">
        <v>2271</v>
      </c>
      <c r="B149" s="1352" t="s">
        <v>489</v>
      </c>
      <c r="C149" s="1353" t="s">
        <v>1495</v>
      </c>
      <c r="D149" s="1353">
        <v>0.65</v>
      </c>
      <c r="E149" s="1353">
        <v>0.75</v>
      </c>
      <c r="F149" s="1355" t="s">
        <v>2372</v>
      </c>
      <c r="G149" s="1356"/>
      <c r="H149" s="1359"/>
      <c r="I149" s="1357" t="s">
        <v>2373</v>
      </c>
    </row>
    <row r="150">
      <c r="A150" s="1344" t="s">
        <v>2271</v>
      </c>
      <c r="B150" s="1345" t="s">
        <v>490</v>
      </c>
      <c r="C150" s="1346" t="s">
        <v>1495</v>
      </c>
      <c r="D150" s="1346">
        <v>0.65</v>
      </c>
      <c r="E150" s="1347">
        <v>0.75</v>
      </c>
      <c r="F150" s="1348" t="s">
        <v>2374</v>
      </c>
      <c r="G150" s="1349"/>
      <c r="H150" s="1358"/>
      <c r="I150" s="1350" t="s">
        <v>2375</v>
      </c>
    </row>
    <row r="151">
      <c r="A151" s="1351" t="s">
        <v>2271</v>
      </c>
      <c r="B151" s="1352" t="s">
        <v>491</v>
      </c>
      <c r="C151" s="1353" t="s">
        <v>1495</v>
      </c>
      <c r="D151" s="1353">
        <v>0.65</v>
      </c>
      <c r="E151" s="1354">
        <v>0.75</v>
      </c>
      <c r="F151" s="1355" t="s">
        <v>2376</v>
      </c>
      <c r="G151" s="1356"/>
      <c r="H151" s="1359"/>
      <c r="I151" s="1357" t="s">
        <v>2377</v>
      </c>
    </row>
    <row r="152">
      <c r="A152" s="1344" t="s">
        <v>2271</v>
      </c>
      <c r="B152" s="1345" t="s">
        <v>492</v>
      </c>
      <c r="C152" s="1346" t="s">
        <v>1495</v>
      </c>
      <c r="D152" s="1346">
        <v>0.65</v>
      </c>
      <c r="E152" s="1346">
        <v>0.75</v>
      </c>
      <c r="F152" s="1348" t="s">
        <v>2378</v>
      </c>
      <c r="G152" s="1349"/>
      <c r="H152" s="1346"/>
      <c r="I152" s="1350" t="s">
        <v>2379</v>
      </c>
    </row>
    <row r="153">
      <c r="A153" s="1351" t="s">
        <v>2271</v>
      </c>
      <c r="B153" s="1352" t="s">
        <v>493</v>
      </c>
      <c r="C153" s="1353" t="s">
        <v>1495</v>
      </c>
      <c r="D153" s="1353">
        <v>0.65</v>
      </c>
      <c r="E153" s="1353">
        <v>0.75</v>
      </c>
      <c r="F153" s="1355" t="s">
        <v>2380</v>
      </c>
      <c r="G153" s="1356"/>
      <c r="H153" s="1359"/>
      <c r="I153" s="1357" t="s">
        <v>2381</v>
      </c>
    </row>
    <row r="154">
      <c r="A154" s="1344" t="s">
        <v>2341</v>
      </c>
      <c r="B154" s="1345" t="s">
        <v>494</v>
      </c>
      <c r="C154" s="1346" t="s">
        <v>1495</v>
      </c>
      <c r="D154" s="1346"/>
      <c r="E154" s="1347"/>
      <c r="F154" s="1348"/>
      <c r="G154" s="1349"/>
      <c r="H154" s="1358"/>
      <c r="I154" s="1360"/>
    </row>
    <row r="155">
      <c r="A155" s="1351" t="s">
        <v>2341</v>
      </c>
      <c r="B155" s="1352" t="s">
        <v>2382</v>
      </c>
      <c r="C155" s="1353" t="s">
        <v>1495</v>
      </c>
      <c r="D155" s="1353">
        <v>24.0</v>
      </c>
      <c r="E155" s="1354">
        <v>27.6</v>
      </c>
      <c r="F155" s="1355"/>
      <c r="G155" s="1356"/>
      <c r="H155" s="1353">
        <v>3.0</v>
      </c>
      <c r="I155" s="1362"/>
    </row>
    <row r="156">
      <c r="A156" s="1344" t="s">
        <v>2383</v>
      </c>
      <c r="B156" s="1345" t="s">
        <v>496</v>
      </c>
      <c r="C156" s="1346" t="s">
        <v>1495</v>
      </c>
      <c r="D156" s="1346">
        <v>0.65</v>
      </c>
      <c r="E156" s="1347">
        <v>0.75</v>
      </c>
      <c r="F156" s="1348" t="s">
        <v>2384</v>
      </c>
      <c r="G156" s="1349"/>
      <c r="H156" s="1358"/>
      <c r="I156" s="1360"/>
    </row>
    <row r="157">
      <c r="A157" s="1351" t="s">
        <v>2383</v>
      </c>
      <c r="B157" s="1352" t="s">
        <v>2385</v>
      </c>
      <c r="C157" s="1353" t="s">
        <v>1495</v>
      </c>
      <c r="D157" s="1353">
        <v>0.3</v>
      </c>
      <c r="E157" s="1353">
        <v>0.35</v>
      </c>
      <c r="F157" s="1355" t="s">
        <v>2386</v>
      </c>
      <c r="G157" s="1356"/>
      <c r="H157" s="1359">
        <v>30.0</v>
      </c>
      <c r="I157" s="1362"/>
    </row>
    <row r="158">
      <c r="A158" s="1344" t="s">
        <v>315</v>
      </c>
      <c r="B158" s="1345" t="s">
        <v>2387</v>
      </c>
      <c r="C158" s="1346" t="s">
        <v>1495</v>
      </c>
      <c r="D158" s="1346">
        <v>97.57</v>
      </c>
      <c r="E158" s="1346">
        <v>112.25</v>
      </c>
      <c r="F158" s="1348">
        <v>4661891.0</v>
      </c>
      <c r="G158" s="1349"/>
      <c r="H158" s="1346">
        <v>2.0</v>
      </c>
      <c r="I158" s="1350" t="s">
        <v>2388</v>
      </c>
    </row>
    <row r="159">
      <c r="A159" s="1351" t="s">
        <v>315</v>
      </c>
      <c r="B159" s="1352" t="s">
        <v>2389</v>
      </c>
      <c r="C159" s="1353" t="s">
        <v>1495</v>
      </c>
      <c r="D159" s="1353">
        <v>6.76</v>
      </c>
      <c r="E159" s="1354">
        <v>7.8</v>
      </c>
      <c r="F159" s="1355">
        <v>4661896.0</v>
      </c>
      <c r="G159" s="1356"/>
      <c r="H159" s="1353">
        <v>2.0</v>
      </c>
      <c r="I159" s="1357" t="s">
        <v>2390</v>
      </c>
    </row>
    <row r="160">
      <c r="A160" s="1344" t="s">
        <v>315</v>
      </c>
      <c r="B160" s="1345" t="s">
        <v>2391</v>
      </c>
      <c r="C160" s="1346" t="s">
        <v>1495</v>
      </c>
      <c r="D160" s="1346">
        <v>24.0</v>
      </c>
      <c r="E160" s="1347">
        <v>27.6</v>
      </c>
      <c r="F160" s="1348">
        <v>4773198.0</v>
      </c>
      <c r="G160" s="1349"/>
      <c r="H160" s="1346">
        <v>3.0</v>
      </c>
      <c r="I160" s="1350" t="s">
        <v>2392</v>
      </c>
    </row>
    <row r="161">
      <c r="A161" s="1351" t="s">
        <v>2393</v>
      </c>
      <c r="B161" s="1352" t="s">
        <v>501</v>
      </c>
      <c r="C161" s="1353" t="s">
        <v>1495</v>
      </c>
      <c r="D161" s="1353">
        <v>1.7</v>
      </c>
      <c r="E161" s="1354">
        <v>2.0</v>
      </c>
      <c r="F161" s="1355" t="s">
        <v>2394</v>
      </c>
      <c r="G161" s="1356"/>
      <c r="H161" s="1359"/>
      <c r="I161" s="1357" t="s">
        <v>2395</v>
      </c>
    </row>
    <row r="162">
      <c r="A162" s="1344" t="s">
        <v>2393</v>
      </c>
      <c r="B162" s="1345" t="s">
        <v>502</v>
      </c>
      <c r="C162" s="1346" t="s">
        <v>1495</v>
      </c>
      <c r="D162" s="1346">
        <v>3.75</v>
      </c>
      <c r="E162" s="1346">
        <v>4.35</v>
      </c>
      <c r="F162" s="1348" t="s">
        <v>2396</v>
      </c>
      <c r="G162" s="1349"/>
      <c r="H162" s="1358"/>
      <c r="I162" s="1350" t="s">
        <v>2397</v>
      </c>
    </row>
    <row r="163">
      <c r="A163" s="1351" t="s">
        <v>2393</v>
      </c>
      <c r="B163" s="1352" t="s">
        <v>503</v>
      </c>
      <c r="C163" s="1353" t="s">
        <v>1495</v>
      </c>
      <c r="D163" s="1353"/>
      <c r="E163" s="1354"/>
      <c r="F163" s="1355"/>
      <c r="G163" s="1356"/>
      <c r="H163" s="1359"/>
      <c r="I163" s="1362"/>
    </row>
    <row r="164">
      <c r="A164" s="1344" t="s">
        <v>2393</v>
      </c>
      <c r="B164" s="1345" t="s">
        <v>2398</v>
      </c>
      <c r="C164" s="1346" t="s">
        <v>1495</v>
      </c>
      <c r="D164" s="1346">
        <v>1.96</v>
      </c>
      <c r="E164" s="1347">
        <v>2.3</v>
      </c>
      <c r="F164" s="1348">
        <v>2911022.0</v>
      </c>
      <c r="G164" s="1349"/>
      <c r="H164" s="1358">
        <v>5.0</v>
      </c>
      <c r="I164" s="1350" t="s">
        <v>2399</v>
      </c>
    </row>
    <row r="165">
      <c r="A165" s="1351" t="s">
        <v>2400</v>
      </c>
      <c r="B165" s="1352" t="s">
        <v>2401</v>
      </c>
      <c r="C165" s="1353" t="s">
        <v>1495</v>
      </c>
      <c r="D165" s="1353">
        <v>0.23</v>
      </c>
      <c r="E165" s="1354">
        <v>0.3</v>
      </c>
      <c r="F165" s="1355" t="s">
        <v>2402</v>
      </c>
      <c r="G165" s="1356"/>
      <c r="H165" s="1359">
        <v>115.0</v>
      </c>
      <c r="I165" s="1357" t="s">
        <v>2403</v>
      </c>
    </row>
    <row r="166">
      <c r="A166" s="1344" t="s">
        <v>2400</v>
      </c>
      <c r="B166" s="1345" t="s">
        <v>2404</v>
      </c>
      <c r="C166" s="1346" t="s">
        <v>1495</v>
      </c>
      <c r="D166" s="1346">
        <v>0.31</v>
      </c>
      <c r="E166" s="1347">
        <v>0.4</v>
      </c>
      <c r="F166" s="1348" t="s">
        <v>2405</v>
      </c>
      <c r="G166" s="1349"/>
      <c r="H166" s="1358">
        <v>51.0</v>
      </c>
      <c r="I166" s="1350" t="s">
        <v>2406</v>
      </c>
    </row>
    <row r="167">
      <c r="A167" s="1351" t="s">
        <v>2400</v>
      </c>
      <c r="B167" s="1352" t="s">
        <v>2407</v>
      </c>
      <c r="C167" s="1353" t="s">
        <v>1495</v>
      </c>
      <c r="D167" s="1353">
        <v>0.9</v>
      </c>
      <c r="E167" s="1354">
        <v>1.1</v>
      </c>
      <c r="F167" s="1355" t="s">
        <v>2408</v>
      </c>
      <c r="G167" s="1356"/>
      <c r="H167" s="1359">
        <v>6.0</v>
      </c>
      <c r="I167" s="1357" t="s">
        <v>2409</v>
      </c>
    </row>
    <row r="168">
      <c r="A168" s="1344" t="s">
        <v>2410</v>
      </c>
      <c r="B168" s="1345" t="s">
        <v>508</v>
      </c>
      <c r="C168" s="1346" t="s">
        <v>1642</v>
      </c>
      <c r="D168" s="1346">
        <v>0.7</v>
      </c>
      <c r="E168" s="1347">
        <v>0.85</v>
      </c>
      <c r="F168" s="1348" t="s">
        <v>2411</v>
      </c>
      <c r="G168" s="1349"/>
      <c r="H168" s="1358"/>
      <c r="I168" s="1360"/>
    </row>
    <row r="169">
      <c r="A169" s="1351" t="s">
        <v>2410</v>
      </c>
      <c r="B169" s="1352" t="s">
        <v>509</v>
      </c>
      <c r="C169" s="1353" t="s">
        <v>1642</v>
      </c>
      <c r="D169" s="1353">
        <v>1.2</v>
      </c>
      <c r="E169" s="1354">
        <v>1.4</v>
      </c>
      <c r="F169" s="1355" t="s">
        <v>2412</v>
      </c>
      <c r="G169" s="1356"/>
      <c r="H169" s="1359"/>
      <c r="I169" s="1363"/>
    </row>
    <row r="170">
      <c r="A170" s="1344" t="s">
        <v>2400</v>
      </c>
      <c r="B170" s="1345" t="s">
        <v>2413</v>
      </c>
      <c r="C170" s="1346" t="s">
        <v>1495</v>
      </c>
      <c r="D170" s="1346">
        <v>1.93</v>
      </c>
      <c r="E170" s="1347">
        <v>2.35</v>
      </c>
      <c r="F170" s="1348" t="s">
        <v>2414</v>
      </c>
      <c r="G170" s="1349"/>
      <c r="H170" s="1346">
        <v>23.0</v>
      </c>
      <c r="I170" s="1350" t="s">
        <v>2415</v>
      </c>
    </row>
    <row r="171">
      <c r="A171" s="1351" t="s">
        <v>2400</v>
      </c>
      <c r="B171" s="1352" t="s">
        <v>2416</v>
      </c>
      <c r="C171" s="1353" t="s">
        <v>1495</v>
      </c>
      <c r="D171" s="1353">
        <v>4.61</v>
      </c>
      <c r="E171" s="1353">
        <v>5.55</v>
      </c>
      <c r="F171" s="1355" t="s">
        <v>2417</v>
      </c>
      <c r="G171" s="1356"/>
      <c r="H171" s="1359">
        <v>36.0</v>
      </c>
      <c r="I171" s="1357" t="s">
        <v>2418</v>
      </c>
    </row>
    <row r="172">
      <c r="A172" s="1344" t="s">
        <v>2400</v>
      </c>
      <c r="B172" s="1345" t="s">
        <v>2419</v>
      </c>
      <c r="C172" s="1346" t="s">
        <v>1495</v>
      </c>
      <c r="D172" s="1346">
        <v>0.84</v>
      </c>
      <c r="E172" s="1346">
        <v>1.05</v>
      </c>
      <c r="F172" s="1348" t="s">
        <v>2420</v>
      </c>
      <c r="G172" s="1349"/>
      <c r="H172" s="1346">
        <v>33.0</v>
      </c>
      <c r="I172" s="1350" t="s">
        <v>2421</v>
      </c>
    </row>
    <row r="173">
      <c r="A173" s="1351" t="s">
        <v>2400</v>
      </c>
      <c r="B173" s="1352" t="s">
        <v>2422</v>
      </c>
      <c r="C173" s="1353" t="s">
        <v>1495</v>
      </c>
      <c r="D173" s="1353">
        <v>0.92</v>
      </c>
      <c r="E173" s="1354">
        <v>1.15</v>
      </c>
      <c r="F173" s="1355" t="s">
        <v>2423</v>
      </c>
      <c r="G173" s="1356"/>
      <c r="H173" s="1353">
        <v>118.0</v>
      </c>
      <c r="I173" s="1357" t="s">
        <v>2424</v>
      </c>
    </row>
    <row r="174">
      <c r="A174" s="1344" t="s">
        <v>2400</v>
      </c>
      <c r="B174" s="1345" t="s">
        <v>2425</v>
      </c>
      <c r="C174" s="1346" t="s">
        <v>1495</v>
      </c>
      <c r="D174" s="1346">
        <v>2.86</v>
      </c>
      <c r="E174" s="1346">
        <v>3.45</v>
      </c>
      <c r="F174" s="1348" t="s">
        <v>2426</v>
      </c>
      <c r="G174" s="1349"/>
      <c r="H174" s="1358">
        <v>10.0</v>
      </c>
      <c r="I174" s="1350" t="s">
        <v>2427</v>
      </c>
    </row>
    <row r="175">
      <c r="A175" s="1351" t="s">
        <v>2400</v>
      </c>
      <c r="B175" s="1352" t="s">
        <v>515</v>
      </c>
      <c r="C175" s="1353" t="s">
        <v>1495</v>
      </c>
      <c r="D175" s="1353"/>
      <c r="E175" s="1354"/>
      <c r="F175" s="1355" t="s">
        <v>2428</v>
      </c>
      <c r="G175" s="1356"/>
      <c r="H175" s="1353"/>
      <c r="I175" s="1357" t="s">
        <v>2429</v>
      </c>
    </row>
    <row r="176">
      <c r="A176" s="1344" t="s">
        <v>2400</v>
      </c>
      <c r="B176" s="1345" t="s">
        <v>2430</v>
      </c>
      <c r="C176" s="1346" t="s">
        <v>1495</v>
      </c>
      <c r="D176" s="1346">
        <v>0.57</v>
      </c>
      <c r="E176" s="1347">
        <v>0.7</v>
      </c>
      <c r="F176" s="1348" t="s">
        <v>2431</v>
      </c>
      <c r="G176" s="1349"/>
      <c r="H176" s="1358">
        <v>10.0</v>
      </c>
      <c r="I176" s="1350" t="s">
        <v>2432</v>
      </c>
    </row>
    <row r="177">
      <c r="A177" s="1351" t="s">
        <v>2400</v>
      </c>
      <c r="B177" s="1352" t="s">
        <v>2433</v>
      </c>
      <c r="C177" s="1353" t="s">
        <v>1495</v>
      </c>
      <c r="D177" s="1353">
        <v>0.81</v>
      </c>
      <c r="E177" s="1354">
        <v>1.0</v>
      </c>
      <c r="F177" s="1355" t="s">
        <v>2434</v>
      </c>
      <c r="G177" s="1356"/>
      <c r="H177" s="1353">
        <v>16.0</v>
      </c>
      <c r="I177" s="1357" t="s">
        <v>2435</v>
      </c>
    </row>
    <row r="178">
      <c r="A178" s="1344" t="s">
        <v>2400</v>
      </c>
      <c r="B178" s="1345" t="s">
        <v>2436</v>
      </c>
      <c r="C178" s="1346" t="s">
        <v>1495</v>
      </c>
      <c r="D178" s="1346">
        <v>1.15</v>
      </c>
      <c r="E178" s="1347">
        <v>1.4</v>
      </c>
      <c r="F178" s="1348" t="s">
        <v>2437</v>
      </c>
      <c r="G178" s="1349"/>
      <c r="H178" s="1358">
        <v>20.0</v>
      </c>
      <c r="I178" s="1350" t="s">
        <v>2438</v>
      </c>
    </row>
    <row r="179">
      <c r="A179" s="1351" t="s">
        <v>2439</v>
      </c>
      <c r="B179" s="1352" t="s">
        <v>2440</v>
      </c>
      <c r="C179" s="1353" t="s">
        <v>1495</v>
      </c>
      <c r="D179" s="1353">
        <v>4.95</v>
      </c>
      <c r="E179" s="1353">
        <v>5.7</v>
      </c>
      <c r="F179" s="1355" t="s">
        <v>2441</v>
      </c>
      <c r="G179" s="1356"/>
      <c r="H179" s="1359">
        <v>5.0</v>
      </c>
      <c r="I179" s="1357" t="s">
        <v>2442</v>
      </c>
    </row>
    <row r="180">
      <c r="A180" s="1344" t="s">
        <v>2439</v>
      </c>
      <c r="B180" s="1345" t="s">
        <v>2443</v>
      </c>
      <c r="C180" s="1346" t="s">
        <v>1495</v>
      </c>
      <c r="D180" s="1346">
        <v>8.45</v>
      </c>
      <c r="E180" s="1347">
        <v>9.75</v>
      </c>
      <c r="F180" s="1348" t="s">
        <v>2444</v>
      </c>
      <c r="G180" s="1349"/>
      <c r="H180" s="1346">
        <v>2.0</v>
      </c>
      <c r="I180" s="1350" t="s">
        <v>2445</v>
      </c>
    </row>
    <row r="181">
      <c r="A181" s="1351" t="s">
        <v>2439</v>
      </c>
      <c r="B181" s="1352" t="s">
        <v>521</v>
      </c>
      <c r="C181" s="1353" t="s">
        <v>1495</v>
      </c>
      <c r="D181" s="1353">
        <v>22.7</v>
      </c>
      <c r="E181" s="1354">
        <v>26.15</v>
      </c>
      <c r="F181" s="1355" t="s">
        <v>2446</v>
      </c>
      <c r="G181" s="1356"/>
      <c r="H181" s="1359"/>
      <c r="I181" s="1357" t="s">
        <v>2447</v>
      </c>
    </row>
    <row r="182">
      <c r="A182" s="1344" t="s">
        <v>2439</v>
      </c>
      <c r="B182" s="1345" t="s">
        <v>2448</v>
      </c>
      <c r="C182" s="1346" t="s">
        <v>1495</v>
      </c>
      <c r="D182" s="1346">
        <v>12.69</v>
      </c>
      <c r="E182" s="1347">
        <v>14.6</v>
      </c>
      <c r="F182" s="1348" t="s">
        <v>2449</v>
      </c>
      <c r="G182" s="1349"/>
      <c r="H182" s="1346">
        <v>6.9</v>
      </c>
      <c r="I182" s="1350" t="s">
        <v>2450</v>
      </c>
    </row>
    <row r="183">
      <c r="A183" s="1351" t="s">
        <v>14</v>
      </c>
      <c r="B183" s="1352" t="s">
        <v>195</v>
      </c>
      <c r="C183" s="1353" t="s">
        <v>1495</v>
      </c>
      <c r="D183" s="1353">
        <v>9.47</v>
      </c>
      <c r="E183" s="1354">
        <v>10.9</v>
      </c>
      <c r="F183" s="1355" t="s">
        <v>2451</v>
      </c>
      <c r="G183" s="1356">
        <v>1.0</v>
      </c>
      <c r="H183" s="1359">
        <v>38.0</v>
      </c>
      <c r="I183" s="1357" t="s">
        <v>2452</v>
      </c>
    </row>
    <row r="184">
      <c r="A184" s="1344" t="s">
        <v>14</v>
      </c>
      <c r="B184" s="1345" t="s">
        <v>2453</v>
      </c>
      <c r="C184" s="1346" t="s">
        <v>1495</v>
      </c>
      <c r="D184" s="1346">
        <v>16.27</v>
      </c>
      <c r="E184" s="1347">
        <v>18.75</v>
      </c>
      <c r="F184" s="1348" t="s">
        <v>2454</v>
      </c>
      <c r="G184" s="1349">
        <v>1.0</v>
      </c>
      <c r="H184" s="1346">
        <v>19.0</v>
      </c>
      <c r="I184" s="1350" t="s">
        <v>2455</v>
      </c>
    </row>
    <row r="185">
      <c r="A185" s="1351" t="s">
        <v>2456</v>
      </c>
      <c r="B185" s="1352" t="s">
        <v>2457</v>
      </c>
      <c r="C185" s="1353" t="s">
        <v>1495</v>
      </c>
      <c r="D185" s="1353">
        <v>1.7</v>
      </c>
      <c r="E185" s="1354">
        <v>2.0</v>
      </c>
      <c r="F185" s="1355" t="s">
        <v>2458</v>
      </c>
      <c r="G185" s="1356"/>
      <c r="H185" s="1359">
        <v>6.0</v>
      </c>
      <c r="I185" s="1357" t="s">
        <v>2459</v>
      </c>
    </row>
    <row r="186">
      <c r="A186" s="1344" t="s">
        <v>2271</v>
      </c>
      <c r="B186" s="1345" t="s">
        <v>2460</v>
      </c>
      <c r="C186" s="1346" t="s">
        <v>1495</v>
      </c>
      <c r="D186" s="1346">
        <v>1.3</v>
      </c>
      <c r="E186" s="1346">
        <v>1.5</v>
      </c>
      <c r="F186" s="1348" t="s">
        <v>2461</v>
      </c>
      <c r="G186" s="1349"/>
      <c r="H186" s="1346">
        <v>2.0</v>
      </c>
      <c r="I186" s="1350" t="s">
        <v>2462</v>
      </c>
    </row>
    <row r="187">
      <c r="A187" s="1351" t="s">
        <v>2400</v>
      </c>
      <c r="B187" s="1352" t="s">
        <v>527</v>
      </c>
      <c r="C187" s="1353" t="s">
        <v>2463</v>
      </c>
      <c r="D187" s="1353">
        <v>2.1</v>
      </c>
      <c r="E187" s="1354">
        <v>2.45</v>
      </c>
      <c r="F187" s="1355" t="s">
        <v>2464</v>
      </c>
      <c r="G187" s="1356"/>
      <c r="H187" s="1359"/>
      <c r="I187" s="1357" t="s">
        <v>2465</v>
      </c>
    </row>
    <row r="188">
      <c r="A188" s="1344" t="s">
        <v>2400</v>
      </c>
      <c r="B188" s="1345" t="s">
        <v>2466</v>
      </c>
      <c r="C188" s="1346" t="s">
        <v>2463</v>
      </c>
      <c r="D188" s="1346">
        <v>2.06</v>
      </c>
      <c r="E188" s="1346">
        <v>2.4</v>
      </c>
      <c r="F188" s="1348" t="s">
        <v>2467</v>
      </c>
      <c r="G188" s="1349"/>
      <c r="H188" s="1358">
        <v>1.0</v>
      </c>
      <c r="I188" s="1350" t="s">
        <v>2468</v>
      </c>
    </row>
    <row r="189">
      <c r="A189" s="1351" t="s">
        <v>2400</v>
      </c>
      <c r="B189" s="1352" t="s">
        <v>2469</v>
      </c>
      <c r="C189" s="1353" t="s">
        <v>2463</v>
      </c>
      <c r="D189" s="1353">
        <v>0.58</v>
      </c>
      <c r="E189" s="1354">
        <v>0.7</v>
      </c>
      <c r="F189" s="1355" t="s">
        <v>2470</v>
      </c>
      <c r="G189" s="1356"/>
      <c r="H189" s="1359">
        <v>1.0</v>
      </c>
      <c r="I189" s="1357" t="s">
        <v>2471</v>
      </c>
    </row>
    <row r="190">
      <c r="A190" s="1344" t="s">
        <v>2400</v>
      </c>
      <c r="B190" s="1345" t="s">
        <v>2472</v>
      </c>
      <c r="C190" s="1346" t="s">
        <v>2463</v>
      </c>
      <c r="D190" s="1346">
        <v>0.6</v>
      </c>
      <c r="E190" s="1347">
        <v>0.7</v>
      </c>
      <c r="F190" s="1348" t="s">
        <v>2473</v>
      </c>
      <c r="G190" s="1349"/>
      <c r="H190" s="1358">
        <v>8.0</v>
      </c>
      <c r="I190" s="1350" t="s">
        <v>2474</v>
      </c>
    </row>
    <row r="191">
      <c r="A191" s="1351" t="s">
        <v>2400</v>
      </c>
      <c r="B191" s="1352" t="s">
        <v>2475</v>
      </c>
      <c r="C191" s="1353" t="s">
        <v>2463</v>
      </c>
      <c r="D191" s="1353">
        <v>3.3</v>
      </c>
      <c r="E191" s="1354">
        <v>3.8</v>
      </c>
      <c r="F191" s="1355" t="s">
        <v>2476</v>
      </c>
      <c r="G191" s="1356"/>
      <c r="H191" s="1359">
        <v>3.0</v>
      </c>
      <c r="I191" s="1357" t="s">
        <v>2477</v>
      </c>
    </row>
    <row r="192">
      <c r="A192" s="1344" t="s">
        <v>2400</v>
      </c>
      <c r="B192" s="1345" t="s">
        <v>2478</v>
      </c>
      <c r="C192" s="1346" t="s">
        <v>2463</v>
      </c>
      <c r="D192" s="1346">
        <v>1.75</v>
      </c>
      <c r="E192" s="1346">
        <v>2.05</v>
      </c>
      <c r="F192" s="1348" t="s">
        <v>2479</v>
      </c>
      <c r="G192" s="1349"/>
      <c r="H192" s="1358">
        <v>1.0</v>
      </c>
      <c r="I192" s="1350" t="s">
        <v>2480</v>
      </c>
    </row>
    <row r="193">
      <c r="A193" s="1351" t="s">
        <v>2400</v>
      </c>
      <c r="B193" s="1352" t="s">
        <v>2481</v>
      </c>
      <c r="C193" s="1353" t="s">
        <v>2463</v>
      </c>
      <c r="D193" s="1353">
        <v>0.83</v>
      </c>
      <c r="E193" s="1354">
        <v>1.0</v>
      </c>
      <c r="F193" s="1355" t="s">
        <v>2482</v>
      </c>
      <c r="G193" s="1356"/>
      <c r="H193" s="1359">
        <v>3.0</v>
      </c>
      <c r="I193" s="1357" t="s">
        <v>2483</v>
      </c>
    </row>
    <row r="194">
      <c r="A194" s="1344" t="s">
        <v>2400</v>
      </c>
      <c r="B194" s="1345" t="s">
        <v>534</v>
      </c>
      <c r="C194" s="1346" t="s">
        <v>2463</v>
      </c>
      <c r="D194" s="1346">
        <v>0.34</v>
      </c>
      <c r="E194" s="1346">
        <v>0.4</v>
      </c>
      <c r="F194" s="1348" t="s">
        <v>2484</v>
      </c>
      <c r="G194" s="1349"/>
      <c r="H194" s="1358"/>
      <c r="I194" s="1350" t="s">
        <v>2485</v>
      </c>
    </row>
    <row r="195">
      <c r="A195" s="1351" t="s">
        <v>2400</v>
      </c>
      <c r="B195" s="1352" t="s">
        <v>535</v>
      </c>
      <c r="C195" s="1353" t="s">
        <v>2463</v>
      </c>
      <c r="D195" s="1353">
        <v>1.75</v>
      </c>
      <c r="E195" s="1353">
        <v>2.05</v>
      </c>
      <c r="F195" s="1355" t="s">
        <v>2486</v>
      </c>
      <c r="G195" s="1356"/>
      <c r="H195" s="1359"/>
      <c r="I195" s="1357" t="s">
        <v>2487</v>
      </c>
    </row>
    <row r="196">
      <c r="A196" s="1344" t="s">
        <v>2400</v>
      </c>
      <c r="B196" s="1345" t="s">
        <v>536</v>
      </c>
      <c r="C196" s="1346" t="s">
        <v>2463</v>
      </c>
      <c r="D196" s="1346">
        <v>1.5</v>
      </c>
      <c r="E196" s="1347">
        <v>1.75</v>
      </c>
      <c r="F196" s="1348" t="s">
        <v>2488</v>
      </c>
      <c r="G196" s="1349"/>
      <c r="H196" s="1358"/>
      <c r="I196" s="1350" t="s">
        <v>2489</v>
      </c>
    </row>
    <row r="197">
      <c r="A197" s="1351" t="s">
        <v>2400</v>
      </c>
      <c r="B197" s="1352" t="s">
        <v>2490</v>
      </c>
      <c r="C197" s="1353" t="s">
        <v>2463</v>
      </c>
      <c r="D197" s="1353">
        <v>1.35</v>
      </c>
      <c r="E197" s="1354">
        <v>1.6</v>
      </c>
      <c r="F197" s="1355" t="s">
        <v>2491</v>
      </c>
      <c r="G197" s="1356"/>
      <c r="H197" s="1359">
        <v>1.0</v>
      </c>
      <c r="I197" s="1357" t="s">
        <v>2492</v>
      </c>
    </row>
    <row r="198">
      <c r="A198" s="1344" t="s">
        <v>2400</v>
      </c>
      <c r="B198" s="1345" t="s">
        <v>538</v>
      </c>
      <c r="C198" s="1346" t="s">
        <v>2463</v>
      </c>
      <c r="D198" s="1346">
        <v>4.99</v>
      </c>
      <c r="E198" s="1347">
        <v>5.75</v>
      </c>
      <c r="F198" s="1348" t="s">
        <v>2493</v>
      </c>
      <c r="G198" s="1349"/>
      <c r="H198" s="1358"/>
      <c r="I198" s="1350" t="s">
        <v>2494</v>
      </c>
    </row>
    <row r="199">
      <c r="A199" s="1351" t="s">
        <v>2400</v>
      </c>
      <c r="B199" s="1352" t="s">
        <v>2495</v>
      </c>
      <c r="C199" s="1353" t="s">
        <v>2463</v>
      </c>
      <c r="D199" s="1353">
        <v>5.7</v>
      </c>
      <c r="E199" s="1354">
        <v>6.6</v>
      </c>
      <c r="F199" s="1355" t="s">
        <v>2496</v>
      </c>
      <c r="G199" s="1356"/>
      <c r="H199" s="1359">
        <v>1.0</v>
      </c>
      <c r="I199" s="1357" t="s">
        <v>2497</v>
      </c>
    </row>
    <row r="200">
      <c r="A200" s="1344" t="s">
        <v>2400</v>
      </c>
      <c r="B200" s="1345" t="s">
        <v>2498</v>
      </c>
      <c r="C200" s="1346" t="s">
        <v>2463</v>
      </c>
      <c r="D200" s="1346">
        <v>2.63</v>
      </c>
      <c r="E200" s="1347">
        <v>3.05</v>
      </c>
      <c r="F200" s="1348" t="s">
        <v>2499</v>
      </c>
      <c r="G200" s="1349"/>
      <c r="H200" s="1358">
        <v>2.0</v>
      </c>
      <c r="I200" s="1350" t="s">
        <v>2500</v>
      </c>
    </row>
    <row r="201">
      <c r="A201" s="1351" t="s">
        <v>2400</v>
      </c>
      <c r="B201" s="1352" t="s">
        <v>541</v>
      </c>
      <c r="C201" s="1353" t="s">
        <v>2463</v>
      </c>
      <c r="D201" s="1353">
        <v>3.7</v>
      </c>
      <c r="E201" s="1354">
        <v>4.3</v>
      </c>
      <c r="F201" s="1355" t="s">
        <v>2501</v>
      </c>
      <c r="G201" s="1356"/>
      <c r="H201" s="1359"/>
      <c r="I201" s="1357" t="s">
        <v>2502</v>
      </c>
    </row>
    <row r="202">
      <c r="A202" s="1344" t="s">
        <v>2400</v>
      </c>
      <c r="B202" s="1345" t="s">
        <v>2503</v>
      </c>
      <c r="C202" s="1346" t="s">
        <v>1495</v>
      </c>
      <c r="D202" s="1346">
        <v>0.45</v>
      </c>
      <c r="E202" s="1347">
        <v>0.55</v>
      </c>
      <c r="F202" s="1348" t="s">
        <v>2504</v>
      </c>
      <c r="G202" s="1349"/>
      <c r="H202" s="1346">
        <v>47.0</v>
      </c>
      <c r="I202" s="1350" t="s">
        <v>2505</v>
      </c>
    </row>
    <row r="203">
      <c r="A203" s="1351" t="s">
        <v>327</v>
      </c>
      <c r="B203" s="1352" t="s">
        <v>2506</v>
      </c>
      <c r="C203" s="1353" t="s">
        <v>1495</v>
      </c>
      <c r="D203" s="1353">
        <v>21.13</v>
      </c>
      <c r="E203" s="1353">
        <v>24.3</v>
      </c>
      <c r="F203" s="1355">
        <v>1101062.0</v>
      </c>
      <c r="G203" s="1356"/>
      <c r="H203" s="1359">
        <v>10.0</v>
      </c>
      <c r="I203" s="1357" t="s">
        <v>2507</v>
      </c>
    </row>
    <row r="204">
      <c r="A204" s="1344" t="s">
        <v>327</v>
      </c>
      <c r="B204" s="1345" t="s">
        <v>188</v>
      </c>
      <c r="C204" s="1346" t="s">
        <v>1495</v>
      </c>
      <c r="D204" s="1346">
        <v>30.32</v>
      </c>
      <c r="E204" s="1346">
        <v>34.9</v>
      </c>
      <c r="F204" s="1348">
        <v>1101063.0</v>
      </c>
      <c r="G204" s="1349"/>
      <c r="H204" s="1358">
        <v>14.0</v>
      </c>
      <c r="I204" s="1350" t="s">
        <v>2508</v>
      </c>
    </row>
    <row r="205">
      <c r="A205" s="1351" t="s">
        <v>327</v>
      </c>
      <c r="B205" s="1352" t="s">
        <v>164</v>
      </c>
      <c r="C205" s="1353" t="s">
        <v>1495</v>
      </c>
      <c r="D205" s="1353">
        <v>33.88</v>
      </c>
      <c r="E205" s="1353">
        <v>39.0</v>
      </c>
      <c r="F205" s="1355">
        <v>1101064.0</v>
      </c>
      <c r="G205" s="1356"/>
      <c r="H205" s="1359">
        <v>17.0</v>
      </c>
      <c r="I205" s="1357" t="s">
        <v>2509</v>
      </c>
    </row>
    <row r="206">
      <c r="A206" s="1344" t="s">
        <v>327</v>
      </c>
      <c r="B206" s="1345" t="s">
        <v>2510</v>
      </c>
      <c r="C206" s="1346" t="s">
        <v>1495</v>
      </c>
      <c r="D206" s="1346">
        <v>51.5</v>
      </c>
      <c r="E206" s="1346">
        <v>59.25</v>
      </c>
      <c r="F206" s="1348">
        <v>1100304.0</v>
      </c>
      <c r="G206" s="1349"/>
      <c r="H206" s="1358">
        <v>16.0</v>
      </c>
      <c r="I206" s="1350" t="s">
        <v>2511</v>
      </c>
    </row>
    <row r="207">
      <c r="A207" s="1351" t="s">
        <v>327</v>
      </c>
      <c r="B207" s="1352" t="s">
        <v>547</v>
      </c>
      <c r="C207" s="1353" t="s">
        <v>1495</v>
      </c>
      <c r="D207" s="1353">
        <v>8.77</v>
      </c>
      <c r="E207" s="1353">
        <v>10.1</v>
      </c>
      <c r="F207" s="1355">
        <v>1101000.0</v>
      </c>
      <c r="G207" s="1356"/>
      <c r="H207" s="1359"/>
      <c r="I207" s="1357" t="s">
        <v>2512</v>
      </c>
    </row>
    <row r="208">
      <c r="A208" s="1344" t="s">
        <v>2383</v>
      </c>
      <c r="B208" s="1345" t="s">
        <v>260</v>
      </c>
      <c r="C208" s="1346" t="s">
        <v>1495</v>
      </c>
      <c r="D208" s="1346">
        <v>2.37</v>
      </c>
      <c r="E208" s="1346">
        <v>2.75</v>
      </c>
      <c r="F208" s="1348">
        <v>1102431.0</v>
      </c>
      <c r="G208" s="1349">
        <v>1.0</v>
      </c>
      <c r="H208" s="1358">
        <v>273.0</v>
      </c>
      <c r="I208" s="1350" t="s">
        <v>2513</v>
      </c>
    </row>
    <row r="209">
      <c r="A209" s="1351" t="s">
        <v>2383</v>
      </c>
      <c r="B209" s="1352" t="s">
        <v>549</v>
      </c>
      <c r="C209" s="1353" t="s">
        <v>1495</v>
      </c>
      <c r="D209" s="1353">
        <v>2.75</v>
      </c>
      <c r="E209" s="1353">
        <v>3.2</v>
      </c>
      <c r="F209" s="1355">
        <v>1102443.0</v>
      </c>
      <c r="G209" s="1356">
        <v>1.0</v>
      </c>
      <c r="H209" s="1359"/>
      <c r="I209" s="1357" t="s">
        <v>2514</v>
      </c>
    </row>
    <row r="210">
      <c r="A210" s="1344" t="s">
        <v>2383</v>
      </c>
      <c r="B210" s="1345" t="s">
        <v>262</v>
      </c>
      <c r="C210" s="1346" t="s">
        <v>1495</v>
      </c>
      <c r="D210" s="1346">
        <v>2.37</v>
      </c>
      <c r="E210" s="1346">
        <v>2.75</v>
      </c>
      <c r="F210" s="1348">
        <v>1102432.0</v>
      </c>
      <c r="G210" s="1349">
        <v>1.0</v>
      </c>
      <c r="H210" s="1358">
        <v>161.0</v>
      </c>
      <c r="I210" s="1350" t="s">
        <v>2515</v>
      </c>
    </row>
    <row r="211">
      <c r="A211" s="1351" t="s">
        <v>2383</v>
      </c>
      <c r="B211" s="1352" t="s">
        <v>551</v>
      </c>
      <c r="C211" s="1353" t="s">
        <v>1495</v>
      </c>
      <c r="D211" s="1353">
        <v>2.45</v>
      </c>
      <c r="E211" s="1354">
        <v>2.85</v>
      </c>
      <c r="F211" s="1355">
        <v>1102442.0</v>
      </c>
      <c r="G211" s="1356">
        <v>1.0</v>
      </c>
      <c r="H211" s="1353"/>
      <c r="I211" s="1357" t="s">
        <v>2516</v>
      </c>
    </row>
    <row r="212">
      <c r="A212" s="1344" t="s">
        <v>2383</v>
      </c>
      <c r="B212" s="1345" t="s">
        <v>552</v>
      </c>
      <c r="C212" s="1346" t="s">
        <v>1495</v>
      </c>
      <c r="D212" s="1346"/>
      <c r="E212" s="1347"/>
      <c r="F212" s="1348">
        <v>1102433.0</v>
      </c>
      <c r="G212" s="1349">
        <v>1.0</v>
      </c>
      <c r="H212" s="1358"/>
      <c r="I212" s="1350" t="s">
        <v>2517</v>
      </c>
    </row>
    <row r="213">
      <c r="A213" s="1351" t="s">
        <v>2383</v>
      </c>
      <c r="B213" s="1352" t="s">
        <v>2518</v>
      </c>
      <c r="C213" s="1353" t="s">
        <v>1495</v>
      </c>
      <c r="D213" s="1353">
        <v>8.45</v>
      </c>
      <c r="E213" s="1353">
        <v>9.75</v>
      </c>
      <c r="F213" s="1355">
        <v>1102428.0</v>
      </c>
      <c r="G213" s="1356">
        <v>1.0</v>
      </c>
      <c r="H213" s="1353">
        <v>2.0</v>
      </c>
      <c r="I213" s="1357" t="s">
        <v>2519</v>
      </c>
    </row>
    <row r="214">
      <c r="A214" s="1344" t="s">
        <v>2383</v>
      </c>
      <c r="B214" s="1345" t="s">
        <v>554</v>
      </c>
      <c r="C214" s="1346" t="s">
        <v>1495</v>
      </c>
      <c r="D214" s="1346">
        <v>8.45</v>
      </c>
      <c r="E214" s="1346">
        <v>9.75</v>
      </c>
      <c r="F214" s="1348">
        <v>1102441.0</v>
      </c>
      <c r="G214" s="1349">
        <v>1.0</v>
      </c>
      <c r="H214" s="1358"/>
      <c r="I214" s="1350" t="s">
        <v>2520</v>
      </c>
    </row>
    <row r="215">
      <c r="A215" s="1351" t="s">
        <v>2383</v>
      </c>
      <c r="B215" s="1352" t="s">
        <v>2521</v>
      </c>
      <c r="C215" s="1353" t="s">
        <v>1495</v>
      </c>
      <c r="D215" s="1353">
        <v>12.0</v>
      </c>
      <c r="E215" s="1354">
        <v>13.8</v>
      </c>
      <c r="F215" s="1355">
        <v>1102400.0</v>
      </c>
      <c r="G215" s="1356">
        <v>2.0</v>
      </c>
      <c r="H215" s="1359">
        <v>7.0</v>
      </c>
      <c r="I215" s="1357" t="s">
        <v>2522</v>
      </c>
    </row>
    <row r="216">
      <c r="A216" s="1344" t="s">
        <v>2383</v>
      </c>
      <c r="B216" s="1345" t="s">
        <v>556</v>
      </c>
      <c r="C216" s="1346" t="s">
        <v>1495</v>
      </c>
      <c r="D216" s="1346"/>
      <c r="E216" s="1346"/>
      <c r="F216" s="1348">
        <v>1102423.0</v>
      </c>
      <c r="G216" s="1349">
        <v>2.0</v>
      </c>
      <c r="H216" s="1358"/>
      <c r="I216" s="1350" t="s">
        <v>2523</v>
      </c>
    </row>
    <row r="217">
      <c r="A217" s="1351" t="s">
        <v>2383</v>
      </c>
      <c r="B217" s="1352" t="s">
        <v>2524</v>
      </c>
      <c r="C217" s="1353" t="s">
        <v>1495</v>
      </c>
      <c r="D217" s="1353">
        <v>2.59</v>
      </c>
      <c r="E217" s="1354">
        <v>3.0</v>
      </c>
      <c r="F217" s="1355">
        <v>1102405.0</v>
      </c>
      <c r="G217" s="1356">
        <v>1.0</v>
      </c>
      <c r="H217" s="1359">
        <v>86.0</v>
      </c>
      <c r="I217" s="1357" t="s">
        <v>2525</v>
      </c>
    </row>
    <row r="218">
      <c r="A218" s="1344" t="s">
        <v>2383</v>
      </c>
      <c r="B218" s="1345" t="s">
        <v>2526</v>
      </c>
      <c r="C218" s="1346" t="s">
        <v>1495</v>
      </c>
      <c r="D218" s="1346">
        <v>2.59</v>
      </c>
      <c r="E218" s="1347">
        <v>3.0</v>
      </c>
      <c r="F218" s="1348">
        <v>1102420.0</v>
      </c>
      <c r="G218" s="1349">
        <v>1.0</v>
      </c>
      <c r="H218" s="1346">
        <v>50.0</v>
      </c>
      <c r="I218" s="1350" t="s">
        <v>2527</v>
      </c>
    </row>
    <row r="219">
      <c r="A219" s="1351" t="s">
        <v>2383</v>
      </c>
      <c r="B219" s="1352" t="s">
        <v>559</v>
      </c>
      <c r="C219" s="1353" t="s">
        <v>1495</v>
      </c>
      <c r="D219" s="1353">
        <v>1.9</v>
      </c>
      <c r="E219" s="1354">
        <v>2.2</v>
      </c>
      <c r="F219" s="1355">
        <v>1102421.0</v>
      </c>
      <c r="G219" s="1356">
        <v>1.0</v>
      </c>
      <c r="H219" s="1359"/>
      <c r="I219" s="1357" t="s">
        <v>2528</v>
      </c>
    </row>
    <row r="220">
      <c r="A220" s="1344" t="s">
        <v>2383</v>
      </c>
      <c r="B220" s="1345" t="s">
        <v>2529</v>
      </c>
      <c r="C220" s="1346" t="s">
        <v>1495</v>
      </c>
      <c r="D220" s="1346">
        <v>2.05</v>
      </c>
      <c r="E220" s="1347">
        <v>2.4</v>
      </c>
      <c r="F220" s="1348">
        <v>2921281.0</v>
      </c>
      <c r="G220" s="1349"/>
      <c r="H220" s="1358">
        <v>4.0</v>
      </c>
      <c r="I220" s="1350" t="s">
        <v>2530</v>
      </c>
    </row>
    <row r="221">
      <c r="A221" s="1351" t="s">
        <v>14</v>
      </c>
      <c r="B221" s="1352" t="s">
        <v>2531</v>
      </c>
      <c r="C221" s="1353" t="s">
        <v>1495</v>
      </c>
      <c r="D221" s="1353">
        <v>3.25</v>
      </c>
      <c r="E221" s="1353">
        <v>3.75</v>
      </c>
      <c r="F221" s="1355">
        <v>2473014.0</v>
      </c>
      <c r="G221" s="1365">
        <v>45778.0</v>
      </c>
      <c r="H221" s="1359">
        <v>72.0</v>
      </c>
      <c r="I221" s="1357" t="s">
        <v>2532</v>
      </c>
    </row>
    <row r="222">
      <c r="A222" s="1344" t="s">
        <v>2170</v>
      </c>
      <c r="B222" s="1345" t="s">
        <v>2533</v>
      </c>
      <c r="C222" s="1346" t="s">
        <v>1495</v>
      </c>
      <c r="D222" s="1346">
        <v>44.0</v>
      </c>
      <c r="E222" s="1347">
        <v>50.6</v>
      </c>
      <c r="F222" s="1348">
        <v>102418.0</v>
      </c>
      <c r="G222" s="1349"/>
      <c r="H222" s="1358">
        <v>2.0</v>
      </c>
      <c r="I222" s="1360"/>
    </row>
    <row r="223">
      <c r="A223" s="1351" t="s">
        <v>326</v>
      </c>
      <c r="B223" s="1352" t="s">
        <v>563</v>
      </c>
      <c r="C223" s="1353" t="s">
        <v>1495</v>
      </c>
      <c r="D223" s="1353">
        <v>22.47</v>
      </c>
      <c r="E223" s="1354">
        <v>25.85</v>
      </c>
      <c r="F223" s="1355" t="s">
        <v>2534</v>
      </c>
      <c r="G223" s="1356">
        <v>2.0</v>
      </c>
      <c r="H223" s="1359"/>
      <c r="I223" s="1357" t="s">
        <v>2535</v>
      </c>
    </row>
    <row r="224">
      <c r="A224" s="1344" t="s">
        <v>2400</v>
      </c>
      <c r="B224" s="1345" t="s">
        <v>2536</v>
      </c>
      <c r="C224" s="1346" t="s">
        <v>1495</v>
      </c>
      <c r="D224" s="1346">
        <v>0.33</v>
      </c>
      <c r="E224" s="1347">
        <v>0.4</v>
      </c>
      <c r="F224" s="1348" t="s">
        <v>2537</v>
      </c>
      <c r="G224" s="1349"/>
      <c r="H224" s="1358">
        <v>9.0</v>
      </c>
      <c r="I224" s="1350" t="s">
        <v>2538</v>
      </c>
    </row>
    <row r="225">
      <c r="A225" s="1351" t="s">
        <v>2400</v>
      </c>
      <c r="B225" s="1352" t="s">
        <v>264</v>
      </c>
      <c r="C225" s="1353" t="s">
        <v>1495</v>
      </c>
      <c r="D225" s="1353">
        <v>0.45</v>
      </c>
      <c r="E225" s="1354">
        <v>0.55</v>
      </c>
      <c r="F225" s="1355" t="s">
        <v>2539</v>
      </c>
      <c r="G225" s="1356"/>
      <c r="H225" s="1353">
        <v>18.0</v>
      </c>
      <c r="I225" s="1357" t="s">
        <v>2540</v>
      </c>
    </row>
    <row r="226">
      <c r="A226" s="1344" t="s">
        <v>2400</v>
      </c>
      <c r="B226" s="1345" t="s">
        <v>2541</v>
      </c>
      <c r="C226" s="1346" t="s">
        <v>1495</v>
      </c>
      <c r="D226" s="1346">
        <v>0.4</v>
      </c>
      <c r="E226" s="1347">
        <v>0.5</v>
      </c>
      <c r="F226" s="1348" t="s">
        <v>2542</v>
      </c>
      <c r="G226" s="1349"/>
      <c r="H226" s="1358">
        <v>151.0</v>
      </c>
      <c r="I226" s="1350" t="s">
        <v>2543</v>
      </c>
    </row>
    <row r="227">
      <c r="A227" s="1351" t="s">
        <v>2400</v>
      </c>
      <c r="B227" s="1352" t="s">
        <v>2544</v>
      </c>
      <c r="C227" s="1353" t="s">
        <v>1495</v>
      </c>
      <c r="D227" s="1353">
        <v>0.49</v>
      </c>
      <c r="E227" s="1354">
        <v>0.6</v>
      </c>
      <c r="F227" s="1355" t="s">
        <v>2545</v>
      </c>
      <c r="G227" s="1356"/>
      <c r="H227" s="1359">
        <v>19.0</v>
      </c>
      <c r="I227" s="1357" t="s">
        <v>2546</v>
      </c>
    </row>
    <row r="228">
      <c r="A228" s="1344" t="s">
        <v>2400</v>
      </c>
      <c r="B228" s="1345" t="s">
        <v>2547</v>
      </c>
      <c r="C228" s="1346" t="s">
        <v>1495</v>
      </c>
      <c r="D228" s="1346">
        <v>1.85</v>
      </c>
      <c r="E228" s="1347">
        <v>2.25</v>
      </c>
      <c r="F228" s="1348" t="s">
        <v>2548</v>
      </c>
      <c r="G228" s="1349"/>
      <c r="H228" s="1358">
        <v>6.0</v>
      </c>
      <c r="I228" s="1350" t="s">
        <v>2549</v>
      </c>
    </row>
    <row r="229">
      <c r="A229" s="1351" t="s">
        <v>2400</v>
      </c>
      <c r="B229" s="1352" t="s">
        <v>2550</v>
      </c>
      <c r="C229" s="1353" t="s">
        <v>1495</v>
      </c>
      <c r="D229" s="1353">
        <v>1.0</v>
      </c>
      <c r="E229" s="1354">
        <v>1.15</v>
      </c>
      <c r="F229" s="1355" t="s">
        <v>2551</v>
      </c>
      <c r="G229" s="1356"/>
      <c r="H229" s="1353">
        <v>16.0</v>
      </c>
      <c r="I229" s="1357" t="s">
        <v>2552</v>
      </c>
    </row>
    <row r="230">
      <c r="A230" s="1344" t="s">
        <v>2400</v>
      </c>
      <c r="B230" s="1345" t="s">
        <v>2553</v>
      </c>
      <c r="C230" s="1346" t="s">
        <v>1495</v>
      </c>
      <c r="D230" s="1346">
        <v>1.31</v>
      </c>
      <c r="E230" s="1346">
        <v>1.55</v>
      </c>
      <c r="F230" s="1348" t="s">
        <v>2554</v>
      </c>
      <c r="G230" s="1349"/>
      <c r="H230" s="1358">
        <v>18.0</v>
      </c>
      <c r="I230" s="1350" t="s">
        <v>2555</v>
      </c>
    </row>
    <row r="231">
      <c r="A231" s="1351" t="s">
        <v>2400</v>
      </c>
      <c r="B231" s="1352" t="s">
        <v>2556</v>
      </c>
      <c r="C231" s="1353" t="s">
        <v>1495</v>
      </c>
      <c r="D231" s="1353">
        <v>1.74</v>
      </c>
      <c r="E231" s="1354">
        <v>2.05</v>
      </c>
      <c r="F231" s="1355" t="s">
        <v>2557</v>
      </c>
      <c r="G231" s="1356"/>
      <c r="H231" s="1353">
        <v>20.0</v>
      </c>
      <c r="I231" s="1357" t="s">
        <v>2558</v>
      </c>
    </row>
    <row r="232">
      <c r="A232" s="1344" t="s">
        <v>315</v>
      </c>
      <c r="B232" s="1345" t="s">
        <v>2559</v>
      </c>
      <c r="C232" s="1346" t="s">
        <v>1495</v>
      </c>
      <c r="D232" s="1346">
        <v>48.35</v>
      </c>
      <c r="E232" s="1347">
        <v>55.65</v>
      </c>
      <c r="F232" s="1348" t="s">
        <v>2560</v>
      </c>
      <c r="G232" s="1349"/>
      <c r="H232" s="1358">
        <v>2.0</v>
      </c>
      <c r="I232" s="1350" t="s">
        <v>2561</v>
      </c>
    </row>
    <row r="233">
      <c r="A233" s="1351" t="s">
        <v>315</v>
      </c>
      <c r="B233" s="1352" t="s">
        <v>2562</v>
      </c>
      <c r="C233" s="1353" t="s">
        <v>1495</v>
      </c>
      <c r="D233" s="1353">
        <v>66.48</v>
      </c>
      <c r="E233" s="1354">
        <v>76.5</v>
      </c>
      <c r="F233" s="1355" t="s">
        <v>2563</v>
      </c>
      <c r="G233" s="1356"/>
      <c r="H233" s="1353">
        <v>3.0</v>
      </c>
      <c r="I233" s="1357" t="s">
        <v>2564</v>
      </c>
    </row>
    <row r="234">
      <c r="A234" s="1344" t="s">
        <v>315</v>
      </c>
      <c r="B234" s="1345" t="s">
        <v>2565</v>
      </c>
      <c r="C234" s="1346" t="s">
        <v>1495</v>
      </c>
      <c r="D234" s="1346">
        <v>86.35</v>
      </c>
      <c r="E234" s="1347">
        <v>99.35</v>
      </c>
      <c r="F234" s="1348" t="s">
        <v>2566</v>
      </c>
      <c r="G234" s="1349"/>
      <c r="H234" s="1358">
        <v>2.0</v>
      </c>
      <c r="I234" s="1350" t="s">
        <v>2567</v>
      </c>
    </row>
    <row r="235">
      <c r="A235" s="1351" t="s">
        <v>329</v>
      </c>
      <c r="B235" s="1352" t="s">
        <v>2568</v>
      </c>
      <c r="C235" s="1353" t="s">
        <v>1495</v>
      </c>
      <c r="D235" s="1353">
        <v>2.05</v>
      </c>
      <c r="E235" s="1354">
        <v>2.4</v>
      </c>
      <c r="F235" s="1355" t="s">
        <v>2569</v>
      </c>
      <c r="G235" s="1356"/>
      <c r="H235" s="1359">
        <v>4.0</v>
      </c>
      <c r="I235" s="1362"/>
    </row>
    <row r="236">
      <c r="A236" s="1344" t="s">
        <v>2439</v>
      </c>
      <c r="B236" s="1345" t="s">
        <v>576</v>
      </c>
      <c r="C236" s="1346" t="s">
        <v>1495</v>
      </c>
      <c r="D236" s="1346">
        <v>11.15</v>
      </c>
      <c r="E236" s="1347">
        <v>12.85</v>
      </c>
      <c r="F236" s="1348">
        <v>2921141.0</v>
      </c>
      <c r="G236" s="1349"/>
      <c r="H236" s="1358"/>
      <c r="I236" s="1350" t="s">
        <v>2570</v>
      </c>
    </row>
    <row r="237">
      <c r="A237" s="1351" t="s">
        <v>2439</v>
      </c>
      <c r="B237" s="1352" t="s">
        <v>577</v>
      </c>
      <c r="C237" s="1353" t="s">
        <v>1495</v>
      </c>
      <c r="D237" s="1353">
        <v>17.9</v>
      </c>
      <c r="E237" s="1353">
        <v>20.6</v>
      </c>
      <c r="F237" s="1355">
        <v>2921024.0</v>
      </c>
      <c r="G237" s="1356"/>
      <c r="H237" s="1359"/>
      <c r="I237" s="1357" t="s">
        <v>2571</v>
      </c>
    </row>
    <row r="238">
      <c r="A238" s="1344" t="s">
        <v>2439</v>
      </c>
      <c r="B238" s="1345" t="s">
        <v>2572</v>
      </c>
      <c r="C238" s="1346" t="s">
        <v>1495</v>
      </c>
      <c r="D238" s="1346">
        <v>7.8</v>
      </c>
      <c r="E238" s="1346">
        <v>9.0</v>
      </c>
      <c r="F238" s="1348">
        <v>2921101.0</v>
      </c>
      <c r="G238" s="1349"/>
      <c r="H238" s="1358">
        <v>1.0</v>
      </c>
      <c r="I238" s="1350" t="s">
        <v>2573</v>
      </c>
    </row>
    <row r="239">
      <c r="A239" s="1351" t="s">
        <v>2400</v>
      </c>
      <c r="B239" s="1352" t="s">
        <v>579</v>
      </c>
      <c r="C239" s="1353" t="s">
        <v>1495</v>
      </c>
      <c r="D239" s="1353">
        <v>0.27</v>
      </c>
      <c r="E239" s="1354">
        <v>0.35</v>
      </c>
      <c r="F239" s="1355" t="s">
        <v>2574</v>
      </c>
      <c r="G239" s="1365"/>
      <c r="H239" s="1359"/>
      <c r="I239" s="1362"/>
    </row>
    <row r="240">
      <c r="A240" s="1344" t="s">
        <v>2400</v>
      </c>
      <c r="B240" s="1345" t="s">
        <v>2575</v>
      </c>
      <c r="C240" s="1346" t="s">
        <v>1495</v>
      </c>
      <c r="D240" s="1346">
        <v>0.4</v>
      </c>
      <c r="E240" s="1346">
        <v>0.5</v>
      </c>
      <c r="F240" s="1348" t="s">
        <v>2576</v>
      </c>
      <c r="G240" s="1364"/>
      <c r="H240" s="1358">
        <v>71.0</v>
      </c>
      <c r="I240" s="1360"/>
    </row>
    <row r="241">
      <c r="A241" s="1351" t="s">
        <v>2400</v>
      </c>
      <c r="B241" s="1352" t="s">
        <v>2577</v>
      </c>
      <c r="C241" s="1353" t="s">
        <v>1495</v>
      </c>
      <c r="D241" s="1353">
        <v>0.6</v>
      </c>
      <c r="E241" s="1354">
        <v>0.7</v>
      </c>
      <c r="F241" s="1355" t="s">
        <v>2578</v>
      </c>
      <c r="G241" s="1356"/>
      <c r="H241" s="1359">
        <v>1.0</v>
      </c>
      <c r="I241" s="1362"/>
    </row>
    <row r="242">
      <c r="A242" s="1344" t="s">
        <v>2383</v>
      </c>
      <c r="B242" s="1345" t="s">
        <v>582</v>
      </c>
      <c r="C242" s="1346" t="s">
        <v>1495</v>
      </c>
      <c r="D242" s="1346">
        <v>0.3</v>
      </c>
      <c r="E242" s="1347">
        <v>0.35</v>
      </c>
      <c r="F242" s="1348" t="s">
        <v>2579</v>
      </c>
      <c r="G242" s="1349"/>
      <c r="H242" s="1358"/>
      <c r="I242" s="1350" t="s">
        <v>2580</v>
      </c>
    </row>
    <row r="243">
      <c r="A243" s="1351" t="s">
        <v>2383</v>
      </c>
      <c r="B243" s="1352" t="s">
        <v>2581</v>
      </c>
      <c r="C243" s="1353" t="s">
        <v>1495</v>
      </c>
      <c r="D243" s="1353">
        <v>0.2</v>
      </c>
      <c r="E243" s="1354">
        <v>0.25</v>
      </c>
      <c r="F243" s="1355" t="s">
        <v>2582</v>
      </c>
      <c r="G243" s="1356"/>
      <c r="H243" s="1353">
        <v>27.0</v>
      </c>
      <c r="I243" s="1357" t="s">
        <v>2583</v>
      </c>
    </row>
    <row r="244">
      <c r="A244" s="1344" t="s">
        <v>2410</v>
      </c>
      <c r="B244" s="1345" t="s">
        <v>584</v>
      </c>
      <c r="C244" s="1346" t="s">
        <v>1642</v>
      </c>
      <c r="D244" s="1346">
        <v>0.4</v>
      </c>
      <c r="E244" s="1346">
        <v>0.5</v>
      </c>
      <c r="F244" s="1348">
        <v>4.820080460572E12</v>
      </c>
      <c r="G244" s="1349"/>
      <c r="H244" s="1358"/>
      <c r="I244" s="1360"/>
    </row>
    <row r="245">
      <c r="A245" s="1351" t="s">
        <v>2410</v>
      </c>
      <c r="B245" s="1352" t="s">
        <v>2584</v>
      </c>
      <c r="C245" s="1353" t="s">
        <v>1642</v>
      </c>
      <c r="D245" s="1353">
        <v>0.65</v>
      </c>
      <c r="E245" s="1354">
        <v>0.75</v>
      </c>
      <c r="F245" s="1355">
        <v>4.820080460374E12</v>
      </c>
      <c r="G245" s="1356"/>
      <c r="H245" s="1359">
        <v>80.0</v>
      </c>
      <c r="I245" s="1362"/>
    </row>
    <row r="246">
      <c r="A246" s="1344" t="s">
        <v>2341</v>
      </c>
      <c r="B246" s="1345" t="s">
        <v>586</v>
      </c>
      <c r="C246" s="1346" t="s">
        <v>1495</v>
      </c>
      <c r="D246" s="1346">
        <v>43.05</v>
      </c>
      <c r="E246" s="1347">
        <v>49.55</v>
      </c>
      <c r="F246" s="1348">
        <v>1690891.0</v>
      </c>
      <c r="G246" s="1349"/>
      <c r="H246" s="1358"/>
      <c r="I246" s="1350" t="s">
        <v>2585</v>
      </c>
    </row>
    <row r="247">
      <c r="A247" s="1351" t="s">
        <v>315</v>
      </c>
      <c r="B247" s="1352" t="s">
        <v>587</v>
      </c>
      <c r="C247" s="1353" t="s">
        <v>1495</v>
      </c>
      <c r="D247" s="1353"/>
      <c r="E247" s="1354"/>
      <c r="F247" s="1355">
        <v>4667002.0</v>
      </c>
      <c r="G247" s="1356"/>
      <c r="H247" s="1359"/>
      <c r="I247" s="1357" t="s">
        <v>2586</v>
      </c>
    </row>
    <row r="248">
      <c r="A248" s="1344" t="s">
        <v>2587</v>
      </c>
      <c r="B248" s="1345" t="s">
        <v>2588</v>
      </c>
      <c r="C248" s="1346" t="s">
        <v>1495</v>
      </c>
      <c r="D248" s="1346">
        <v>2.15</v>
      </c>
      <c r="E248" s="1347">
        <v>2.6</v>
      </c>
      <c r="F248" s="1348">
        <v>871.0</v>
      </c>
      <c r="G248" s="1349"/>
      <c r="H248" s="1358">
        <v>14.0</v>
      </c>
      <c r="I248" s="1350" t="s">
        <v>2589</v>
      </c>
    </row>
    <row r="249">
      <c r="A249" s="1351" t="s">
        <v>315</v>
      </c>
      <c r="B249" s="1352" t="s">
        <v>589</v>
      </c>
      <c r="C249" s="1353" t="s">
        <v>1495</v>
      </c>
      <c r="D249" s="1353">
        <v>364.12</v>
      </c>
      <c r="E249" s="1354">
        <v>418.75</v>
      </c>
      <c r="F249" s="1355">
        <v>4661552.0</v>
      </c>
      <c r="G249" s="1356"/>
      <c r="H249" s="1353"/>
      <c r="I249" s="1357" t="s">
        <v>2590</v>
      </c>
    </row>
    <row r="250">
      <c r="A250" s="1344" t="s">
        <v>315</v>
      </c>
      <c r="B250" s="1345" t="s">
        <v>2591</v>
      </c>
      <c r="C250" s="1346" t="s">
        <v>1495</v>
      </c>
      <c r="D250" s="1346">
        <v>13.61</v>
      </c>
      <c r="E250" s="1347">
        <v>15.7</v>
      </c>
      <c r="F250" s="1348">
        <v>4661483.0</v>
      </c>
      <c r="G250" s="1349"/>
      <c r="H250" s="1358">
        <v>1.0</v>
      </c>
      <c r="I250" s="1350" t="s">
        <v>2592</v>
      </c>
    </row>
    <row r="251">
      <c r="A251" s="1351" t="s">
        <v>2593</v>
      </c>
      <c r="B251" s="1352" t="s">
        <v>591</v>
      </c>
      <c r="C251" s="1353" t="s">
        <v>1495</v>
      </c>
      <c r="D251" s="1353"/>
      <c r="E251" s="1354"/>
      <c r="F251" s="1355"/>
      <c r="G251" s="1356"/>
      <c r="H251" s="1359"/>
      <c r="I251" s="1362"/>
    </row>
    <row r="252">
      <c r="A252" s="1344" t="s">
        <v>2593</v>
      </c>
      <c r="B252" s="1345" t="s">
        <v>2594</v>
      </c>
      <c r="C252" s="1346" t="s">
        <v>1495</v>
      </c>
      <c r="D252" s="1346">
        <v>4.0</v>
      </c>
      <c r="E252" s="1347">
        <v>4.6</v>
      </c>
      <c r="F252" s="1348" t="s">
        <v>2595</v>
      </c>
      <c r="G252" s="1349"/>
      <c r="H252" s="1358">
        <v>12.0</v>
      </c>
      <c r="I252" s="1360"/>
    </row>
    <row r="253">
      <c r="A253" s="1351" t="s">
        <v>2170</v>
      </c>
      <c r="B253" s="1352" t="s">
        <v>2596</v>
      </c>
      <c r="C253" s="1353" t="s">
        <v>1495</v>
      </c>
      <c r="D253" s="1353">
        <v>2.3</v>
      </c>
      <c r="E253" s="1354">
        <v>2.65</v>
      </c>
      <c r="F253" s="1355" t="s">
        <v>2597</v>
      </c>
      <c r="G253" s="1356"/>
      <c r="H253" s="1359">
        <v>1.0</v>
      </c>
      <c r="I253" s="1357" t="s">
        <v>2598</v>
      </c>
    </row>
    <row r="254">
      <c r="A254" s="1344" t="s">
        <v>16</v>
      </c>
      <c r="B254" s="1345" t="s">
        <v>2599</v>
      </c>
      <c r="C254" s="1346" t="s">
        <v>1495</v>
      </c>
      <c r="D254" s="1346">
        <v>5.94</v>
      </c>
      <c r="E254" s="1347">
        <v>6.85</v>
      </c>
      <c r="F254" s="1348">
        <v>4184219.0</v>
      </c>
      <c r="G254" s="1349"/>
      <c r="H254" s="1358">
        <v>15.0</v>
      </c>
      <c r="I254" s="1350" t="s">
        <v>2600</v>
      </c>
    </row>
    <row r="255">
      <c r="A255" s="1351" t="s">
        <v>16</v>
      </c>
      <c r="B255" s="1352" t="s">
        <v>2601</v>
      </c>
      <c r="C255" s="1353" t="s">
        <v>1495</v>
      </c>
      <c r="D255" s="1353">
        <v>8.18</v>
      </c>
      <c r="E255" s="1354">
        <v>9.45</v>
      </c>
      <c r="F255" s="1355">
        <v>4185222.0</v>
      </c>
      <c r="G255" s="1356"/>
      <c r="H255" s="1359">
        <v>1.0</v>
      </c>
      <c r="I255" s="1357" t="s">
        <v>2602</v>
      </c>
    </row>
    <row r="256">
      <c r="A256" s="1344" t="s">
        <v>16</v>
      </c>
      <c r="B256" s="1345" t="s">
        <v>596</v>
      </c>
      <c r="C256" s="1346" t="s">
        <v>1495</v>
      </c>
      <c r="D256" s="1346">
        <v>9.1</v>
      </c>
      <c r="E256" s="1347">
        <v>10.5</v>
      </c>
      <c r="F256" s="1348">
        <v>4185221.0</v>
      </c>
      <c r="G256" s="1349"/>
      <c r="H256" s="1346"/>
      <c r="I256" s="1350" t="s">
        <v>2603</v>
      </c>
    </row>
    <row r="257">
      <c r="A257" s="1351" t="s">
        <v>16</v>
      </c>
      <c r="B257" s="1352" t="s">
        <v>597</v>
      </c>
      <c r="C257" s="1353" t="s">
        <v>1495</v>
      </c>
      <c r="D257" s="1353">
        <v>7.92</v>
      </c>
      <c r="E257" s="1354">
        <v>9.15</v>
      </c>
      <c r="F257" s="1355">
        <v>4185217.0</v>
      </c>
      <c r="G257" s="1356"/>
      <c r="H257" s="1353"/>
      <c r="I257" s="1357" t="s">
        <v>2604</v>
      </c>
    </row>
    <row r="258">
      <c r="A258" s="1344" t="s">
        <v>315</v>
      </c>
      <c r="B258" s="1345" t="s">
        <v>598</v>
      </c>
      <c r="C258" s="1346" t="s">
        <v>1495</v>
      </c>
      <c r="D258" s="1346"/>
      <c r="E258" s="1347"/>
      <c r="F258" s="1348">
        <v>393372.0</v>
      </c>
      <c r="G258" s="1349"/>
      <c r="H258" s="1346"/>
      <c r="I258" s="1350" t="s">
        <v>2605</v>
      </c>
    </row>
    <row r="259">
      <c r="A259" s="1351" t="s">
        <v>315</v>
      </c>
      <c r="B259" s="1352" t="s">
        <v>599</v>
      </c>
      <c r="C259" s="1353" t="s">
        <v>1495</v>
      </c>
      <c r="D259" s="1353">
        <v>142.12</v>
      </c>
      <c r="E259" s="1354">
        <v>163.45</v>
      </c>
      <c r="F259" s="1355">
        <v>393390.0</v>
      </c>
      <c r="G259" s="1356"/>
      <c r="H259" s="1359"/>
      <c r="I259" s="1357" t="s">
        <v>2606</v>
      </c>
    </row>
    <row r="260">
      <c r="A260" s="1344" t="s">
        <v>2383</v>
      </c>
      <c r="B260" s="1345" t="s">
        <v>2607</v>
      </c>
      <c r="C260" s="1346" t="s">
        <v>1495</v>
      </c>
      <c r="D260" s="1346">
        <v>0.15</v>
      </c>
      <c r="E260" s="1347">
        <v>0.2</v>
      </c>
      <c r="F260" s="1348" t="s">
        <v>2608</v>
      </c>
      <c r="G260" s="1349"/>
      <c r="H260" s="1358">
        <v>2.0</v>
      </c>
      <c r="I260" s="1360"/>
    </row>
    <row r="261">
      <c r="A261" s="1351" t="s">
        <v>2341</v>
      </c>
      <c r="B261" s="1352" t="s">
        <v>2609</v>
      </c>
      <c r="C261" s="1353" t="s">
        <v>1495</v>
      </c>
      <c r="D261" s="1353">
        <v>5.55</v>
      </c>
      <c r="E261" s="1354">
        <v>6.4</v>
      </c>
      <c r="F261" s="1355" t="s">
        <v>2610</v>
      </c>
      <c r="G261" s="1356"/>
      <c r="H261" s="1359">
        <v>1.0</v>
      </c>
      <c r="I261" s="1357" t="s">
        <v>2611</v>
      </c>
    </row>
    <row r="262">
      <c r="A262" s="1344" t="s">
        <v>2170</v>
      </c>
      <c r="B262" s="1345" t="s">
        <v>602</v>
      </c>
      <c r="C262" s="1346" t="s">
        <v>1495</v>
      </c>
      <c r="D262" s="1346">
        <v>16.35</v>
      </c>
      <c r="E262" s="1346">
        <v>18.85</v>
      </c>
      <c r="F262" s="1348" t="s">
        <v>2612</v>
      </c>
      <c r="G262" s="1349"/>
      <c r="H262" s="1358"/>
      <c r="I262" s="1350" t="s">
        <v>2613</v>
      </c>
    </row>
    <row r="263">
      <c r="A263" s="1351" t="s">
        <v>2170</v>
      </c>
      <c r="B263" s="1352" t="s">
        <v>603</v>
      </c>
      <c r="C263" s="1353" t="s">
        <v>1495</v>
      </c>
      <c r="D263" s="1353">
        <v>14.1</v>
      </c>
      <c r="E263" s="1353">
        <v>16.25</v>
      </c>
      <c r="F263" s="1355" t="s">
        <v>2614</v>
      </c>
      <c r="G263" s="1356"/>
      <c r="H263" s="1359"/>
      <c r="I263" s="1362"/>
    </row>
    <row r="264">
      <c r="A264" s="1344" t="s">
        <v>2170</v>
      </c>
      <c r="B264" s="1345" t="s">
        <v>2615</v>
      </c>
      <c r="C264" s="1346" t="s">
        <v>1495</v>
      </c>
      <c r="D264" s="1346">
        <v>1.55</v>
      </c>
      <c r="E264" s="1346">
        <v>1.8</v>
      </c>
      <c r="F264" s="1348" t="s">
        <v>2616</v>
      </c>
      <c r="G264" s="1349"/>
      <c r="H264" s="1358">
        <v>1.0</v>
      </c>
      <c r="I264" s="1350" t="s">
        <v>2617</v>
      </c>
    </row>
    <row r="265">
      <c r="A265" s="1351" t="s">
        <v>2593</v>
      </c>
      <c r="B265" s="1352" t="s">
        <v>605</v>
      </c>
      <c r="C265" s="1353" t="s">
        <v>1495</v>
      </c>
      <c r="D265" s="1353">
        <v>0.05</v>
      </c>
      <c r="E265" s="1353">
        <v>0.1</v>
      </c>
      <c r="F265" s="1355" t="s">
        <v>2618</v>
      </c>
      <c r="G265" s="1356"/>
      <c r="H265" s="1359"/>
      <c r="I265" s="1357" t="s">
        <v>2619</v>
      </c>
    </row>
    <row r="266">
      <c r="A266" s="1344" t="s">
        <v>2593</v>
      </c>
      <c r="B266" s="1345" t="s">
        <v>606</v>
      </c>
      <c r="C266" s="1346" t="s">
        <v>1495</v>
      </c>
      <c r="D266" s="1346">
        <v>0.25</v>
      </c>
      <c r="E266" s="1347">
        <v>0.3</v>
      </c>
      <c r="F266" s="1348" t="s">
        <v>2620</v>
      </c>
      <c r="G266" s="1349"/>
      <c r="H266" s="1346"/>
      <c r="I266" s="1360"/>
    </row>
    <row r="267">
      <c r="A267" s="1351" t="s">
        <v>14</v>
      </c>
      <c r="B267" s="1352" t="s">
        <v>2621</v>
      </c>
      <c r="C267" s="1353" t="s">
        <v>1495</v>
      </c>
      <c r="D267" s="1353">
        <v>7.9</v>
      </c>
      <c r="E267" s="1353">
        <v>9.1</v>
      </c>
      <c r="F267" s="1355">
        <v>2464070.0</v>
      </c>
      <c r="G267" s="1356" t="s">
        <v>2622</v>
      </c>
      <c r="H267" s="1353">
        <v>27.0</v>
      </c>
      <c r="I267" s="1357" t="s">
        <v>2623</v>
      </c>
    </row>
    <row r="268">
      <c r="A268" s="1344" t="s">
        <v>2400</v>
      </c>
      <c r="B268" s="1345" t="s">
        <v>608</v>
      </c>
      <c r="C268" s="1346" t="s">
        <v>2463</v>
      </c>
      <c r="D268" s="1346"/>
      <c r="E268" s="1347"/>
      <c r="F268" s="1348" t="s">
        <v>2624</v>
      </c>
      <c r="G268" s="1349"/>
      <c r="H268" s="1346"/>
      <c r="I268" s="1350" t="s">
        <v>2625</v>
      </c>
    </row>
    <row r="269">
      <c r="A269" s="1351" t="s">
        <v>2400</v>
      </c>
      <c r="B269" s="1352" t="s">
        <v>2626</v>
      </c>
      <c r="C269" s="1353" t="s">
        <v>2463</v>
      </c>
      <c r="D269" s="1353">
        <v>8.78</v>
      </c>
      <c r="E269" s="1354">
        <v>10.55</v>
      </c>
      <c r="F269" s="1355" t="s">
        <v>2627</v>
      </c>
      <c r="G269" s="1356"/>
      <c r="H269" s="1353">
        <v>8.0</v>
      </c>
      <c r="I269" s="1357" t="s">
        <v>2628</v>
      </c>
    </row>
    <row r="270">
      <c r="A270" s="1344" t="s">
        <v>2366</v>
      </c>
      <c r="B270" s="1345" t="s">
        <v>610</v>
      </c>
      <c r="C270" s="1346" t="s">
        <v>1495</v>
      </c>
      <c r="D270" s="1346">
        <v>0.25</v>
      </c>
      <c r="E270" s="1347">
        <v>0.3</v>
      </c>
      <c r="F270" s="1348"/>
      <c r="G270" s="1349"/>
      <c r="H270" s="1346"/>
      <c r="I270" s="1360"/>
    </row>
    <row r="271">
      <c r="A271" s="1351" t="s">
        <v>2400</v>
      </c>
      <c r="B271" s="1352" t="s">
        <v>2629</v>
      </c>
      <c r="C271" s="1353" t="s">
        <v>1495</v>
      </c>
      <c r="D271" s="1353">
        <v>0.17</v>
      </c>
      <c r="E271" s="1353">
        <v>0.25</v>
      </c>
      <c r="F271" s="1355" t="s">
        <v>2630</v>
      </c>
      <c r="G271" s="1356"/>
      <c r="H271" s="1359">
        <v>100.0</v>
      </c>
      <c r="I271" s="1357" t="s">
        <v>2631</v>
      </c>
    </row>
    <row r="272">
      <c r="A272" s="1344" t="s">
        <v>2400</v>
      </c>
      <c r="B272" s="1345" t="s">
        <v>2632</v>
      </c>
      <c r="C272" s="1346" t="s">
        <v>1495</v>
      </c>
      <c r="D272" s="1346">
        <v>0.25</v>
      </c>
      <c r="E272" s="1346">
        <v>0.3</v>
      </c>
      <c r="F272" s="1348" t="s">
        <v>2633</v>
      </c>
      <c r="G272" s="1349"/>
      <c r="H272" s="1346">
        <v>79.0</v>
      </c>
      <c r="I272" s="1350" t="s">
        <v>2634</v>
      </c>
    </row>
    <row r="273">
      <c r="A273" s="1351" t="s">
        <v>2400</v>
      </c>
      <c r="B273" s="1352" t="s">
        <v>2635</v>
      </c>
      <c r="C273" s="1353" t="s">
        <v>1495</v>
      </c>
      <c r="D273" s="1353">
        <v>0.45</v>
      </c>
      <c r="E273" s="1354">
        <v>0.55</v>
      </c>
      <c r="F273" s="1355" t="s">
        <v>2636</v>
      </c>
      <c r="G273" s="1356"/>
      <c r="H273" s="1353">
        <v>127.0</v>
      </c>
      <c r="I273" s="1357" t="s">
        <v>2637</v>
      </c>
    </row>
    <row r="274">
      <c r="A274" s="1344" t="s">
        <v>2400</v>
      </c>
      <c r="B274" s="1345" t="s">
        <v>2638</v>
      </c>
      <c r="C274" s="1346" t="s">
        <v>1495</v>
      </c>
      <c r="D274" s="1346">
        <v>0.55</v>
      </c>
      <c r="E274" s="1347">
        <v>0.7</v>
      </c>
      <c r="F274" s="1348" t="s">
        <v>2639</v>
      </c>
      <c r="G274" s="1349"/>
      <c r="H274" s="1346">
        <v>90.0</v>
      </c>
      <c r="I274" s="1350" t="s">
        <v>2640</v>
      </c>
    </row>
    <row r="275">
      <c r="A275" s="1351" t="s">
        <v>2400</v>
      </c>
      <c r="B275" s="1352" t="s">
        <v>2641</v>
      </c>
      <c r="C275" s="1353" t="s">
        <v>1495</v>
      </c>
      <c r="D275" s="1353">
        <v>0.13</v>
      </c>
      <c r="E275" s="1354">
        <v>0.2</v>
      </c>
      <c r="F275" s="1355" t="s">
        <v>2642</v>
      </c>
      <c r="G275" s="1356"/>
      <c r="H275" s="1359">
        <v>90.0</v>
      </c>
      <c r="I275" s="1357" t="s">
        <v>2643</v>
      </c>
    </row>
    <row r="276">
      <c r="A276" s="1344" t="s">
        <v>315</v>
      </c>
      <c r="B276" s="1345" t="s">
        <v>616</v>
      </c>
      <c r="C276" s="1346" t="s">
        <v>1495</v>
      </c>
      <c r="D276" s="1346">
        <v>13.75</v>
      </c>
      <c r="E276" s="1347">
        <v>15.85</v>
      </c>
      <c r="F276" s="1348" t="s">
        <v>2644</v>
      </c>
      <c r="G276" s="1349"/>
      <c r="H276" s="1358"/>
      <c r="I276" s="1350" t="s">
        <v>2645</v>
      </c>
    </row>
    <row r="277">
      <c r="A277" s="1351" t="s">
        <v>315</v>
      </c>
      <c r="B277" s="1352" t="s">
        <v>617</v>
      </c>
      <c r="C277" s="1353" t="s">
        <v>1495</v>
      </c>
      <c r="D277" s="1353">
        <v>36.45</v>
      </c>
      <c r="E277" s="1353">
        <v>41.95</v>
      </c>
      <c r="F277" s="1355" t="s">
        <v>2646</v>
      </c>
      <c r="G277" s="1356"/>
      <c r="H277" s="1359"/>
      <c r="I277" s="1357" t="s">
        <v>2647</v>
      </c>
    </row>
    <row r="278">
      <c r="A278" s="1344" t="s">
        <v>2393</v>
      </c>
      <c r="B278" s="1345" t="s">
        <v>618</v>
      </c>
      <c r="C278" s="1346" t="s">
        <v>1495</v>
      </c>
      <c r="D278" s="1346">
        <v>0.6</v>
      </c>
      <c r="E278" s="1346">
        <v>0.7</v>
      </c>
      <c r="F278" s="1348" t="s">
        <v>2648</v>
      </c>
      <c r="G278" s="1349"/>
      <c r="H278" s="1358"/>
      <c r="I278" s="1360"/>
    </row>
    <row r="279">
      <c r="A279" s="1351" t="s">
        <v>2393</v>
      </c>
      <c r="B279" s="1352" t="s">
        <v>2649</v>
      </c>
      <c r="C279" s="1353" t="s">
        <v>1495</v>
      </c>
      <c r="D279" s="1353">
        <v>0.8</v>
      </c>
      <c r="E279" s="1354">
        <v>0.95</v>
      </c>
      <c r="F279" s="1355" t="s">
        <v>2650</v>
      </c>
      <c r="G279" s="1356"/>
      <c r="H279" s="1353">
        <v>26.0</v>
      </c>
      <c r="I279" s="1357" t="s">
        <v>2651</v>
      </c>
    </row>
    <row r="280">
      <c r="A280" s="1344" t="s">
        <v>2393</v>
      </c>
      <c r="B280" s="1345" t="s">
        <v>2652</v>
      </c>
      <c r="C280" s="1346" t="s">
        <v>1495</v>
      </c>
      <c r="D280" s="1346">
        <v>0.84</v>
      </c>
      <c r="E280" s="1346">
        <v>1.0</v>
      </c>
      <c r="F280" s="1348" t="s">
        <v>2653</v>
      </c>
      <c r="G280" s="1349"/>
      <c r="H280" s="1346">
        <v>75.0</v>
      </c>
      <c r="I280" s="1350" t="s">
        <v>2654</v>
      </c>
    </row>
    <row r="281">
      <c r="A281" s="1351" t="s">
        <v>315</v>
      </c>
      <c r="B281" s="1352" t="s">
        <v>2655</v>
      </c>
      <c r="C281" s="1353" t="s">
        <v>1495</v>
      </c>
      <c r="D281" s="1353">
        <v>10.4</v>
      </c>
      <c r="E281" s="1353">
        <v>12.0</v>
      </c>
      <c r="F281" s="1355">
        <v>2421425.0</v>
      </c>
      <c r="G281" s="1356">
        <v>2.0</v>
      </c>
      <c r="H281" s="1359">
        <v>37.0</v>
      </c>
      <c r="I281" s="1357" t="s">
        <v>2656</v>
      </c>
    </row>
    <row r="282">
      <c r="A282" s="1344" t="s">
        <v>315</v>
      </c>
      <c r="B282" s="1345" t="s">
        <v>2657</v>
      </c>
      <c r="C282" s="1346" t="s">
        <v>1495</v>
      </c>
      <c r="D282" s="1346">
        <v>14.7</v>
      </c>
      <c r="E282" s="1347">
        <v>16.95</v>
      </c>
      <c r="F282" s="1348">
        <v>2421444.0</v>
      </c>
      <c r="G282" s="1349">
        <v>4.0</v>
      </c>
      <c r="H282" s="1358">
        <v>1.0</v>
      </c>
      <c r="I282" s="1350" t="s">
        <v>2658</v>
      </c>
    </row>
    <row r="283">
      <c r="A283" s="1351" t="s">
        <v>315</v>
      </c>
      <c r="B283" s="1352" t="s">
        <v>2659</v>
      </c>
      <c r="C283" s="1353" t="s">
        <v>1495</v>
      </c>
      <c r="D283" s="1353">
        <v>14.72</v>
      </c>
      <c r="E283" s="1354">
        <v>16.95</v>
      </c>
      <c r="F283" s="1355">
        <v>2421445.0</v>
      </c>
      <c r="G283" s="1356">
        <v>4.0</v>
      </c>
      <c r="H283" s="1359">
        <v>43.0</v>
      </c>
      <c r="I283" s="1357" t="s">
        <v>2660</v>
      </c>
    </row>
    <row r="284">
      <c r="A284" s="1344" t="s">
        <v>315</v>
      </c>
      <c r="B284" s="1345" t="s">
        <v>624</v>
      </c>
      <c r="C284" s="1346" t="s">
        <v>1495</v>
      </c>
      <c r="D284" s="1346">
        <v>61.25</v>
      </c>
      <c r="E284" s="1347">
        <v>70.45</v>
      </c>
      <c r="F284" s="1348">
        <v>2421446.0</v>
      </c>
      <c r="G284" s="1349"/>
      <c r="H284" s="1358"/>
      <c r="I284" s="1350" t="s">
        <v>2661</v>
      </c>
    </row>
    <row r="285">
      <c r="A285" s="1351" t="s">
        <v>2383</v>
      </c>
      <c r="B285" s="1352" t="s">
        <v>2662</v>
      </c>
      <c r="C285" s="1353" t="s">
        <v>1495</v>
      </c>
      <c r="D285" s="1353">
        <v>3.8</v>
      </c>
      <c r="E285" s="1354">
        <v>4.4</v>
      </c>
      <c r="F285" s="1355"/>
      <c r="G285" s="1356"/>
      <c r="H285" s="1359">
        <v>1.0</v>
      </c>
      <c r="I285" s="1362"/>
    </row>
    <row r="286">
      <c r="A286" s="1344" t="s">
        <v>2393</v>
      </c>
      <c r="B286" s="1345" t="s">
        <v>2663</v>
      </c>
      <c r="C286" s="1346" t="s">
        <v>1642</v>
      </c>
      <c r="D286" s="1346">
        <v>3.7</v>
      </c>
      <c r="E286" s="1347">
        <v>4.3</v>
      </c>
      <c r="F286" s="1348" t="s">
        <v>2664</v>
      </c>
      <c r="G286" s="1349"/>
      <c r="H286" s="1358">
        <v>9.0</v>
      </c>
      <c r="I286" s="1350" t="s">
        <v>2665</v>
      </c>
    </row>
    <row r="287">
      <c r="A287" s="1351" t="s">
        <v>2587</v>
      </c>
      <c r="B287" s="1352" t="s">
        <v>627</v>
      </c>
      <c r="C287" s="1353" t="s">
        <v>1642</v>
      </c>
      <c r="D287" s="1353">
        <v>2.16</v>
      </c>
      <c r="E287" s="1354">
        <v>2.5</v>
      </c>
      <c r="F287" s="1355">
        <v>324.0</v>
      </c>
      <c r="G287" s="1356"/>
      <c r="H287" s="1353"/>
      <c r="I287" s="1357" t="s">
        <v>2666</v>
      </c>
    </row>
    <row r="288">
      <c r="A288" s="1344" t="s">
        <v>2587</v>
      </c>
      <c r="B288" s="1345" t="s">
        <v>2667</v>
      </c>
      <c r="C288" s="1346" t="s">
        <v>1642</v>
      </c>
      <c r="D288" s="1346">
        <v>7.85</v>
      </c>
      <c r="E288" s="1347">
        <v>9.05</v>
      </c>
      <c r="F288" s="1348">
        <v>1782.0</v>
      </c>
      <c r="G288" s="1364"/>
      <c r="H288" s="1358">
        <v>14.0</v>
      </c>
      <c r="I288" s="1350" t="s">
        <v>2668</v>
      </c>
    </row>
    <row r="289">
      <c r="A289" s="1351" t="s">
        <v>2587</v>
      </c>
      <c r="B289" s="1352" t="s">
        <v>629</v>
      </c>
      <c r="C289" s="1353" t="s">
        <v>1642</v>
      </c>
      <c r="D289" s="1353">
        <v>6.44</v>
      </c>
      <c r="E289" s="1354">
        <v>7.45</v>
      </c>
      <c r="F289" s="1355">
        <v>1786.0</v>
      </c>
      <c r="G289" s="1356"/>
      <c r="H289" s="1359"/>
      <c r="I289" s="1357" t="s">
        <v>2669</v>
      </c>
    </row>
    <row r="290">
      <c r="A290" s="1344" t="s">
        <v>2587</v>
      </c>
      <c r="B290" s="1345" t="s">
        <v>630</v>
      </c>
      <c r="C290" s="1346" t="s">
        <v>1642</v>
      </c>
      <c r="D290" s="1346">
        <v>6.5</v>
      </c>
      <c r="E290" s="1347">
        <v>7.5</v>
      </c>
      <c r="F290" s="1348">
        <v>1781.0</v>
      </c>
      <c r="G290" s="1349"/>
      <c r="H290" s="1358"/>
      <c r="I290" s="1350" t="s">
        <v>2670</v>
      </c>
    </row>
    <row r="291">
      <c r="A291" s="1351" t="s">
        <v>2383</v>
      </c>
      <c r="B291" s="1352" t="s">
        <v>2671</v>
      </c>
      <c r="C291" s="1353" t="s">
        <v>1495</v>
      </c>
      <c r="D291" s="1353">
        <v>8.85</v>
      </c>
      <c r="E291" s="1354">
        <v>10.2</v>
      </c>
      <c r="F291" s="1355">
        <v>3901620.0</v>
      </c>
      <c r="G291" s="1356"/>
      <c r="H291" s="1353">
        <v>19.0</v>
      </c>
      <c r="I291" s="1357" t="s">
        <v>2672</v>
      </c>
    </row>
    <row r="292">
      <c r="A292" s="1344" t="s">
        <v>2383</v>
      </c>
      <c r="B292" s="1345" t="s">
        <v>2673</v>
      </c>
      <c r="C292" s="1346" t="s">
        <v>1495</v>
      </c>
      <c r="D292" s="1346">
        <v>4.65</v>
      </c>
      <c r="E292" s="1347">
        <v>5.35</v>
      </c>
      <c r="F292" s="1348">
        <v>3901560.0</v>
      </c>
      <c r="G292" s="1349"/>
      <c r="H292" s="1346">
        <v>20.0</v>
      </c>
      <c r="I292" s="1350" t="s">
        <v>2674</v>
      </c>
    </row>
    <row r="293">
      <c r="A293" s="1351" t="s">
        <v>2383</v>
      </c>
      <c r="B293" s="1352" t="s">
        <v>2675</v>
      </c>
      <c r="C293" s="1353" t="s">
        <v>1495</v>
      </c>
      <c r="D293" s="1353">
        <v>5.79</v>
      </c>
      <c r="E293" s="1354">
        <v>6.7</v>
      </c>
      <c r="F293" s="1355">
        <v>3901585.0</v>
      </c>
      <c r="G293" s="1356"/>
      <c r="H293" s="1353">
        <v>1.0</v>
      </c>
      <c r="I293" s="1357" t="s">
        <v>2676</v>
      </c>
    </row>
    <row r="294">
      <c r="A294" s="1344" t="s">
        <v>2170</v>
      </c>
      <c r="B294" s="1345" t="s">
        <v>2677</v>
      </c>
      <c r="C294" s="1346" t="s">
        <v>1495</v>
      </c>
      <c r="D294" s="1346">
        <v>20.95</v>
      </c>
      <c r="E294" s="1346">
        <v>24.1</v>
      </c>
      <c r="F294" s="1348">
        <v>42808.0</v>
      </c>
      <c r="G294" s="1349"/>
      <c r="H294" s="1358">
        <v>2.0</v>
      </c>
      <c r="I294" s="1360"/>
    </row>
    <row r="295">
      <c r="A295" s="1351" t="s">
        <v>2393</v>
      </c>
      <c r="B295" s="1352" t="s">
        <v>2678</v>
      </c>
      <c r="C295" s="1353" t="s">
        <v>1495</v>
      </c>
      <c r="D295" s="1353">
        <v>0.15</v>
      </c>
      <c r="E295" s="1354">
        <v>0.2</v>
      </c>
      <c r="F295" s="1355" t="s">
        <v>2679</v>
      </c>
      <c r="G295" s="1356"/>
      <c r="H295" s="1359">
        <v>11.0</v>
      </c>
      <c r="I295" s="1357" t="s">
        <v>2680</v>
      </c>
    </row>
    <row r="296">
      <c r="A296" s="1344" t="s">
        <v>2170</v>
      </c>
      <c r="B296" s="1345" t="s">
        <v>636</v>
      </c>
      <c r="C296" s="1346" t="s">
        <v>1495</v>
      </c>
      <c r="D296" s="1346">
        <v>30.82</v>
      </c>
      <c r="E296" s="1346">
        <v>35.45</v>
      </c>
      <c r="F296" s="1348" t="s">
        <v>2681</v>
      </c>
      <c r="G296" s="1349"/>
      <c r="H296" s="1346"/>
      <c r="I296" s="1350" t="s">
        <v>2682</v>
      </c>
    </row>
    <row r="297">
      <c r="A297" s="1351" t="s">
        <v>2271</v>
      </c>
      <c r="B297" s="1352" t="s">
        <v>2683</v>
      </c>
      <c r="C297" s="1353" t="s">
        <v>1495</v>
      </c>
      <c r="D297" s="1353">
        <v>1.6</v>
      </c>
      <c r="E297" s="1354">
        <v>1.85</v>
      </c>
      <c r="F297" s="1355" t="s">
        <v>2684</v>
      </c>
      <c r="G297" s="1356"/>
      <c r="H297" s="1359">
        <v>1.0</v>
      </c>
      <c r="I297" s="1357" t="s">
        <v>2685</v>
      </c>
    </row>
    <row r="298">
      <c r="A298" s="1344" t="s">
        <v>2271</v>
      </c>
      <c r="B298" s="1345" t="s">
        <v>638</v>
      </c>
      <c r="C298" s="1346" t="s">
        <v>1495</v>
      </c>
      <c r="D298" s="1346">
        <v>1.6</v>
      </c>
      <c r="E298" s="1347">
        <v>1.85</v>
      </c>
      <c r="F298" s="1348"/>
      <c r="G298" s="1349"/>
      <c r="H298" s="1358"/>
      <c r="I298" s="1360"/>
    </row>
    <row r="299">
      <c r="A299" s="1351" t="s">
        <v>327</v>
      </c>
      <c r="B299" s="1352" t="s">
        <v>639</v>
      </c>
      <c r="C299" s="1353" t="s">
        <v>1495</v>
      </c>
      <c r="D299" s="1353">
        <v>68.9</v>
      </c>
      <c r="E299" s="1354">
        <v>79.25</v>
      </c>
      <c r="F299" s="1355" t="s">
        <v>2686</v>
      </c>
      <c r="G299" s="1356"/>
      <c r="H299" s="1359"/>
      <c r="I299" s="1357" t="s">
        <v>2687</v>
      </c>
    </row>
    <row r="300">
      <c r="A300" s="1344" t="s">
        <v>2271</v>
      </c>
      <c r="B300" s="1345" t="s">
        <v>2688</v>
      </c>
      <c r="C300" s="1346" t="s">
        <v>1495</v>
      </c>
      <c r="D300" s="1346">
        <v>3.5</v>
      </c>
      <c r="E300" s="1347">
        <v>4.05</v>
      </c>
      <c r="F300" s="1348" t="s">
        <v>2689</v>
      </c>
      <c r="G300" s="1349"/>
      <c r="H300" s="1358">
        <v>2.0</v>
      </c>
      <c r="I300" s="1350" t="s">
        <v>2690</v>
      </c>
    </row>
    <row r="301">
      <c r="A301" s="1351" t="s">
        <v>315</v>
      </c>
      <c r="B301" s="1352" t="s">
        <v>641</v>
      </c>
      <c r="C301" s="1353" t="s">
        <v>1495</v>
      </c>
      <c r="D301" s="1353"/>
      <c r="E301" s="1354"/>
      <c r="F301" s="1355" t="s">
        <v>2691</v>
      </c>
      <c r="G301" s="1356"/>
      <c r="H301" s="1359"/>
      <c r="I301" s="1357" t="s">
        <v>2692</v>
      </c>
    </row>
    <row r="302">
      <c r="A302" s="1344" t="s">
        <v>2400</v>
      </c>
      <c r="B302" s="1345" t="s">
        <v>2693</v>
      </c>
      <c r="C302" s="1346" t="s">
        <v>1495</v>
      </c>
      <c r="D302" s="1346">
        <v>0.65</v>
      </c>
      <c r="E302" s="1347">
        <v>0.75</v>
      </c>
      <c r="F302" s="1348" t="s">
        <v>2694</v>
      </c>
      <c r="G302" s="1349"/>
      <c r="H302" s="1358">
        <v>7.0</v>
      </c>
      <c r="I302" s="1360"/>
    </row>
    <row r="303">
      <c r="A303" s="1351" t="s">
        <v>2695</v>
      </c>
      <c r="B303" s="1352" t="s">
        <v>643</v>
      </c>
      <c r="C303" s="1353" t="s">
        <v>1495</v>
      </c>
      <c r="D303" s="1353">
        <v>0.05</v>
      </c>
      <c r="E303" s="1354">
        <v>0.1</v>
      </c>
      <c r="F303" s="1355"/>
      <c r="G303" s="1356"/>
      <c r="H303" s="1359"/>
      <c r="I303" s="1362"/>
    </row>
    <row r="304">
      <c r="A304" s="1344" t="s">
        <v>2695</v>
      </c>
      <c r="B304" s="1345" t="s">
        <v>2696</v>
      </c>
      <c r="C304" s="1346" t="s">
        <v>1495</v>
      </c>
      <c r="D304" s="1346"/>
      <c r="E304" s="1347"/>
      <c r="F304" s="1348" t="s">
        <v>2697</v>
      </c>
      <c r="G304" s="1349"/>
      <c r="H304" s="1358">
        <v>30.0</v>
      </c>
      <c r="I304" s="1360"/>
    </row>
    <row r="305">
      <c r="A305" s="1351" t="s">
        <v>2695</v>
      </c>
      <c r="B305" s="1352" t="s">
        <v>645</v>
      </c>
      <c r="C305" s="1353" t="s">
        <v>1495</v>
      </c>
      <c r="D305" s="1353">
        <v>1.29</v>
      </c>
      <c r="E305" s="1354">
        <v>1.5</v>
      </c>
      <c r="F305" s="1355"/>
      <c r="G305" s="1356"/>
      <c r="H305" s="1359"/>
      <c r="I305" s="1362"/>
    </row>
    <row r="306">
      <c r="A306" s="1344" t="s">
        <v>2695</v>
      </c>
      <c r="B306" s="1345" t="s">
        <v>646</v>
      </c>
      <c r="C306" s="1346" t="s">
        <v>1495</v>
      </c>
      <c r="D306" s="1346">
        <v>2.28</v>
      </c>
      <c r="E306" s="1347">
        <v>2.65</v>
      </c>
      <c r="F306" s="1348"/>
      <c r="G306" s="1349"/>
      <c r="H306" s="1346"/>
      <c r="I306" s="1360"/>
    </row>
    <row r="307">
      <c r="A307" s="1351" t="s">
        <v>17</v>
      </c>
      <c r="B307" s="1352" t="s">
        <v>223</v>
      </c>
      <c r="C307" s="1353" t="s">
        <v>1495</v>
      </c>
      <c r="D307" s="1353">
        <v>4.71</v>
      </c>
      <c r="E307" s="1354">
        <v>5.45</v>
      </c>
      <c r="F307" s="1355" t="s">
        <v>2698</v>
      </c>
      <c r="G307" s="1356"/>
      <c r="H307" s="1359">
        <v>16.0</v>
      </c>
      <c r="I307" s="1357" t="s">
        <v>2699</v>
      </c>
    </row>
    <row r="308">
      <c r="A308" s="1344" t="s">
        <v>2456</v>
      </c>
      <c r="B308" s="1345" t="s">
        <v>2700</v>
      </c>
      <c r="C308" s="1346" t="s">
        <v>1495</v>
      </c>
      <c r="D308" s="1346">
        <v>7.65</v>
      </c>
      <c r="E308" s="1347">
        <v>8.8</v>
      </c>
      <c r="F308" s="1348" t="s">
        <v>2701</v>
      </c>
      <c r="G308" s="1349"/>
      <c r="H308" s="1358">
        <v>6.0</v>
      </c>
      <c r="I308" s="1350" t="s">
        <v>2702</v>
      </c>
    </row>
    <row r="309">
      <c r="A309" s="1351" t="s">
        <v>146</v>
      </c>
      <c r="B309" s="1352" t="s">
        <v>649</v>
      </c>
      <c r="C309" s="1353" t="s">
        <v>1495</v>
      </c>
      <c r="D309" s="1353"/>
      <c r="E309" s="1354"/>
      <c r="F309" s="1355" t="s">
        <v>2703</v>
      </c>
      <c r="G309" s="1356"/>
      <c r="H309" s="1359"/>
      <c r="I309" s="1357" t="s">
        <v>2704</v>
      </c>
    </row>
    <row r="310">
      <c r="A310" s="1344" t="s">
        <v>16</v>
      </c>
      <c r="B310" s="1345" t="s">
        <v>2705</v>
      </c>
      <c r="C310" s="1346" t="s">
        <v>1495</v>
      </c>
      <c r="D310" s="1346">
        <v>7.16</v>
      </c>
      <c r="E310" s="1347">
        <v>8.25</v>
      </c>
      <c r="F310" s="1348">
        <v>4184224.0</v>
      </c>
      <c r="G310" s="1349"/>
      <c r="H310" s="1358">
        <v>14.0</v>
      </c>
      <c r="I310" s="1350" t="s">
        <v>2706</v>
      </c>
    </row>
    <row r="311">
      <c r="A311" s="1351" t="s">
        <v>16</v>
      </c>
      <c r="B311" s="1352" t="s">
        <v>2707</v>
      </c>
      <c r="C311" s="1353" t="s">
        <v>1495</v>
      </c>
      <c r="D311" s="1353">
        <v>6.7</v>
      </c>
      <c r="E311" s="1353">
        <v>7.75</v>
      </c>
      <c r="F311" s="1355">
        <v>4184217.0</v>
      </c>
      <c r="G311" s="1356"/>
      <c r="H311" s="1359">
        <v>10.0</v>
      </c>
      <c r="I311" s="1357" t="s">
        <v>2708</v>
      </c>
    </row>
    <row r="312">
      <c r="A312" s="1344" t="s">
        <v>16</v>
      </c>
      <c r="B312" s="1345" t="s">
        <v>2709</v>
      </c>
      <c r="C312" s="1346" t="s">
        <v>1495</v>
      </c>
      <c r="D312" s="1346">
        <v>9.36</v>
      </c>
      <c r="E312" s="1347">
        <v>10.8</v>
      </c>
      <c r="F312" s="1348">
        <v>4185224.0</v>
      </c>
      <c r="G312" s="1349"/>
      <c r="H312" s="1358">
        <v>4.0</v>
      </c>
      <c r="I312" s="1350" t="s">
        <v>2710</v>
      </c>
    </row>
    <row r="313">
      <c r="A313" s="1351" t="s">
        <v>2456</v>
      </c>
      <c r="B313" s="1352" t="s">
        <v>653</v>
      </c>
      <c r="C313" s="1353" t="s">
        <v>1495</v>
      </c>
      <c r="D313" s="1353">
        <v>0.3</v>
      </c>
      <c r="E313" s="1354">
        <v>0.35</v>
      </c>
      <c r="F313" s="1355" t="s">
        <v>2711</v>
      </c>
      <c r="G313" s="1356"/>
      <c r="H313" s="1353"/>
      <c r="I313" s="1357" t="s">
        <v>2712</v>
      </c>
    </row>
    <row r="314">
      <c r="A314" s="1366" t="s">
        <v>2383</v>
      </c>
      <c r="B314" s="1367" t="s">
        <v>2713</v>
      </c>
      <c r="C314" s="1368" t="s">
        <v>1495</v>
      </c>
      <c r="D314" s="1368">
        <v>0.15</v>
      </c>
      <c r="E314" s="1369">
        <v>0.2</v>
      </c>
      <c r="F314" s="1370" t="s">
        <v>2714</v>
      </c>
      <c r="G314" s="1371"/>
      <c r="H314" s="1346">
        <v>19.0</v>
      </c>
      <c r="I314" s="1360"/>
    </row>
    <row r="315">
      <c r="A315" s="1351" t="s">
        <v>2383</v>
      </c>
      <c r="B315" s="1352" t="s">
        <v>2715</v>
      </c>
      <c r="C315" s="1353" t="s">
        <v>1495</v>
      </c>
      <c r="D315" s="1353">
        <v>0.4</v>
      </c>
      <c r="E315" s="1354">
        <v>0.5</v>
      </c>
      <c r="F315" s="1355" t="s">
        <v>2716</v>
      </c>
      <c r="G315" s="1356"/>
      <c r="H315" s="1353">
        <v>70.0</v>
      </c>
      <c r="I315" s="1362"/>
    </row>
    <row r="316">
      <c r="A316" s="1344" t="s">
        <v>2456</v>
      </c>
      <c r="B316" s="1345" t="s">
        <v>656</v>
      </c>
      <c r="C316" s="1346" t="s">
        <v>1495</v>
      </c>
      <c r="D316" s="1346">
        <v>0.1</v>
      </c>
      <c r="E316" s="1347">
        <v>0.15</v>
      </c>
      <c r="F316" s="1348" t="s">
        <v>2717</v>
      </c>
      <c r="G316" s="1349"/>
      <c r="H316" s="1346"/>
      <c r="I316" s="1350" t="s">
        <v>2718</v>
      </c>
    </row>
    <row r="317">
      <c r="A317" s="1351" t="s">
        <v>2366</v>
      </c>
      <c r="B317" s="1352" t="s">
        <v>657</v>
      </c>
      <c r="C317" s="1353" t="s">
        <v>1495</v>
      </c>
      <c r="D317" s="1353">
        <v>1.2</v>
      </c>
      <c r="E317" s="1354">
        <v>1.4</v>
      </c>
      <c r="F317" s="1355">
        <v>3.9191012E9</v>
      </c>
      <c r="G317" s="1356"/>
      <c r="H317" s="1353"/>
      <c r="I317" s="1362"/>
    </row>
    <row r="318">
      <c r="A318" s="1344" t="s">
        <v>2366</v>
      </c>
      <c r="B318" s="1345" t="s">
        <v>658</v>
      </c>
      <c r="C318" s="1346" t="s">
        <v>1495</v>
      </c>
      <c r="D318" s="1346">
        <v>0.6</v>
      </c>
      <c r="E318" s="1346">
        <v>0.7</v>
      </c>
      <c r="F318" s="1348" t="s">
        <v>2719</v>
      </c>
      <c r="G318" s="1349"/>
      <c r="H318" s="1358"/>
      <c r="I318" s="1350" t="s">
        <v>2720</v>
      </c>
    </row>
    <row r="319">
      <c r="A319" s="1351" t="s">
        <v>2366</v>
      </c>
      <c r="B319" s="1352" t="s">
        <v>2721</v>
      </c>
      <c r="C319" s="1353" t="s">
        <v>1495</v>
      </c>
      <c r="D319" s="1353">
        <v>0.44</v>
      </c>
      <c r="E319" s="1354">
        <v>0.55</v>
      </c>
      <c r="F319" s="1355" t="s">
        <v>2722</v>
      </c>
      <c r="G319" s="1356"/>
      <c r="H319" s="1359">
        <v>1.0</v>
      </c>
      <c r="I319" s="1357" t="s">
        <v>2723</v>
      </c>
    </row>
    <row r="320">
      <c r="A320" s="1344" t="s">
        <v>2366</v>
      </c>
      <c r="B320" s="1345" t="s">
        <v>660</v>
      </c>
      <c r="C320" s="1346" t="s">
        <v>1495</v>
      </c>
      <c r="D320" s="1346">
        <v>0.6</v>
      </c>
      <c r="E320" s="1347">
        <v>0.7</v>
      </c>
      <c r="F320" s="1348" t="s">
        <v>2724</v>
      </c>
      <c r="G320" s="1349"/>
      <c r="H320" s="1346"/>
      <c r="I320" s="1350" t="s">
        <v>2725</v>
      </c>
    </row>
    <row r="321">
      <c r="A321" s="1351" t="s">
        <v>2366</v>
      </c>
      <c r="B321" s="1352" t="s">
        <v>2726</v>
      </c>
      <c r="C321" s="1353" t="s">
        <v>1495</v>
      </c>
      <c r="D321" s="1353">
        <v>0.86</v>
      </c>
      <c r="E321" s="1354">
        <v>1.0</v>
      </c>
      <c r="F321" s="1355" t="s">
        <v>2727</v>
      </c>
      <c r="G321" s="1356"/>
      <c r="H321" s="1353">
        <v>7.0</v>
      </c>
      <c r="I321" s="1357" t="s">
        <v>2728</v>
      </c>
    </row>
    <row r="322">
      <c r="A322" s="1344" t="s">
        <v>2366</v>
      </c>
      <c r="B322" s="1345" t="s">
        <v>2729</v>
      </c>
      <c r="C322" s="1346" t="s">
        <v>1495</v>
      </c>
      <c r="D322" s="1346">
        <v>0.85</v>
      </c>
      <c r="E322" s="1347">
        <v>1.0</v>
      </c>
      <c r="F322" s="1348" t="s">
        <v>2730</v>
      </c>
      <c r="G322" s="1349"/>
      <c r="H322" s="1346">
        <v>2.0</v>
      </c>
      <c r="I322" s="1350" t="s">
        <v>2731</v>
      </c>
    </row>
    <row r="323">
      <c r="A323" s="1351" t="s">
        <v>2366</v>
      </c>
      <c r="B323" s="1352" t="s">
        <v>2732</v>
      </c>
      <c r="C323" s="1353" t="s">
        <v>1495</v>
      </c>
      <c r="D323" s="1353">
        <v>0.85</v>
      </c>
      <c r="E323" s="1354">
        <v>1.0</v>
      </c>
      <c r="F323" s="1355" t="s">
        <v>2733</v>
      </c>
      <c r="G323" s="1356"/>
      <c r="H323" s="1353">
        <v>7.0</v>
      </c>
      <c r="I323" s="1357" t="s">
        <v>2734</v>
      </c>
    </row>
    <row r="324">
      <c r="A324" s="1344" t="s">
        <v>327</v>
      </c>
      <c r="B324" s="1345" t="s">
        <v>664</v>
      </c>
      <c r="C324" s="1346" t="s">
        <v>1495</v>
      </c>
      <c r="D324" s="1346">
        <v>5.05</v>
      </c>
      <c r="E324" s="1347">
        <v>5.85</v>
      </c>
      <c r="F324" s="1348">
        <v>54100.0</v>
      </c>
      <c r="G324" s="1349"/>
      <c r="H324" s="1346"/>
      <c r="I324" s="1350" t="s">
        <v>2735</v>
      </c>
    </row>
    <row r="325">
      <c r="A325" s="1351" t="s">
        <v>327</v>
      </c>
      <c r="B325" s="1352" t="s">
        <v>665</v>
      </c>
      <c r="C325" s="1353" t="s">
        <v>1495</v>
      </c>
      <c r="D325" s="1353">
        <v>9.95</v>
      </c>
      <c r="E325" s="1354">
        <v>11.45</v>
      </c>
      <c r="F325" s="1355">
        <v>54200.0</v>
      </c>
      <c r="G325" s="1356"/>
      <c r="H325" s="1353"/>
      <c r="I325" s="1357" t="s">
        <v>2736</v>
      </c>
    </row>
    <row r="326">
      <c r="A326" s="1344" t="s">
        <v>16</v>
      </c>
      <c r="B326" s="1345" t="s">
        <v>2737</v>
      </c>
      <c r="C326" s="1346" t="s">
        <v>1495</v>
      </c>
      <c r="D326" s="1346">
        <v>28.62</v>
      </c>
      <c r="E326" s="1347">
        <v>32.95</v>
      </c>
      <c r="F326" s="1348">
        <v>54300.0</v>
      </c>
      <c r="G326" s="1349"/>
      <c r="H326" s="1346">
        <v>20.0</v>
      </c>
      <c r="I326" s="1350" t="s">
        <v>2738</v>
      </c>
    </row>
    <row r="327">
      <c r="A327" s="1351" t="s">
        <v>16</v>
      </c>
      <c r="B327" s="1352" t="s">
        <v>2739</v>
      </c>
      <c r="C327" s="1353" t="s">
        <v>1495</v>
      </c>
      <c r="D327" s="1353">
        <v>24.71</v>
      </c>
      <c r="E327" s="1354">
        <v>28.45</v>
      </c>
      <c r="F327" s="1355">
        <v>54310.0</v>
      </c>
      <c r="G327" s="1356"/>
      <c r="H327" s="1353">
        <v>9.0</v>
      </c>
      <c r="I327" s="1357" t="s">
        <v>2740</v>
      </c>
    </row>
    <row r="328">
      <c r="A328" s="1344" t="s">
        <v>16</v>
      </c>
      <c r="B328" s="1345" t="s">
        <v>2741</v>
      </c>
      <c r="C328" s="1346" t="s">
        <v>1495</v>
      </c>
      <c r="D328" s="1346">
        <v>40.05</v>
      </c>
      <c r="E328" s="1347">
        <v>46.1</v>
      </c>
      <c r="F328" s="1348">
        <v>54400.0</v>
      </c>
      <c r="G328" s="1349"/>
      <c r="H328" s="1358">
        <v>5.0</v>
      </c>
      <c r="I328" s="1350" t="s">
        <v>2742</v>
      </c>
    </row>
    <row r="329">
      <c r="A329" s="1351" t="s">
        <v>327</v>
      </c>
      <c r="B329" s="1352" t="s">
        <v>669</v>
      </c>
      <c r="C329" s="1353" t="s">
        <v>1495</v>
      </c>
      <c r="D329" s="1353">
        <v>4.2</v>
      </c>
      <c r="E329" s="1354">
        <v>4.85</v>
      </c>
      <c r="F329" s="1355" t="s">
        <v>2743</v>
      </c>
      <c r="G329" s="1356"/>
      <c r="H329" s="1353"/>
      <c r="I329" s="1357" t="s">
        <v>2744</v>
      </c>
    </row>
    <row r="330">
      <c r="A330" s="1344" t="s">
        <v>327</v>
      </c>
      <c r="B330" s="1345" t="s">
        <v>670</v>
      </c>
      <c r="C330" s="1346" t="s">
        <v>1495</v>
      </c>
      <c r="D330" s="1346">
        <v>5.0</v>
      </c>
      <c r="E330" s="1346">
        <v>5.75</v>
      </c>
      <c r="F330" s="1348" t="s">
        <v>2745</v>
      </c>
      <c r="G330" s="1349"/>
      <c r="H330" s="1358"/>
      <c r="I330" s="1350" t="s">
        <v>2746</v>
      </c>
    </row>
    <row r="331">
      <c r="A331" s="1351" t="s">
        <v>327</v>
      </c>
      <c r="B331" s="1352" t="s">
        <v>2747</v>
      </c>
      <c r="C331" s="1353" t="s">
        <v>1495</v>
      </c>
      <c r="D331" s="1353">
        <v>3.15</v>
      </c>
      <c r="E331" s="1354">
        <v>3.65</v>
      </c>
      <c r="F331" s="1355" t="s">
        <v>2748</v>
      </c>
      <c r="G331" s="1356"/>
      <c r="H331" s="1353">
        <v>3.0</v>
      </c>
      <c r="I331" s="1357" t="s">
        <v>2749</v>
      </c>
    </row>
    <row r="332">
      <c r="A332" s="1344" t="s">
        <v>2383</v>
      </c>
      <c r="B332" s="1345" t="s">
        <v>2750</v>
      </c>
      <c r="C332" s="1346" t="s">
        <v>1495</v>
      </c>
      <c r="D332" s="1346">
        <v>0.1</v>
      </c>
      <c r="E332" s="1346">
        <v>0.15</v>
      </c>
      <c r="F332" s="1348">
        <v>3835.0</v>
      </c>
      <c r="G332" s="1349"/>
      <c r="H332" s="1346">
        <v>4.0</v>
      </c>
      <c r="I332" s="1350" t="s">
        <v>2751</v>
      </c>
    </row>
    <row r="333">
      <c r="A333" s="1351" t="s">
        <v>2587</v>
      </c>
      <c r="B333" s="1352" t="s">
        <v>673</v>
      </c>
      <c r="C333" s="1353" t="s">
        <v>1642</v>
      </c>
      <c r="D333" s="1353">
        <v>1.15</v>
      </c>
      <c r="E333" s="1353">
        <v>1.35</v>
      </c>
      <c r="F333" s="1355">
        <v>3552005.0</v>
      </c>
      <c r="G333" s="1356"/>
      <c r="H333" s="1359"/>
      <c r="I333" s="1362"/>
    </row>
    <row r="334">
      <c r="A334" s="1344" t="s">
        <v>2587</v>
      </c>
      <c r="B334" s="1345" t="s">
        <v>674</v>
      </c>
      <c r="C334" s="1346" t="s">
        <v>1642</v>
      </c>
      <c r="D334" s="1346">
        <v>3.55</v>
      </c>
      <c r="E334" s="1346">
        <v>4.1</v>
      </c>
      <c r="F334" s="1348">
        <v>35020.0</v>
      </c>
      <c r="G334" s="1349"/>
      <c r="H334" s="1358"/>
      <c r="I334" s="1350" t="s">
        <v>2752</v>
      </c>
    </row>
    <row r="335">
      <c r="A335" s="1351" t="s">
        <v>2271</v>
      </c>
      <c r="B335" s="1352" t="s">
        <v>2753</v>
      </c>
      <c r="C335" s="1353" t="s">
        <v>1495</v>
      </c>
      <c r="D335" s="1353">
        <v>3.05</v>
      </c>
      <c r="E335" s="1353">
        <v>3.55</v>
      </c>
      <c r="F335" s="1355" t="s">
        <v>2754</v>
      </c>
      <c r="G335" s="1356"/>
      <c r="H335" s="1359">
        <v>3.0</v>
      </c>
      <c r="I335" s="1357" t="s">
        <v>2755</v>
      </c>
    </row>
    <row r="336">
      <c r="A336" s="1344" t="s">
        <v>2271</v>
      </c>
      <c r="B336" s="1345" t="s">
        <v>676</v>
      </c>
      <c r="C336" s="1346" t="s">
        <v>1495</v>
      </c>
      <c r="D336" s="1346">
        <v>3.05</v>
      </c>
      <c r="E336" s="1346">
        <v>3.55</v>
      </c>
      <c r="F336" s="1348" t="s">
        <v>2756</v>
      </c>
      <c r="G336" s="1349"/>
      <c r="H336" s="1346"/>
      <c r="I336" s="1350" t="s">
        <v>2757</v>
      </c>
    </row>
    <row r="337">
      <c r="A337" s="1351" t="s">
        <v>315</v>
      </c>
      <c r="B337" s="1352" t="s">
        <v>677</v>
      </c>
      <c r="C337" s="1353" t="s">
        <v>1495</v>
      </c>
      <c r="D337" s="1353">
        <v>21.61</v>
      </c>
      <c r="E337" s="1353">
        <v>24.9</v>
      </c>
      <c r="F337" s="1355">
        <v>4661592.0</v>
      </c>
      <c r="G337" s="1356"/>
      <c r="H337" s="1353"/>
      <c r="I337" s="1357" t="s">
        <v>2758</v>
      </c>
    </row>
    <row r="338">
      <c r="A338" s="1344" t="s">
        <v>2587</v>
      </c>
      <c r="B338" s="1345" t="s">
        <v>678</v>
      </c>
      <c r="C338" s="1346" t="s">
        <v>1495</v>
      </c>
      <c r="D338" s="1346">
        <v>0.99</v>
      </c>
      <c r="E338" s="1347">
        <v>1.15</v>
      </c>
      <c r="F338" s="1348">
        <v>50132.0</v>
      </c>
      <c r="G338" s="1364"/>
      <c r="H338" s="1358"/>
      <c r="I338" s="1350" t="s">
        <v>2759</v>
      </c>
    </row>
    <row r="339">
      <c r="A339" s="1351" t="s">
        <v>2587</v>
      </c>
      <c r="B339" s="1352" t="s">
        <v>679</v>
      </c>
      <c r="C339" s="1353" t="s">
        <v>1495</v>
      </c>
      <c r="D339" s="1353">
        <v>0.29</v>
      </c>
      <c r="E339" s="1354">
        <v>0.35</v>
      </c>
      <c r="F339" s="1355">
        <v>54932.0</v>
      </c>
      <c r="G339" s="1356"/>
      <c r="H339" s="1359"/>
      <c r="I339" s="1357" t="s">
        <v>2760</v>
      </c>
    </row>
    <row r="340">
      <c r="A340" s="1344" t="s">
        <v>2587</v>
      </c>
      <c r="B340" s="1345" t="s">
        <v>680</v>
      </c>
      <c r="C340" s="1346" t="s">
        <v>1495</v>
      </c>
      <c r="D340" s="1346">
        <v>1.27</v>
      </c>
      <c r="E340" s="1347">
        <v>1.5</v>
      </c>
      <c r="F340" s="1348">
        <v>50232.0</v>
      </c>
      <c r="G340" s="1349"/>
      <c r="H340" s="1358"/>
      <c r="I340" s="1350" t="s">
        <v>2761</v>
      </c>
    </row>
    <row r="341">
      <c r="A341" s="1351" t="s">
        <v>2587</v>
      </c>
      <c r="B341" s="1352" t="s">
        <v>2762</v>
      </c>
      <c r="C341" s="1353" t="s">
        <v>1495</v>
      </c>
      <c r="D341" s="1353">
        <v>2.65</v>
      </c>
      <c r="E341" s="1354">
        <v>3.05</v>
      </c>
      <c r="F341" s="1355">
        <v>50250.0</v>
      </c>
      <c r="G341" s="1356"/>
      <c r="H341" s="1359">
        <v>1.0</v>
      </c>
      <c r="I341" s="1357" t="s">
        <v>2763</v>
      </c>
    </row>
    <row r="342">
      <c r="A342" s="1344" t="s">
        <v>2400</v>
      </c>
      <c r="B342" s="1345" t="s">
        <v>682</v>
      </c>
      <c r="C342" s="1346" t="s">
        <v>2463</v>
      </c>
      <c r="D342" s="1346">
        <v>0.7</v>
      </c>
      <c r="E342" s="1347">
        <v>0.85</v>
      </c>
      <c r="F342" s="1348" t="s">
        <v>2764</v>
      </c>
      <c r="G342" s="1349"/>
      <c r="H342" s="1358"/>
      <c r="I342" s="1350" t="s">
        <v>2765</v>
      </c>
    </row>
    <row r="343">
      <c r="A343" s="1351" t="s">
        <v>2400</v>
      </c>
      <c r="B343" s="1352" t="s">
        <v>683</v>
      </c>
      <c r="C343" s="1353" t="s">
        <v>2463</v>
      </c>
      <c r="D343" s="1353">
        <v>0.95</v>
      </c>
      <c r="E343" s="1353">
        <v>1.1</v>
      </c>
      <c r="F343" s="1355" t="s">
        <v>2766</v>
      </c>
      <c r="G343" s="1356"/>
      <c r="H343" s="1353"/>
      <c r="I343" s="1357" t="s">
        <v>2767</v>
      </c>
    </row>
    <row r="344">
      <c r="A344" s="1344" t="s">
        <v>2400</v>
      </c>
      <c r="B344" s="1345" t="s">
        <v>2768</v>
      </c>
      <c r="C344" s="1346" t="s">
        <v>2463</v>
      </c>
      <c r="D344" s="1346">
        <v>0.51</v>
      </c>
      <c r="E344" s="1347">
        <v>0.6</v>
      </c>
      <c r="F344" s="1348" t="s">
        <v>2769</v>
      </c>
      <c r="G344" s="1349"/>
      <c r="H344" s="1358">
        <v>12.0</v>
      </c>
      <c r="I344" s="1350" t="s">
        <v>2770</v>
      </c>
    </row>
    <row r="345">
      <c r="A345" s="1351" t="s">
        <v>2400</v>
      </c>
      <c r="B345" s="1352" t="s">
        <v>685</v>
      </c>
      <c r="C345" s="1353" t="s">
        <v>2463</v>
      </c>
      <c r="D345" s="1353">
        <v>3.95</v>
      </c>
      <c r="E345" s="1354">
        <v>4.55</v>
      </c>
      <c r="F345" s="1355" t="s">
        <v>2771</v>
      </c>
      <c r="G345" s="1356"/>
      <c r="H345" s="1353"/>
      <c r="I345" s="1357" t="s">
        <v>2772</v>
      </c>
    </row>
    <row r="346">
      <c r="A346" s="1344" t="s">
        <v>2400</v>
      </c>
      <c r="B346" s="1345" t="s">
        <v>2773</v>
      </c>
      <c r="C346" s="1346" t="s">
        <v>2463</v>
      </c>
      <c r="D346" s="1346">
        <v>2.3</v>
      </c>
      <c r="E346" s="1347">
        <v>2.65</v>
      </c>
      <c r="F346" s="1348" t="s">
        <v>2774</v>
      </c>
      <c r="G346" s="1349"/>
      <c r="H346" s="1358">
        <v>3.0</v>
      </c>
      <c r="I346" s="1350" t="s">
        <v>2775</v>
      </c>
    </row>
    <row r="347">
      <c r="A347" s="1351" t="s">
        <v>2400</v>
      </c>
      <c r="B347" s="1352" t="s">
        <v>2776</v>
      </c>
      <c r="C347" s="1353" t="s">
        <v>2463</v>
      </c>
      <c r="D347" s="1353">
        <v>4.85</v>
      </c>
      <c r="E347" s="1354">
        <v>5.6</v>
      </c>
      <c r="F347" s="1355" t="s">
        <v>2777</v>
      </c>
      <c r="G347" s="1356"/>
      <c r="H347" s="1359">
        <v>1.0</v>
      </c>
      <c r="I347" s="1357" t="s">
        <v>2778</v>
      </c>
    </row>
    <row r="348">
      <c r="A348" s="1344" t="s">
        <v>2400</v>
      </c>
      <c r="B348" s="1345" t="s">
        <v>2779</v>
      </c>
      <c r="C348" s="1346" t="s">
        <v>2463</v>
      </c>
      <c r="D348" s="1346">
        <v>4.35</v>
      </c>
      <c r="E348" s="1346">
        <v>5.05</v>
      </c>
      <c r="F348" s="1348" t="s">
        <v>2780</v>
      </c>
      <c r="G348" s="1349"/>
      <c r="H348" s="1358">
        <v>4.0</v>
      </c>
      <c r="I348" s="1350" t="s">
        <v>2781</v>
      </c>
    </row>
    <row r="349">
      <c r="A349" s="1351" t="s">
        <v>2400</v>
      </c>
      <c r="B349" s="1352" t="s">
        <v>689</v>
      </c>
      <c r="C349" s="1353" t="s">
        <v>2463</v>
      </c>
      <c r="D349" s="1353">
        <v>0.95</v>
      </c>
      <c r="E349" s="1353">
        <v>1.1</v>
      </c>
      <c r="F349" s="1355" t="s">
        <v>2782</v>
      </c>
      <c r="G349" s="1356"/>
      <c r="H349" s="1359"/>
      <c r="I349" s="1357" t="s">
        <v>2783</v>
      </c>
    </row>
    <row r="350">
      <c r="A350" s="1344" t="s">
        <v>2400</v>
      </c>
      <c r="B350" s="1345" t="s">
        <v>690</v>
      </c>
      <c r="C350" s="1346" t="s">
        <v>2463</v>
      </c>
      <c r="D350" s="1346">
        <v>3.4</v>
      </c>
      <c r="E350" s="1347">
        <v>3.95</v>
      </c>
      <c r="F350" s="1348" t="s">
        <v>2784</v>
      </c>
      <c r="G350" s="1349"/>
      <c r="H350" s="1358"/>
      <c r="I350" s="1350" t="s">
        <v>2785</v>
      </c>
    </row>
    <row r="351">
      <c r="A351" s="1351" t="s">
        <v>2400</v>
      </c>
      <c r="B351" s="1352" t="s">
        <v>691</v>
      </c>
      <c r="C351" s="1353" t="s">
        <v>2463</v>
      </c>
      <c r="D351" s="1353">
        <v>0.95</v>
      </c>
      <c r="E351" s="1354">
        <v>1.1</v>
      </c>
      <c r="F351" s="1355" t="s">
        <v>2786</v>
      </c>
      <c r="G351" s="1356"/>
      <c r="H351" s="1359"/>
      <c r="I351" s="1357" t="s">
        <v>2787</v>
      </c>
    </row>
    <row r="352">
      <c r="A352" s="1344" t="s">
        <v>2400</v>
      </c>
      <c r="B352" s="1345" t="s">
        <v>692</v>
      </c>
      <c r="C352" s="1346" t="s">
        <v>2463</v>
      </c>
      <c r="D352" s="1346">
        <v>1.63</v>
      </c>
      <c r="E352" s="1347">
        <v>1.9</v>
      </c>
      <c r="F352" s="1348" t="s">
        <v>2788</v>
      </c>
      <c r="G352" s="1349"/>
      <c r="H352" s="1358"/>
      <c r="I352" s="1350" t="s">
        <v>2789</v>
      </c>
    </row>
    <row r="353">
      <c r="A353" s="1351" t="s">
        <v>2400</v>
      </c>
      <c r="B353" s="1352" t="s">
        <v>2790</v>
      </c>
      <c r="C353" s="1353" t="s">
        <v>2463</v>
      </c>
      <c r="D353" s="1353">
        <v>1.68</v>
      </c>
      <c r="E353" s="1353">
        <v>1.95</v>
      </c>
      <c r="F353" s="1355" t="s">
        <v>2791</v>
      </c>
      <c r="G353" s="1356"/>
      <c r="H353" s="1359">
        <v>15.0</v>
      </c>
      <c r="I353" s="1357" t="s">
        <v>2792</v>
      </c>
    </row>
    <row r="354">
      <c r="A354" s="1344" t="s">
        <v>2400</v>
      </c>
      <c r="B354" s="1345" t="s">
        <v>694</v>
      </c>
      <c r="C354" s="1346" t="s">
        <v>2463</v>
      </c>
      <c r="D354" s="1346">
        <v>2.45</v>
      </c>
      <c r="E354" s="1347">
        <v>2.85</v>
      </c>
      <c r="F354" s="1348" t="s">
        <v>2793</v>
      </c>
      <c r="G354" s="1349"/>
      <c r="H354" s="1358"/>
      <c r="I354" s="1350" t="s">
        <v>2794</v>
      </c>
    </row>
    <row r="355">
      <c r="A355" s="1351" t="s">
        <v>2410</v>
      </c>
      <c r="B355" s="1352" t="s">
        <v>2795</v>
      </c>
      <c r="C355" s="1353" t="s">
        <v>1642</v>
      </c>
      <c r="D355" s="1353">
        <v>1.25</v>
      </c>
      <c r="E355" s="1354">
        <v>1.45</v>
      </c>
      <c r="F355" s="1355" t="s">
        <v>2796</v>
      </c>
      <c r="G355" s="1356"/>
      <c r="H355" s="1359">
        <v>15.0</v>
      </c>
      <c r="I355" s="1363"/>
    </row>
    <row r="356">
      <c r="A356" s="1344" t="s">
        <v>2383</v>
      </c>
      <c r="B356" s="1345" t="s">
        <v>2797</v>
      </c>
      <c r="C356" s="1346" t="s">
        <v>1495</v>
      </c>
      <c r="D356" s="1346">
        <v>2.58</v>
      </c>
      <c r="E356" s="1347">
        <v>3.0</v>
      </c>
      <c r="F356" s="1348" t="s">
        <v>2798</v>
      </c>
      <c r="G356" s="1349"/>
      <c r="H356" s="1358">
        <v>14.0</v>
      </c>
      <c r="I356" s="1350" t="s">
        <v>2799</v>
      </c>
    </row>
    <row r="357">
      <c r="A357" s="1351" t="s">
        <v>2439</v>
      </c>
      <c r="B357" s="1352" t="s">
        <v>697</v>
      </c>
      <c r="C357" s="1353" t="s">
        <v>1495</v>
      </c>
      <c r="D357" s="1353">
        <v>98.95</v>
      </c>
      <c r="E357" s="1354">
        <v>113.8</v>
      </c>
      <c r="F357" s="1355">
        <v>7.4071E9</v>
      </c>
      <c r="G357" s="1356"/>
      <c r="H357" s="1359"/>
      <c r="I357" s="1362"/>
    </row>
    <row r="358">
      <c r="A358" s="1344" t="s">
        <v>2393</v>
      </c>
      <c r="B358" s="1345" t="s">
        <v>2800</v>
      </c>
      <c r="C358" s="1346" t="s">
        <v>2463</v>
      </c>
      <c r="D358" s="1346">
        <v>2.69</v>
      </c>
      <c r="E358" s="1346">
        <v>3.1</v>
      </c>
      <c r="F358" s="1348" t="s">
        <v>2801</v>
      </c>
      <c r="G358" s="1349"/>
      <c r="H358" s="1358">
        <v>36.0</v>
      </c>
      <c r="I358" s="1350" t="s">
        <v>2802</v>
      </c>
    </row>
    <row r="359">
      <c r="A359" s="1351" t="s">
        <v>2393</v>
      </c>
      <c r="B359" s="1352" t="s">
        <v>699</v>
      </c>
      <c r="C359" s="1353" t="s">
        <v>2463</v>
      </c>
      <c r="D359" s="1353">
        <v>3.85</v>
      </c>
      <c r="E359" s="1354">
        <v>4.45</v>
      </c>
      <c r="F359" s="1355" t="s">
        <v>2803</v>
      </c>
      <c r="G359" s="1356"/>
      <c r="H359" s="1353"/>
      <c r="I359" s="1357" t="s">
        <v>2804</v>
      </c>
    </row>
    <row r="360">
      <c r="A360" s="1344" t="s">
        <v>2393</v>
      </c>
      <c r="B360" s="1345" t="s">
        <v>2805</v>
      </c>
      <c r="C360" s="1346" t="s">
        <v>2463</v>
      </c>
      <c r="D360" s="1346">
        <v>2.54</v>
      </c>
      <c r="E360" s="1347">
        <v>2.95</v>
      </c>
      <c r="F360" s="1348" t="s">
        <v>2806</v>
      </c>
      <c r="G360" s="1349"/>
      <c r="H360" s="1346">
        <v>3.0</v>
      </c>
      <c r="I360" s="1350" t="s">
        <v>2807</v>
      </c>
    </row>
    <row r="361">
      <c r="A361" s="1351" t="s">
        <v>17</v>
      </c>
      <c r="B361" s="1352" t="s">
        <v>225</v>
      </c>
      <c r="C361" s="1353" t="s">
        <v>1495</v>
      </c>
      <c r="D361" s="1353">
        <v>15.72</v>
      </c>
      <c r="E361" s="1354">
        <v>18.1</v>
      </c>
      <c r="F361" s="1355" t="s">
        <v>2808</v>
      </c>
      <c r="G361" s="1356"/>
      <c r="H361" s="1359">
        <v>45.0</v>
      </c>
      <c r="I361" s="1357" t="s">
        <v>2809</v>
      </c>
    </row>
    <row r="362">
      <c r="A362" s="1344" t="s">
        <v>17</v>
      </c>
      <c r="B362" s="1345" t="s">
        <v>227</v>
      </c>
      <c r="C362" s="1346" t="s">
        <v>1495</v>
      </c>
      <c r="D362" s="1346">
        <v>15.72</v>
      </c>
      <c r="E362" s="1347">
        <v>18.1</v>
      </c>
      <c r="F362" s="1348" t="s">
        <v>2810</v>
      </c>
      <c r="G362" s="1349"/>
      <c r="H362" s="1358">
        <v>61.0</v>
      </c>
      <c r="I362" s="1350" t="s">
        <v>2811</v>
      </c>
    </row>
    <row r="363">
      <c r="A363" s="1351" t="s">
        <v>2695</v>
      </c>
      <c r="B363" s="1352" t="s">
        <v>703</v>
      </c>
      <c r="C363" s="1353" t="s">
        <v>1495</v>
      </c>
      <c r="D363" s="1353">
        <v>1.0</v>
      </c>
      <c r="E363" s="1354">
        <v>1.15</v>
      </c>
      <c r="F363" s="1355">
        <v>7.31815429E9</v>
      </c>
      <c r="G363" s="1356"/>
      <c r="H363" s="1353"/>
      <c r="I363" s="1362"/>
    </row>
    <row r="364">
      <c r="A364" s="1344" t="s">
        <v>2695</v>
      </c>
      <c r="B364" s="1345" t="s">
        <v>704</v>
      </c>
      <c r="C364" s="1346" t="s">
        <v>1495</v>
      </c>
      <c r="D364" s="1346">
        <v>1.34</v>
      </c>
      <c r="E364" s="1346">
        <v>1.55</v>
      </c>
      <c r="F364" s="1348">
        <v>7.3181548E9</v>
      </c>
      <c r="G364" s="1349"/>
      <c r="H364" s="1346"/>
      <c r="I364" s="1360"/>
    </row>
    <row r="365">
      <c r="A365" s="1351" t="s">
        <v>2271</v>
      </c>
      <c r="B365" s="1352" t="s">
        <v>2812</v>
      </c>
      <c r="C365" s="1353" t="s">
        <v>1495</v>
      </c>
      <c r="D365" s="1353">
        <v>0.2</v>
      </c>
      <c r="E365" s="1354">
        <v>0.25</v>
      </c>
      <c r="F365" s="1355"/>
      <c r="G365" s="1356"/>
      <c r="H365" s="1359">
        <v>4.0</v>
      </c>
      <c r="I365" s="1363"/>
    </row>
    <row r="366">
      <c r="A366" s="1344" t="s">
        <v>2400</v>
      </c>
      <c r="B366" s="1345" t="s">
        <v>706</v>
      </c>
      <c r="C366" s="1346" t="s">
        <v>2463</v>
      </c>
      <c r="D366" s="1346">
        <v>1.0</v>
      </c>
      <c r="E366" s="1346">
        <v>1.15</v>
      </c>
      <c r="F366" s="1348" t="s">
        <v>2813</v>
      </c>
      <c r="G366" s="1349"/>
      <c r="H366" s="1358"/>
      <c r="I366" s="1350" t="s">
        <v>2814</v>
      </c>
    </row>
    <row r="367">
      <c r="A367" s="1351" t="s">
        <v>2400</v>
      </c>
      <c r="B367" s="1352" t="s">
        <v>2815</v>
      </c>
      <c r="C367" s="1353" t="s">
        <v>2463</v>
      </c>
      <c r="D367" s="1353">
        <v>1.52</v>
      </c>
      <c r="E367" s="1354">
        <v>1.75</v>
      </c>
      <c r="F367" s="1355" t="s">
        <v>2816</v>
      </c>
      <c r="G367" s="1356"/>
      <c r="H367" s="1353">
        <v>10.0</v>
      </c>
      <c r="I367" s="1357" t="s">
        <v>2817</v>
      </c>
    </row>
    <row r="368">
      <c r="A368" s="1344" t="s">
        <v>2400</v>
      </c>
      <c r="B368" s="1345" t="s">
        <v>708</v>
      </c>
      <c r="C368" s="1346" t="s">
        <v>2463</v>
      </c>
      <c r="D368" s="1346">
        <v>4.85</v>
      </c>
      <c r="E368" s="1347">
        <v>5.6</v>
      </c>
      <c r="F368" s="1348" t="s">
        <v>2818</v>
      </c>
      <c r="G368" s="1349"/>
      <c r="H368" s="1358"/>
      <c r="I368" s="1350" t="s">
        <v>2819</v>
      </c>
    </row>
    <row r="369">
      <c r="A369" s="1351" t="s">
        <v>2400</v>
      </c>
      <c r="B369" s="1352" t="s">
        <v>709</v>
      </c>
      <c r="C369" s="1353" t="s">
        <v>2463</v>
      </c>
      <c r="D369" s="1353">
        <v>9.85</v>
      </c>
      <c r="E369" s="1354">
        <v>11.35</v>
      </c>
      <c r="F369" s="1355" t="s">
        <v>2820</v>
      </c>
      <c r="G369" s="1356"/>
      <c r="H369" s="1359"/>
      <c r="I369" s="1357" t="s">
        <v>2821</v>
      </c>
    </row>
    <row r="370">
      <c r="A370" s="1344" t="s">
        <v>2400</v>
      </c>
      <c r="B370" s="1345" t="s">
        <v>2822</v>
      </c>
      <c r="C370" s="1346" t="s">
        <v>2463</v>
      </c>
      <c r="D370" s="1346">
        <v>9.33</v>
      </c>
      <c r="E370" s="1346">
        <v>10.75</v>
      </c>
      <c r="F370" s="1348" t="s">
        <v>2823</v>
      </c>
      <c r="G370" s="1349"/>
      <c r="H370" s="1346">
        <v>2.0</v>
      </c>
      <c r="I370" s="1350" t="s">
        <v>2824</v>
      </c>
    </row>
    <row r="371">
      <c r="A371" s="1351" t="s">
        <v>2400</v>
      </c>
      <c r="B371" s="1352" t="s">
        <v>2825</v>
      </c>
      <c r="C371" s="1353" t="s">
        <v>2463</v>
      </c>
      <c r="D371" s="1353">
        <v>2.27</v>
      </c>
      <c r="E371" s="1353">
        <v>2.65</v>
      </c>
      <c r="F371" s="1355" t="s">
        <v>2826</v>
      </c>
      <c r="G371" s="1356"/>
      <c r="H371" s="1353">
        <v>15.0</v>
      </c>
      <c r="I371" s="1357" t="s">
        <v>2827</v>
      </c>
    </row>
    <row r="372">
      <c r="A372" s="1344" t="s">
        <v>2400</v>
      </c>
      <c r="B372" s="1345" t="s">
        <v>2828</v>
      </c>
      <c r="C372" s="1346" t="s">
        <v>2463</v>
      </c>
      <c r="D372" s="1346">
        <v>4.26</v>
      </c>
      <c r="E372" s="1347">
        <v>4.9</v>
      </c>
      <c r="F372" s="1348" t="s">
        <v>2829</v>
      </c>
      <c r="G372" s="1349"/>
      <c r="H372" s="1346">
        <v>27.0</v>
      </c>
      <c r="I372" s="1350" t="s">
        <v>2830</v>
      </c>
    </row>
    <row r="373">
      <c r="A373" s="1351" t="s">
        <v>2410</v>
      </c>
      <c r="B373" s="1352" t="s">
        <v>2831</v>
      </c>
      <c r="C373" s="1353" t="s">
        <v>1495</v>
      </c>
      <c r="D373" s="1353">
        <v>0.05</v>
      </c>
      <c r="E373" s="1354">
        <v>0.1</v>
      </c>
      <c r="F373" s="1355" t="s">
        <v>2832</v>
      </c>
      <c r="G373" s="1356"/>
      <c r="H373" s="1353">
        <v>95.0</v>
      </c>
      <c r="I373" s="1362"/>
    </row>
    <row r="374">
      <c r="A374" s="1344" t="s">
        <v>2410</v>
      </c>
      <c r="B374" s="1345" t="s">
        <v>2833</v>
      </c>
      <c r="C374" s="1346" t="s">
        <v>1495</v>
      </c>
      <c r="D374" s="1346">
        <v>0.1</v>
      </c>
      <c r="E374" s="1347">
        <v>0.15</v>
      </c>
      <c r="F374" s="1348">
        <v>51025.0</v>
      </c>
      <c r="G374" s="1349"/>
      <c r="H374" s="1358">
        <v>35.0</v>
      </c>
      <c r="I374" s="1350" t="s">
        <v>2834</v>
      </c>
    </row>
    <row r="375">
      <c r="A375" s="1351" t="s">
        <v>2410</v>
      </c>
      <c r="B375" s="1352" t="s">
        <v>2835</v>
      </c>
      <c r="C375" s="1353" t="s">
        <v>1495</v>
      </c>
      <c r="D375" s="1353">
        <v>0.1</v>
      </c>
      <c r="E375" s="1354">
        <v>0.15</v>
      </c>
      <c r="F375" s="1355">
        <v>51032.0</v>
      </c>
      <c r="G375" s="1356"/>
      <c r="H375" s="1359">
        <v>1364.0</v>
      </c>
      <c r="I375" s="1357" t="s">
        <v>2836</v>
      </c>
    </row>
    <row r="376">
      <c r="A376" s="1344" t="s">
        <v>2410</v>
      </c>
      <c r="B376" s="1345" t="s">
        <v>716</v>
      </c>
      <c r="C376" s="1346" t="s">
        <v>1642</v>
      </c>
      <c r="D376" s="1346">
        <v>0.18</v>
      </c>
      <c r="E376" s="1347">
        <v>0.25</v>
      </c>
      <c r="F376" s="1348">
        <v>71716.0</v>
      </c>
      <c r="G376" s="1349"/>
      <c r="H376" s="1358"/>
      <c r="I376" s="1350" t="s">
        <v>2837</v>
      </c>
    </row>
    <row r="377">
      <c r="A377" s="1351" t="s">
        <v>2410</v>
      </c>
      <c r="B377" s="1352" t="s">
        <v>2838</v>
      </c>
      <c r="C377" s="1353" t="s">
        <v>1642</v>
      </c>
      <c r="D377" s="1353">
        <v>0.32</v>
      </c>
      <c r="E377" s="1354">
        <v>0.4</v>
      </c>
      <c r="F377" s="1355">
        <v>71725.0</v>
      </c>
      <c r="G377" s="1356"/>
      <c r="H377" s="1359">
        <v>200.0</v>
      </c>
      <c r="I377" s="1357" t="s">
        <v>2839</v>
      </c>
    </row>
    <row r="378">
      <c r="A378" s="1344" t="s">
        <v>2410</v>
      </c>
      <c r="B378" s="1345" t="s">
        <v>258</v>
      </c>
      <c r="C378" s="1346" t="s">
        <v>1642</v>
      </c>
      <c r="D378" s="1346">
        <v>0.44</v>
      </c>
      <c r="E378" s="1347">
        <v>0.55</v>
      </c>
      <c r="F378" s="1348">
        <v>71732.0</v>
      </c>
      <c r="G378" s="1349"/>
      <c r="H378" s="1358">
        <v>775.0</v>
      </c>
      <c r="I378" s="1350" t="s">
        <v>2840</v>
      </c>
    </row>
    <row r="379">
      <c r="A379" s="1351" t="s">
        <v>2410</v>
      </c>
      <c r="B379" s="1352" t="s">
        <v>2841</v>
      </c>
      <c r="C379" s="1353" t="s">
        <v>1642</v>
      </c>
      <c r="D379" s="1353">
        <v>0.65</v>
      </c>
      <c r="E379" s="1354">
        <v>0.75</v>
      </c>
      <c r="F379" s="1355">
        <v>71740.0</v>
      </c>
      <c r="G379" s="1356"/>
      <c r="H379" s="1353">
        <v>60.0</v>
      </c>
      <c r="I379" s="1357" t="s">
        <v>2842</v>
      </c>
    </row>
    <row r="380">
      <c r="A380" s="1344" t="s">
        <v>2410</v>
      </c>
      <c r="B380" s="1345" t="s">
        <v>720</v>
      </c>
      <c r="C380" s="1346" t="s">
        <v>1642</v>
      </c>
      <c r="D380" s="1346"/>
      <c r="E380" s="1346"/>
      <c r="F380" s="1348">
        <v>71750.0</v>
      </c>
      <c r="G380" s="1349"/>
      <c r="H380" s="1358"/>
      <c r="I380" s="1360"/>
    </row>
    <row r="381">
      <c r="A381" s="1351" t="s">
        <v>2393</v>
      </c>
      <c r="B381" s="1352" t="s">
        <v>721</v>
      </c>
      <c r="C381" s="1353" t="s">
        <v>1495</v>
      </c>
      <c r="D381" s="1353">
        <v>0.72</v>
      </c>
      <c r="E381" s="1353">
        <v>0.85</v>
      </c>
      <c r="F381" s="1355">
        <v>4.001002000121E12</v>
      </c>
      <c r="G381" s="1356"/>
      <c r="H381" s="1359"/>
      <c r="I381" s="1357" t="s">
        <v>2843</v>
      </c>
    </row>
    <row r="382">
      <c r="A382" s="1344" t="s">
        <v>2366</v>
      </c>
      <c r="B382" s="1345" t="s">
        <v>722</v>
      </c>
      <c r="C382" s="1346" t="s">
        <v>1495</v>
      </c>
      <c r="D382" s="1346">
        <v>0.95</v>
      </c>
      <c r="E382" s="1347">
        <v>1.1</v>
      </c>
      <c r="F382" s="1348" t="s">
        <v>2844</v>
      </c>
      <c r="G382" s="1349"/>
      <c r="H382" s="1358"/>
      <c r="I382" s="1350" t="s">
        <v>2845</v>
      </c>
    </row>
    <row r="383">
      <c r="A383" s="1351" t="s">
        <v>2366</v>
      </c>
      <c r="B383" s="1352" t="s">
        <v>2846</v>
      </c>
      <c r="C383" s="1353" t="s">
        <v>1495</v>
      </c>
      <c r="D383" s="1353">
        <v>1.54</v>
      </c>
      <c r="E383" s="1354">
        <v>1.8</v>
      </c>
      <c r="F383" s="1355" t="s">
        <v>2847</v>
      </c>
      <c r="G383" s="1356"/>
      <c r="H383" s="1359">
        <v>4.0</v>
      </c>
      <c r="I383" s="1357" t="s">
        <v>2848</v>
      </c>
    </row>
    <row r="384">
      <c r="A384" s="1344" t="s">
        <v>2366</v>
      </c>
      <c r="B384" s="1345" t="s">
        <v>2849</v>
      </c>
      <c r="C384" s="1346" t="s">
        <v>1495</v>
      </c>
      <c r="D384" s="1346">
        <v>1.4</v>
      </c>
      <c r="E384" s="1347">
        <v>1.65</v>
      </c>
      <c r="F384" s="1348" t="s">
        <v>2850</v>
      </c>
      <c r="G384" s="1349"/>
      <c r="H384" s="1346">
        <v>2.0</v>
      </c>
      <c r="I384" s="1350" t="s">
        <v>2851</v>
      </c>
    </row>
    <row r="385">
      <c r="A385" s="1351" t="s">
        <v>2366</v>
      </c>
      <c r="B385" s="1352" t="s">
        <v>725</v>
      </c>
      <c r="C385" s="1353" t="s">
        <v>1495</v>
      </c>
      <c r="D385" s="1353">
        <v>0.05</v>
      </c>
      <c r="E385" s="1354">
        <v>0.1</v>
      </c>
      <c r="F385" s="1355" t="s">
        <v>2852</v>
      </c>
      <c r="G385" s="1356"/>
      <c r="H385" s="1353"/>
      <c r="I385" s="1357" t="s">
        <v>2853</v>
      </c>
    </row>
    <row r="386">
      <c r="A386" s="1344" t="s">
        <v>2366</v>
      </c>
      <c r="B386" s="1345" t="s">
        <v>726</v>
      </c>
      <c r="C386" s="1346" t="s">
        <v>1495</v>
      </c>
      <c r="D386" s="1346">
        <v>3.85</v>
      </c>
      <c r="E386" s="1346">
        <v>4.45</v>
      </c>
      <c r="F386" s="1348" t="s">
        <v>2854</v>
      </c>
      <c r="G386" s="1349"/>
      <c r="H386" s="1358"/>
      <c r="I386" s="1350" t="s">
        <v>2855</v>
      </c>
    </row>
    <row r="387">
      <c r="A387" s="1351" t="s">
        <v>314</v>
      </c>
      <c r="B387" s="1352" t="s">
        <v>727</v>
      </c>
      <c r="C387" s="1353" t="s">
        <v>1495</v>
      </c>
      <c r="D387" s="1353">
        <v>6.3</v>
      </c>
      <c r="E387" s="1353">
        <v>7.25</v>
      </c>
      <c r="F387" s="1355">
        <v>3.21410109E9</v>
      </c>
      <c r="G387" s="1356"/>
      <c r="H387" s="1359"/>
      <c r="I387" s="1362"/>
    </row>
    <row r="388">
      <c r="A388" s="1344" t="s">
        <v>2393</v>
      </c>
      <c r="B388" s="1345" t="s">
        <v>728</v>
      </c>
      <c r="C388" s="1346" t="s">
        <v>2463</v>
      </c>
      <c r="D388" s="1346">
        <v>0.05</v>
      </c>
      <c r="E388" s="1347">
        <v>0.1</v>
      </c>
      <c r="F388" s="1348">
        <v>25214.0</v>
      </c>
      <c r="G388" s="1349"/>
      <c r="H388" s="1358"/>
      <c r="I388" s="1350" t="s">
        <v>2856</v>
      </c>
    </row>
    <row r="389">
      <c r="A389" s="1351" t="s">
        <v>2393</v>
      </c>
      <c r="B389" s="1352" t="s">
        <v>729</v>
      </c>
      <c r="C389" s="1353" t="s">
        <v>2463</v>
      </c>
      <c r="D389" s="1353">
        <v>1.0</v>
      </c>
      <c r="E389" s="1353">
        <v>1.15</v>
      </c>
      <c r="F389" s="1355">
        <v>25310.0</v>
      </c>
      <c r="G389" s="1356"/>
      <c r="H389" s="1353"/>
      <c r="I389" s="1357" t="s">
        <v>2857</v>
      </c>
    </row>
    <row r="390">
      <c r="A390" s="1344" t="s">
        <v>2393</v>
      </c>
      <c r="B390" s="1345" t="s">
        <v>730</v>
      </c>
      <c r="C390" s="1346" t="s">
        <v>2463</v>
      </c>
      <c r="D390" s="1346">
        <v>6.19</v>
      </c>
      <c r="E390" s="1346">
        <v>7.15</v>
      </c>
      <c r="F390" s="1348"/>
      <c r="G390" s="1349"/>
      <c r="H390" s="1358"/>
      <c r="I390" s="1361"/>
    </row>
    <row r="391">
      <c r="A391" s="1351" t="s">
        <v>2393</v>
      </c>
      <c r="B391" s="1352" t="s">
        <v>731</v>
      </c>
      <c r="C391" s="1353" t="s">
        <v>2463</v>
      </c>
      <c r="D391" s="1353">
        <v>7.61</v>
      </c>
      <c r="E391" s="1354">
        <v>8.8</v>
      </c>
      <c r="F391" s="1355">
        <v>25317.0</v>
      </c>
      <c r="G391" s="1356"/>
      <c r="H391" s="1353"/>
      <c r="I391" s="1357" t="s">
        <v>2858</v>
      </c>
    </row>
    <row r="392">
      <c r="A392" s="1344" t="s">
        <v>2383</v>
      </c>
      <c r="B392" s="1345" t="s">
        <v>2859</v>
      </c>
      <c r="C392" s="1346" t="s">
        <v>1495</v>
      </c>
      <c r="D392" s="1346">
        <v>2.96</v>
      </c>
      <c r="E392" s="1347">
        <v>3.45</v>
      </c>
      <c r="F392" s="1348" t="s">
        <v>2860</v>
      </c>
      <c r="G392" s="1349"/>
      <c r="H392" s="1346">
        <v>23.0</v>
      </c>
      <c r="I392" s="1350" t="s">
        <v>2861</v>
      </c>
    </row>
    <row r="393">
      <c r="A393" s="1351" t="s">
        <v>2383</v>
      </c>
      <c r="B393" s="1352" t="s">
        <v>2862</v>
      </c>
      <c r="C393" s="1353" t="s">
        <v>1495</v>
      </c>
      <c r="D393" s="1353">
        <v>5.0</v>
      </c>
      <c r="E393" s="1354">
        <v>5.75</v>
      </c>
      <c r="F393" s="1355" t="s">
        <v>2863</v>
      </c>
      <c r="G393" s="1356"/>
      <c r="H393" s="1359">
        <v>1.0</v>
      </c>
      <c r="I393" s="1362"/>
    </row>
    <row r="394">
      <c r="A394" s="1344" t="s">
        <v>2383</v>
      </c>
      <c r="B394" s="1345" t="s">
        <v>2864</v>
      </c>
      <c r="C394" s="1346" t="s">
        <v>1495</v>
      </c>
      <c r="D394" s="1346">
        <v>4.05</v>
      </c>
      <c r="E394" s="1347">
        <v>4.7</v>
      </c>
      <c r="F394" s="1348">
        <v>1102300.0</v>
      </c>
      <c r="G394" s="1349"/>
      <c r="H394" s="1358">
        <v>109.0</v>
      </c>
      <c r="I394" s="1350" t="s">
        <v>2865</v>
      </c>
    </row>
    <row r="395">
      <c r="A395" s="1351" t="s">
        <v>2439</v>
      </c>
      <c r="B395" s="1352" t="s">
        <v>2866</v>
      </c>
      <c r="C395" s="1353" t="s">
        <v>1642</v>
      </c>
      <c r="D395" s="1353">
        <v>26.61</v>
      </c>
      <c r="E395" s="1354">
        <v>30.65</v>
      </c>
      <c r="F395" s="1355" t="s">
        <v>2867</v>
      </c>
      <c r="G395" s="1356"/>
      <c r="H395" s="1353">
        <v>7.15</v>
      </c>
      <c r="I395" s="1362"/>
    </row>
    <row r="396">
      <c r="A396" s="1344" t="s">
        <v>2439</v>
      </c>
      <c r="B396" s="1345" t="s">
        <v>2868</v>
      </c>
      <c r="C396" s="1346" t="s">
        <v>1642</v>
      </c>
      <c r="D396" s="1346">
        <v>31.94</v>
      </c>
      <c r="E396" s="1347">
        <v>36.75</v>
      </c>
      <c r="F396" s="1348" t="s">
        <v>2869</v>
      </c>
      <c r="G396" s="1349"/>
      <c r="H396" s="1358">
        <v>3.85</v>
      </c>
      <c r="I396" s="1360"/>
    </row>
    <row r="397">
      <c r="A397" s="1351" t="s">
        <v>2439</v>
      </c>
      <c r="B397" s="1352" t="s">
        <v>737</v>
      </c>
      <c r="C397" s="1353" t="s">
        <v>1495</v>
      </c>
      <c r="D397" s="1353">
        <v>4.8</v>
      </c>
      <c r="E397" s="1354">
        <v>5.55</v>
      </c>
      <c r="F397" s="1355" t="s">
        <v>2870</v>
      </c>
      <c r="G397" s="1356"/>
      <c r="H397" s="1359"/>
      <c r="I397" s="1357" t="s">
        <v>2871</v>
      </c>
    </row>
    <row r="398">
      <c r="A398" s="1344" t="s">
        <v>146</v>
      </c>
      <c r="B398" s="1345" t="s">
        <v>2872</v>
      </c>
      <c r="C398" s="1346" t="s">
        <v>1495</v>
      </c>
      <c r="D398" s="1346">
        <v>13.31</v>
      </c>
      <c r="E398" s="1347">
        <v>20.0</v>
      </c>
      <c r="F398" s="1348" t="s">
        <v>2873</v>
      </c>
      <c r="G398" s="1349">
        <v>2.0</v>
      </c>
      <c r="H398" s="1346">
        <v>128.0</v>
      </c>
      <c r="I398" s="1350" t="s">
        <v>2874</v>
      </c>
    </row>
    <row r="399">
      <c r="A399" s="1351" t="s">
        <v>146</v>
      </c>
      <c r="B399" s="1352" t="s">
        <v>150</v>
      </c>
      <c r="C399" s="1353" t="s">
        <v>1495</v>
      </c>
      <c r="D399" s="1353">
        <v>14.63</v>
      </c>
      <c r="E399" s="1353">
        <v>21.95</v>
      </c>
      <c r="F399" s="1355" t="s">
        <v>2875</v>
      </c>
      <c r="G399" s="1356">
        <v>3.0</v>
      </c>
      <c r="H399" s="1353">
        <v>45.0</v>
      </c>
      <c r="I399" s="1357" t="s">
        <v>2876</v>
      </c>
    </row>
    <row r="400">
      <c r="A400" s="1344" t="s">
        <v>146</v>
      </c>
      <c r="B400" s="1345" t="s">
        <v>2877</v>
      </c>
      <c r="C400" s="1346" t="s">
        <v>1495</v>
      </c>
      <c r="D400" s="1346">
        <v>14.88</v>
      </c>
      <c r="E400" s="1346">
        <v>17.15</v>
      </c>
      <c r="F400" s="1348" t="s">
        <v>2878</v>
      </c>
      <c r="G400" s="1349">
        <v>1.0</v>
      </c>
      <c r="H400" s="1358">
        <v>15.0</v>
      </c>
      <c r="I400" s="1350" t="s">
        <v>2879</v>
      </c>
    </row>
    <row r="401">
      <c r="A401" s="1351" t="s">
        <v>146</v>
      </c>
      <c r="B401" s="1352" t="s">
        <v>741</v>
      </c>
      <c r="C401" s="1353" t="s">
        <v>1495</v>
      </c>
      <c r="D401" s="1353">
        <v>9.3</v>
      </c>
      <c r="E401" s="1353">
        <v>10.7</v>
      </c>
      <c r="F401" s="1355" t="s">
        <v>2880</v>
      </c>
      <c r="G401" s="1356">
        <v>1.0</v>
      </c>
      <c r="H401" s="1359"/>
      <c r="I401" s="1357" t="s">
        <v>2881</v>
      </c>
    </row>
    <row r="402">
      <c r="A402" s="1344" t="s">
        <v>2383</v>
      </c>
      <c r="B402" s="1345" t="s">
        <v>2882</v>
      </c>
      <c r="C402" s="1346" t="s">
        <v>1495</v>
      </c>
      <c r="D402" s="1346">
        <v>0.5</v>
      </c>
      <c r="E402" s="1346">
        <v>0.6</v>
      </c>
      <c r="F402" s="1348" t="s">
        <v>2883</v>
      </c>
      <c r="G402" s="1349"/>
      <c r="H402" s="1358">
        <v>4.0</v>
      </c>
      <c r="I402" s="1361"/>
    </row>
    <row r="403">
      <c r="A403" s="1351" t="s">
        <v>2271</v>
      </c>
      <c r="B403" s="1352" t="s">
        <v>2884</v>
      </c>
      <c r="C403" s="1353" t="s">
        <v>1495</v>
      </c>
      <c r="D403" s="1353">
        <v>0.25</v>
      </c>
      <c r="E403" s="1353">
        <v>0.3</v>
      </c>
      <c r="F403" s="1355"/>
      <c r="G403" s="1356"/>
      <c r="H403" s="1359">
        <v>4.0</v>
      </c>
      <c r="I403" s="1357" t="s">
        <v>2885</v>
      </c>
    </row>
    <row r="404">
      <c r="A404" s="1344" t="s">
        <v>327</v>
      </c>
      <c r="B404" s="1345" t="s">
        <v>744</v>
      </c>
      <c r="C404" s="1346" t="s">
        <v>1495</v>
      </c>
      <c r="D404" s="1346">
        <v>13.15</v>
      </c>
      <c r="E404" s="1346">
        <v>15.15</v>
      </c>
      <c r="F404" s="1348"/>
      <c r="G404" s="1349"/>
      <c r="H404" s="1358"/>
      <c r="I404" s="1350" t="s">
        <v>2886</v>
      </c>
    </row>
    <row r="405">
      <c r="A405" s="1351" t="s">
        <v>2170</v>
      </c>
      <c r="B405" s="1352" t="s">
        <v>2887</v>
      </c>
      <c r="C405" s="1353" t="s">
        <v>1495</v>
      </c>
      <c r="D405" s="1353">
        <v>29.1</v>
      </c>
      <c r="E405" s="1354">
        <v>33.5</v>
      </c>
      <c r="F405" s="1355" t="s">
        <v>2888</v>
      </c>
      <c r="G405" s="1356"/>
      <c r="H405" s="1359">
        <v>4.0</v>
      </c>
      <c r="I405" s="1357" t="s">
        <v>2889</v>
      </c>
    </row>
    <row r="406">
      <c r="A406" s="1344" t="s">
        <v>2587</v>
      </c>
      <c r="B406" s="1345" t="s">
        <v>2890</v>
      </c>
      <c r="C406" s="1346" t="s">
        <v>1642</v>
      </c>
      <c r="D406" s="1346">
        <v>6.71</v>
      </c>
      <c r="E406" s="1347">
        <v>8.1</v>
      </c>
      <c r="F406" s="1348" t="s">
        <v>2891</v>
      </c>
      <c r="G406" s="1349"/>
      <c r="H406" s="1358">
        <v>82.0</v>
      </c>
      <c r="I406" s="1350" t="s">
        <v>2892</v>
      </c>
    </row>
    <row r="407">
      <c r="A407" s="1351" t="s">
        <v>2587</v>
      </c>
      <c r="B407" s="1352" t="s">
        <v>2893</v>
      </c>
      <c r="C407" s="1353" t="s">
        <v>1495</v>
      </c>
      <c r="D407" s="1353">
        <v>2.0</v>
      </c>
      <c r="E407" s="1354">
        <v>2.3</v>
      </c>
      <c r="F407" s="1355" t="s">
        <v>2894</v>
      </c>
      <c r="G407" s="1356"/>
      <c r="H407" s="1359">
        <v>29.0</v>
      </c>
      <c r="I407" s="1357" t="s">
        <v>2895</v>
      </c>
    </row>
    <row r="408">
      <c r="A408" s="1344" t="s">
        <v>2587</v>
      </c>
      <c r="B408" s="1345" t="s">
        <v>2896</v>
      </c>
      <c r="C408" s="1346" t="s">
        <v>1495</v>
      </c>
      <c r="D408" s="1346">
        <v>3.55</v>
      </c>
      <c r="E408" s="1347">
        <v>4.3</v>
      </c>
      <c r="F408" s="1348" t="s">
        <v>2897</v>
      </c>
      <c r="G408" s="1349"/>
      <c r="H408" s="1346">
        <v>20.0</v>
      </c>
      <c r="I408" s="1350" t="s">
        <v>2898</v>
      </c>
    </row>
    <row r="409">
      <c r="A409" s="1351" t="s">
        <v>2587</v>
      </c>
      <c r="B409" s="1352" t="s">
        <v>2899</v>
      </c>
      <c r="C409" s="1353" t="s">
        <v>1495</v>
      </c>
      <c r="D409" s="1353">
        <v>4.1</v>
      </c>
      <c r="E409" s="1354">
        <v>4.95</v>
      </c>
      <c r="F409" s="1355" t="s">
        <v>2900</v>
      </c>
      <c r="G409" s="1356"/>
      <c r="H409" s="1353">
        <v>19.0</v>
      </c>
      <c r="I409" s="1357" t="s">
        <v>2901</v>
      </c>
    </row>
    <row r="410">
      <c r="A410" s="1344" t="s">
        <v>2587</v>
      </c>
      <c r="B410" s="1345" t="s">
        <v>2902</v>
      </c>
      <c r="C410" s="1346" t="s">
        <v>1495</v>
      </c>
      <c r="D410" s="1346">
        <v>4.5</v>
      </c>
      <c r="E410" s="1347">
        <v>5.4</v>
      </c>
      <c r="F410" s="1348" t="s">
        <v>2903</v>
      </c>
      <c r="G410" s="1349"/>
      <c r="H410" s="1358">
        <v>33.0</v>
      </c>
      <c r="I410" s="1350" t="s">
        <v>2904</v>
      </c>
    </row>
    <row r="411">
      <c r="A411" s="1351" t="s">
        <v>2587</v>
      </c>
      <c r="B411" s="1352" t="s">
        <v>2905</v>
      </c>
      <c r="C411" s="1353" t="s">
        <v>1495</v>
      </c>
      <c r="D411" s="1353">
        <v>2.1</v>
      </c>
      <c r="E411" s="1354">
        <v>2.55</v>
      </c>
      <c r="F411" s="1355" t="s">
        <v>2906</v>
      </c>
      <c r="G411" s="1356"/>
      <c r="H411" s="1359">
        <v>1.0</v>
      </c>
      <c r="I411" s="1357" t="s">
        <v>2907</v>
      </c>
    </row>
    <row r="412">
      <c r="A412" s="1344" t="s">
        <v>2383</v>
      </c>
      <c r="B412" s="1345" t="s">
        <v>268</v>
      </c>
      <c r="C412" s="1346" t="s">
        <v>1495</v>
      </c>
      <c r="D412" s="1346">
        <v>2.5</v>
      </c>
      <c r="E412" s="1347">
        <v>2.9</v>
      </c>
      <c r="F412" s="1348" t="s">
        <v>2908</v>
      </c>
      <c r="G412" s="1349"/>
      <c r="H412" s="1358"/>
      <c r="I412" s="1350" t="s">
        <v>2909</v>
      </c>
    </row>
    <row r="413">
      <c r="A413" s="1351" t="s">
        <v>2593</v>
      </c>
      <c r="B413" s="1352" t="s">
        <v>752</v>
      </c>
      <c r="C413" s="1353" t="s">
        <v>1495</v>
      </c>
      <c r="D413" s="1353">
        <v>4.2</v>
      </c>
      <c r="E413" s="1353">
        <v>4.85</v>
      </c>
      <c r="F413" s="1355"/>
      <c r="G413" s="1356"/>
      <c r="H413" s="1359"/>
      <c r="I413" s="1362"/>
    </row>
    <row r="414">
      <c r="A414" s="1344" t="s">
        <v>2593</v>
      </c>
      <c r="B414" s="1345" t="s">
        <v>256</v>
      </c>
      <c r="C414" s="1346" t="s">
        <v>1495</v>
      </c>
      <c r="D414" s="1346">
        <v>0.55</v>
      </c>
      <c r="E414" s="1347">
        <v>0.65</v>
      </c>
      <c r="F414" s="1348"/>
      <c r="G414" s="1349"/>
      <c r="H414" s="1358">
        <v>1515.0</v>
      </c>
      <c r="I414" s="1350" t="s">
        <v>2910</v>
      </c>
    </row>
    <row r="415">
      <c r="A415" s="1351" t="s">
        <v>2593</v>
      </c>
      <c r="B415" s="1352" t="s">
        <v>754</v>
      </c>
      <c r="C415" s="1353" t="s">
        <v>1495</v>
      </c>
      <c r="D415" s="1353">
        <v>0.5</v>
      </c>
      <c r="E415" s="1354">
        <v>0.6</v>
      </c>
      <c r="F415" s="1355"/>
      <c r="G415" s="1356"/>
      <c r="H415" s="1353"/>
      <c r="I415" s="1362"/>
    </row>
    <row r="416">
      <c r="A416" s="1344" t="s">
        <v>2393</v>
      </c>
      <c r="B416" s="1345" t="s">
        <v>2911</v>
      </c>
      <c r="C416" s="1346" t="s">
        <v>1495</v>
      </c>
      <c r="D416" s="1346">
        <v>0.3</v>
      </c>
      <c r="E416" s="1346">
        <v>0.35</v>
      </c>
      <c r="F416" s="1348" t="s">
        <v>2912</v>
      </c>
      <c r="G416" s="1349"/>
      <c r="H416" s="1346">
        <v>50.0</v>
      </c>
      <c r="I416" s="1350" t="s">
        <v>2913</v>
      </c>
    </row>
    <row r="417">
      <c r="A417" s="1351" t="s">
        <v>2393</v>
      </c>
      <c r="B417" s="1352" t="s">
        <v>2914</v>
      </c>
      <c r="C417" s="1353" t="s">
        <v>1495</v>
      </c>
      <c r="D417" s="1353">
        <v>0.4</v>
      </c>
      <c r="E417" s="1353">
        <v>0.5</v>
      </c>
      <c r="F417" s="1355" t="s">
        <v>2915</v>
      </c>
      <c r="G417" s="1356"/>
      <c r="H417" s="1353">
        <v>54.0</v>
      </c>
      <c r="I417" s="1357" t="s">
        <v>2916</v>
      </c>
    </row>
    <row r="418">
      <c r="A418" s="1344" t="s">
        <v>2341</v>
      </c>
      <c r="B418" s="1345" t="s">
        <v>757</v>
      </c>
      <c r="C418" s="1346" t="s">
        <v>1495</v>
      </c>
      <c r="D418" s="1346"/>
      <c r="E418" s="1346"/>
      <c r="F418" s="1348">
        <v>4123100.0</v>
      </c>
      <c r="G418" s="1349"/>
      <c r="H418" s="1346"/>
      <c r="I418" s="1350" t="s">
        <v>2917</v>
      </c>
    </row>
    <row r="419">
      <c r="A419" s="1351" t="s">
        <v>2341</v>
      </c>
      <c r="B419" s="1352" t="s">
        <v>758</v>
      </c>
      <c r="C419" s="1353" t="s">
        <v>1495</v>
      </c>
      <c r="D419" s="1353"/>
      <c r="E419" s="1354"/>
      <c r="F419" s="1355">
        <v>4123200.0</v>
      </c>
      <c r="G419" s="1356"/>
      <c r="H419" s="1353"/>
      <c r="I419" s="1357" t="s">
        <v>2918</v>
      </c>
    </row>
    <row r="420">
      <c r="A420" s="1344" t="s">
        <v>16</v>
      </c>
      <c r="B420" s="1345" t="s">
        <v>2919</v>
      </c>
      <c r="C420" s="1346" t="s">
        <v>1495</v>
      </c>
      <c r="D420" s="1346">
        <v>11.21</v>
      </c>
      <c r="E420" s="1347">
        <v>12.9</v>
      </c>
      <c r="F420" s="1348">
        <v>4121400.0</v>
      </c>
      <c r="G420" s="1364">
        <v>45780.0</v>
      </c>
      <c r="H420" s="1346">
        <v>22.0</v>
      </c>
      <c r="I420" s="1350" t="s">
        <v>2920</v>
      </c>
    </row>
    <row r="421">
      <c r="A421" s="1351" t="s">
        <v>16</v>
      </c>
      <c r="B421" s="1352" t="s">
        <v>2921</v>
      </c>
      <c r="C421" s="1353" t="s">
        <v>1495</v>
      </c>
      <c r="D421" s="1353">
        <v>13.06</v>
      </c>
      <c r="E421" s="1354">
        <v>15.05</v>
      </c>
      <c r="F421" s="1355">
        <v>4121500.0</v>
      </c>
      <c r="G421" s="1365">
        <v>45780.0</v>
      </c>
      <c r="H421" s="1359">
        <v>3.0</v>
      </c>
      <c r="I421" s="1357" t="s">
        <v>2922</v>
      </c>
    </row>
    <row r="422">
      <c r="A422" s="1344" t="s">
        <v>315</v>
      </c>
      <c r="B422" s="1345" t="s">
        <v>2923</v>
      </c>
      <c r="C422" s="1346" t="s">
        <v>1495</v>
      </c>
      <c r="D422" s="1346">
        <v>11.1</v>
      </c>
      <c r="E422" s="1346">
        <v>12.8</v>
      </c>
      <c r="F422" s="1348" t="s">
        <v>2924</v>
      </c>
      <c r="G422" s="1349"/>
      <c r="H422" s="1358">
        <v>3.0</v>
      </c>
      <c r="I422" s="1350" t="s">
        <v>2925</v>
      </c>
    </row>
    <row r="423">
      <c r="A423" s="1351" t="s">
        <v>2926</v>
      </c>
      <c r="B423" s="1352" t="s">
        <v>2927</v>
      </c>
      <c r="C423" s="1353" t="s">
        <v>1495</v>
      </c>
      <c r="D423" s="1353">
        <v>2.83</v>
      </c>
      <c r="E423" s="1353">
        <v>3.3</v>
      </c>
      <c r="F423" s="1355">
        <v>4668015.0</v>
      </c>
      <c r="G423" s="1356"/>
      <c r="H423" s="1353">
        <v>9.0</v>
      </c>
      <c r="I423" s="1357" t="s">
        <v>2928</v>
      </c>
    </row>
    <row r="424">
      <c r="A424" s="1344" t="s">
        <v>2926</v>
      </c>
      <c r="B424" s="1345" t="s">
        <v>2929</v>
      </c>
      <c r="C424" s="1346" t="s">
        <v>1495</v>
      </c>
      <c r="D424" s="1346">
        <v>3.5</v>
      </c>
      <c r="E424" s="1346">
        <v>4.05</v>
      </c>
      <c r="F424" s="1348">
        <v>2414020.0</v>
      </c>
      <c r="G424" s="1364">
        <v>45779.0</v>
      </c>
      <c r="H424" s="1358">
        <v>59.0</v>
      </c>
      <c r="I424" s="1350" t="s">
        <v>2930</v>
      </c>
    </row>
    <row r="425">
      <c r="A425" s="1351" t="s">
        <v>2271</v>
      </c>
      <c r="B425" s="1352" t="s">
        <v>2931</v>
      </c>
      <c r="C425" s="1353" t="s">
        <v>1495</v>
      </c>
      <c r="D425" s="1353">
        <v>2.2</v>
      </c>
      <c r="E425" s="1353">
        <v>2.55</v>
      </c>
      <c r="F425" s="1355" t="s">
        <v>2932</v>
      </c>
      <c r="G425" s="1356"/>
      <c r="H425" s="1359">
        <v>1.0</v>
      </c>
      <c r="I425" s="1357" t="s">
        <v>2933</v>
      </c>
    </row>
    <row r="426">
      <c r="A426" s="1344" t="s">
        <v>314</v>
      </c>
      <c r="B426" s="1345" t="s">
        <v>2934</v>
      </c>
      <c r="C426" s="1346" t="s">
        <v>1495</v>
      </c>
      <c r="D426" s="1346">
        <v>7.44</v>
      </c>
      <c r="E426" s="1347">
        <v>8.6</v>
      </c>
      <c r="F426" s="1348"/>
      <c r="G426" s="1349"/>
      <c r="H426" s="1358">
        <v>14.0</v>
      </c>
      <c r="I426" s="1360"/>
    </row>
    <row r="427">
      <c r="A427" s="1351" t="s">
        <v>2341</v>
      </c>
      <c r="B427" s="1352" t="s">
        <v>766</v>
      </c>
      <c r="C427" s="1353" t="s">
        <v>1495</v>
      </c>
      <c r="D427" s="1353"/>
      <c r="E427" s="1353"/>
      <c r="F427" s="1355" t="s">
        <v>2935</v>
      </c>
      <c r="G427" s="1356"/>
      <c r="H427" s="1359"/>
      <c r="I427" s="1357" t="s">
        <v>2936</v>
      </c>
    </row>
    <row r="428">
      <c r="A428" s="1344" t="s">
        <v>2341</v>
      </c>
      <c r="B428" s="1345" t="s">
        <v>767</v>
      </c>
      <c r="C428" s="1346" t="s">
        <v>1495</v>
      </c>
      <c r="D428" s="1346">
        <v>4.75</v>
      </c>
      <c r="E428" s="1347">
        <v>5.5</v>
      </c>
      <c r="F428" s="1348" t="s">
        <v>2937</v>
      </c>
      <c r="G428" s="1349"/>
      <c r="H428" s="1346"/>
      <c r="I428" s="1350" t="s">
        <v>2938</v>
      </c>
    </row>
    <row r="429">
      <c r="A429" s="1351" t="s">
        <v>2271</v>
      </c>
      <c r="B429" s="1352" t="s">
        <v>2939</v>
      </c>
      <c r="C429" s="1353" t="s">
        <v>1495</v>
      </c>
      <c r="D429" s="1353">
        <v>4.15</v>
      </c>
      <c r="E429" s="1353">
        <v>4.8</v>
      </c>
      <c r="F429" s="1355" t="s">
        <v>2940</v>
      </c>
      <c r="G429" s="1356"/>
      <c r="H429" s="1359">
        <v>5.0</v>
      </c>
      <c r="I429" s="1357" t="s">
        <v>2941</v>
      </c>
    </row>
    <row r="430">
      <c r="A430" s="1344" t="s">
        <v>2271</v>
      </c>
      <c r="B430" s="1345" t="s">
        <v>2942</v>
      </c>
      <c r="C430" s="1346" t="s">
        <v>1495</v>
      </c>
      <c r="D430" s="1346">
        <v>2.8</v>
      </c>
      <c r="E430" s="1347">
        <v>3.25</v>
      </c>
      <c r="F430" s="1348" t="s">
        <v>2943</v>
      </c>
      <c r="G430" s="1349"/>
      <c r="H430" s="1358">
        <v>1.0</v>
      </c>
      <c r="I430" s="1350" t="s">
        <v>2944</v>
      </c>
    </row>
    <row r="431">
      <c r="A431" s="1351" t="s">
        <v>2271</v>
      </c>
      <c r="B431" s="1352" t="s">
        <v>2945</v>
      </c>
      <c r="C431" s="1353" t="s">
        <v>1495</v>
      </c>
      <c r="D431" s="1353">
        <v>6.23</v>
      </c>
      <c r="E431" s="1354">
        <v>7.2</v>
      </c>
      <c r="F431" s="1355" t="s">
        <v>2946</v>
      </c>
      <c r="G431" s="1356"/>
      <c r="H431" s="1359">
        <v>4.0</v>
      </c>
      <c r="I431" s="1357" t="s">
        <v>2947</v>
      </c>
    </row>
    <row r="432">
      <c r="A432" s="1344" t="s">
        <v>321</v>
      </c>
      <c r="B432" s="1345" t="s">
        <v>2948</v>
      </c>
      <c r="C432" s="1346" t="s">
        <v>1495</v>
      </c>
      <c r="D432" s="1346">
        <v>16.41</v>
      </c>
      <c r="E432" s="1347">
        <v>18.9</v>
      </c>
      <c r="F432" s="1348" t="s">
        <v>2949</v>
      </c>
      <c r="G432" s="1349"/>
      <c r="H432" s="1358">
        <v>3.0</v>
      </c>
      <c r="I432" s="1360"/>
    </row>
    <row r="433">
      <c r="A433" s="1351" t="s">
        <v>329</v>
      </c>
      <c r="B433" s="1352" t="s">
        <v>772</v>
      </c>
      <c r="C433" s="1353" t="s">
        <v>1642</v>
      </c>
      <c r="D433" s="1353">
        <v>0.35</v>
      </c>
      <c r="E433" s="1354">
        <v>0.45</v>
      </c>
      <c r="F433" s="1355"/>
      <c r="G433" s="1356"/>
      <c r="H433" s="1353"/>
      <c r="I433" s="1362"/>
    </row>
    <row r="434">
      <c r="A434" s="1344" t="s">
        <v>329</v>
      </c>
      <c r="B434" s="1345" t="s">
        <v>2950</v>
      </c>
      <c r="C434" s="1346" t="s">
        <v>1642</v>
      </c>
      <c r="D434" s="1346">
        <v>0.45</v>
      </c>
      <c r="E434" s="1346">
        <v>0.55</v>
      </c>
      <c r="F434" s="1348"/>
      <c r="G434" s="1349"/>
      <c r="H434" s="1358">
        <v>200.0</v>
      </c>
      <c r="I434" s="1361"/>
    </row>
    <row r="435">
      <c r="A435" s="1351" t="s">
        <v>329</v>
      </c>
      <c r="B435" s="1352" t="s">
        <v>2951</v>
      </c>
      <c r="C435" s="1353" t="s">
        <v>1642</v>
      </c>
      <c r="D435" s="1353">
        <v>0.95</v>
      </c>
      <c r="E435" s="1353">
        <v>1.1</v>
      </c>
      <c r="F435" s="1355"/>
      <c r="G435" s="1356"/>
      <c r="H435" s="1359">
        <v>100.0</v>
      </c>
      <c r="I435" s="1362"/>
    </row>
    <row r="436">
      <c r="A436" s="1344" t="s">
        <v>317</v>
      </c>
      <c r="B436" s="1345" t="s">
        <v>775</v>
      </c>
      <c r="C436" s="1346" t="s">
        <v>1642</v>
      </c>
      <c r="D436" s="1346">
        <v>0.95</v>
      </c>
      <c r="E436" s="1346">
        <v>1.1</v>
      </c>
      <c r="F436" s="1348"/>
      <c r="G436" s="1349"/>
      <c r="H436" s="1358"/>
      <c r="I436" s="1360"/>
    </row>
    <row r="437">
      <c r="A437" s="1351" t="s">
        <v>2926</v>
      </c>
      <c r="B437" s="1352" t="s">
        <v>2952</v>
      </c>
      <c r="C437" s="1353" t="s">
        <v>1495</v>
      </c>
      <c r="D437" s="1353">
        <v>1.95</v>
      </c>
      <c r="E437" s="1353">
        <v>2.25</v>
      </c>
      <c r="F437" s="1355" t="s">
        <v>2953</v>
      </c>
      <c r="G437" s="1356"/>
      <c r="H437" s="1359">
        <v>6.0</v>
      </c>
      <c r="I437" s="1357" t="s">
        <v>2954</v>
      </c>
    </row>
    <row r="438">
      <c r="A438" s="1344" t="s">
        <v>2926</v>
      </c>
      <c r="B438" s="1345" t="s">
        <v>2955</v>
      </c>
      <c r="C438" s="1346" t="s">
        <v>1495</v>
      </c>
      <c r="D438" s="1346">
        <v>2.0</v>
      </c>
      <c r="E438" s="1346">
        <v>2.3</v>
      </c>
      <c r="F438" s="1348" t="s">
        <v>2956</v>
      </c>
      <c r="G438" s="1349"/>
      <c r="H438" s="1358">
        <v>1.0</v>
      </c>
      <c r="I438" s="1361"/>
    </row>
    <row r="439">
      <c r="A439" s="1351" t="s">
        <v>2410</v>
      </c>
      <c r="B439" s="1352" t="s">
        <v>778</v>
      </c>
      <c r="C439" s="1353" t="s">
        <v>1495</v>
      </c>
      <c r="D439" s="1353">
        <v>0.15</v>
      </c>
      <c r="E439" s="1353">
        <v>0.2</v>
      </c>
      <c r="F439" s="1355">
        <v>51125.0</v>
      </c>
      <c r="G439" s="1356"/>
      <c r="H439" s="1359"/>
      <c r="I439" s="1357" t="s">
        <v>2957</v>
      </c>
    </row>
    <row r="440">
      <c r="A440" s="1344" t="s">
        <v>2410</v>
      </c>
      <c r="B440" s="1345" t="s">
        <v>779</v>
      </c>
      <c r="C440" s="1346" t="s">
        <v>1495</v>
      </c>
      <c r="D440" s="1346">
        <v>0.1</v>
      </c>
      <c r="E440" s="1346">
        <v>0.15</v>
      </c>
      <c r="F440" s="1348">
        <v>53359.0</v>
      </c>
      <c r="G440" s="1349"/>
      <c r="H440" s="1358"/>
      <c r="I440" s="1350" t="s">
        <v>2958</v>
      </c>
    </row>
    <row r="441">
      <c r="A441" s="1351" t="s">
        <v>2410</v>
      </c>
      <c r="B441" s="1352" t="s">
        <v>780</v>
      </c>
      <c r="C441" s="1353" t="s">
        <v>1495</v>
      </c>
      <c r="D441" s="1353">
        <v>0.1</v>
      </c>
      <c r="E441" s="1354">
        <v>0.15</v>
      </c>
      <c r="F441" s="1355">
        <v>53360.0</v>
      </c>
      <c r="G441" s="1356"/>
      <c r="H441" s="1359"/>
      <c r="I441" s="1357" t="s">
        <v>2959</v>
      </c>
    </row>
    <row r="442">
      <c r="A442" s="1344" t="s">
        <v>2410</v>
      </c>
      <c r="B442" s="1345" t="s">
        <v>2960</v>
      </c>
      <c r="C442" s="1346" t="s">
        <v>1495</v>
      </c>
      <c r="D442" s="1346">
        <v>0.2</v>
      </c>
      <c r="E442" s="1347">
        <v>0.25</v>
      </c>
      <c r="F442" s="1348">
        <v>51040.0</v>
      </c>
      <c r="G442" s="1349"/>
      <c r="H442" s="1358">
        <v>44.0</v>
      </c>
      <c r="I442" s="1350" t="s">
        <v>2961</v>
      </c>
    </row>
    <row r="443">
      <c r="A443" s="1351" t="s">
        <v>2410</v>
      </c>
      <c r="B443" s="1352" t="s">
        <v>782</v>
      </c>
      <c r="C443" s="1353" t="s">
        <v>1495</v>
      </c>
      <c r="D443" s="1353">
        <v>0.15</v>
      </c>
      <c r="E443" s="1354">
        <v>0.2</v>
      </c>
      <c r="F443" s="1355">
        <v>53361.0</v>
      </c>
      <c r="G443" s="1356"/>
      <c r="H443" s="1359"/>
      <c r="I443" s="1357" t="s">
        <v>2962</v>
      </c>
    </row>
    <row r="444">
      <c r="A444" s="1344" t="s">
        <v>2410</v>
      </c>
      <c r="B444" s="1345" t="s">
        <v>783</v>
      </c>
      <c r="C444" s="1346" t="s">
        <v>1495</v>
      </c>
      <c r="D444" s="1346"/>
      <c r="E444" s="1346"/>
      <c r="F444" s="1348">
        <v>51050.0</v>
      </c>
      <c r="G444" s="1349"/>
      <c r="H444" s="1358"/>
      <c r="I444" s="1350" t="s">
        <v>2963</v>
      </c>
    </row>
    <row r="445">
      <c r="A445" s="1351" t="s">
        <v>2271</v>
      </c>
      <c r="B445" s="1352" t="s">
        <v>2964</v>
      </c>
      <c r="C445" s="1353" t="s">
        <v>1495</v>
      </c>
      <c r="D445" s="1353">
        <v>0.2</v>
      </c>
      <c r="E445" s="1354">
        <v>0.25</v>
      </c>
      <c r="F445" s="1355" t="s">
        <v>2965</v>
      </c>
      <c r="G445" s="1356"/>
      <c r="H445" s="1359">
        <v>20.0</v>
      </c>
      <c r="I445" s="1357" t="s">
        <v>2966</v>
      </c>
    </row>
    <row r="446">
      <c r="A446" s="1344" t="s">
        <v>319</v>
      </c>
      <c r="B446" s="1345" t="s">
        <v>785</v>
      </c>
      <c r="C446" s="1346" t="s">
        <v>1495</v>
      </c>
      <c r="D446" s="1346">
        <v>1696.0</v>
      </c>
      <c r="E446" s="1346">
        <v>1950.4</v>
      </c>
      <c r="F446" s="1348"/>
      <c r="G446" s="1349"/>
      <c r="H446" s="1358"/>
      <c r="I446" s="1360"/>
    </row>
    <row r="447">
      <c r="A447" s="1351" t="s">
        <v>319</v>
      </c>
      <c r="B447" s="1352" t="s">
        <v>786</v>
      </c>
      <c r="C447" s="1353" t="s">
        <v>1495</v>
      </c>
      <c r="D447" s="1353">
        <v>3170.0</v>
      </c>
      <c r="E447" s="1354">
        <v>3645.5</v>
      </c>
      <c r="F447" s="1355"/>
      <c r="G447" s="1356"/>
      <c r="H447" s="1359"/>
      <c r="I447" s="1362"/>
    </row>
    <row r="448">
      <c r="A448" s="1344" t="s">
        <v>319</v>
      </c>
      <c r="B448" s="1345" t="s">
        <v>787</v>
      </c>
      <c r="C448" s="1346" t="s">
        <v>1495</v>
      </c>
      <c r="D448" s="1346">
        <v>1750.0</v>
      </c>
      <c r="E448" s="1347">
        <v>2012.5</v>
      </c>
      <c r="F448" s="1348"/>
      <c r="G448" s="1349"/>
      <c r="H448" s="1358"/>
      <c r="I448" s="1360"/>
    </row>
    <row r="449">
      <c r="A449" s="1351" t="s">
        <v>319</v>
      </c>
      <c r="B449" s="1352" t="s">
        <v>2967</v>
      </c>
      <c r="C449" s="1353" t="s">
        <v>1495</v>
      </c>
      <c r="D449" s="1353">
        <v>2198.0</v>
      </c>
      <c r="E449" s="1354">
        <v>2527.7</v>
      </c>
      <c r="F449" s="1355"/>
      <c r="G449" s="1356"/>
      <c r="H449" s="1359">
        <v>6.0</v>
      </c>
      <c r="I449" s="1362"/>
    </row>
    <row r="450">
      <c r="A450" s="1344" t="s">
        <v>319</v>
      </c>
      <c r="B450" s="1345" t="s">
        <v>789</v>
      </c>
      <c r="C450" s="1346" t="s">
        <v>1495</v>
      </c>
      <c r="D450" s="1346">
        <v>2000.0</v>
      </c>
      <c r="E450" s="1347">
        <v>2300.0</v>
      </c>
      <c r="F450" s="1348"/>
      <c r="G450" s="1349"/>
      <c r="H450" s="1346"/>
      <c r="I450" s="1360"/>
    </row>
    <row r="451">
      <c r="A451" s="1351" t="s">
        <v>319</v>
      </c>
      <c r="B451" s="1352" t="s">
        <v>2968</v>
      </c>
      <c r="C451" s="1353" t="s">
        <v>1495</v>
      </c>
      <c r="D451" s="1353">
        <v>2033.53</v>
      </c>
      <c r="E451" s="1354">
        <v>2338.6</v>
      </c>
      <c r="F451" s="1355"/>
      <c r="G451" s="1356"/>
      <c r="H451" s="1353">
        <v>6.0</v>
      </c>
      <c r="I451" s="1362"/>
    </row>
    <row r="452">
      <c r="A452" s="1344" t="s">
        <v>319</v>
      </c>
      <c r="B452" s="1345" t="s">
        <v>2969</v>
      </c>
      <c r="C452" s="1346" t="s">
        <v>1495</v>
      </c>
      <c r="D452" s="1346">
        <v>1798.06</v>
      </c>
      <c r="E452" s="1347">
        <v>2067.8</v>
      </c>
      <c r="F452" s="1348"/>
      <c r="G452" s="1349"/>
      <c r="H452" s="1346">
        <v>1.0</v>
      </c>
      <c r="I452" s="1360"/>
    </row>
    <row r="453">
      <c r="A453" s="1351" t="s">
        <v>319</v>
      </c>
      <c r="B453" s="1352" t="s">
        <v>792</v>
      </c>
      <c r="C453" s="1353" t="s">
        <v>1495</v>
      </c>
      <c r="D453" s="1353"/>
      <c r="E453" s="1354"/>
      <c r="F453" s="1355"/>
      <c r="G453" s="1356"/>
      <c r="H453" s="1353"/>
      <c r="I453" s="1362"/>
    </row>
    <row r="454">
      <c r="A454" s="1344" t="s">
        <v>319</v>
      </c>
      <c r="B454" s="1345" t="s">
        <v>793</v>
      </c>
      <c r="C454" s="1346" t="s">
        <v>1495</v>
      </c>
      <c r="D454" s="1346"/>
      <c r="E454" s="1347"/>
      <c r="F454" s="1348"/>
      <c r="G454" s="1349"/>
      <c r="H454" s="1346"/>
      <c r="I454" s="1360"/>
    </row>
    <row r="455">
      <c r="A455" s="1351" t="s">
        <v>319</v>
      </c>
      <c r="B455" s="1352" t="s">
        <v>794</v>
      </c>
      <c r="C455" s="1353" t="s">
        <v>1495</v>
      </c>
      <c r="D455" s="1353">
        <v>1100.0</v>
      </c>
      <c r="E455" s="1354">
        <v>1265.0</v>
      </c>
      <c r="F455" s="1355"/>
      <c r="G455" s="1356"/>
      <c r="H455" s="1353"/>
      <c r="I455" s="1362"/>
    </row>
    <row r="456">
      <c r="A456" s="1344" t="s">
        <v>319</v>
      </c>
      <c r="B456" s="1345" t="s">
        <v>795</v>
      </c>
      <c r="C456" s="1346" t="s">
        <v>1495</v>
      </c>
      <c r="D456" s="1346">
        <v>1800.0</v>
      </c>
      <c r="E456" s="1346">
        <v>2070.0</v>
      </c>
      <c r="F456" s="1348"/>
      <c r="G456" s="1349"/>
      <c r="H456" s="1358"/>
      <c r="I456" s="1360"/>
    </row>
    <row r="457">
      <c r="A457" s="1351" t="s">
        <v>319</v>
      </c>
      <c r="B457" s="1352" t="s">
        <v>2970</v>
      </c>
      <c r="C457" s="1353" t="s">
        <v>1495</v>
      </c>
      <c r="D457" s="1353">
        <v>1122.0</v>
      </c>
      <c r="E457" s="1353">
        <v>1290.3</v>
      </c>
      <c r="F457" s="1355"/>
      <c r="G457" s="1356"/>
      <c r="H457" s="1359">
        <v>4.0</v>
      </c>
      <c r="I457" s="1362"/>
    </row>
    <row r="458">
      <c r="A458" s="1344" t="s">
        <v>319</v>
      </c>
      <c r="B458" s="1345" t="s">
        <v>2971</v>
      </c>
      <c r="C458" s="1346" t="s">
        <v>1495</v>
      </c>
      <c r="D458" s="1346">
        <v>998.21</v>
      </c>
      <c r="E458" s="1346">
        <v>1147.95</v>
      </c>
      <c r="F458" s="1348"/>
      <c r="G458" s="1349"/>
      <c r="H458" s="1358">
        <v>16.0</v>
      </c>
      <c r="I458" s="1361"/>
    </row>
    <row r="459">
      <c r="A459" s="1351" t="s">
        <v>319</v>
      </c>
      <c r="B459" s="1352" t="s">
        <v>798</v>
      </c>
      <c r="C459" s="1353" t="s">
        <v>1495</v>
      </c>
      <c r="D459" s="1353">
        <v>1471.72</v>
      </c>
      <c r="E459" s="1353">
        <v>1692.5</v>
      </c>
      <c r="F459" s="1355"/>
      <c r="G459" s="1356"/>
      <c r="H459" s="1359"/>
      <c r="I459" s="1362"/>
    </row>
    <row r="460">
      <c r="A460" s="1344" t="s">
        <v>319</v>
      </c>
      <c r="B460" s="1345" t="s">
        <v>799</v>
      </c>
      <c r="C460" s="1346" t="s">
        <v>1495</v>
      </c>
      <c r="D460" s="1346"/>
      <c r="E460" s="1346"/>
      <c r="F460" s="1348">
        <v>20501.0</v>
      </c>
      <c r="G460" s="1349"/>
      <c r="H460" s="1346"/>
      <c r="I460" s="1360"/>
    </row>
    <row r="461">
      <c r="A461" s="1351" t="s">
        <v>319</v>
      </c>
      <c r="B461" s="1352" t="s">
        <v>800</v>
      </c>
      <c r="C461" s="1353" t="s">
        <v>1495</v>
      </c>
      <c r="D461" s="1353">
        <v>2177.0</v>
      </c>
      <c r="E461" s="1354">
        <v>2503.55</v>
      </c>
      <c r="F461" s="1355"/>
      <c r="G461" s="1356"/>
      <c r="H461" s="1359"/>
      <c r="I461" s="1362"/>
    </row>
    <row r="462">
      <c r="A462" s="1344" t="s">
        <v>319</v>
      </c>
      <c r="B462" s="1345" t="s">
        <v>801</v>
      </c>
      <c r="C462" s="1346" t="s">
        <v>1495</v>
      </c>
      <c r="D462" s="1346">
        <v>1200.0</v>
      </c>
      <c r="E462" s="1347">
        <v>1380.0</v>
      </c>
      <c r="F462" s="1348">
        <v>20210.0</v>
      </c>
      <c r="G462" s="1349"/>
      <c r="H462" s="1358"/>
      <c r="I462" s="1360"/>
    </row>
    <row r="463">
      <c r="A463" s="1351" t="s">
        <v>319</v>
      </c>
      <c r="B463" s="1352" t="s">
        <v>802</v>
      </c>
      <c r="C463" s="1353" t="s">
        <v>1495</v>
      </c>
      <c r="D463" s="1353">
        <v>1200.0</v>
      </c>
      <c r="E463" s="1354">
        <v>1320.0</v>
      </c>
      <c r="F463" s="1355">
        <v>202101.0</v>
      </c>
      <c r="G463" s="1356"/>
      <c r="H463" s="1359"/>
      <c r="I463" s="1362"/>
    </row>
    <row r="464">
      <c r="A464" s="1344" t="s">
        <v>319</v>
      </c>
      <c r="B464" s="1345" t="s">
        <v>803</v>
      </c>
      <c r="C464" s="1346" t="s">
        <v>1495</v>
      </c>
      <c r="D464" s="1346"/>
      <c r="E464" s="1346"/>
      <c r="F464" s="1348"/>
      <c r="G464" s="1349"/>
      <c r="H464" s="1358"/>
      <c r="I464" s="1360"/>
    </row>
    <row r="465">
      <c r="A465" s="1351" t="s">
        <v>313</v>
      </c>
      <c r="B465" s="1352" t="s">
        <v>804</v>
      </c>
      <c r="C465" s="1353" t="s">
        <v>1495</v>
      </c>
      <c r="D465" s="1353"/>
      <c r="E465" s="1354"/>
      <c r="F465" s="1355">
        <v>20112.0</v>
      </c>
      <c r="G465" s="1356"/>
      <c r="H465" s="1359"/>
      <c r="I465" s="1362"/>
    </row>
    <row r="466">
      <c r="A466" s="1344" t="s">
        <v>313</v>
      </c>
      <c r="B466" s="1345" t="s">
        <v>805</v>
      </c>
      <c r="C466" s="1346" t="s">
        <v>1495</v>
      </c>
      <c r="D466" s="1346">
        <v>2820.0</v>
      </c>
      <c r="E466" s="1346">
        <v>3243.0</v>
      </c>
      <c r="F466" s="1348">
        <v>20115.0</v>
      </c>
      <c r="G466" s="1349"/>
      <c r="H466" s="1358"/>
      <c r="I466" s="1360"/>
    </row>
    <row r="467">
      <c r="A467" s="1351" t="s">
        <v>313</v>
      </c>
      <c r="B467" s="1352" t="s">
        <v>806</v>
      </c>
      <c r="C467" s="1353" t="s">
        <v>1495</v>
      </c>
      <c r="D467" s="1353">
        <v>3350.0</v>
      </c>
      <c r="E467" s="1353">
        <v>3852.5</v>
      </c>
      <c r="F467" s="1355"/>
      <c r="G467" s="1356"/>
      <c r="H467" s="1359"/>
      <c r="I467" s="1362"/>
    </row>
    <row r="468">
      <c r="A468" s="1344" t="s">
        <v>313</v>
      </c>
      <c r="B468" s="1345" t="s">
        <v>807</v>
      </c>
      <c r="C468" s="1346" t="s">
        <v>1495</v>
      </c>
      <c r="D468" s="1346">
        <v>2884.0</v>
      </c>
      <c r="E468" s="1346">
        <v>3316.6</v>
      </c>
      <c r="F468" s="1348"/>
      <c r="G468" s="1349"/>
      <c r="H468" s="1358"/>
      <c r="I468" s="1360"/>
    </row>
    <row r="469">
      <c r="A469" s="1351" t="s">
        <v>313</v>
      </c>
      <c r="B469" s="1352" t="s">
        <v>808</v>
      </c>
      <c r="C469" s="1353" t="s">
        <v>1495</v>
      </c>
      <c r="D469" s="1353">
        <v>4981.0</v>
      </c>
      <c r="E469" s="1354">
        <v>5728.15</v>
      </c>
      <c r="F469" s="1355"/>
      <c r="G469" s="1356"/>
      <c r="H469" s="1353"/>
      <c r="I469" s="1362"/>
    </row>
    <row r="470">
      <c r="A470" s="1344" t="s">
        <v>313</v>
      </c>
      <c r="B470" s="1345" t="s">
        <v>95</v>
      </c>
      <c r="C470" s="1346" t="s">
        <v>1495</v>
      </c>
      <c r="D470" s="1346">
        <v>2398.0</v>
      </c>
      <c r="E470" s="1346">
        <v>2757.7</v>
      </c>
      <c r="F470" s="1348">
        <v>10412.0</v>
      </c>
      <c r="G470" s="1349"/>
      <c r="H470" s="1358"/>
      <c r="I470" s="1360"/>
    </row>
    <row r="471">
      <c r="A471" s="1351" t="s">
        <v>313</v>
      </c>
      <c r="B471" s="1352" t="s">
        <v>809</v>
      </c>
      <c r="C471" s="1353" t="s">
        <v>1495</v>
      </c>
      <c r="D471" s="1353">
        <v>3135.28</v>
      </c>
      <c r="E471" s="1354">
        <v>3605.6</v>
      </c>
      <c r="F471" s="1355"/>
      <c r="G471" s="1356"/>
      <c r="H471" s="1359"/>
      <c r="I471" s="1362"/>
    </row>
    <row r="472">
      <c r="A472" s="1344" t="s">
        <v>313</v>
      </c>
      <c r="B472" s="1345" t="s">
        <v>810</v>
      </c>
      <c r="C472" s="1346" t="s">
        <v>1495</v>
      </c>
      <c r="D472" s="1346"/>
      <c r="E472" s="1347"/>
      <c r="F472" s="1348">
        <v>20204.0</v>
      </c>
      <c r="G472" s="1349"/>
      <c r="H472" s="1346"/>
      <c r="I472" s="1360"/>
    </row>
    <row r="473">
      <c r="A473" s="1351" t="s">
        <v>313</v>
      </c>
      <c r="B473" s="1352" t="s">
        <v>2972</v>
      </c>
      <c r="C473" s="1353" t="s">
        <v>1495</v>
      </c>
      <c r="D473" s="1353"/>
      <c r="E473" s="1354"/>
      <c r="F473" s="1355">
        <v>20217.0</v>
      </c>
      <c r="G473" s="1356"/>
      <c r="H473" s="1359">
        <v>1.0</v>
      </c>
      <c r="I473" s="1362"/>
    </row>
    <row r="474">
      <c r="A474" s="1344" t="s">
        <v>313</v>
      </c>
      <c r="B474" s="1345" t="s">
        <v>812</v>
      </c>
      <c r="C474" s="1346" t="s">
        <v>1495</v>
      </c>
      <c r="D474" s="1346"/>
      <c r="E474" s="1346"/>
      <c r="F474" s="1348">
        <v>20206.0</v>
      </c>
      <c r="G474" s="1349"/>
      <c r="H474" s="1346"/>
      <c r="I474" s="1360"/>
    </row>
    <row r="475">
      <c r="A475" s="1351" t="s">
        <v>313</v>
      </c>
      <c r="B475" s="1352" t="s">
        <v>813</v>
      </c>
      <c r="C475" s="1353" t="s">
        <v>1495</v>
      </c>
      <c r="D475" s="1353">
        <v>1800.0</v>
      </c>
      <c r="E475" s="1353">
        <v>2070.0</v>
      </c>
      <c r="F475" s="1355">
        <v>20207.0</v>
      </c>
      <c r="G475" s="1356"/>
      <c r="H475" s="1359"/>
      <c r="I475" s="1362"/>
    </row>
    <row r="476">
      <c r="A476" s="1344" t="s">
        <v>319</v>
      </c>
      <c r="B476" s="1345" t="s">
        <v>814</v>
      </c>
      <c r="C476" s="1346" t="s">
        <v>1495</v>
      </c>
      <c r="D476" s="1346">
        <v>5247.0</v>
      </c>
      <c r="E476" s="1347">
        <v>6034.05</v>
      </c>
      <c r="F476" s="1348"/>
      <c r="G476" s="1349"/>
      <c r="H476" s="1346"/>
      <c r="I476" s="1360"/>
    </row>
    <row r="477">
      <c r="A477" s="1351" t="s">
        <v>329</v>
      </c>
      <c r="B477" s="1352" t="s">
        <v>815</v>
      </c>
      <c r="C477" s="1353" t="s">
        <v>1642</v>
      </c>
      <c r="D477" s="1353"/>
      <c r="E477" s="1354"/>
      <c r="F477" s="1355"/>
      <c r="G477" s="1356"/>
      <c r="H477" s="1359"/>
      <c r="I477" s="1357" t="s">
        <v>2973</v>
      </c>
    </row>
    <row r="478">
      <c r="A478" s="1344" t="s">
        <v>317</v>
      </c>
      <c r="B478" s="1345" t="s">
        <v>816</v>
      </c>
      <c r="C478" s="1346" t="s">
        <v>1642</v>
      </c>
      <c r="D478" s="1346"/>
      <c r="E478" s="1346"/>
      <c r="F478" s="1348">
        <v>11870.0</v>
      </c>
      <c r="G478" s="1349"/>
      <c r="H478" s="1358"/>
      <c r="I478" s="1350" t="s">
        <v>2974</v>
      </c>
    </row>
    <row r="479">
      <c r="A479" s="1351" t="s">
        <v>329</v>
      </c>
      <c r="B479" s="1352" t="s">
        <v>2975</v>
      </c>
      <c r="C479" s="1353" t="s">
        <v>1642</v>
      </c>
      <c r="D479" s="1353">
        <v>1.1</v>
      </c>
      <c r="E479" s="1353">
        <v>1.35</v>
      </c>
      <c r="F479" s="1355"/>
      <c r="G479" s="1356"/>
      <c r="H479" s="1359">
        <v>25.0</v>
      </c>
      <c r="I479" s="1362"/>
    </row>
    <row r="480">
      <c r="A480" s="1344" t="s">
        <v>317</v>
      </c>
      <c r="B480" s="1345" t="s">
        <v>2976</v>
      </c>
      <c r="C480" s="1346" t="s">
        <v>1642</v>
      </c>
      <c r="D480" s="1346">
        <v>1.85</v>
      </c>
      <c r="E480" s="1347">
        <v>2.25</v>
      </c>
      <c r="F480" s="1348">
        <v>1013.0</v>
      </c>
      <c r="G480" s="1349"/>
      <c r="H480" s="1358">
        <v>70.0</v>
      </c>
      <c r="I480" s="1360"/>
    </row>
    <row r="481">
      <c r="A481" s="1351" t="s">
        <v>317</v>
      </c>
      <c r="B481" s="1352" t="s">
        <v>819</v>
      </c>
      <c r="C481" s="1353" t="s">
        <v>1642</v>
      </c>
      <c r="D481" s="1353">
        <v>2.45</v>
      </c>
      <c r="E481" s="1354">
        <v>2.95</v>
      </c>
      <c r="F481" s="1355">
        <v>9129.0</v>
      </c>
      <c r="G481" s="1356"/>
      <c r="H481" s="1359"/>
      <c r="I481" s="1362"/>
    </row>
    <row r="482">
      <c r="A482" s="1344" t="s">
        <v>317</v>
      </c>
      <c r="B482" s="1345" t="s">
        <v>820</v>
      </c>
      <c r="C482" s="1346" t="s">
        <v>1642</v>
      </c>
      <c r="D482" s="1346"/>
      <c r="E482" s="1347"/>
      <c r="F482" s="1348">
        <v>2535.0</v>
      </c>
      <c r="G482" s="1349"/>
      <c r="H482" s="1358"/>
      <c r="I482" s="1360"/>
    </row>
    <row r="483">
      <c r="A483" s="1351" t="s">
        <v>317</v>
      </c>
      <c r="B483" s="1352" t="s">
        <v>821</v>
      </c>
      <c r="C483" s="1353" t="s">
        <v>1642</v>
      </c>
      <c r="D483" s="1353">
        <v>5.65</v>
      </c>
      <c r="E483" s="1354">
        <v>6.8</v>
      </c>
      <c r="F483" s="1355" t="s">
        <v>2977</v>
      </c>
      <c r="G483" s="1356"/>
      <c r="H483" s="1359"/>
      <c r="I483" s="1362"/>
    </row>
    <row r="484">
      <c r="A484" s="1344" t="s">
        <v>317</v>
      </c>
      <c r="B484" s="1345" t="s">
        <v>822</v>
      </c>
      <c r="C484" s="1346" t="s">
        <v>1642</v>
      </c>
      <c r="D484" s="1346">
        <v>1.0</v>
      </c>
      <c r="E484" s="1346">
        <v>1.2</v>
      </c>
      <c r="F484" s="1348"/>
      <c r="G484" s="1349"/>
      <c r="H484" s="1358"/>
      <c r="I484" s="1360"/>
    </row>
    <row r="485">
      <c r="A485" s="1351" t="s">
        <v>317</v>
      </c>
      <c r="B485" s="1352" t="s">
        <v>823</v>
      </c>
      <c r="C485" s="1353" t="s">
        <v>1642</v>
      </c>
      <c r="D485" s="1353"/>
      <c r="E485" s="1354"/>
      <c r="F485" s="1355">
        <v>706156.0</v>
      </c>
      <c r="G485" s="1356"/>
      <c r="H485" s="1359"/>
      <c r="I485" s="1357" t="s">
        <v>2978</v>
      </c>
    </row>
    <row r="486">
      <c r="A486" s="1344" t="s">
        <v>317</v>
      </c>
      <c r="B486" s="1345" t="s">
        <v>824</v>
      </c>
      <c r="C486" s="1346" t="s">
        <v>1642</v>
      </c>
      <c r="D486" s="1346">
        <v>4.85</v>
      </c>
      <c r="E486" s="1347">
        <v>5.85</v>
      </c>
      <c r="F486" s="1348">
        <v>706107.0</v>
      </c>
      <c r="G486" s="1349"/>
      <c r="H486" s="1358"/>
      <c r="I486" s="1350" t="s">
        <v>2979</v>
      </c>
    </row>
    <row r="487">
      <c r="A487" s="1351" t="s">
        <v>317</v>
      </c>
      <c r="B487" s="1352" t="s">
        <v>825</v>
      </c>
      <c r="C487" s="1353" t="s">
        <v>1642</v>
      </c>
      <c r="D487" s="1353">
        <v>13.35</v>
      </c>
      <c r="E487" s="1354">
        <v>16.05</v>
      </c>
      <c r="F487" s="1355">
        <v>706157.0</v>
      </c>
      <c r="G487" s="1356"/>
      <c r="H487" s="1353"/>
      <c r="I487" s="1357" t="s">
        <v>2980</v>
      </c>
    </row>
    <row r="488">
      <c r="A488" s="1344" t="s">
        <v>317</v>
      </c>
      <c r="B488" s="1345" t="s">
        <v>826</v>
      </c>
      <c r="C488" s="1346" t="s">
        <v>1642</v>
      </c>
      <c r="D488" s="1346"/>
      <c r="E488" s="1347"/>
      <c r="F488" s="1348">
        <v>705350.0</v>
      </c>
      <c r="G488" s="1349"/>
      <c r="H488" s="1346"/>
      <c r="I488" s="1350" t="s">
        <v>2981</v>
      </c>
    </row>
    <row r="489">
      <c r="A489" s="1351" t="s">
        <v>317</v>
      </c>
      <c r="B489" s="1352" t="s">
        <v>827</v>
      </c>
      <c r="C489" s="1353" t="s">
        <v>1642</v>
      </c>
      <c r="D489" s="1353">
        <v>2.1</v>
      </c>
      <c r="E489" s="1354">
        <v>2.55</v>
      </c>
      <c r="F489" s="1355">
        <v>706104.0</v>
      </c>
      <c r="G489" s="1356"/>
      <c r="H489" s="1359"/>
      <c r="I489" s="1357" t="s">
        <v>2982</v>
      </c>
    </row>
    <row r="490">
      <c r="A490" s="1344" t="s">
        <v>317</v>
      </c>
      <c r="B490" s="1345" t="s">
        <v>828</v>
      </c>
      <c r="C490" s="1346" t="s">
        <v>1642</v>
      </c>
      <c r="D490" s="1346"/>
      <c r="E490" s="1346"/>
      <c r="F490" s="1348">
        <v>7987.0</v>
      </c>
      <c r="G490" s="1349"/>
      <c r="H490" s="1358"/>
      <c r="I490" s="1350" t="s">
        <v>2983</v>
      </c>
    </row>
    <row r="491">
      <c r="A491" s="1351" t="s">
        <v>329</v>
      </c>
      <c r="B491" s="1352" t="s">
        <v>2984</v>
      </c>
      <c r="C491" s="1353" t="s">
        <v>1642</v>
      </c>
      <c r="D491" s="1353">
        <v>11.05</v>
      </c>
      <c r="E491" s="1353">
        <v>13.3</v>
      </c>
      <c r="F491" s="1355">
        <v>12246.0</v>
      </c>
      <c r="G491" s="1356"/>
      <c r="H491" s="1353">
        <v>50.0</v>
      </c>
      <c r="I491" s="1357" t="s">
        <v>2985</v>
      </c>
    </row>
    <row r="492">
      <c r="A492" s="1344" t="s">
        <v>317</v>
      </c>
      <c r="B492" s="1345" t="s">
        <v>830</v>
      </c>
      <c r="C492" s="1346" t="s">
        <v>1642</v>
      </c>
      <c r="D492" s="1346"/>
      <c r="E492" s="1347"/>
      <c r="F492" s="1348">
        <v>4045.0</v>
      </c>
      <c r="G492" s="1364"/>
      <c r="H492" s="1358"/>
      <c r="I492" s="1350" t="s">
        <v>2986</v>
      </c>
    </row>
    <row r="493">
      <c r="A493" s="1351" t="s">
        <v>317</v>
      </c>
      <c r="B493" s="1352" t="s">
        <v>831</v>
      </c>
      <c r="C493" s="1353" t="s">
        <v>1642</v>
      </c>
      <c r="D493" s="1353">
        <v>5.52</v>
      </c>
      <c r="E493" s="1353">
        <v>6.65</v>
      </c>
      <c r="F493" s="1355">
        <v>2113103.0</v>
      </c>
      <c r="G493" s="1356"/>
      <c r="H493" s="1359"/>
      <c r="I493" s="1362"/>
    </row>
    <row r="494">
      <c r="A494" s="1344" t="s">
        <v>317</v>
      </c>
      <c r="B494" s="1345" t="s">
        <v>832</v>
      </c>
      <c r="C494" s="1346" t="s">
        <v>1642</v>
      </c>
      <c r="D494" s="1346">
        <v>4.2</v>
      </c>
      <c r="E494" s="1346">
        <v>5.05</v>
      </c>
      <c r="F494" s="1348">
        <v>8052.0</v>
      </c>
      <c r="G494" s="1349"/>
      <c r="H494" s="1358"/>
      <c r="I494" s="1360"/>
    </row>
    <row r="495">
      <c r="A495" s="1351" t="s">
        <v>329</v>
      </c>
      <c r="B495" s="1352" t="s">
        <v>2987</v>
      </c>
      <c r="C495" s="1353" t="s">
        <v>1642</v>
      </c>
      <c r="D495" s="1353"/>
      <c r="E495" s="1354"/>
      <c r="F495" s="1355"/>
      <c r="G495" s="1356"/>
      <c r="H495" s="1359">
        <v>336.0</v>
      </c>
      <c r="I495" s="1362"/>
    </row>
    <row r="496">
      <c r="A496" s="1344" t="s">
        <v>329</v>
      </c>
      <c r="B496" s="1345" t="s">
        <v>2988</v>
      </c>
      <c r="C496" s="1346" t="s">
        <v>1642</v>
      </c>
      <c r="D496" s="1346">
        <v>0.63</v>
      </c>
      <c r="E496" s="1347">
        <v>0.75</v>
      </c>
      <c r="F496" s="1348"/>
      <c r="G496" s="1349"/>
      <c r="H496" s="1358">
        <v>6000.0</v>
      </c>
      <c r="I496" s="1360"/>
    </row>
    <row r="497">
      <c r="A497" s="1351" t="s">
        <v>329</v>
      </c>
      <c r="B497" s="1352" t="s">
        <v>2989</v>
      </c>
      <c r="C497" s="1353" t="s">
        <v>1642</v>
      </c>
      <c r="D497" s="1353">
        <v>0.63</v>
      </c>
      <c r="E497" s="1354">
        <v>0.75</v>
      </c>
      <c r="F497" s="1355"/>
      <c r="G497" s="1356"/>
      <c r="H497" s="1359">
        <v>6000.0</v>
      </c>
      <c r="I497" s="1362"/>
    </row>
    <row r="498">
      <c r="A498" s="1344" t="s">
        <v>329</v>
      </c>
      <c r="B498" s="1345" t="s">
        <v>233</v>
      </c>
      <c r="C498" s="1346" t="s">
        <v>1642</v>
      </c>
      <c r="D498" s="1346">
        <v>0.85</v>
      </c>
      <c r="E498" s="1347">
        <v>1.0</v>
      </c>
      <c r="F498" s="1348"/>
      <c r="G498" s="1349"/>
      <c r="H498" s="1358">
        <v>120.0</v>
      </c>
      <c r="I498" s="1360"/>
    </row>
    <row r="499">
      <c r="A499" s="1351" t="s">
        <v>329</v>
      </c>
      <c r="B499" s="1352" t="s">
        <v>2990</v>
      </c>
      <c r="C499" s="1353" t="s">
        <v>1642</v>
      </c>
      <c r="D499" s="1353">
        <v>0.87</v>
      </c>
      <c r="E499" s="1354">
        <v>1.05</v>
      </c>
      <c r="F499" s="1355"/>
      <c r="G499" s="1356"/>
      <c r="H499" s="1353">
        <v>83230.0</v>
      </c>
      <c r="I499" s="1362"/>
    </row>
    <row r="500">
      <c r="A500" s="1344" t="s">
        <v>329</v>
      </c>
      <c r="B500" s="1345" t="s">
        <v>2991</v>
      </c>
      <c r="C500" s="1346" t="s">
        <v>1642</v>
      </c>
      <c r="D500" s="1346">
        <v>0.87</v>
      </c>
      <c r="E500" s="1346">
        <v>1.05</v>
      </c>
      <c r="F500" s="1348"/>
      <c r="G500" s="1349"/>
      <c r="H500" s="1358">
        <v>61871.5</v>
      </c>
      <c r="I500" s="1360"/>
    </row>
    <row r="501">
      <c r="A501" s="1351" t="s">
        <v>329</v>
      </c>
      <c r="B501" s="1352" t="s">
        <v>237</v>
      </c>
      <c r="C501" s="1353" t="s">
        <v>1642</v>
      </c>
      <c r="D501" s="1353">
        <v>0.5</v>
      </c>
      <c r="E501" s="1353">
        <v>0.6</v>
      </c>
      <c r="F501" s="1355"/>
      <c r="G501" s="1356"/>
      <c r="H501" s="1359">
        <v>712.0</v>
      </c>
      <c r="I501" s="1362"/>
    </row>
    <row r="502">
      <c r="A502" s="1344" t="s">
        <v>329</v>
      </c>
      <c r="B502" s="1345" t="s">
        <v>2992</v>
      </c>
      <c r="C502" s="1346" t="s">
        <v>1642</v>
      </c>
      <c r="D502" s="1346">
        <v>0.14</v>
      </c>
      <c r="E502" s="1346">
        <v>0.2</v>
      </c>
      <c r="F502" s="1348"/>
      <c r="G502" s="1349"/>
      <c r="H502" s="1358">
        <v>792.0</v>
      </c>
      <c r="I502" s="1360"/>
    </row>
    <row r="503">
      <c r="A503" s="1351" t="s">
        <v>317</v>
      </c>
      <c r="B503" s="1352" t="s">
        <v>841</v>
      </c>
      <c r="C503" s="1353" t="s">
        <v>1642</v>
      </c>
      <c r="D503" s="1353">
        <v>0.05</v>
      </c>
      <c r="E503" s="1354">
        <v>0.1</v>
      </c>
      <c r="F503" s="1355">
        <v>704928.0</v>
      </c>
      <c r="G503" s="1356"/>
      <c r="H503" s="1359"/>
      <c r="I503" s="1357" t="s">
        <v>2993</v>
      </c>
    </row>
    <row r="504">
      <c r="A504" s="1344" t="s">
        <v>329</v>
      </c>
      <c r="B504" s="1345" t="s">
        <v>2994</v>
      </c>
      <c r="C504" s="1346" t="s">
        <v>1642</v>
      </c>
      <c r="D504" s="1346">
        <v>0.12</v>
      </c>
      <c r="E504" s="1346">
        <v>0.15</v>
      </c>
      <c r="F504" s="1348">
        <v>704930.0</v>
      </c>
      <c r="G504" s="1349"/>
      <c r="H504" s="1358">
        <v>594.0</v>
      </c>
      <c r="I504" s="1350" t="s">
        <v>2995</v>
      </c>
    </row>
    <row r="505">
      <c r="A505" s="1351" t="s">
        <v>329</v>
      </c>
      <c r="B505" s="1352" t="s">
        <v>2996</v>
      </c>
      <c r="C505" s="1353" t="s">
        <v>1642</v>
      </c>
      <c r="D505" s="1353">
        <v>1.2</v>
      </c>
      <c r="E505" s="1353">
        <v>1.45</v>
      </c>
      <c r="F505" s="1355">
        <v>704907.0</v>
      </c>
      <c r="G505" s="1356"/>
      <c r="H505" s="1359">
        <v>100.0</v>
      </c>
      <c r="I505" s="1357" t="s">
        <v>2997</v>
      </c>
    </row>
    <row r="506">
      <c r="A506" s="1344" t="s">
        <v>329</v>
      </c>
      <c r="B506" s="1345" t="s">
        <v>235</v>
      </c>
      <c r="C506" s="1346" t="s">
        <v>1642</v>
      </c>
      <c r="D506" s="1346">
        <v>1.74</v>
      </c>
      <c r="E506" s="1347">
        <v>2.1</v>
      </c>
      <c r="F506" s="1348">
        <v>704902.0</v>
      </c>
      <c r="G506" s="1349"/>
      <c r="H506" s="1358">
        <v>284.0</v>
      </c>
      <c r="I506" s="1350" t="s">
        <v>2998</v>
      </c>
    </row>
    <row r="507">
      <c r="A507" s="1351" t="s">
        <v>329</v>
      </c>
      <c r="B507" s="1352" t="s">
        <v>239</v>
      </c>
      <c r="C507" s="1353" t="s">
        <v>1642</v>
      </c>
      <c r="D507" s="1353">
        <v>0.27</v>
      </c>
      <c r="E507" s="1353">
        <v>0.35</v>
      </c>
      <c r="F507" s="1355">
        <v>704916.0</v>
      </c>
      <c r="G507" s="1356"/>
      <c r="H507" s="1359">
        <v>280.0</v>
      </c>
      <c r="I507" s="1357" t="s">
        <v>2999</v>
      </c>
    </row>
    <row r="508">
      <c r="A508" s="1344" t="s">
        <v>329</v>
      </c>
      <c r="B508" s="1345" t="s">
        <v>3000</v>
      </c>
      <c r="C508" s="1346" t="s">
        <v>1642</v>
      </c>
      <c r="D508" s="1346">
        <v>2.72</v>
      </c>
      <c r="E508" s="1346">
        <v>3.3</v>
      </c>
      <c r="F508" s="1348">
        <v>704903.0</v>
      </c>
      <c r="G508" s="1349"/>
      <c r="H508" s="1358">
        <v>295.0</v>
      </c>
      <c r="I508" s="1350" t="s">
        <v>3001</v>
      </c>
    </row>
    <row r="509">
      <c r="A509" s="1351" t="s">
        <v>329</v>
      </c>
      <c r="B509" s="1352" t="s">
        <v>3002</v>
      </c>
      <c r="C509" s="1353" t="s">
        <v>1642</v>
      </c>
      <c r="D509" s="1353">
        <v>4.17</v>
      </c>
      <c r="E509" s="1354">
        <v>5.05</v>
      </c>
      <c r="F509" s="1355">
        <v>704901.0</v>
      </c>
      <c r="G509" s="1356"/>
      <c r="H509" s="1353">
        <v>168.0</v>
      </c>
      <c r="I509" s="1357" t="s">
        <v>3003</v>
      </c>
    </row>
    <row r="510">
      <c r="A510" s="1344" t="s">
        <v>317</v>
      </c>
      <c r="B510" s="1345" t="s">
        <v>3004</v>
      </c>
      <c r="C510" s="1346" t="s">
        <v>1642</v>
      </c>
      <c r="D510" s="1346">
        <v>6.96</v>
      </c>
      <c r="E510" s="1347">
        <v>8.4</v>
      </c>
      <c r="F510" s="1348"/>
      <c r="G510" s="1349"/>
      <c r="H510" s="1358">
        <v>34.0</v>
      </c>
      <c r="I510" s="1360"/>
    </row>
    <row r="511">
      <c r="A511" s="1351" t="s">
        <v>329</v>
      </c>
      <c r="B511" s="1352" t="s">
        <v>241</v>
      </c>
      <c r="C511" s="1353" t="s">
        <v>1642</v>
      </c>
      <c r="D511" s="1353">
        <v>0.77</v>
      </c>
      <c r="E511" s="1354">
        <v>0.95</v>
      </c>
      <c r="F511" s="1355">
        <v>704917.0</v>
      </c>
      <c r="G511" s="1356"/>
      <c r="H511" s="1353">
        <v>1412.0</v>
      </c>
      <c r="I511" s="1357" t="s">
        <v>3005</v>
      </c>
    </row>
    <row r="512">
      <c r="A512" s="1344" t="s">
        <v>317</v>
      </c>
      <c r="B512" s="1345" t="s">
        <v>3006</v>
      </c>
      <c r="C512" s="1346" t="s">
        <v>1642</v>
      </c>
      <c r="D512" s="1346">
        <v>9.27</v>
      </c>
      <c r="E512" s="1347">
        <v>11.15</v>
      </c>
      <c r="F512" s="1348">
        <v>13085.0</v>
      </c>
      <c r="G512" s="1349"/>
      <c r="H512" s="1358">
        <v>29.0</v>
      </c>
      <c r="I512" s="1360"/>
    </row>
    <row r="513">
      <c r="A513" s="1351" t="s">
        <v>317</v>
      </c>
      <c r="B513" s="1352" t="s">
        <v>851</v>
      </c>
      <c r="C513" s="1353" t="s">
        <v>1642</v>
      </c>
      <c r="D513" s="1353">
        <v>16.7</v>
      </c>
      <c r="E513" s="1353">
        <v>20.05</v>
      </c>
      <c r="F513" s="1355">
        <v>4969.0</v>
      </c>
      <c r="G513" s="1356"/>
      <c r="H513" s="1359"/>
      <c r="I513" s="1362"/>
    </row>
    <row r="514">
      <c r="A514" s="1344" t="s">
        <v>317</v>
      </c>
      <c r="B514" s="1345" t="s">
        <v>852</v>
      </c>
      <c r="C514" s="1346" t="s">
        <v>1642</v>
      </c>
      <c r="D514" s="1346">
        <v>98.8</v>
      </c>
      <c r="E514" s="1346">
        <v>118.6</v>
      </c>
      <c r="F514" s="1348"/>
      <c r="G514" s="1349"/>
      <c r="H514" s="1358"/>
      <c r="I514" s="1360"/>
    </row>
    <row r="515">
      <c r="A515" s="1351" t="s">
        <v>329</v>
      </c>
      <c r="B515" s="1352" t="s">
        <v>3007</v>
      </c>
      <c r="C515" s="1353" t="s">
        <v>1642</v>
      </c>
      <c r="D515" s="1353">
        <v>2.07</v>
      </c>
      <c r="E515" s="1353">
        <v>2.5</v>
      </c>
      <c r="F515" s="1355"/>
      <c r="G515" s="1356"/>
      <c r="H515" s="1359">
        <v>80.0</v>
      </c>
      <c r="I515" s="1362"/>
    </row>
    <row r="516">
      <c r="A516" s="1344" t="s">
        <v>329</v>
      </c>
      <c r="B516" s="1345" t="s">
        <v>3008</v>
      </c>
      <c r="C516" s="1346" t="s">
        <v>1642</v>
      </c>
      <c r="D516" s="1346">
        <v>3.36</v>
      </c>
      <c r="E516" s="1347">
        <v>4.05</v>
      </c>
      <c r="F516" s="1348"/>
      <c r="G516" s="1349"/>
      <c r="H516" s="1358">
        <v>143.0</v>
      </c>
      <c r="I516" s="1360"/>
    </row>
    <row r="517">
      <c r="A517" s="1351" t="s">
        <v>329</v>
      </c>
      <c r="B517" s="1352" t="s">
        <v>3009</v>
      </c>
      <c r="C517" s="1353" t="s">
        <v>1642</v>
      </c>
      <c r="D517" s="1353">
        <v>3.84</v>
      </c>
      <c r="E517" s="1353">
        <v>4.65</v>
      </c>
      <c r="F517" s="1355"/>
      <c r="G517" s="1356"/>
      <c r="H517" s="1359">
        <v>72.0</v>
      </c>
      <c r="I517" s="1363"/>
    </row>
    <row r="518">
      <c r="A518" s="1344" t="s">
        <v>329</v>
      </c>
      <c r="B518" s="1345" t="s">
        <v>856</v>
      </c>
      <c r="C518" s="1346" t="s">
        <v>1642</v>
      </c>
      <c r="D518" s="1346">
        <v>0.77</v>
      </c>
      <c r="E518" s="1346">
        <v>0.95</v>
      </c>
      <c r="F518" s="1348"/>
      <c r="G518" s="1349"/>
      <c r="H518" s="1358"/>
      <c r="I518" s="1360"/>
    </row>
    <row r="519">
      <c r="A519" s="1351" t="s">
        <v>317</v>
      </c>
      <c r="B519" s="1352" t="s">
        <v>857</v>
      </c>
      <c r="C519" s="1353" t="s">
        <v>1642</v>
      </c>
      <c r="D519" s="1353"/>
      <c r="E519" s="1354"/>
      <c r="F519" s="1355"/>
      <c r="G519" s="1356"/>
      <c r="H519" s="1353"/>
      <c r="I519" s="1362"/>
    </row>
    <row r="520">
      <c r="A520" s="1344" t="s">
        <v>329</v>
      </c>
      <c r="B520" s="1345" t="s">
        <v>3010</v>
      </c>
      <c r="C520" s="1346" t="s">
        <v>1642</v>
      </c>
      <c r="D520" s="1346">
        <v>1.5</v>
      </c>
      <c r="E520" s="1347">
        <v>1.8</v>
      </c>
      <c r="F520" s="1348"/>
      <c r="G520" s="1349"/>
      <c r="H520" s="1358">
        <v>263.0</v>
      </c>
      <c r="I520" s="1350" t="s">
        <v>3011</v>
      </c>
    </row>
    <row r="521">
      <c r="A521" s="1351" t="s">
        <v>317</v>
      </c>
      <c r="B521" s="1352" t="s">
        <v>859</v>
      </c>
      <c r="C521" s="1353" t="s">
        <v>1642</v>
      </c>
      <c r="D521" s="1353">
        <v>0.55</v>
      </c>
      <c r="E521" s="1353">
        <v>0.7</v>
      </c>
      <c r="F521" s="1355">
        <v>705800.0</v>
      </c>
      <c r="G521" s="1356"/>
      <c r="H521" s="1359"/>
      <c r="I521" s="1362"/>
    </row>
    <row r="522">
      <c r="A522" s="1344" t="s">
        <v>317</v>
      </c>
      <c r="B522" s="1345" t="s">
        <v>860</v>
      </c>
      <c r="C522" s="1346" t="s">
        <v>1642</v>
      </c>
      <c r="D522" s="1346"/>
      <c r="E522" s="1346"/>
      <c r="F522" s="1348"/>
      <c r="G522" s="1349"/>
      <c r="H522" s="1358"/>
      <c r="I522" s="1361"/>
    </row>
    <row r="523">
      <c r="A523" s="1351" t="s">
        <v>317</v>
      </c>
      <c r="B523" s="1352" t="s">
        <v>861</v>
      </c>
      <c r="C523" s="1353" t="s">
        <v>1642</v>
      </c>
      <c r="D523" s="1353"/>
      <c r="E523" s="1354"/>
      <c r="F523" s="1355">
        <v>705808.0</v>
      </c>
      <c r="G523" s="1356"/>
      <c r="H523" s="1359"/>
      <c r="I523" s="1357" t="s">
        <v>3012</v>
      </c>
    </row>
    <row r="524">
      <c r="A524" s="1344" t="s">
        <v>329</v>
      </c>
      <c r="B524" s="1345" t="s">
        <v>3013</v>
      </c>
      <c r="C524" s="1346" t="s">
        <v>1642</v>
      </c>
      <c r="D524" s="1346">
        <v>1.99</v>
      </c>
      <c r="E524" s="1347">
        <v>2.4</v>
      </c>
      <c r="F524" s="1348">
        <v>705810.0</v>
      </c>
      <c r="G524" s="1349"/>
      <c r="H524" s="1358">
        <v>300.0</v>
      </c>
      <c r="I524" s="1350" t="s">
        <v>3014</v>
      </c>
    </row>
    <row r="525">
      <c r="A525" s="1351" t="s">
        <v>317</v>
      </c>
      <c r="B525" s="1352" t="s">
        <v>863</v>
      </c>
      <c r="C525" s="1353" t="s">
        <v>1642</v>
      </c>
      <c r="D525" s="1353"/>
      <c r="E525" s="1354"/>
      <c r="F525" s="1355"/>
      <c r="G525" s="1356"/>
      <c r="H525" s="1359"/>
      <c r="I525" s="1357" t="s">
        <v>3015</v>
      </c>
    </row>
    <row r="526">
      <c r="A526" s="1344" t="s">
        <v>317</v>
      </c>
      <c r="B526" s="1345" t="s">
        <v>864</v>
      </c>
      <c r="C526" s="1346" t="s">
        <v>1642</v>
      </c>
      <c r="D526" s="1346"/>
      <c r="E526" s="1347"/>
      <c r="F526" s="1348">
        <v>3522.0</v>
      </c>
      <c r="G526" s="1349"/>
      <c r="H526" s="1358"/>
      <c r="I526" s="1350" t="s">
        <v>3016</v>
      </c>
    </row>
    <row r="527">
      <c r="A527" s="1351" t="s">
        <v>329</v>
      </c>
      <c r="B527" s="1352" t="s">
        <v>3017</v>
      </c>
      <c r="C527" s="1353" t="s">
        <v>1642</v>
      </c>
      <c r="D527" s="1353">
        <v>3.9</v>
      </c>
      <c r="E527" s="1353">
        <v>4.7</v>
      </c>
      <c r="F527" s="1355">
        <v>5207.0</v>
      </c>
      <c r="G527" s="1356"/>
      <c r="H527" s="1359">
        <v>321.0</v>
      </c>
      <c r="I527" s="1357" t="s">
        <v>3018</v>
      </c>
    </row>
    <row r="528">
      <c r="A528" s="1344" t="s">
        <v>329</v>
      </c>
      <c r="B528" s="1345" t="s">
        <v>3019</v>
      </c>
      <c r="C528" s="1346" t="s">
        <v>1642</v>
      </c>
      <c r="D528" s="1346">
        <v>0.95</v>
      </c>
      <c r="E528" s="1346">
        <v>1.15</v>
      </c>
      <c r="F528" s="1348"/>
      <c r="G528" s="1349"/>
      <c r="H528" s="1358">
        <v>71.0</v>
      </c>
      <c r="I528" s="1360"/>
    </row>
    <row r="529">
      <c r="A529" s="1351" t="s">
        <v>329</v>
      </c>
      <c r="B529" s="1352" t="s">
        <v>3020</v>
      </c>
      <c r="C529" s="1353" t="s">
        <v>1642</v>
      </c>
      <c r="D529" s="1353">
        <v>0.3</v>
      </c>
      <c r="E529" s="1353">
        <v>0.4</v>
      </c>
      <c r="F529" s="1355"/>
      <c r="G529" s="1356"/>
      <c r="H529" s="1359">
        <v>38.0</v>
      </c>
      <c r="I529" s="1362"/>
    </row>
    <row r="530">
      <c r="A530" s="1344" t="s">
        <v>317</v>
      </c>
      <c r="B530" s="1345" t="s">
        <v>868</v>
      </c>
      <c r="C530" s="1346" t="s">
        <v>1642</v>
      </c>
      <c r="D530" s="1346"/>
      <c r="E530" s="1347"/>
      <c r="F530" s="1348"/>
      <c r="G530" s="1349"/>
      <c r="H530" s="1358"/>
      <c r="I530" s="1360"/>
    </row>
    <row r="531">
      <c r="A531" s="1351" t="s">
        <v>317</v>
      </c>
      <c r="B531" s="1352" t="s">
        <v>869</v>
      </c>
      <c r="C531" s="1353" t="s">
        <v>1642</v>
      </c>
      <c r="D531" s="1353">
        <v>7.35</v>
      </c>
      <c r="E531" s="1354">
        <v>8.85</v>
      </c>
      <c r="F531" s="1355"/>
      <c r="G531" s="1356"/>
      <c r="H531" s="1353"/>
      <c r="I531" s="1362"/>
    </row>
    <row r="532">
      <c r="A532" s="1344" t="s">
        <v>317</v>
      </c>
      <c r="B532" s="1345" t="s">
        <v>870</v>
      </c>
      <c r="C532" s="1346" t="s">
        <v>1642</v>
      </c>
      <c r="D532" s="1346"/>
      <c r="E532" s="1346"/>
      <c r="F532" s="1348"/>
      <c r="G532" s="1349"/>
      <c r="H532" s="1358"/>
      <c r="I532" s="1360"/>
    </row>
    <row r="533">
      <c r="A533" s="1351" t="s">
        <v>329</v>
      </c>
      <c r="B533" s="1352" t="s">
        <v>871</v>
      </c>
      <c r="C533" s="1353" t="s">
        <v>1642</v>
      </c>
      <c r="D533" s="1353">
        <v>0.85</v>
      </c>
      <c r="E533" s="1353">
        <v>1.05</v>
      </c>
      <c r="F533" s="1355">
        <v>1479.0</v>
      </c>
      <c r="G533" s="1356"/>
      <c r="H533" s="1359"/>
      <c r="I533" s="1362"/>
    </row>
    <row r="534">
      <c r="A534" s="1344" t="s">
        <v>329</v>
      </c>
      <c r="B534" s="1345" t="s">
        <v>3021</v>
      </c>
      <c r="C534" s="1346" t="s">
        <v>1642</v>
      </c>
      <c r="D534" s="1346">
        <v>1.37</v>
      </c>
      <c r="E534" s="1346">
        <v>1.65</v>
      </c>
      <c r="F534" s="1348">
        <v>3392.0</v>
      </c>
      <c r="G534" s="1349"/>
      <c r="H534" s="1358">
        <v>228.0</v>
      </c>
      <c r="I534" s="1361"/>
    </row>
    <row r="535">
      <c r="A535" s="1351" t="s">
        <v>329</v>
      </c>
      <c r="B535" s="1352" t="s">
        <v>3022</v>
      </c>
      <c r="C535" s="1353" t="s">
        <v>1642</v>
      </c>
      <c r="D535" s="1353">
        <v>2.28</v>
      </c>
      <c r="E535" s="1354">
        <v>2.75</v>
      </c>
      <c r="F535" s="1355">
        <v>8761.0</v>
      </c>
      <c r="G535" s="1356"/>
      <c r="H535" s="1359">
        <v>45.0</v>
      </c>
      <c r="I535" s="1363"/>
    </row>
    <row r="536">
      <c r="A536" s="1344" t="s">
        <v>317</v>
      </c>
      <c r="B536" s="1345" t="s">
        <v>874</v>
      </c>
      <c r="C536" s="1346" t="s">
        <v>1642</v>
      </c>
      <c r="D536" s="1346">
        <v>2.62</v>
      </c>
      <c r="E536" s="1346">
        <v>3.15</v>
      </c>
      <c r="F536" s="1348">
        <v>11085.0</v>
      </c>
      <c r="G536" s="1349"/>
      <c r="H536" s="1346"/>
      <c r="I536" s="1360"/>
    </row>
    <row r="537">
      <c r="A537" s="1351" t="s">
        <v>317</v>
      </c>
      <c r="B537" s="1352" t="s">
        <v>875</v>
      </c>
      <c r="C537" s="1353" t="s">
        <v>1642</v>
      </c>
      <c r="D537" s="1353">
        <v>4.57</v>
      </c>
      <c r="E537" s="1353">
        <v>5.5</v>
      </c>
      <c r="F537" s="1355">
        <v>13914.0</v>
      </c>
      <c r="G537" s="1356"/>
      <c r="H537" s="1359"/>
      <c r="I537" s="1363"/>
    </row>
    <row r="538">
      <c r="A538" s="1344" t="s">
        <v>317</v>
      </c>
      <c r="B538" s="1345" t="s">
        <v>876</v>
      </c>
      <c r="C538" s="1346" t="s">
        <v>1642</v>
      </c>
      <c r="D538" s="1346">
        <v>5.37</v>
      </c>
      <c r="E538" s="1347">
        <v>6.45</v>
      </c>
      <c r="F538" s="1348"/>
      <c r="G538" s="1349"/>
      <c r="H538" s="1346"/>
      <c r="I538" s="1360"/>
    </row>
    <row r="539">
      <c r="A539" s="1351" t="s">
        <v>329</v>
      </c>
      <c r="B539" s="1352" t="s">
        <v>3023</v>
      </c>
      <c r="C539" s="1353" t="s">
        <v>1642</v>
      </c>
      <c r="D539" s="1353">
        <v>0.2</v>
      </c>
      <c r="E539" s="1354">
        <v>0.25</v>
      </c>
      <c r="F539" s="1355"/>
      <c r="G539" s="1356"/>
      <c r="H539" s="1353">
        <v>242.0</v>
      </c>
      <c r="I539" s="1362"/>
    </row>
    <row r="540">
      <c r="A540" s="1344" t="s">
        <v>317</v>
      </c>
      <c r="B540" s="1345" t="s">
        <v>878</v>
      </c>
      <c r="C540" s="1346" t="s">
        <v>1642</v>
      </c>
      <c r="D540" s="1346"/>
      <c r="E540" s="1347"/>
      <c r="F540" s="1348"/>
      <c r="G540" s="1349"/>
      <c r="H540" s="1346"/>
      <c r="I540" s="1350" t="s">
        <v>3024</v>
      </c>
    </row>
    <row r="541">
      <c r="A541" s="1351" t="s">
        <v>3025</v>
      </c>
      <c r="B541" s="1352" t="s">
        <v>3026</v>
      </c>
      <c r="C541" s="1353" t="s">
        <v>1495</v>
      </c>
      <c r="D541" s="1353">
        <v>131.02</v>
      </c>
      <c r="E541" s="1354">
        <v>150.7</v>
      </c>
      <c r="F541" s="1355"/>
      <c r="G541" s="1356"/>
      <c r="H541" s="1359">
        <v>1.0</v>
      </c>
      <c r="I541" s="1362"/>
    </row>
    <row r="542">
      <c r="A542" s="1344" t="s">
        <v>3025</v>
      </c>
      <c r="B542" s="1345" t="s">
        <v>880</v>
      </c>
      <c r="C542" s="1346" t="s">
        <v>1495</v>
      </c>
      <c r="D542" s="1346">
        <v>155.08</v>
      </c>
      <c r="E542" s="1347">
        <v>178.35</v>
      </c>
      <c r="F542" s="1348"/>
      <c r="G542" s="1364"/>
      <c r="H542" s="1346"/>
      <c r="I542" s="1360"/>
    </row>
    <row r="543">
      <c r="A543" s="1351" t="s">
        <v>327</v>
      </c>
      <c r="B543" s="1352" t="s">
        <v>881</v>
      </c>
      <c r="C543" s="1353" t="s">
        <v>1495</v>
      </c>
      <c r="D543" s="1353"/>
      <c r="E543" s="1354"/>
      <c r="F543" s="1355"/>
      <c r="G543" s="1356"/>
      <c r="H543" s="1353"/>
      <c r="I543" s="1362"/>
    </row>
    <row r="544">
      <c r="A544" s="1344" t="s">
        <v>2393</v>
      </c>
      <c r="B544" s="1345" t="s">
        <v>882</v>
      </c>
      <c r="C544" s="1346" t="s">
        <v>2463</v>
      </c>
      <c r="D544" s="1346">
        <v>1.15</v>
      </c>
      <c r="E544" s="1346">
        <v>1.4</v>
      </c>
      <c r="F544" s="1348" t="s">
        <v>3027</v>
      </c>
      <c r="G544" s="1349"/>
      <c r="H544" s="1358"/>
      <c r="I544" s="1350" t="s">
        <v>3028</v>
      </c>
    </row>
    <row r="545">
      <c r="A545" s="1351" t="s">
        <v>2393</v>
      </c>
      <c r="B545" s="1352" t="s">
        <v>883</v>
      </c>
      <c r="C545" s="1353" t="s">
        <v>2463</v>
      </c>
      <c r="D545" s="1353">
        <v>1.6</v>
      </c>
      <c r="E545" s="1353">
        <v>1.95</v>
      </c>
      <c r="F545" s="1355" t="s">
        <v>3029</v>
      </c>
      <c r="G545" s="1356"/>
      <c r="H545" s="1353"/>
      <c r="I545" s="1357" t="s">
        <v>3030</v>
      </c>
    </row>
    <row r="546">
      <c r="A546" s="1344" t="s">
        <v>2393</v>
      </c>
      <c r="B546" s="1345" t="s">
        <v>254</v>
      </c>
      <c r="C546" s="1346" t="s">
        <v>2463</v>
      </c>
      <c r="D546" s="1346">
        <v>3.29</v>
      </c>
      <c r="E546" s="1346">
        <v>3.95</v>
      </c>
      <c r="F546" s="1348" t="s">
        <v>3031</v>
      </c>
      <c r="G546" s="1349"/>
      <c r="H546" s="1346">
        <v>85.0</v>
      </c>
      <c r="I546" s="1350" t="s">
        <v>3032</v>
      </c>
    </row>
    <row r="547">
      <c r="A547" s="1351" t="s">
        <v>327</v>
      </c>
      <c r="B547" s="1352" t="s">
        <v>885</v>
      </c>
      <c r="C547" s="1353" t="s">
        <v>1495</v>
      </c>
      <c r="D547" s="1353">
        <v>120.83</v>
      </c>
      <c r="E547" s="1353">
        <v>139.0</v>
      </c>
      <c r="F547" s="1355" t="s">
        <v>3033</v>
      </c>
      <c r="G547" s="1356"/>
      <c r="H547" s="1353"/>
      <c r="I547" s="1362"/>
    </row>
    <row r="548">
      <c r="A548" s="1344" t="s">
        <v>327</v>
      </c>
      <c r="B548" s="1345" t="s">
        <v>886</v>
      </c>
      <c r="C548" s="1346" t="s">
        <v>1495</v>
      </c>
      <c r="D548" s="1346">
        <v>189.0</v>
      </c>
      <c r="E548" s="1347">
        <v>217.35</v>
      </c>
      <c r="F548" s="1348" t="s">
        <v>3034</v>
      </c>
      <c r="G548" s="1349"/>
      <c r="H548" s="1358"/>
      <c r="I548" s="1350" t="s">
        <v>3035</v>
      </c>
    </row>
    <row r="549">
      <c r="A549" s="1351" t="s">
        <v>327</v>
      </c>
      <c r="B549" s="1352" t="s">
        <v>3036</v>
      </c>
      <c r="C549" s="1353" t="s">
        <v>1495</v>
      </c>
      <c r="D549" s="1353">
        <v>234.0</v>
      </c>
      <c r="E549" s="1354">
        <v>269.1</v>
      </c>
      <c r="F549" s="1355" t="s">
        <v>3037</v>
      </c>
      <c r="G549" s="1356"/>
      <c r="H549" s="1353">
        <v>1.0</v>
      </c>
      <c r="I549" s="1357" t="s">
        <v>3038</v>
      </c>
    </row>
    <row r="550">
      <c r="A550" s="1344" t="s">
        <v>327</v>
      </c>
      <c r="B550" s="1345" t="s">
        <v>888</v>
      </c>
      <c r="C550" s="1346" t="s">
        <v>1495</v>
      </c>
      <c r="D550" s="1346"/>
      <c r="E550" s="1347"/>
      <c r="F550" s="1348" t="s">
        <v>3039</v>
      </c>
      <c r="G550" s="1349"/>
      <c r="H550" s="1346"/>
      <c r="I550" s="1360"/>
    </row>
    <row r="551">
      <c r="A551" s="1351" t="s">
        <v>323</v>
      </c>
      <c r="B551" s="1352" t="s">
        <v>889</v>
      </c>
      <c r="C551" s="1353" t="s">
        <v>1495</v>
      </c>
      <c r="D551" s="1353">
        <v>139.03</v>
      </c>
      <c r="E551" s="1354">
        <v>159.9</v>
      </c>
      <c r="F551" s="1355"/>
      <c r="G551" s="1356"/>
      <c r="H551" s="1359"/>
      <c r="I551" s="1362"/>
    </row>
    <row r="552">
      <c r="A552" s="1344" t="s">
        <v>323</v>
      </c>
      <c r="B552" s="1345" t="s">
        <v>121</v>
      </c>
      <c r="C552" s="1346" t="s">
        <v>1495</v>
      </c>
      <c r="D552" s="1346">
        <v>66.01</v>
      </c>
      <c r="E552" s="1347">
        <v>75.95</v>
      </c>
      <c r="F552" s="1348"/>
      <c r="G552" s="1349"/>
      <c r="H552" s="1358">
        <v>1.0</v>
      </c>
      <c r="I552" s="1360"/>
    </row>
    <row r="553">
      <c r="A553" s="1351" t="s">
        <v>323</v>
      </c>
      <c r="B553" s="1352" t="s">
        <v>891</v>
      </c>
      <c r="C553" s="1353" t="s">
        <v>1495</v>
      </c>
      <c r="D553" s="1353">
        <v>40.0</v>
      </c>
      <c r="E553" s="1354">
        <v>46.0</v>
      </c>
      <c r="F553" s="1355"/>
      <c r="G553" s="1356"/>
      <c r="H553" s="1359"/>
      <c r="I553" s="1362"/>
    </row>
    <row r="554">
      <c r="A554" s="1344" t="s">
        <v>323</v>
      </c>
      <c r="B554" s="1345" t="s">
        <v>892</v>
      </c>
      <c r="C554" s="1346" t="s">
        <v>1495</v>
      </c>
      <c r="D554" s="1346">
        <v>40.0</v>
      </c>
      <c r="E554" s="1347">
        <v>46.0</v>
      </c>
      <c r="F554" s="1348"/>
      <c r="G554" s="1349"/>
      <c r="H554" s="1358"/>
      <c r="I554" s="1360"/>
    </row>
    <row r="555">
      <c r="A555" s="1351" t="s">
        <v>323</v>
      </c>
      <c r="B555" s="1352" t="s">
        <v>3040</v>
      </c>
      <c r="C555" s="1353" t="s">
        <v>1495</v>
      </c>
      <c r="D555" s="1353">
        <v>21.8</v>
      </c>
      <c r="E555" s="1353">
        <v>25.1</v>
      </c>
      <c r="F555" s="1355"/>
      <c r="G555" s="1356"/>
      <c r="H555" s="1353">
        <v>1.0</v>
      </c>
      <c r="I555" s="1362"/>
    </row>
    <row r="556">
      <c r="A556" s="1344" t="s">
        <v>323</v>
      </c>
      <c r="B556" s="1345" t="s">
        <v>894</v>
      </c>
      <c r="C556" s="1346" t="s">
        <v>1495</v>
      </c>
      <c r="D556" s="1346"/>
      <c r="E556" s="1347"/>
      <c r="F556" s="1348"/>
      <c r="G556" s="1349"/>
      <c r="H556" s="1358"/>
      <c r="I556" s="1360"/>
    </row>
    <row r="557">
      <c r="A557" s="1351" t="s">
        <v>322</v>
      </c>
      <c r="B557" s="1352" t="s">
        <v>895</v>
      </c>
      <c r="C557" s="1353" t="s">
        <v>1495</v>
      </c>
      <c r="D557" s="1353"/>
      <c r="E557" s="1354"/>
      <c r="F557" s="1355"/>
      <c r="G557" s="1356"/>
      <c r="H557" s="1353"/>
      <c r="I557" s="1362"/>
    </row>
    <row r="558">
      <c r="A558" s="1344" t="s">
        <v>322</v>
      </c>
      <c r="B558" s="1345" t="s">
        <v>896</v>
      </c>
      <c r="C558" s="1346" t="s">
        <v>1495</v>
      </c>
      <c r="D558" s="1346">
        <v>170.0</v>
      </c>
      <c r="E558" s="1346">
        <v>195.5</v>
      </c>
      <c r="F558" s="1348"/>
      <c r="G558" s="1349"/>
      <c r="H558" s="1358"/>
      <c r="I558" s="1360"/>
    </row>
    <row r="559">
      <c r="A559" s="1351" t="s">
        <v>322</v>
      </c>
      <c r="B559" s="1352" t="s">
        <v>897</v>
      </c>
      <c r="C559" s="1353" t="s">
        <v>1495</v>
      </c>
      <c r="D559" s="1353">
        <v>149.53</v>
      </c>
      <c r="E559" s="1354">
        <v>172.0</v>
      </c>
      <c r="F559" s="1355"/>
      <c r="G559" s="1356"/>
      <c r="H559" s="1359"/>
      <c r="I559" s="1357" t="s">
        <v>3041</v>
      </c>
    </row>
    <row r="560">
      <c r="A560" s="1344" t="s">
        <v>322</v>
      </c>
      <c r="B560" s="1345" t="s">
        <v>898</v>
      </c>
      <c r="C560" s="1346" t="s">
        <v>1495</v>
      </c>
      <c r="D560" s="1346">
        <v>144.0</v>
      </c>
      <c r="E560" s="1347">
        <v>165.6</v>
      </c>
      <c r="F560" s="1348" t="s">
        <v>3042</v>
      </c>
      <c r="G560" s="1349"/>
      <c r="H560" s="1358"/>
      <c r="I560" s="1350" t="s">
        <v>3043</v>
      </c>
    </row>
    <row r="561">
      <c r="A561" s="1351" t="s">
        <v>322</v>
      </c>
      <c r="B561" s="1352" t="s">
        <v>899</v>
      </c>
      <c r="C561" s="1353" t="s">
        <v>1495</v>
      </c>
      <c r="D561" s="1353">
        <v>142.91</v>
      </c>
      <c r="E561" s="1353">
        <v>164.35</v>
      </c>
      <c r="F561" s="1355">
        <v>12039.0</v>
      </c>
      <c r="G561" s="1356">
        <v>6.0</v>
      </c>
      <c r="H561" s="1359"/>
      <c r="I561" s="1357" t="s">
        <v>3044</v>
      </c>
    </row>
    <row r="562">
      <c r="A562" s="1344" t="s">
        <v>322</v>
      </c>
      <c r="B562" s="1345" t="s">
        <v>3045</v>
      </c>
      <c r="C562" s="1346" t="s">
        <v>1495</v>
      </c>
      <c r="D562" s="1346">
        <v>220.1</v>
      </c>
      <c r="E562" s="1346">
        <v>253.15</v>
      </c>
      <c r="F562" s="1348"/>
      <c r="G562" s="1349">
        <v>6.0</v>
      </c>
      <c r="H562" s="1358">
        <v>1.0</v>
      </c>
      <c r="I562" s="1360"/>
    </row>
    <row r="563">
      <c r="A563" s="1351" t="s">
        <v>322</v>
      </c>
      <c r="B563" s="1352" t="s">
        <v>901</v>
      </c>
      <c r="C563" s="1353" t="s">
        <v>1495</v>
      </c>
      <c r="D563" s="1353"/>
      <c r="E563" s="1354"/>
      <c r="F563" s="1355"/>
      <c r="G563" s="1356"/>
      <c r="H563" s="1359"/>
      <c r="I563" s="1362"/>
    </row>
    <row r="564">
      <c r="A564" s="1344" t="s">
        <v>322</v>
      </c>
      <c r="B564" s="1345" t="s">
        <v>902</v>
      </c>
      <c r="C564" s="1346" t="s">
        <v>1495</v>
      </c>
      <c r="D564" s="1346">
        <v>265.0</v>
      </c>
      <c r="E564" s="1347">
        <v>304.75</v>
      </c>
      <c r="F564" s="1348"/>
      <c r="G564" s="1349">
        <v>5.0</v>
      </c>
      <c r="H564" s="1358"/>
      <c r="I564" s="1350" t="s">
        <v>3046</v>
      </c>
    </row>
    <row r="565">
      <c r="A565" s="1351" t="s">
        <v>322</v>
      </c>
      <c r="B565" s="1352" t="s">
        <v>903</v>
      </c>
      <c r="C565" s="1353" t="s">
        <v>1495</v>
      </c>
      <c r="D565" s="1353"/>
      <c r="E565" s="1353"/>
      <c r="F565" s="1355"/>
      <c r="G565" s="1356">
        <v>3.0</v>
      </c>
      <c r="H565" s="1353"/>
      <c r="I565" s="1357" t="s">
        <v>3047</v>
      </c>
    </row>
    <row r="566">
      <c r="A566"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15.75</v>
      </c>
      <c r="E567" s="1354">
        <v>18.15</v>
      </c>
      <c r="F567" s="1355"/>
      <c r="G567" s="1356"/>
      <c r="H567" s="1359">
        <v>3.0</v>
      </c>
      <c r="I567" s="1357" t="s">
        <v>3049</v>
      </c>
    </row>
    <row r="568">
      <c r="A568" s="1344" t="s">
        <v>324</v>
      </c>
      <c r="B568" s="1345" t="s">
        <v>906</v>
      </c>
      <c r="C568" s="1346" t="s">
        <v>1495</v>
      </c>
      <c r="D568" s="1346">
        <v>46.18</v>
      </c>
      <c r="E568" s="1347">
        <v>53.15</v>
      </c>
      <c r="F568" s="1348"/>
      <c r="G568" s="1349"/>
      <c r="H568" s="1358"/>
      <c r="I568" s="1360"/>
    </row>
    <row r="569">
      <c r="A569" s="1351" t="s">
        <v>3025</v>
      </c>
      <c r="B569" s="1352" t="s">
        <v>3050</v>
      </c>
      <c r="C569" s="1353" t="s">
        <v>1495</v>
      </c>
      <c r="D569" s="1353">
        <v>65.8</v>
      </c>
      <c r="E569" s="1354">
        <v>75.7</v>
      </c>
      <c r="F569" s="1355"/>
      <c r="G569" s="1356"/>
      <c r="H569" s="1353">
        <v>1.0</v>
      </c>
      <c r="I569" s="1362"/>
    </row>
    <row r="570">
      <c r="A570" s="1344" t="s">
        <v>328</v>
      </c>
      <c r="B570" s="1345" t="s">
        <v>208</v>
      </c>
      <c r="C570" s="1346" t="s">
        <v>1495</v>
      </c>
      <c r="D570" s="1346">
        <v>88.0</v>
      </c>
      <c r="E570" s="1346">
        <v>101.2</v>
      </c>
      <c r="F570" s="1348" t="s">
        <v>3051</v>
      </c>
      <c r="G570" s="1349"/>
      <c r="H570" s="1358">
        <v>11.0</v>
      </c>
      <c r="I570" s="1350" t="s">
        <v>3052</v>
      </c>
    </row>
    <row r="571">
      <c r="A571" s="1351" t="s">
        <v>328</v>
      </c>
      <c r="B571" s="1352" t="s">
        <v>3053</v>
      </c>
      <c r="C571" s="1353" t="s">
        <v>1495</v>
      </c>
      <c r="D571" s="1353">
        <v>105.0</v>
      </c>
      <c r="E571" s="1354">
        <v>120.75</v>
      </c>
      <c r="F571" s="1355" t="s">
        <v>3054</v>
      </c>
      <c r="G571" s="1356"/>
      <c r="H571" s="1359">
        <v>6.0</v>
      </c>
      <c r="I571" s="1357" t="s">
        <v>3055</v>
      </c>
    </row>
    <row r="572">
      <c r="A572" s="1344" t="s">
        <v>3056</v>
      </c>
      <c r="B572" s="1345" t="s">
        <v>910</v>
      </c>
      <c r="C572" s="1346" t="s">
        <v>1495</v>
      </c>
      <c r="D572" s="1346">
        <v>0.74</v>
      </c>
      <c r="E572" s="1347">
        <v>0.9</v>
      </c>
      <c r="F572" s="1348" t="s">
        <v>3057</v>
      </c>
      <c r="G572" s="1349"/>
      <c r="H572" s="1358"/>
      <c r="I572" s="1360"/>
    </row>
    <row r="573">
      <c r="A573" s="1351" t="s">
        <v>3058</v>
      </c>
      <c r="B573" s="1352" t="s">
        <v>3059</v>
      </c>
      <c r="C573" s="1353" t="s">
        <v>1495</v>
      </c>
      <c r="D573" s="1353">
        <v>0.48</v>
      </c>
      <c r="E573" s="1354">
        <v>0.6</v>
      </c>
      <c r="F573" s="1355"/>
      <c r="G573" s="1356"/>
      <c r="H573" s="1359">
        <v>132.0</v>
      </c>
      <c r="I573" s="1362"/>
    </row>
    <row r="574">
      <c r="A574" s="1344" t="s">
        <v>3058</v>
      </c>
      <c r="B574" s="1345" t="s">
        <v>3060</v>
      </c>
      <c r="C574" s="1346" t="s">
        <v>1495</v>
      </c>
      <c r="D574" s="1346"/>
      <c r="E574" s="1347"/>
      <c r="F574" s="1348"/>
      <c r="G574" s="1349"/>
      <c r="H574" s="1358">
        <v>200.0</v>
      </c>
      <c r="I574" s="1361"/>
    </row>
    <row r="575">
      <c r="A575" s="1351" t="s">
        <v>311</v>
      </c>
      <c r="B575" s="1352" t="s">
        <v>3061</v>
      </c>
      <c r="C575" s="1353" t="s">
        <v>1495</v>
      </c>
      <c r="D575" s="1353">
        <v>0.96</v>
      </c>
      <c r="E575" s="1354">
        <v>1.2</v>
      </c>
      <c r="F575" s="1355"/>
      <c r="G575" s="1356"/>
      <c r="H575" s="1359">
        <v>236.0</v>
      </c>
      <c r="I575" s="1362"/>
    </row>
    <row r="576">
      <c r="A576" s="1344" t="s">
        <v>3058</v>
      </c>
      <c r="B576" s="1345" t="s">
        <v>3062</v>
      </c>
      <c r="C576" s="1346" t="s">
        <v>1495</v>
      </c>
      <c r="D576" s="1346">
        <v>0.72</v>
      </c>
      <c r="E576" s="1347">
        <v>0.9</v>
      </c>
      <c r="F576" s="1348" t="s">
        <v>3063</v>
      </c>
      <c r="G576" s="1349"/>
      <c r="H576" s="1346">
        <v>661.0</v>
      </c>
      <c r="I576" s="1360"/>
    </row>
    <row r="577">
      <c r="A577" s="1351" t="s">
        <v>3056</v>
      </c>
      <c r="B577" s="1352" t="s">
        <v>915</v>
      </c>
      <c r="C577" s="1353" t="s">
        <v>1495</v>
      </c>
      <c r="D577" s="1353">
        <v>15.23</v>
      </c>
      <c r="E577" s="1353">
        <v>18.3</v>
      </c>
      <c r="F577" s="1355" t="s">
        <v>3064</v>
      </c>
      <c r="G577" s="1356"/>
      <c r="H577" s="1359"/>
      <c r="I577" s="1362"/>
    </row>
    <row r="578">
      <c r="A578" s="1344" t="s">
        <v>314</v>
      </c>
      <c r="B578" s="1345" t="s">
        <v>3065</v>
      </c>
      <c r="C578" s="1346" t="s">
        <v>1495</v>
      </c>
      <c r="D578" s="1346">
        <v>9.81</v>
      </c>
      <c r="E578" s="1347">
        <v>11.3</v>
      </c>
      <c r="F578" s="1348" t="s">
        <v>3066</v>
      </c>
      <c r="G578" s="1349"/>
      <c r="H578" s="1358">
        <v>13.0</v>
      </c>
      <c r="I578" s="1360"/>
    </row>
    <row r="579">
      <c r="A579" s="1351" t="s">
        <v>3056</v>
      </c>
      <c r="B579" s="1352" t="s">
        <v>917</v>
      </c>
      <c r="C579" s="1353" t="s">
        <v>1495</v>
      </c>
      <c r="D579" s="1353">
        <v>3.3</v>
      </c>
      <c r="E579" s="1354">
        <v>3.8</v>
      </c>
      <c r="F579" s="1355" t="s">
        <v>3067</v>
      </c>
      <c r="G579" s="1356"/>
      <c r="H579" s="1359"/>
      <c r="I579" s="1362"/>
    </row>
    <row r="580">
      <c r="A580" s="1344" t="s">
        <v>3056</v>
      </c>
      <c r="B580" s="1345" t="s">
        <v>918</v>
      </c>
      <c r="C580" s="1346" t="s">
        <v>1495</v>
      </c>
      <c r="D580" s="1346">
        <v>3.32</v>
      </c>
      <c r="E580" s="1347">
        <v>3.85</v>
      </c>
      <c r="F580" s="1348" t="s">
        <v>3068</v>
      </c>
      <c r="G580" s="1349"/>
      <c r="H580" s="1358"/>
      <c r="I580" s="1360"/>
    </row>
    <row r="581">
      <c r="A581" s="1351" t="s">
        <v>2695</v>
      </c>
      <c r="B581" s="1352" t="s">
        <v>3069</v>
      </c>
      <c r="C581" s="1353" t="s">
        <v>1495</v>
      </c>
      <c r="D581" s="1353"/>
      <c r="E581" s="1354"/>
      <c r="F581" s="1355"/>
      <c r="G581" s="1356"/>
      <c r="H581" s="1359">
        <v>65.0</v>
      </c>
      <c r="I581" s="1363"/>
    </row>
    <row r="582">
      <c r="A582" s="1344" t="s">
        <v>2695</v>
      </c>
      <c r="B582" s="1345" t="s">
        <v>3070</v>
      </c>
      <c r="C582" s="1346" t="s">
        <v>1495</v>
      </c>
      <c r="D582" s="1346"/>
      <c r="E582" s="1346"/>
      <c r="F582" s="1348"/>
      <c r="G582" s="1349"/>
      <c r="H582" s="1358">
        <v>20.0</v>
      </c>
      <c r="I582" s="1360"/>
    </row>
    <row r="583">
      <c r="A583" s="1351" t="s">
        <v>2695</v>
      </c>
      <c r="B583" s="1352" t="s">
        <v>3071</v>
      </c>
      <c r="C583" s="1353" t="s">
        <v>1495</v>
      </c>
      <c r="D583" s="1353">
        <v>0.32</v>
      </c>
      <c r="E583" s="1353">
        <v>0.4</v>
      </c>
      <c r="F583" s="1355"/>
      <c r="G583" s="1356"/>
      <c r="H583" s="1359">
        <v>2.0</v>
      </c>
      <c r="I583" s="1362"/>
    </row>
    <row r="584">
      <c r="A584" s="1344" t="s">
        <v>2695</v>
      </c>
      <c r="B584" s="1345" t="s">
        <v>3072</v>
      </c>
      <c r="C584" s="1346" t="s">
        <v>1495</v>
      </c>
      <c r="D584" s="1346"/>
      <c r="E584" s="1347"/>
      <c r="F584" s="1348"/>
      <c r="G584" s="1349"/>
      <c r="H584" s="1346">
        <v>93.0</v>
      </c>
      <c r="I584" s="1360"/>
    </row>
    <row r="585">
      <c r="A585" s="1351" t="s">
        <v>2695</v>
      </c>
      <c r="B585" s="1352" t="s">
        <v>923</v>
      </c>
      <c r="C585" s="1353" t="s">
        <v>1495</v>
      </c>
      <c r="D585" s="1353">
        <v>0.05</v>
      </c>
      <c r="E585" s="1353">
        <v>0.1</v>
      </c>
      <c r="F585" s="1355"/>
      <c r="G585" s="1356"/>
      <c r="H585" s="1359"/>
      <c r="I585" s="1363"/>
    </row>
    <row r="586">
      <c r="A586" s="1344" t="s">
        <v>2695</v>
      </c>
      <c r="B586" s="1345" t="s">
        <v>3073</v>
      </c>
      <c r="C586" s="1346" t="s">
        <v>1495</v>
      </c>
      <c r="D586" s="1346"/>
      <c r="E586" s="1346"/>
      <c r="F586" s="1348"/>
      <c r="G586" s="1349"/>
      <c r="H586" s="1358">
        <v>65.0</v>
      </c>
      <c r="I586" s="1361"/>
    </row>
    <row r="587">
      <c r="A587" s="1351" t="s">
        <v>2695</v>
      </c>
      <c r="B587" s="1352" t="s">
        <v>925</v>
      </c>
      <c r="C587" s="1353" t="s">
        <v>1495</v>
      </c>
      <c r="D587" s="1353"/>
      <c r="E587" s="1353"/>
      <c r="F587" s="1355"/>
      <c r="G587" s="1356"/>
      <c r="H587" s="1359"/>
      <c r="I587" s="1363"/>
    </row>
    <row r="588">
      <c r="A588" s="1344" t="s">
        <v>2695</v>
      </c>
      <c r="B588" s="1345" t="s">
        <v>3074</v>
      </c>
      <c r="C588" s="1346" t="s">
        <v>1495</v>
      </c>
      <c r="D588" s="1346"/>
      <c r="E588" s="1346"/>
      <c r="F588" s="1348"/>
      <c r="G588" s="1349"/>
      <c r="H588" s="1358">
        <v>45.0</v>
      </c>
      <c r="I588" s="1361"/>
    </row>
    <row r="589">
      <c r="A589" s="1351" t="s">
        <v>2695</v>
      </c>
      <c r="B589" s="1352" t="s">
        <v>3075</v>
      </c>
      <c r="C589" s="1353" t="s">
        <v>1495</v>
      </c>
      <c r="D589" s="1353"/>
      <c r="E589" s="1353"/>
      <c r="F589" s="1355"/>
      <c r="G589" s="1356"/>
      <c r="H589" s="1359">
        <v>58.0</v>
      </c>
      <c r="I589" s="1363"/>
    </row>
    <row r="590">
      <c r="A590" s="1344" t="s">
        <v>2695</v>
      </c>
      <c r="B590" s="1345" t="s">
        <v>928</v>
      </c>
      <c r="C590" s="1346" t="s">
        <v>1495</v>
      </c>
      <c r="D590" s="1346"/>
      <c r="E590" s="1346"/>
      <c r="F590" s="1348"/>
      <c r="G590" s="1349"/>
      <c r="H590" s="1358"/>
      <c r="I590" s="1350" t="s">
        <v>3076</v>
      </c>
    </row>
    <row r="591">
      <c r="A591" s="1351" t="s">
        <v>2695</v>
      </c>
      <c r="B591" s="1352" t="s">
        <v>3077</v>
      </c>
      <c r="C591" s="1353" t="s">
        <v>1495</v>
      </c>
      <c r="D591" s="1353"/>
      <c r="E591" s="1354"/>
      <c r="F591" s="1355"/>
      <c r="G591" s="1356"/>
      <c r="H591" s="1359">
        <v>65.0</v>
      </c>
      <c r="I591" s="1363"/>
    </row>
    <row r="592">
      <c r="A592" s="1344" t="s">
        <v>2695</v>
      </c>
      <c r="B592" s="1345" t="s">
        <v>3078</v>
      </c>
      <c r="C592" s="1346" t="s">
        <v>1495</v>
      </c>
      <c r="D592" s="1346"/>
      <c r="E592" s="1346"/>
      <c r="F592" s="1348"/>
      <c r="G592" s="1349"/>
      <c r="H592" s="1358">
        <v>111.0</v>
      </c>
      <c r="I592" s="1361"/>
    </row>
    <row r="593">
      <c r="A593" s="1351" t="s">
        <v>2695</v>
      </c>
      <c r="B593" s="1352" t="s">
        <v>931</v>
      </c>
      <c r="C593" s="1353" t="s">
        <v>1495</v>
      </c>
      <c r="D593" s="1353"/>
      <c r="E593" s="1353"/>
      <c r="F593" s="1355"/>
      <c r="G593" s="1356"/>
      <c r="H593" s="1359"/>
      <c r="I593" s="1363"/>
    </row>
    <row r="594">
      <c r="A594" s="1344" t="s">
        <v>2695</v>
      </c>
      <c r="B594" s="1345" t="s">
        <v>3079</v>
      </c>
      <c r="C594" s="1346" t="s">
        <v>1495</v>
      </c>
      <c r="D594" s="1346">
        <v>0.06</v>
      </c>
      <c r="E594" s="1347">
        <v>0.1</v>
      </c>
      <c r="F594" s="1348"/>
      <c r="G594" s="1349"/>
      <c r="H594" s="1358">
        <v>155.0</v>
      </c>
      <c r="I594" s="1361"/>
    </row>
    <row r="595">
      <c r="A595" s="1351" t="s">
        <v>2695</v>
      </c>
      <c r="B595" s="1352" t="s">
        <v>3080</v>
      </c>
      <c r="C595" s="1353" t="s">
        <v>1495</v>
      </c>
      <c r="D595" s="1353"/>
      <c r="E595" s="1354"/>
      <c r="F595" s="1355"/>
      <c r="G595" s="1356"/>
      <c r="H595" s="1359">
        <v>83.0</v>
      </c>
      <c r="I595" s="1362"/>
    </row>
    <row r="596">
      <c r="A596" s="1344" t="s">
        <v>2695</v>
      </c>
      <c r="B596" s="1345" t="s">
        <v>934</v>
      </c>
      <c r="C596" s="1346" t="s">
        <v>1495</v>
      </c>
      <c r="D596" s="1346">
        <v>0.02</v>
      </c>
      <c r="E596" s="1347">
        <v>0.05</v>
      </c>
      <c r="F596" s="1348"/>
      <c r="G596" s="1349"/>
      <c r="H596" s="1358"/>
      <c r="I596" s="1361"/>
    </row>
    <row r="597">
      <c r="A597" s="1351" t="s">
        <v>2695</v>
      </c>
      <c r="B597" s="1352" t="s">
        <v>935</v>
      </c>
      <c r="C597" s="1353" t="s">
        <v>1495</v>
      </c>
      <c r="D597" s="1353"/>
      <c r="E597" s="1354"/>
      <c r="F597" s="1355"/>
      <c r="G597" s="1356"/>
      <c r="H597" s="1359"/>
      <c r="I597" s="1357" t="s">
        <v>3081</v>
      </c>
    </row>
    <row r="598">
      <c r="A598" s="1344" t="s">
        <v>2695</v>
      </c>
      <c r="B598" s="1345" t="s">
        <v>3082</v>
      </c>
      <c r="C598" s="1346" t="s">
        <v>1495</v>
      </c>
      <c r="D598" s="1346">
        <v>0.1</v>
      </c>
      <c r="E598" s="1346">
        <v>0.15</v>
      </c>
      <c r="F598" s="1348"/>
      <c r="G598" s="1349"/>
      <c r="H598" s="1358">
        <v>1.0</v>
      </c>
      <c r="I598" s="1350" t="s">
        <v>3083</v>
      </c>
    </row>
    <row r="599">
      <c r="A599" s="1351" t="s">
        <v>2695</v>
      </c>
      <c r="B599" s="1352" t="s">
        <v>3084</v>
      </c>
      <c r="C599" s="1353" t="s">
        <v>1495</v>
      </c>
      <c r="D599" s="1353"/>
      <c r="E599" s="1354"/>
      <c r="F599" s="1355"/>
      <c r="G599" s="1365"/>
      <c r="H599" s="1353">
        <v>359.0</v>
      </c>
      <c r="I599" s="1362"/>
    </row>
    <row r="600">
      <c r="A600" s="1344" t="s">
        <v>2695</v>
      </c>
      <c r="B600" s="1345" t="s">
        <v>938</v>
      </c>
      <c r="C600" s="1346" t="s">
        <v>1495</v>
      </c>
      <c r="D600" s="1346">
        <v>0.06</v>
      </c>
      <c r="E600" s="1347">
        <v>0.1</v>
      </c>
      <c r="F600" s="1348"/>
      <c r="G600" s="1349"/>
      <c r="H600" s="1358"/>
      <c r="I600" s="1360"/>
    </row>
    <row r="601">
      <c r="A601" s="1351" t="s">
        <v>2695</v>
      </c>
      <c r="B601" s="1352" t="s">
        <v>3085</v>
      </c>
      <c r="C601" s="1353" t="s">
        <v>1495</v>
      </c>
      <c r="D601" s="1353"/>
      <c r="E601" s="1353"/>
      <c r="F601" s="1355">
        <v>4.692301E7</v>
      </c>
      <c r="G601" s="1356"/>
      <c r="H601" s="1359">
        <v>788.0</v>
      </c>
      <c r="I601" s="1357" t="s">
        <v>3086</v>
      </c>
    </row>
    <row r="602">
      <c r="A602" s="1344" t="s">
        <v>2695</v>
      </c>
      <c r="B602" s="1345" t="s">
        <v>940</v>
      </c>
      <c r="C602" s="1346" t="s">
        <v>1495</v>
      </c>
      <c r="D602" s="1346">
        <v>0.1</v>
      </c>
      <c r="E602" s="1347">
        <v>0.15</v>
      </c>
      <c r="F602" s="1348">
        <v>4.9021109E7</v>
      </c>
      <c r="G602" s="1349"/>
      <c r="H602" s="1346"/>
      <c r="I602" s="1360"/>
    </row>
    <row r="603">
      <c r="A603" s="1351" t="s">
        <v>2695</v>
      </c>
      <c r="B603" s="1352" t="s">
        <v>941</v>
      </c>
      <c r="C603" s="1353" t="s">
        <v>1495</v>
      </c>
      <c r="D603" s="1353">
        <v>4.65</v>
      </c>
      <c r="E603" s="1353">
        <v>5.35</v>
      </c>
      <c r="F603" s="1355"/>
      <c r="G603" s="1356"/>
      <c r="H603" s="1353"/>
      <c r="I603" s="1362"/>
    </row>
    <row r="604">
      <c r="A604" s="1344" t="s">
        <v>2695</v>
      </c>
      <c r="B604" s="1345" t="s">
        <v>3087</v>
      </c>
      <c r="C604" s="1346" t="s">
        <v>1495</v>
      </c>
      <c r="D604" s="1346">
        <v>0.07</v>
      </c>
      <c r="E604" s="1346">
        <v>0.1</v>
      </c>
      <c r="F604" s="1348"/>
      <c r="G604" s="1349"/>
      <c r="H604" s="1346">
        <v>300.0</v>
      </c>
      <c r="I604" s="1360"/>
    </row>
    <row r="605">
      <c r="A605" s="1351" t="s">
        <v>2695</v>
      </c>
      <c r="B605" s="1352" t="s">
        <v>943</v>
      </c>
      <c r="C605" s="1353" t="s">
        <v>1495</v>
      </c>
      <c r="D605" s="1353"/>
      <c r="E605" s="1353"/>
      <c r="F605" s="1355"/>
      <c r="G605" s="1356"/>
      <c r="H605" s="1353"/>
      <c r="I605" s="1362"/>
    </row>
    <row r="606">
      <c r="A606" s="1344" t="s">
        <v>2695</v>
      </c>
      <c r="B606" s="1345" t="s">
        <v>3088</v>
      </c>
      <c r="C606" s="1346" t="s">
        <v>1495</v>
      </c>
      <c r="D606" s="1346"/>
      <c r="E606" s="1347"/>
      <c r="F606" s="1348"/>
      <c r="G606" s="1349"/>
      <c r="H606" s="1358">
        <v>19.0</v>
      </c>
      <c r="I606" s="1360"/>
    </row>
    <row r="607">
      <c r="A607" s="1351" t="s">
        <v>2695</v>
      </c>
      <c r="B607" s="1352" t="s">
        <v>3089</v>
      </c>
      <c r="C607" s="1353" t="s">
        <v>1495</v>
      </c>
      <c r="D607" s="1353"/>
      <c r="E607" s="1353"/>
      <c r="F607" s="1355">
        <v>5.004001E7</v>
      </c>
      <c r="G607" s="1356"/>
      <c r="H607" s="1359">
        <v>150.0</v>
      </c>
      <c r="I607" s="1362"/>
    </row>
    <row r="608">
      <c r="A608" s="1344" t="s">
        <v>309</v>
      </c>
      <c r="B608" s="1345" t="s">
        <v>1513</v>
      </c>
      <c r="C608" s="1346" t="s">
        <v>1495</v>
      </c>
      <c r="D608" s="1346">
        <v>0.9</v>
      </c>
      <c r="E608" s="1347">
        <v>1.1</v>
      </c>
      <c r="F608" s="1348" t="s">
        <v>3090</v>
      </c>
      <c r="G608" s="1349"/>
      <c r="H608" s="1358">
        <v>769.0</v>
      </c>
      <c r="I608" s="1360"/>
    </row>
    <row r="609">
      <c r="A609" s="1351" t="s">
        <v>328</v>
      </c>
      <c r="B609" s="1352" t="s">
        <v>214</v>
      </c>
      <c r="C609" s="1353" t="s">
        <v>1495</v>
      </c>
      <c r="D609" s="1353">
        <v>0.13</v>
      </c>
      <c r="E609" s="1353">
        <v>0.15</v>
      </c>
      <c r="F609" s="1355" t="s">
        <v>3091</v>
      </c>
      <c r="G609" s="1356"/>
      <c r="H609" s="1359">
        <v>576.0</v>
      </c>
      <c r="I609" s="1357" t="s">
        <v>3092</v>
      </c>
    </row>
    <row r="610">
      <c r="A610" s="1344" t="s">
        <v>3093</v>
      </c>
      <c r="B610" s="1345" t="s">
        <v>948</v>
      </c>
      <c r="C610" s="1346" t="s">
        <v>1495</v>
      </c>
      <c r="D610" s="1346"/>
      <c r="E610" s="1347"/>
      <c r="F610" s="1348"/>
      <c r="G610" s="1349"/>
      <c r="H610" s="1346"/>
      <c r="I610" s="1360"/>
    </row>
    <row r="611">
      <c r="A611" s="1351" t="s">
        <v>325</v>
      </c>
      <c r="B611" s="1352" t="s">
        <v>949</v>
      </c>
      <c r="C611" s="1353" t="s">
        <v>1495</v>
      </c>
      <c r="D611" s="1353"/>
      <c r="E611" s="1354"/>
      <c r="F611" s="1355"/>
      <c r="G611" s="1356"/>
      <c r="H611" s="1359"/>
      <c r="I611" s="1362"/>
    </row>
    <row r="612">
      <c r="A612" s="1344" t="s">
        <v>325</v>
      </c>
      <c r="B612" s="1345" t="s">
        <v>950</v>
      </c>
      <c r="C612" s="1346" t="s">
        <v>1495</v>
      </c>
      <c r="D612" s="1346"/>
      <c r="E612" s="1346"/>
      <c r="F612" s="1348"/>
      <c r="G612" s="1349"/>
      <c r="H612" s="1358"/>
      <c r="I612" s="1360"/>
    </row>
    <row r="613">
      <c r="A613" s="1351" t="s">
        <v>325</v>
      </c>
      <c r="B613" s="1352" t="s">
        <v>951</v>
      </c>
      <c r="C613" s="1353" t="s">
        <v>1495</v>
      </c>
      <c r="D613" s="1353"/>
      <c r="E613" s="1354"/>
      <c r="F613" s="1355"/>
      <c r="G613" s="1356"/>
      <c r="H613" s="1359"/>
      <c r="I613" s="1362"/>
    </row>
    <row r="614">
      <c r="A614" s="1344" t="s">
        <v>311</v>
      </c>
      <c r="B614" s="1345" t="s">
        <v>3094</v>
      </c>
      <c r="C614" s="1346" t="s">
        <v>1495</v>
      </c>
      <c r="D614" s="1346">
        <v>1.45</v>
      </c>
      <c r="E614" s="1346">
        <v>1.7</v>
      </c>
      <c r="F614" s="1348"/>
      <c r="G614" s="1349"/>
      <c r="H614" s="1346">
        <v>40.0</v>
      </c>
      <c r="I614" s="1360"/>
    </row>
    <row r="615">
      <c r="A615" s="1351" t="s">
        <v>328</v>
      </c>
      <c r="B615" s="1352" t="s">
        <v>953</v>
      </c>
      <c r="C615" s="1353" t="s">
        <v>1495</v>
      </c>
      <c r="D615" s="1353">
        <v>0.12</v>
      </c>
      <c r="E615" s="1353">
        <v>0.15</v>
      </c>
      <c r="F615" s="1355"/>
      <c r="G615" s="1356"/>
      <c r="H615" s="1359"/>
      <c r="I615" s="1362"/>
    </row>
    <row r="616">
      <c r="A616" s="1344" t="s">
        <v>311</v>
      </c>
      <c r="B616" s="1345" t="s">
        <v>3095</v>
      </c>
      <c r="C616" s="1346" t="s">
        <v>1495</v>
      </c>
      <c r="D616" s="1346">
        <v>1.62</v>
      </c>
      <c r="E616" s="1346">
        <v>1.9</v>
      </c>
      <c r="F616" s="1348"/>
      <c r="G616" s="1349"/>
      <c r="H616" s="1358">
        <v>173.0</v>
      </c>
      <c r="I616" s="1360"/>
    </row>
    <row r="617">
      <c r="A617" s="1351" t="s">
        <v>310</v>
      </c>
      <c r="B617" s="1352" t="s">
        <v>3096</v>
      </c>
      <c r="C617" s="1353" t="s">
        <v>1495</v>
      </c>
      <c r="D617" s="1353">
        <v>2.34</v>
      </c>
      <c r="E617" s="1353">
        <v>2.85</v>
      </c>
      <c r="F617" s="1355" t="s">
        <v>3097</v>
      </c>
      <c r="G617" s="1356"/>
      <c r="H617" s="1359">
        <v>1347.0</v>
      </c>
      <c r="I617" s="1362"/>
    </row>
    <row r="618">
      <c r="A618" s="1344" t="s">
        <v>310</v>
      </c>
      <c r="B618" s="1345" t="s">
        <v>3098</v>
      </c>
      <c r="C618" s="1346" t="s">
        <v>1495</v>
      </c>
      <c r="D618" s="1346">
        <v>1.57</v>
      </c>
      <c r="E618" s="1346">
        <v>1.9</v>
      </c>
      <c r="F618" s="1348" t="s">
        <v>3099</v>
      </c>
      <c r="G618" s="1349"/>
      <c r="H618" s="1346">
        <v>110.0</v>
      </c>
      <c r="I618" s="1360"/>
    </row>
    <row r="619">
      <c r="A619" s="1351" t="s">
        <v>325</v>
      </c>
      <c r="B619" s="1352" t="s">
        <v>957</v>
      </c>
      <c r="C619" s="1353" t="s">
        <v>1495</v>
      </c>
      <c r="D619" s="1353"/>
      <c r="E619" s="1354"/>
      <c r="F619" s="1355"/>
      <c r="G619" s="1356"/>
      <c r="H619" s="1359"/>
      <c r="I619" s="1362"/>
    </row>
    <row r="620">
      <c r="A620" s="1344" t="s">
        <v>325</v>
      </c>
      <c r="B620" s="1345" t="s">
        <v>958</v>
      </c>
      <c r="C620" s="1346" t="s">
        <v>1495</v>
      </c>
      <c r="D620" s="1346"/>
      <c r="E620" s="1347"/>
      <c r="F620" s="1348"/>
      <c r="G620" s="1349"/>
      <c r="H620" s="1346"/>
      <c r="I620" s="1360"/>
    </row>
    <row r="621">
      <c r="A621" s="1351" t="s">
        <v>328</v>
      </c>
      <c r="B621" s="1352" t="s">
        <v>212</v>
      </c>
      <c r="C621" s="1353" t="s">
        <v>1495</v>
      </c>
      <c r="D621" s="1353">
        <v>12.0</v>
      </c>
      <c r="E621" s="1354">
        <v>13.8</v>
      </c>
      <c r="F621" s="1355">
        <v>40012.0</v>
      </c>
      <c r="G621" s="1356"/>
      <c r="H621" s="1353">
        <v>19.0</v>
      </c>
      <c r="I621" s="1357" t="s">
        <v>3100</v>
      </c>
    </row>
    <row r="622">
      <c r="A622" s="1344" t="s">
        <v>314</v>
      </c>
      <c r="B622" s="1345" t="s">
        <v>3101</v>
      </c>
      <c r="C622" s="1346" t="s">
        <v>1495</v>
      </c>
      <c r="D622" s="1346">
        <v>0.1</v>
      </c>
      <c r="E622" s="1346">
        <v>0.15</v>
      </c>
      <c r="F622" s="1348" t="s">
        <v>3102</v>
      </c>
      <c r="G622" s="1349"/>
      <c r="H622" s="1358">
        <v>250.0</v>
      </c>
      <c r="I622" s="1361"/>
    </row>
    <row r="623">
      <c r="A623" s="1351" t="s">
        <v>328</v>
      </c>
      <c r="B623" s="1352" t="s">
        <v>961</v>
      </c>
      <c r="C623" s="1353" t="s">
        <v>1495</v>
      </c>
      <c r="D623" s="1353">
        <v>17.95</v>
      </c>
      <c r="E623" s="1354">
        <v>20.65</v>
      </c>
      <c r="F623" s="1355" t="s">
        <v>3103</v>
      </c>
      <c r="G623" s="1356"/>
      <c r="H623" s="1353"/>
      <c r="I623" s="1357" t="s">
        <v>3104</v>
      </c>
    </row>
    <row r="624">
      <c r="A624" s="1344" t="s">
        <v>3056</v>
      </c>
      <c r="B624" s="1345" t="s">
        <v>962</v>
      </c>
      <c r="C624" s="1346" t="s">
        <v>1495</v>
      </c>
      <c r="D624" s="1346">
        <v>0.66</v>
      </c>
      <c r="E624" s="1346">
        <v>0.8</v>
      </c>
      <c r="F624" s="1348" t="s">
        <v>3105</v>
      </c>
      <c r="G624" s="1349"/>
      <c r="H624" s="1346"/>
      <c r="I624" s="1360"/>
    </row>
    <row r="625">
      <c r="A625" s="1351" t="s">
        <v>311</v>
      </c>
      <c r="B625" s="1352" t="s">
        <v>3106</v>
      </c>
      <c r="C625" s="1353" t="s">
        <v>1495</v>
      </c>
      <c r="D625" s="1353">
        <v>0.82</v>
      </c>
      <c r="E625" s="1353">
        <v>1.0</v>
      </c>
      <c r="F625" s="1355" t="s">
        <v>3107</v>
      </c>
      <c r="G625" s="1356"/>
      <c r="H625" s="1359">
        <v>728.0</v>
      </c>
      <c r="I625" s="1362"/>
    </row>
    <row r="626">
      <c r="A626" s="1344" t="s">
        <v>309</v>
      </c>
      <c r="B626" s="1345" t="s">
        <v>1507</v>
      </c>
      <c r="C626" s="1346" t="s">
        <v>1495</v>
      </c>
      <c r="D626" s="1346">
        <v>6.73</v>
      </c>
      <c r="E626" s="1346">
        <v>8.1</v>
      </c>
      <c r="F626" s="1348" t="s">
        <v>3108</v>
      </c>
      <c r="G626" s="1349"/>
      <c r="H626" s="1346">
        <v>309.0</v>
      </c>
      <c r="I626" s="1360"/>
    </row>
    <row r="627">
      <c r="A627" s="1351" t="s">
        <v>309</v>
      </c>
      <c r="B627" s="1352" t="s">
        <v>1508</v>
      </c>
      <c r="C627" s="1353" t="s">
        <v>1495</v>
      </c>
      <c r="D627" s="1353">
        <v>8.49</v>
      </c>
      <c r="E627" s="1354">
        <v>10.2</v>
      </c>
      <c r="F627" s="1355" t="s">
        <v>3109</v>
      </c>
      <c r="G627" s="1356"/>
      <c r="H627" s="1359">
        <v>312.0</v>
      </c>
      <c r="I627" s="1362"/>
    </row>
    <row r="628">
      <c r="A628" s="1344" t="s">
        <v>309</v>
      </c>
      <c r="B628" s="1345" t="s">
        <v>1509</v>
      </c>
      <c r="C628" s="1346" t="s">
        <v>1495</v>
      </c>
      <c r="D628" s="1346">
        <v>11.35</v>
      </c>
      <c r="E628" s="1347">
        <v>13.65</v>
      </c>
      <c r="F628" s="1348" t="s">
        <v>3110</v>
      </c>
      <c r="G628" s="1349"/>
      <c r="H628" s="1358">
        <v>201.0</v>
      </c>
      <c r="I628" s="1360"/>
    </row>
    <row r="629">
      <c r="A629" s="1351" t="s">
        <v>309</v>
      </c>
      <c r="B629" s="1352" t="s">
        <v>1510</v>
      </c>
      <c r="C629" s="1353" t="s">
        <v>1495</v>
      </c>
      <c r="D629" s="1353"/>
      <c r="E629" s="1353"/>
      <c r="F629" s="1355" t="s">
        <v>3111</v>
      </c>
      <c r="G629" s="1356"/>
      <c r="H629" s="1353">
        <v>30.0</v>
      </c>
      <c r="I629" s="1362"/>
    </row>
    <row r="630">
      <c r="A630" s="1344" t="s">
        <v>309</v>
      </c>
      <c r="B630" s="1345" t="s">
        <v>1511</v>
      </c>
      <c r="C630" s="1346" t="s">
        <v>1495</v>
      </c>
      <c r="D630" s="1346">
        <v>13.27</v>
      </c>
      <c r="E630" s="1347">
        <v>15.95</v>
      </c>
      <c r="F630" s="1348" t="s">
        <v>3112</v>
      </c>
      <c r="G630" s="1349"/>
      <c r="H630" s="1358">
        <v>236.0</v>
      </c>
      <c r="I630" s="1360"/>
    </row>
    <row r="631">
      <c r="A631" s="1351" t="s">
        <v>309</v>
      </c>
      <c r="B631" s="1352" t="s">
        <v>1512</v>
      </c>
      <c r="C631" s="1353" t="s">
        <v>1495</v>
      </c>
      <c r="D631" s="1353">
        <v>17.62</v>
      </c>
      <c r="E631" s="1354">
        <v>21.15</v>
      </c>
      <c r="F631" s="1355" t="s">
        <v>3113</v>
      </c>
      <c r="G631" s="1356"/>
      <c r="H631" s="1353">
        <v>9.0</v>
      </c>
      <c r="I631" s="1362"/>
    </row>
    <row r="632">
      <c r="A632" s="1344" t="s">
        <v>328</v>
      </c>
      <c r="B632" s="1345" t="s">
        <v>3114</v>
      </c>
      <c r="C632" s="1346" t="s">
        <v>1495</v>
      </c>
      <c r="D632" s="1346">
        <v>17.64</v>
      </c>
      <c r="E632" s="1346">
        <v>20.3</v>
      </c>
      <c r="F632" s="1348" t="s">
        <v>3115</v>
      </c>
      <c r="G632" s="1349"/>
      <c r="H632" s="1358">
        <v>6.0</v>
      </c>
      <c r="I632" s="1350" t="s">
        <v>3116</v>
      </c>
    </row>
    <row r="633">
      <c r="A633" s="1351" t="s">
        <v>3058</v>
      </c>
      <c r="B633" s="1352" t="s">
        <v>3117</v>
      </c>
      <c r="C633" s="1353" t="s">
        <v>1495</v>
      </c>
      <c r="D633" s="1353">
        <v>0.48</v>
      </c>
      <c r="E633" s="1354">
        <v>0.6</v>
      </c>
      <c r="F633" s="1355"/>
      <c r="G633" s="1356"/>
      <c r="H633" s="1359">
        <v>33.0</v>
      </c>
      <c r="I633" s="1362"/>
    </row>
    <row r="634">
      <c r="A634" s="1344" t="s">
        <v>3058</v>
      </c>
      <c r="B634" s="1345" t="s">
        <v>3118</v>
      </c>
      <c r="C634" s="1346" t="s">
        <v>1495</v>
      </c>
      <c r="D634" s="1346"/>
      <c r="E634" s="1347"/>
      <c r="F634" s="1348"/>
      <c r="G634" s="1349"/>
      <c r="H634" s="1358">
        <v>299.0</v>
      </c>
      <c r="I634" s="1360"/>
    </row>
    <row r="635">
      <c r="A635" s="1351" t="s">
        <v>3058</v>
      </c>
      <c r="B635" s="1352" t="s">
        <v>3119</v>
      </c>
      <c r="C635" s="1353" t="s">
        <v>1495</v>
      </c>
      <c r="D635" s="1353">
        <v>0.92</v>
      </c>
      <c r="E635" s="1354">
        <v>1.15</v>
      </c>
      <c r="F635" s="1355" t="s">
        <v>3120</v>
      </c>
      <c r="G635" s="1356"/>
      <c r="H635" s="1359">
        <v>15.0</v>
      </c>
      <c r="I635" s="1362"/>
    </row>
    <row r="636">
      <c r="A636" s="1344" t="s">
        <v>311</v>
      </c>
      <c r="B636" s="1345" t="s">
        <v>3121</v>
      </c>
      <c r="C636" s="1346" t="s">
        <v>1495</v>
      </c>
      <c r="D636" s="1346">
        <v>0.99</v>
      </c>
      <c r="E636" s="1347">
        <v>1.15</v>
      </c>
      <c r="F636" s="1348"/>
      <c r="G636" s="1349"/>
      <c r="H636" s="1346">
        <v>704.0</v>
      </c>
      <c r="I636" s="1360"/>
    </row>
    <row r="637">
      <c r="A637" s="1351" t="s">
        <v>2695</v>
      </c>
      <c r="B637" s="1352" t="s">
        <v>3122</v>
      </c>
      <c r="C637" s="1353" t="s">
        <v>1495</v>
      </c>
      <c r="D637" s="1353"/>
      <c r="E637" s="1353"/>
      <c r="F637" s="1355"/>
      <c r="G637" s="1356"/>
      <c r="H637" s="1359">
        <v>20.0</v>
      </c>
      <c r="I637" s="1362"/>
    </row>
    <row r="638">
      <c r="A638" s="1344" t="s">
        <v>2695</v>
      </c>
      <c r="B638" s="1345" t="s">
        <v>3123</v>
      </c>
      <c r="C638" s="1346" t="s">
        <v>1495</v>
      </c>
      <c r="D638" s="1346"/>
      <c r="E638" s="1347"/>
      <c r="F638" s="1348"/>
      <c r="G638" s="1349"/>
      <c r="H638" s="1358">
        <v>80.0</v>
      </c>
      <c r="I638" s="1361"/>
    </row>
    <row r="639">
      <c r="A639" s="1351" t="s">
        <v>2695</v>
      </c>
      <c r="B639" s="1352" t="s">
        <v>3124</v>
      </c>
      <c r="C639" s="1353" t="s">
        <v>1495</v>
      </c>
      <c r="D639" s="1353"/>
      <c r="E639" s="1354"/>
      <c r="F639" s="1355"/>
      <c r="G639" s="1356"/>
      <c r="H639" s="1353">
        <v>224.0</v>
      </c>
      <c r="I639" s="1362"/>
    </row>
    <row r="640">
      <c r="A640" s="1344" t="s">
        <v>2695</v>
      </c>
      <c r="B640" s="1345" t="s">
        <v>3125</v>
      </c>
      <c r="C640" s="1346" t="s">
        <v>1495</v>
      </c>
      <c r="D640" s="1346">
        <v>0.16</v>
      </c>
      <c r="E640" s="1346">
        <v>0.2</v>
      </c>
      <c r="F640" s="1348"/>
      <c r="G640" s="1349"/>
      <c r="H640" s="1358">
        <v>26.0</v>
      </c>
      <c r="I640" s="1350" t="s">
        <v>3126</v>
      </c>
    </row>
    <row r="641">
      <c r="A641" s="1351" t="s">
        <v>2695</v>
      </c>
      <c r="B641" s="1352" t="s">
        <v>979</v>
      </c>
      <c r="C641" s="1353" t="s">
        <v>1495</v>
      </c>
      <c r="D641" s="1353">
        <v>0.01</v>
      </c>
      <c r="E641" s="1354">
        <v>0.05</v>
      </c>
      <c r="F641" s="1355"/>
      <c r="G641" s="1356"/>
      <c r="H641" s="1359"/>
      <c r="I641" s="1362"/>
    </row>
    <row r="642">
      <c r="A642" s="1344" t="s">
        <v>2695</v>
      </c>
      <c r="B642" s="1345" t="s">
        <v>980</v>
      </c>
      <c r="C642" s="1346" t="s">
        <v>1495</v>
      </c>
      <c r="D642" s="1346">
        <v>0.02</v>
      </c>
      <c r="E642" s="1347">
        <v>0.05</v>
      </c>
      <c r="F642" s="1348"/>
      <c r="G642" s="1349"/>
      <c r="H642" s="1358"/>
      <c r="I642" s="1360"/>
    </row>
    <row r="643">
      <c r="A643" s="1351" t="s">
        <v>2695</v>
      </c>
      <c r="B643" s="1352" t="s">
        <v>981</v>
      </c>
      <c r="C643" s="1353" t="s">
        <v>1495</v>
      </c>
      <c r="D643" s="1353">
        <v>0.05</v>
      </c>
      <c r="E643" s="1353">
        <v>0.1</v>
      </c>
      <c r="F643" s="1355"/>
      <c r="G643" s="1356"/>
      <c r="H643" s="1359"/>
      <c r="I643" s="1362"/>
    </row>
    <row r="644">
      <c r="A644" s="1344" t="s">
        <v>2695</v>
      </c>
      <c r="B644" s="1345" t="s">
        <v>3127</v>
      </c>
      <c r="C644" s="1346" t="s">
        <v>1495</v>
      </c>
      <c r="D644" s="1346"/>
      <c r="E644" s="1346"/>
      <c r="F644" s="1348"/>
      <c r="G644" s="1349"/>
      <c r="H644" s="1346">
        <v>106.0</v>
      </c>
      <c r="I644" s="1360"/>
    </row>
    <row r="645">
      <c r="A645" s="1351" t="s">
        <v>2695</v>
      </c>
      <c r="B645" s="1352" t="s">
        <v>3128</v>
      </c>
      <c r="C645" s="1353" t="s">
        <v>1495</v>
      </c>
      <c r="D645" s="1353"/>
      <c r="E645" s="1354"/>
      <c r="F645" s="1355"/>
      <c r="G645" s="1356"/>
      <c r="H645" s="1359">
        <v>107.0</v>
      </c>
      <c r="I645" s="1362"/>
    </row>
    <row r="646">
      <c r="A646" s="1344" t="s">
        <v>2695</v>
      </c>
      <c r="B646" s="1345" t="s">
        <v>3129</v>
      </c>
      <c r="C646" s="1346" t="s">
        <v>1495</v>
      </c>
      <c r="D646" s="1346">
        <v>0.04</v>
      </c>
      <c r="E646" s="1347">
        <v>0.05</v>
      </c>
      <c r="F646" s="1348"/>
      <c r="G646" s="1349"/>
      <c r="H646" s="1358">
        <v>1145.0</v>
      </c>
      <c r="I646" s="1360"/>
    </row>
    <row r="647">
      <c r="A647" s="1351" t="s">
        <v>3130</v>
      </c>
      <c r="B647" s="1352" t="s">
        <v>985</v>
      </c>
      <c r="C647" s="1353" t="s">
        <v>1495</v>
      </c>
      <c r="D647" s="1353">
        <v>0.03</v>
      </c>
      <c r="E647" s="1354">
        <v>0.05</v>
      </c>
      <c r="F647" s="1355"/>
      <c r="G647" s="1356"/>
      <c r="H647" s="1353"/>
      <c r="I647" s="1362"/>
    </row>
    <row r="648">
      <c r="A648" s="1344" t="s">
        <v>323</v>
      </c>
      <c r="B648" s="1345" t="s">
        <v>986</v>
      </c>
      <c r="C648" s="1346" t="s">
        <v>1495</v>
      </c>
      <c r="D648" s="1346"/>
      <c r="E648" s="1347"/>
      <c r="F648" s="1348"/>
      <c r="G648" s="1349"/>
      <c r="H648" s="1358"/>
      <c r="I648" s="1360"/>
    </row>
    <row r="649">
      <c r="A649" s="1351" t="s">
        <v>277</v>
      </c>
      <c r="B649" s="1352" t="s">
        <v>987</v>
      </c>
      <c r="C649" s="1353" t="s">
        <v>3131</v>
      </c>
      <c r="D649" s="1353"/>
      <c r="E649" s="1354"/>
      <c r="F649" s="1355"/>
      <c r="G649" s="1356"/>
      <c r="H649" s="1359"/>
      <c r="I649" s="1362"/>
    </row>
    <row r="650">
      <c r="A650" s="1344" t="s">
        <v>277</v>
      </c>
      <c r="B650" s="1345" t="s">
        <v>988</v>
      </c>
      <c r="C650" s="1346" t="s">
        <v>1495</v>
      </c>
      <c r="D650" s="1346"/>
      <c r="E650" s="1347"/>
      <c r="F650" s="1348"/>
      <c r="G650" s="1349"/>
      <c r="H650" s="1358"/>
      <c r="I650" s="1360"/>
    </row>
    <row r="651">
      <c r="A651" s="1351" t="s">
        <v>277</v>
      </c>
      <c r="B651" s="1352" t="s">
        <v>989</v>
      </c>
      <c r="C651" s="1353" t="s">
        <v>1495</v>
      </c>
      <c r="D651" s="1353"/>
      <c r="E651" s="1354"/>
      <c r="F651" s="1355"/>
      <c r="G651" s="1356"/>
      <c r="H651" s="1359"/>
      <c r="I651" s="1362"/>
    </row>
    <row r="652">
      <c r="A652" s="1344" t="s">
        <v>277</v>
      </c>
      <c r="B652" s="1345" t="s">
        <v>990</v>
      </c>
      <c r="C652" s="1346" t="s">
        <v>1495</v>
      </c>
      <c r="D652" s="1346"/>
      <c r="E652" s="1347"/>
      <c r="F652" s="1348"/>
      <c r="G652" s="1349"/>
      <c r="H652" s="1346"/>
      <c r="I652" s="1360"/>
    </row>
    <row r="653">
      <c r="A653" s="1351" t="s">
        <v>277</v>
      </c>
      <c r="B653" s="1352" t="s">
        <v>991</v>
      </c>
      <c r="C653" s="1353" t="s">
        <v>1495</v>
      </c>
      <c r="D653" s="1353"/>
      <c r="E653" s="1354"/>
      <c r="F653" s="1355"/>
      <c r="G653" s="1356"/>
      <c r="H653" s="1359"/>
      <c r="I653" s="1362"/>
    </row>
    <row r="654">
      <c r="A654" s="1344" t="s">
        <v>277</v>
      </c>
      <c r="B654" s="1345" t="s">
        <v>992</v>
      </c>
      <c r="C654" s="1346" t="s">
        <v>1495</v>
      </c>
      <c r="D654" s="1346"/>
      <c r="E654" s="1347"/>
      <c r="F654" s="1348"/>
      <c r="G654" s="1349"/>
      <c r="H654" s="1358"/>
      <c r="I654" s="1360"/>
    </row>
    <row r="655">
      <c r="A655" s="1351" t="s">
        <v>277</v>
      </c>
      <c r="B655" s="1352" t="s">
        <v>993</v>
      </c>
      <c r="C655" s="1353" t="s">
        <v>1495</v>
      </c>
      <c r="D655" s="1353"/>
      <c r="E655" s="1354"/>
      <c r="F655" s="1355"/>
      <c r="G655" s="1356"/>
      <c r="H655" s="1359"/>
      <c r="I655" s="1362"/>
    </row>
    <row r="656">
      <c r="A656" s="1344" t="s">
        <v>277</v>
      </c>
      <c r="B656" s="1345" t="s">
        <v>994</v>
      </c>
      <c r="C656" s="1346" t="s">
        <v>1495</v>
      </c>
      <c r="D656" s="1346"/>
      <c r="E656" s="1347"/>
      <c r="F656" s="1348"/>
      <c r="G656" s="1349"/>
      <c r="H656" s="1358"/>
      <c r="I656" s="1360"/>
    </row>
    <row r="657">
      <c r="A657" s="1351" t="s">
        <v>277</v>
      </c>
      <c r="B657" s="1352" t="s">
        <v>995</v>
      </c>
      <c r="C657" s="1353" t="s">
        <v>1495</v>
      </c>
      <c r="D657" s="1353"/>
      <c r="E657" s="1354"/>
      <c r="F657" s="1355"/>
      <c r="G657" s="1356"/>
      <c r="H657" s="1359"/>
      <c r="I657" s="1362"/>
    </row>
    <row r="658">
      <c r="A658" s="1344" t="s">
        <v>3132</v>
      </c>
      <c r="B658" s="1345" t="s">
        <v>996</v>
      </c>
      <c r="C658" s="1346" t="s">
        <v>1634</v>
      </c>
      <c r="D658" s="1346"/>
      <c r="E658" s="1347"/>
      <c r="F658" s="1348"/>
      <c r="G658" s="1349"/>
      <c r="H658" s="1358"/>
      <c r="I658" s="1360"/>
    </row>
    <row r="659">
      <c r="A659" s="1351" t="s">
        <v>277</v>
      </c>
      <c r="B659" s="1352" t="s">
        <v>997</v>
      </c>
      <c r="C659" s="1353" t="s">
        <v>3133</v>
      </c>
      <c r="D659" s="1353"/>
      <c r="E659" s="1354"/>
      <c r="F659" s="1355"/>
      <c r="G659" s="1356"/>
      <c r="H659" s="1359"/>
      <c r="I659" s="1362"/>
    </row>
    <row r="660">
      <c r="A660" s="1344" t="s">
        <v>277</v>
      </c>
      <c r="B660" s="1345" t="s">
        <v>998</v>
      </c>
      <c r="C660" s="1346" t="s">
        <v>1495</v>
      </c>
      <c r="D660" s="1346"/>
      <c r="E660" s="1346"/>
      <c r="F660" s="1348"/>
      <c r="G660" s="1349"/>
      <c r="H660" s="1358"/>
      <c r="I660" s="1360"/>
    </row>
    <row r="661">
      <c r="A661" s="1351" t="s">
        <v>277</v>
      </c>
      <c r="B661" s="1352" t="s">
        <v>999</v>
      </c>
      <c r="C661" s="1353" t="s">
        <v>1495</v>
      </c>
      <c r="D661" s="1353"/>
      <c r="E661" s="1354"/>
      <c r="F661" s="1355"/>
      <c r="G661" s="1356"/>
      <c r="H661" s="1359"/>
      <c r="I661" s="1362"/>
    </row>
    <row r="662">
      <c r="A662" s="1344" t="s">
        <v>277</v>
      </c>
      <c r="B662" s="1345" t="s">
        <v>1000</v>
      </c>
      <c r="C662" s="1346" t="s">
        <v>1495</v>
      </c>
      <c r="D662" s="1346"/>
      <c r="E662" s="1347"/>
      <c r="F662" s="1348"/>
      <c r="G662" s="1349"/>
      <c r="H662" s="1358"/>
      <c r="I662" s="1360"/>
    </row>
    <row r="663">
      <c r="A663" s="1351" t="s">
        <v>277</v>
      </c>
      <c r="B663" s="1352" t="s">
        <v>1001</v>
      </c>
      <c r="C663" s="1353" t="s">
        <v>1495</v>
      </c>
      <c r="D663" s="1353"/>
      <c r="E663" s="1354"/>
      <c r="F663" s="1355"/>
      <c r="G663" s="1356"/>
      <c r="H663" s="1353"/>
      <c r="I663" s="1362"/>
    </row>
    <row r="664">
      <c r="A664" s="1344" t="s">
        <v>277</v>
      </c>
      <c r="B664" s="1345" t="s">
        <v>1002</v>
      </c>
      <c r="C664" s="1346" t="s">
        <v>1495</v>
      </c>
      <c r="D664" s="1346"/>
      <c r="E664" s="1346"/>
      <c r="F664" s="1348"/>
      <c r="G664" s="1349"/>
      <c r="H664" s="1358"/>
      <c r="I664" s="1360"/>
    </row>
    <row r="665">
      <c r="A665" s="1351" t="s">
        <v>277</v>
      </c>
      <c r="B665" s="1352" t="s">
        <v>1003</v>
      </c>
      <c r="C665" s="1353" t="s">
        <v>1495</v>
      </c>
      <c r="D665" s="1353"/>
      <c r="E665" s="1353"/>
      <c r="F665" s="1355"/>
      <c r="G665" s="1356"/>
      <c r="H665" s="1359"/>
      <c r="I665" s="1362"/>
    </row>
    <row r="666">
      <c r="A666" s="1344" t="s">
        <v>277</v>
      </c>
      <c r="B666" s="1345" t="s">
        <v>1004</v>
      </c>
      <c r="C666" s="1346" t="s">
        <v>1495</v>
      </c>
      <c r="D666" s="1346"/>
      <c r="E666" s="1347"/>
      <c r="F666" s="1348"/>
      <c r="G666" s="1349"/>
      <c r="H666" s="1358"/>
      <c r="I666" s="1360"/>
    </row>
    <row r="667">
      <c r="A667" s="1351" t="s">
        <v>277</v>
      </c>
      <c r="B667" s="1352" t="s">
        <v>1005</v>
      </c>
      <c r="C667" s="1353" t="s">
        <v>1495</v>
      </c>
      <c r="D667" s="1353"/>
      <c r="E667" s="1353"/>
      <c r="F667" s="1355"/>
      <c r="G667" s="1356"/>
      <c r="H667" s="1359"/>
      <c r="I667" s="1362"/>
    </row>
    <row r="668">
      <c r="A668" s="1344" t="s">
        <v>277</v>
      </c>
      <c r="B668" s="1345" t="s">
        <v>1006</v>
      </c>
      <c r="C668" s="1346" t="s">
        <v>1495</v>
      </c>
      <c r="D668" s="1346"/>
      <c r="E668" s="1347"/>
      <c r="F668" s="1348"/>
      <c r="G668" s="1349"/>
      <c r="H668" s="1346"/>
      <c r="I668" s="1360"/>
    </row>
    <row r="669">
      <c r="A669" s="1351" t="s">
        <v>277</v>
      </c>
      <c r="B669" s="1352" t="s">
        <v>1007</v>
      </c>
      <c r="C669" s="1353" t="s">
        <v>1495</v>
      </c>
      <c r="D669" s="1353"/>
      <c r="E669" s="1354"/>
      <c r="F669" s="1355"/>
      <c r="G669" s="1356"/>
      <c r="H669" s="1359"/>
      <c r="I669" s="1362"/>
    </row>
    <row r="670">
      <c r="A670" s="1344" t="s">
        <v>277</v>
      </c>
      <c r="B670" s="1345" t="s">
        <v>1008</v>
      </c>
      <c r="C670" s="1346" t="s">
        <v>1495</v>
      </c>
      <c r="D670" s="1346"/>
      <c r="E670" s="1347"/>
      <c r="F670" s="1348"/>
      <c r="G670" s="1349"/>
      <c r="H670" s="1358"/>
      <c r="I670" s="1360"/>
    </row>
    <row r="671">
      <c r="A671" s="1351" t="s">
        <v>277</v>
      </c>
      <c r="B671" s="1352" t="s">
        <v>1009</v>
      </c>
      <c r="C671" s="1353" t="s">
        <v>1495</v>
      </c>
      <c r="D671" s="1353"/>
      <c r="E671" s="1354"/>
      <c r="F671" s="1355"/>
      <c r="G671" s="1356"/>
      <c r="H671" s="1359"/>
      <c r="I671" s="1362"/>
    </row>
    <row r="672">
      <c r="A672" s="1344" t="s">
        <v>277</v>
      </c>
      <c r="B672" s="1345" t="s">
        <v>1010</v>
      </c>
      <c r="C672" s="1346" t="s">
        <v>1495</v>
      </c>
      <c r="D672" s="1346"/>
      <c r="E672" s="1346"/>
      <c r="F672" s="1348"/>
      <c r="G672" s="1349"/>
      <c r="H672" s="1358"/>
      <c r="I672" s="1360"/>
    </row>
    <row r="673">
      <c r="A673" s="1351" t="s">
        <v>277</v>
      </c>
      <c r="B673" s="1352" t="s">
        <v>1011</v>
      </c>
      <c r="C673" s="1353" t="s">
        <v>1495</v>
      </c>
      <c r="D673" s="1353"/>
      <c r="E673" s="1354"/>
      <c r="F673" s="1355"/>
      <c r="G673" s="1356"/>
      <c r="H673" s="1359"/>
      <c r="I673" s="1362"/>
    </row>
    <row r="674">
      <c r="A674" s="1344" t="s">
        <v>277</v>
      </c>
      <c r="B674" s="1345" t="s">
        <v>1012</v>
      </c>
      <c r="C674" s="1346" t="s">
        <v>1495</v>
      </c>
      <c r="D674" s="1346"/>
      <c r="E674" s="1347"/>
      <c r="F674" s="1348"/>
      <c r="G674" s="1349"/>
      <c r="H674" s="1358"/>
      <c r="I674" s="1360"/>
    </row>
    <row r="675">
      <c r="A675" s="1351" t="s">
        <v>318</v>
      </c>
      <c r="B675" s="1352" t="s">
        <v>3134</v>
      </c>
      <c r="C675" s="1353" t="s">
        <v>1495</v>
      </c>
      <c r="D675" s="1353">
        <v>90.78</v>
      </c>
      <c r="E675" s="1353">
        <v>104.4</v>
      </c>
      <c r="F675" s="1355"/>
      <c r="G675" s="1356"/>
      <c r="H675" s="1359">
        <v>205.0</v>
      </c>
      <c r="I675" s="1362"/>
    </row>
    <row r="676">
      <c r="A676" s="1344" t="s">
        <v>318</v>
      </c>
      <c r="B676" s="1345" t="s">
        <v>3135</v>
      </c>
      <c r="C676" s="1346" t="s">
        <v>1495</v>
      </c>
      <c r="D676" s="1346">
        <v>69.73</v>
      </c>
      <c r="E676" s="1347">
        <v>80.2</v>
      </c>
      <c r="F676" s="1348"/>
      <c r="G676" s="1349"/>
      <c r="H676" s="1358">
        <v>405.0</v>
      </c>
      <c r="I676" s="1361"/>
    </row>
    <row r="677">
      <c r="A677" s="1351" t="s">
        <v>318</v>
      </c>
      <c r="B677" s="1352" t="s">
        <v>3136</v>
      </c>
      <c r="C677" s="1353" t="s">
        <v>1495</v>
      </c>
      <c r="D677" s="1353">
        <v>87.66</v>
      </c>
      <c r="E677" s="1354">
        <v>100.85</v>
      </c>
      <c r="F677" s="1355"/>
      <c r="G677" s="1356"/>
      <c r="H677" s="1359">
        <v>243.0</v>
      </c>
      <c r="I677" s="1363"/>
    </row>
    <row r="678">
      <c r="A678" s="1344" t="s">
        <v>318</v>
      </c>
      <c r="B678" s="1345" t="s">
        <v>89</v>
      </c>
      <c r="C678" s="1346" t="s">
        <v>1495</v>
      </c>
      <c r="D678" s="1346">
        <v>77.72</v>
      </c>
      <c r="E678" s="1347">
        <v>89.4</v>
      </c>
      <c r="F678" s="1348"/>
      <c r="G678" s="1349"/>
      <c r="H678" s="1358">
        <v>15.0</v>
      </c>
      <c r="I678" s="1360"/>
    </row>
    <row r="679">
      <c r="A679" s="1351" t="s">
        <v>318</v>
      </c>
      <c r="B679" s="1352" t="s">
        <v>3137</v>
      </c>
      <c r="C679" s="1353" t="s">
        <v>1495</v>
      </c>
      <c r="D679" s="1353">
        <v>73.75</v>
      </c>
      <c r="E679" s="1353">
        <v>84.85</v>
      </c>
      <c r="F679" s="1355"/>
      <c r="G679" s="1356"/>
      <c r="H679" s="1353">
        <v>12.0</v>
      </c>
      <c r="I679" s="1357" t="s">
        <v>3138</v>
      </c>
    </row>
    <row r="680">
      <c r="A680" s="1344" t="s">
        <v>318</v>
      </c>
      <c r="B680" s="1345" t="s">
        <v>3139</v>
      </c>
      <c r="C680" s="1346" t="s">
        <v>1495</v>
      </c>
      <c r="D680" s="1346">
        <v>77.94</v>
      </c>
      <c r="E680" s="1347">
        <v>89.65</v>
      </c>
      <c r="F680" s="1348"/>
      <c r="G680" s="1349"/>
      <c r="H680" s="1346">
        <v>11.0</v>
      </c>
      <c r="I680" s="1360"/>
    </row>
    <row r="681">
      <c r="A681" s="1351" t="s">
        <v>318</v>
      </c>
      <c r="B681" s="1352" t="s">
        <v>1019</v>
      </c>
      <c r="C681" s="1353" t="s">
        <v>1495</v>
      </c>
      <c r="D681" s="1353">
        <v>89.95</v>
      </c>
      <c r="E681" s="1353">
        <v>134.95</v>
      </c>
      <c r="F681" s="1355"/>
      <c r="G681" s="1356"/>
      <c r="H681" s="1359"/>
      <c r="I681" s="1363"/>
    </row>
    <row r="682">
      <c r="A682" s="1344" t="s">
        <v>318</v>
      </c>
      <c r="B682" s="1345" t="s">
        <v>1020</v>
      </c>
      <c r="C682" s="1346" t="s">
        <v>1495</v>
      </c>
      <c r="D682" s="1346"/>
      <c r="E682" s="1347"/>
      <c r="F682" s="1348"/>
      <c r="G682" s="1349"/>
      <c r="H682" s="1346"/>
      <c r="I682" s="1360"/>
    </row>
    <row r="683">
      <c r="A683" s="1351" t="s">
        <v>318</v>
      </c>
      <c r="B683" s="1352" t="s">
        <v>1021</v>
      </c>
      <c r="C683" s="1353" t="s">
        <v>1495</v>
      </c>
      <c r="D683" s="1353"/>
      <c r="E683" s="1353"/>
      <c r="F683" s="1355"/>
      <c r="G683" s="1356"/>
      <c r="H683" s="1353"/>
      <c r="I683" s="1362"/>
    </row>
    <row r="684">
      <c r="A684" s="1344" t="s">
        <v>318</v>
      </c>
      <c r="B684" s="1345" t="s">
        <v>1022</v>
      </c>
      <c r="C684" s="1346" t="s">
        <v>1495</v>
      </c>
      <c r="D684" s="1346"/>
      <c r="E684" s="1347"/>
      <c r="F684" s="1348">
        <v>10117.0</v>
      </c>
      <c r="G684" s="1349"/>
      <c r="H684" s="1346"/>
      <c r="I684" s="1360"/>
    </row>
    <row r="685">
      <c r="A685" s="1351" t="s">
        <v>318</v>
      </c>
      <c r="B685" s="1352" t="s">
        <v>1023</v>
      </c>
      <c r="C685" s="1353" t="s">
        <v>1495</v>
      </c>
      <c r="D685" s="1353">
        <v>229.82</v>
      </c>
      <c r="E685" s="1353">
        <v>264.3</v>
      </c>
      <c r="F685" s="1355"/>
      <c r="G685" s="1356"/>
      <c r="H685" s="1353"/>
      <c r="I685" s="1362"/>
    </row>
    <row r="686">
      <c r="A686" s="1344" t="s">
        <v>318</v>
      </c>
      <c r="B686" s="1345" t="s">
        <v>3140</v>
      </c>
      <c r="C686" s="1346" t="s">
        <v>1495</v>
      </c>
      <c r="D686" s="1346">
        <v>91.85</v>
      </c>
      <c r="E686" s="1347">
        <v>105.65</v>
      </c>
      <c r="F686" s="1348"/>
      <c r="G686" s="1349"/>
      <c r="H686" s="1358">
        <v>6.0</v>
      </c>
      <c r="I686" s="1360"/>
    </row>
    <row r="687">
      <c r="A687" s="1351" t="s">
        <v>318</v>
      </c>
      <c r="B687" s="1352" t="s">
        <v>3141</v>
      </c>
      <c r="C687" s="1353" t="s">
        <v>1495</v>
      </c>
      <c r="D687" s="1353">
        <v>165.0</v>
      </c>
      <c r="E687" s="1353">
        <v>189.75</v>
      </c>
      <c r="F687" s="1355"/>
      <c r="G687" s="1356"/>
      <c r="H687" s="1359">
        <v>1.0</v>
      </c>
      <c r="I687" s="1362"/>
    </row>
    <row r="688">
      <c r="A688" s="1344" t="s">
        <v>318</v>
      </c>
      <c r="B688" s="1345" t="s">
        <v>1026</v>
      </c>
      <c r="C688" s="1346" t="s">
        <v>1495</v>
      </c>
      <c r="D688" s="1346"/>
      <c r="E688" s="1347"/>
      <c r="F688" s="1348"/>
      <c r="G688" s="1349"/>
      <c r="H688" s="1358"/>
      <c r="I688" s="1360"/>
    </row>
    <row r="689">
      <c r="A689" s="1351" t="s">
        <v>318</v>
      </c>
      <c r="B689" s="1352" t="s">
        <v>1027</v>
      </c>
      <c r="C689" s="1353" t="s">
        <v>1495</v>
      </c>
      <c r="D689" s="1353"/>
      <c r="E689" s="1354"/>
      <c r="F689" s="1355">
        <v>13513.0</v>
      </c>
      <c r="G689" s="1356"/>
      <c r="H689" s="1359"/>
      <c r="I689" s="1362"/>
    </row>
    <row r="690">
      <c r="A690" s="1344" t="s">
        <v>318</v>
      </c>
      <c r="B690" s="1345" t="s">
        <v>1028</v>
      </c>
      <c r="C690" s="1346" t="s">
        <v>1495</v>
      </c>
      <c r="D690" s="1346"/>
      <c r="E690" s="1346"/>
      <c r="F690" s="1348">
        <v>10401.0</v>
      </c>
      <c r="G690" s="1349"/>
      <c r="H690" s="1358"/>
      <c r="I690" s="1360"/>
    </row>
    <row r="691">
      <c r="A691" s="1351" t="s">
        <v>318</v>
      </c>
      <c r="B691" s="1352" t="s">
        <v>3142</v>
      </c>
      <c r="C691" s="1353" t="s">
        <v>1495</v>
      </c>
      <c r="D691" s="1353"/>
      <c r="E691" s="1353"/>
      <c r="F691" s="1355"/>
      <c r="G691" s="1356"/>
      <c r="H691" s="1359">
        <v>1.0</v>
      </c>
      <c r="I691" s="1362"/>
    </row>
    <row r="692">
      <c r="A692" s="1344" t="s">
        <v>318</v>
      </c>
      <c r="B692" s="1345" t="s">
        <v>1030</v>
      </c>
      <c r="C692" s="1346" t="s">
        <v>1495</v>
      </c>
      <c r="D692" s="1346"/>
      <c r="E692" s="1346"/>
      <c r="F692" s="1348">
        <v>10205.0</v>
      </c>
      <c r="G692" s="1349"/>
      <c r="H692" s="1358"/>
      <c r="I692" s="1360"/>
    </row>
    <row r="693">
      <c r="A693" s="1351" t="s">
        <v>318</v>
      </c>
      <c r="B693" s="1352" t="s">
        <v>3143</v>
      </c>
      <c r="C693" s="1353" t="s">
        <v>1495</v>
      </c>
      <c r="D693" s="1353">
        <v>68.71</v>
      </c>
      <c r="E693" s="1354">
        <v>79.05</v>
      </c>
      <c r="F693" s="1355"/>
      <c r="G693" s="1356"/>
      <c r="H693" s="1353">
        <v>14.0</v>
      </c>
      <c r="I693" s="1362"/>
    </row>
    <row r="694">
      <c r="A694" s="1344" t="s">
        <v>318</v>
      </c>
      <c r="B694" s="1345" t="s">
        <v>3144</v>
      </c>
      <c r="C694" s="1346" t="s">
        <v>1495</v>
      </c>
      <c r="D694" s="1346">
        <v>72.7</v>
      </c>
      <c r="E694" s="1347">
        <v>87.25</v>
      </c>
      <c r="F694" s="1348"/>
      <c r="G694" s="1349"/>
      <c r="H694" s="1346">
        <v>736.0</v>
      </c>
      <c r="I694" s="1360"/>
    </row>
    <row r="695">
      <c r="A695" s="1351" t="s">
        <v>318</v>
      </c>
      <c r="B695" s="1352" t="s">
        <v>1033</v>
      </c>
      <c r="C695" s="1353" t="s">
        <v>1495</v>
      </c>
      <c r="D695" s="1353"/>
      <c r="E695" s="1354"/>
      <c r="F695" s="1355"/>
      <c r="G695" s="1356"/>
      <c r="H695" s="1353"/>
      <c r="I695" s="1362"/>
    </row>
    <row r="696">
      <c r="A696" s="1344" t="s">
        <v>318</v>
      </c>
      <c r="B696" s="1345" t="s">
        <v>1034</v>
      </c>
      <c r="C696" s="1346" t="s">
        <v>1495</v>
      </c>
      <c r="D696" s="1346"/>
      <c r="E696" s="1346"/>
      <c r="F696" s="1348"/>
      <c r="G696" s="1349"/>
      <c r="H696" s="1346"/>
      <c r="I696" s="1360"/>
    </row>
    <row r="697">
      <c r="A697" s="1351" t="s">
        <v>315</v>
      </c>
      <c r="B697" s="1352" t="s">
        <v>3145</v>
      </c>
      <c r="C697" s="1353" t="s">
        <v>1495</v>
      </c>
      <c r="D697" s="1353">
        <v>17.35</v>
      </c>
      <c r="E697" s="1354">
        <v>20.0</v>
      </c>
      <c r="F697" s="1355" t="s">
        <v>3146</v>
      </c>
      <c r="G697" s="1356"/>
      <c r="H697" s="1359">
        <v>4.0</v>
      </c>
      <c r="I697" s="1357" t="s">
        <v>3147</v>
      </c>
    </row>
    <row r="698">
      <c r="A698" s="1344" t="s">
        <v>3130</v>
      </c>
      <c r="B698" s="1345" t="s">
        <v>1036</v>
      </c>
      <c r="C698" s="1346" t="s">
        <v>1495</v>
      </c>
      <c r="D698" s="1346"/>
      <c r="E698" s="1347"/>
      <c r="F698" s="1348"/>
      <c r="G698" s="1349"/>
      <c r="H698" s="1358"/>
      <c r="I698" s="1360"/>
    </row>
    <row r="699">
      <c r="A699" s="1351" t="s">
        <v>315</v>
      </c>
      <c r="B699" s="1352" t="s">
        <v>1037</v>
      </c>
      <c r="C699" s="1353" t="s">
        <v>1495</v>
      </c>
      <c r="D699" s="1353">
        <v>19.05</v>
      </c>
      <c r="E699" s="1354">
        <v>21.95</v>
      </c>
      <c r="F699" s="1355" t="s">
        <v>3148</v>
      </c>
      <c r="G699" s="1356"/>
      <c r="H699" s="1359"/>
      <c r="I699" s="1357" t="s">
        <v>3149</v>
      </c>
    </row>
    <row r="700">
      <c r="A700" s="1344" t="s">
        <v>327</v>
      </c>
      <c r="B700" s="1345" t="s">
        <v>3150</v>
      </c>
      <c r="C700" s="1346" t="s">
        <v>1495</v>
      </c>
      <c r="D700" s="1346">
        <v>1.2</v>
      </c>
      <c r="E700" s="1347">
        <v>1.4</v>
      </c>
      <c r="F700" s="1348" t="s">
        <v>3151</v>
      </c>
      <c r="G700" s="1349"/>
      <c r="H700" s="1346">
        <v>4.0</v>
      </c>
      <c r="I700" s="1350" t="s">
        <v>3152</v>
      </c>
    </row>
    <row r="701">
      <c r="A701" s="1351" t="s">
        <v>327</v>
      </c>
      <c r="B701" s="1352" t="s">
        <v>3153</v>
      </c>
      <c r="C701" s="1353" t="s">
        <v>1495</v>
      </c>
      <c r="D701" s="1353">
        <v>1.05</v>
      </c>
      <c r="E701" s="1354">
        <v>1.25</v>
      </c>
      <c r="F701" s="1355" t="s">
        <v>3154</v>
      </c>
      <c r="G701" s="1356"/>
      <c r="H701" s="1359">
        <v>2.0</v>
      </c>
      <c r="I701" s="1357" t="s">
        <v>3155</v>
      </c>
    </row>
    <row r="702">
      <c r="A702" s="1344" t="s">
        <v>314</v>
      </c>
      <c r="B702" s="1345" t="s">
        <v>131</v>
      </c>
      <c r="C702" s="1346" t="s">
        <v>3131</v>
      </c>
      <c r="D702" s="1346">
        <v>11.0</v>
      </c>
      <c r="E702" s="1346">
        <v>12.65</v>
      </c>
      <c r="F702" s="1348"/>
      <c r="G702" s="1349"/>
      <c r="H702" s="1358"/>
      <c r="I702" s="1350" t="s">
        <v>3156</v>
      </c>
    </row>
    <row r="703">
      <c r="A703" s="1351" t="s">
        <v>321</v>
      </c>
      <c r="B703" s="1352" t="s">
        <v>1040</v>
      </c>
      <c r="C703" s="1353" t="s">
        <v>1495</v>
      </c>
      <c r="D703" s="1353"/>
      <c r="E703" s="1353"/>
      <c r="F703" s="1355">
        <v>50107.0</v>
      </c>
      <c r="G703" s="1356"/>
      <c r="H703" s="1359"/>
      <c r="I703" s="1363"/>
    </row>
    <row r="704">
      <c r="A704" s="1344" t="s">
        <v>321</v>
      </c>
      <c r="B704" s="1345" t="s">
        <v>1041</v>
      </c>
      <c r="C704" s="1346" t="s">
        <v>1495</v>
      </c>
      <c r="D704" s="1346"/>
      <c r="E704" s="1346"/>
      <c r="F704" s="1348">
        <v>50106.0</v>
      </c>
      <c r="G704" s="1349"/>
      <c r="H704" s="1358"/>
      <c r="I704" s="1360"/>
    </row>
    <row r="705">
      <c r="A705" s="1351" t="s">
        <v>319</v>
      </c>
      <c r="B705" s="1352" t="s">
        <v>1042</v>
      </c>
      <c r="C705" s="1353" t="s">
        <v>1495</v>
      </c>
      <c r="D705" s="1353"/>
      <c r="E705" s="1353"/>
      <c r="F705" s="1355">
        <v>20126.0</v>
      </c>
      <c r="G705" s="1356"/>
      <c r="H705" s="1359"/>
      <c r="I705" s="1363"/>
    </row>
    <row r="706">
      <c r="A706" s="1344" t="s">
        <v>319</v>
      </c>
      <c r="B706" s="1345" t="s">
        <v>1043</v>
      </c>
      <c r="C706" s="1346" t="s">
        <v>1495</v>
      </c>
      <c r="D706" s="1346"/>
      <c r="E706" s="1346"/>
      <c r="F706" s="1348">
        <v>20127.0</v>
      </c>
      <c r="G706" s="1349"/>
      <c r="H706" s="1358"/>
      <c r="I706" s="1361"/>
    </row>
    <row r="707">
      <c r="A707" s="1351" t="s">
        <v>319</v>
      </c>
      <c r="B707" s="1352" t="s">
        <v>1044</v>
      </c>
      <c r="C707" s="1353" t="s">
        <v>1495</v>
      </c>
      <c r="D707" s="1353"/>
      <c r="E707" s="1353"/>
      <c r="F707" s="1355">
        <v>20128.0</v>
      </c>
      <c r="G707" s="1356"/>
      <c r="H707" s="1359"/>
      <c r="I707" s="1363"/>
    </row>
    <row r="708">
      <c r="A708" s="1344" t="s">
        <v>319</v>
      </c>
      <c r="B708" s="1345" t="s">
        <v>1045</v>
      </c>
      <c r="C708" s="1346" t="s">
        <v>1495</v>
      </c>
      <c r="D708" s="1346"/>
      <c r="E708" s="1347"/>
      <c r="F708" s="1348">
        <v>20129.0</v>
      </c>
      <c r="G708" s="1349"/>
      <c r="H708" s="1346"/>
      <c r="I708" s="1360"/>
    </row>
    <row r="709">
      <c r="A709" s="1351" t="s">
        <v>319</v>
      </c>
      <c r="B709" s="1352" t="s">
        <v>1046</v>
      </c>
      <c r="C709" s="1353" t="s">
        <v>1495</v>
      </c>
      <c r="D709" s="1353"/>
      <c r="E709" s="1354"/>
      <c r="F709" s="1355">
        <v>20130.0</v>
      </c>
      <c r="G709" s="1356"/>
      <c r="H709" s="1359"/>
      <c r="I709" s="1362"/>
    </row>
    <row r="710">
      <c r="A710" s="1344" t="s">
        <v>319</v>
      </c>
      <c r="B710" s="1345" t="s">
        <v>1047</v>
      </c>
      <c r="C710" s="1346" t="s">
        <v>1495</v>
      </c>
      <c r="D710" s="1346"/>
      <c r="E710" s="1347"/>
      <c r="F710" s="1348">
        <v>20131.0</v>
      </c>
      <c r="G710" s="1349"/>
      <c r="H710" s="1358"/>
      <c r="I710" s="1360"/>
    </row>
    <row r="711">
      <c r="A711" s="1351" t="s">
        <v>319</v>
      </c>
      <c r="B711" s="1352" t="s">
        <v>1048</v>
      </c>
      <c r="C711" s="1353" t="s">
        <v>1495</v>
      </c>
      <c r="D711" s="1353"/>
      <c r="E711" s="1353"/>
      <c r="F711" s="1355">
        <v>20134.0</v>
      </c>
      <c r="G711" s="1356"/>
      <c r="H711" s="1359"/>
      <c r="I711" s="1362"/>
    </row>
    <row r="712">
      <c r="A712" s="1344" t="s">
        <v>319</v>
      </c>
      <c r="B712" s="1345" t="s">
        <v>1049</v>
      </c>
      <c r="C712" s="1346" t="s">
        <v>1495</v>
      </c>
      <c r="D712" s="1346"/>
      <c r="E712" s="1346"/>
      <c r="F712" s="1348">
        <v>20132.0</v>
      </c>
      <c r="G712" s="1349"/>
      <c r="H712" s="1358"/>
      <c r="I712" s="1360"/>
    </row>
    <row r="713">
      <c r="A713" s="1351" t="s">
        <v>319</v>
      </c>
      <c r="B713" s="1352" t="s">
        <v>1050</v>
      </c>
      <c r="C713" s="1353" t="s">
        <v>1495</v>
      </c>
      <c r="D713" s="1353"/>
      <c r="E713" s="1353"/>
      <c r="F713" s="1355">
        <v>20133.0</v>
      </c>
      <c r="G713" s="1356"/>
      <c r="H713" s="1359"/>
      <c r="I713" s="1362"/>
    </row>
    <row r="714">
      <c r="A714" s="1344" t="s">
        <v>319</v>
      </c>
      <c r="B714" s="1345" t="s">
        <v>1051</v>
      </c>
      <c r="C714" s="1346" t="s">
        <v>1495</v>
      </c>
      <c r="D714" s="1346"/>
      <c r="E714" s="1347"/>
      <c r="F714" s="1348">
        <v>20209.0</v>
      </c>
      <c r="G714" s="1349"/>
      <c r="H714" s="1358"/>
      <c r="I714" s="1360"/>
    </row>
    <row r="715">
      <c r="A715" s="1351" t="s">
        <v>313</v>
      </c>
      <c r="B715" s="1352" t="s">
        <v>1052</v>
      </c>
      <c r="C715" s="1353" t="s">
        <v>1495</v>
      </c>
      <c r="D715" s="1353"/>
      <c r="E715" s="1353"/>
      <c r="F715" s="1355">
        <v>20117.0</v>
      </c>
      <c r="G715" s="1356"/>
      <c r="H715" s="1359"/>
      <c r="I715" s="1362"/>
    </row>
    <row r="716">
      <c r="A716" s="1344" t="s">
        <v>313</v>
      </c>
      <c r="B716" s="1345" t="s">
        <v>1053</v>
      </c>
      <c r="C716" s="1346" t="s">
        <v>1495</v>
      </c>
      <c r="D716" s="1346"/>
      <c r="E716" s="1347"/>
      <c r="F716" s="1348">
        <v>20116.0</v>
      </c>
      <c r="G716" s="1349"/>
      <c r="H716" s="1358"/>
      <c r="I716" s="1360"/>
    </row>
    <row r="717">
      <c r="A717" s="1351" t="s">
        <v>313</v>
      </c>
      <c r="B717" s="1352" t="s">
        <v>1054</v>
      </c>
      <c r="C717" s="1353" t="s">
        <v>1495</v>
      </c>
      <c r="D717" s="1353">
        <v>3011.0</v>
      </c>
      <c r="E717" s="1354">
        <v>3462.65</v>
      </c>
      <c r="F717" s="1355">
        <v>20119.0</v>
      </c>
      <c r="G717" s="1356"/>
      <c r="H717" s="1359"/>
      <c r="I717" s="1362"/>
    </row>
    <row r="718">
      <c r="A718" s="1344" t="s">
        <v>313</v>
      </c>
      <c r="B718" s="1345" t="s">
        <v>1055</v>
      </c>
      <c r="C718" s="1346" t="s">
        <v>1495</v>
      </c>
      <c r="D718" s="1346"/>
      <c r="E718" s="1346"/>
      <c r="F718" s="1348">
        <v>20118.0</v>
      </c>
      <c r="G718" s="1349"/>
      <c r="H718" s="1358"/>
      <c r="I718" s="1360"/>
    </row>
    <row r="719">
      <c r="A719" s="1351" t="s">
        <v>313</v>
      </c>
      <c r="B719" s="1352" t="s">
        <v>1056</v>
      </c>
      <c r="C719" s="1353" t="s">
        <v>1495</v>
      </c>
      <c r="D719" s="1353"/>
      <c r="E719" s="1354"/>
      <c r="F719" s="1355">
        <v>20109.0</v>
      </c>
      <c r="G719" s="1356"/>
      <c r="H719" s="1353"/>
      <c r="I719" s="1362"/>
    </row>
    <row r="720">
      <c r="A720" s="1344" t="s">
        <v>313</v>
      </c>
      <c r="B720" s="1345" t="s">
        <v>1057</v>
      </c>
      <c r="C720" s="1346" t="s">
        <v>1495</v>
      </c>
      <c r="D720" s="1346">
        <v>2110.0</v>
      </c>
      <c r="E720" s="1347">
        <v>2426.5</v>
      </c>
      <c r="F720" s="1348">
        <v>20108.0</v>
      </c>
      <c r="G720" s="1349"/>
      <c r="H720" s="1346"/>
      <c r="I720" s="1360"/>
    </row>
    <row r="721">
      <c r="A721" s="1351" t="s">
        <v>313</v>
      </c>
      <c r="B721" s="1352" t="s">
        <v>1058</v>
      </c>
      <c r="C721" s="1353" t="s">
        <v>1495</v>
      </c>
      <c r="D721" s="1353"/>
      <c r="E721" s="1354"/>
      <c r="F721" s="1355">
        <v>20110.0</v>
      </c>
      <c r="G721" s="1356"/>
      <c r="H721" s="1359"/>
      <c r="I721" s="1362"/>
    </row>
    <row r="722">
      <c r="A722" s="1344" t="s">
        <v>313</v>
      </c>
      <c r="B722" s="1345" t="s">
        <v>1059</v>
      </c>
      <c r="C722" s="1346" t="s">
        <v>1495</v>
      </c>
      <c r="D722" s="1346">
        <v>2534.0</v>
      </c>
      <c r="E722" s="1347">
        <v>2914.1</v>
      </c>
      <c r="F722" s="1348">
        <v>20111.0</v>
      </c>
      <c r="G722" s="1349"/>
      <c r="H722" s="1346"/>
      <c r="I722" s="1360"/>
    </row>
    <row r="723">
      <c r="A723" s="1351" t="s">
        <v>313</v>
      </c>
      <c r="B723" s="1352" t="s">
        <v>1060</v>
      </c>
      <c r="C723" s="1353" t="s">
        <v>1495</v>
      </c>
      <c r="D723" s="1353"/>
      <c r="E723" s="1354"/>
      <c r="F723" s="1355">
        <v>20113.0</v>
      </c>
      <c r="G723" s="1356"/>
      <c r="H723" s="1359"/>
      <c r="I723" s="1362"/>
    </row>
    <row r="724">
      <c r="A724" s="1344" t="s">
        <v>313</v>
      </c>
      <c r="B724" s="1345" t="s">
        <v>1061</v>
      </c>
      <c r="C724" s="1346" t="s">
        <v>1495</v>
      </c>
      <c r="D724" s="1346"/>
      <c r="E724" s="1346"/>
      <c r="F724" s="1348">
        <v>20114.0</v>
      </c>
      <c r="G724" s="1349"/>
      <c r="H724" s="1358"/>
      <c r="I724" s="1360"/>
    </row>
    <row r="725">
      <c r="A725" s="1351" t="s">
        <v>313</v>
      </c>
      <c r="B725" s="1352" t="s">
        <v>1062</v>
      </c>
      <c r="C725" s="1353" t="s">
        <v>1495</v>
      </c>
      <c r="D725" s="1353">
        <v>1559.0</v>
      </c>
      <c r="E725" s="1354">
        <v>1792.85</v>
      </c>
      <c r="F725" s="1355">
        <v>20104.0</v>
      </c>
      <c r="G725" s="1356"/>
      <c r="H725" s="1359"/>
      <c r="I725" s="1362"/>
    </row>
    <row r="726">
      <c r="A726" s="1344" t="s">
        <v>313</v>
      </c>
      <c r="B726" s="1345" t="s">
        <v>1063</v>
      </c>
      <c r="C726" s="1346" t="s">
        <v>1495</v>
      </c>
      <c r="D726" s="1346"/>
      <c r="E726" s="1347"/>
      <c r="F726" s="1348">
        <v>20105.0</v>
      </c>
      <c r="G726" s="1349"/>
      <c r="H726" s="1358"/>
      <c r="I726" s="1360"/>
    </row>
    <row r="727">
      <c r="A727" s="1351" t="s">
        <v>313</v>
      </c>
      <c r="B727" s="1352" t="s">
        <v>1064</v>
      </c>
      <c r="C727" s="1353" t="s">
        <v>1495</v>
      </c>
      <c r="D727" s="1353"/>
      <c r="E727" s="1354"/>
      <c r="F727" s="1355">
        <v>20106.0</v>
      </c>
      <c r="G727" s="1356"/>
      <c r="H727" s="1359"/>
      <c r="I727" s="1362"/>
    </row>
    <row r="728">
      <c r="A728" s="1344" t="s">
        <v>313</v>
      </c>
      <c r="B728" s="1345" t="s">
        <v>1065</v>
      </c>
      <c r="C728" s="1346" t="s">
        <v>1495</v>
      </c>
      <c r="D728" s="1346"/>
      <c r="E728" s="1346"/>
      <c r="F728" s="1348">
        <v>20107.0</v>
      </c>
      <c r="G728" s="1349"/>
      <c r="H728" s="1358"/>
      <c r="I728" s="1360"/>
    </row>
    <row r="729">
      <c r="A729" s="1351" t="s">
        <v>313</v>
      </c>
      <c r="B729" s="1352" t="s">
        <v>1066</v>
      </c>
      <c r="C729" s="1353" t="s">
        <v>1495</v>
      </c>
      <c r="D729" s="1353">
        <v>1815.0</v>
      </c>
      <c r="E729" s="1353">
        <v>2087.25</v>
      </c>
      <c r="F729" s="1355">
        <v>10407.0</v>
      </c>
      <c r="G729" s="1356"/>
      <c r="H729" s="1359"/>
      <c r="I729" s="1362"/>
    </row>
    <row r="730">
      <c r="A730" s="1344" t="s">
        <v>313</v>
      </c>
      <c r="B730" s="1345" t="s">
        <v>1067</v>
      </c>
      <c r="C730" s="1346" t="s">
        <v>1495</v>
      </c>
      <c r="D730" s="1346"/>
      <c r="E730" s="1347"/>
      <c r="F730" s="1348">
        <v>10408.0</v>
      </c>
      <c r="G730" s="1349"/>
      <c r="H730" s="1358"/>
      <c r="I730" s="1360"/>
    </row>
    <row r="731">
      <c r="A731" s="1351" t="s">
        <v>313</v>
      </c>
      <c r="B731" s="1352" t="s">
        <v>1068</v>
      </c>
      <c r="C731" s="1353" t="s">
        <v>1495</v>
      </c>
      <c r="D731" s="1353">
        <v>2122.0</v>
      </c>
      <c r="E731" s="1354">
        <v>2440.3</v>
      </c>
      <c r="F731" s="1355">
        <v>10409.0</v>
      </c>
      <c r="G731" s="1356"/>
      <c r="H731" s="1359"/>
      <c r="I731" s="1362"/>
    </row>
    <row r="732">
      <c r="A732" s="1344" t="s">
        <v>313</v>
      </c>
      <c r="B732" s="1345" t="s">
        <v>1069</v>
      </c>
      <c r="C732" s="1346" t="s">
        <v>1495</v>
      </c>
      <c r="D732" s="1346"/>
      <c r="E732" s="1346"/>
      <c r="F732" s="1348">
        <v>10410.0</v>
      </c>
      <c r="G732" s="1349"/>
      <c r="H732" s="1358"/>
      <c r="I732" s="1360"/>
    </row>
    <row r="733">
      <c r="A733" s="1351" t="s">
        <v>313</v>
      </c>
      <c r="B733" s="1352" t="s">
        <v>1070</v>
      </c>
      <c r="C733" s="1353" t="s">
        <v>1495</v>
      </c>
      <c r="D733" s="1353">
        <v>2289.0</v>
      </c>
      <c r="E733" s="1354">
        <v>2632.35</v>
      </c>
      <c r="F733" s="1355">
        <v>10411.0</v>
      </c>
      <c r="G733" s="1356"/>
      <c r="H733" s="1359"/>
      <c r="I733" s="1362"/>
    </row>
    <row r="734">
      <c r="A734" s="1344" t="s">
        <v>313</v>
      </c>
      <c r="B734" s="1345" t="s">
        <v>1071</v>
      </c>
      <c r="C734" s="1346" t="s">
        <v>1495</v>
      </c>
      <c r="D734" s="1346"/>
      <c r="E734" s="1346"/>
      <c r="F734" s="1348">
        <v>12161.0</v>
      </c>
      <c r="G734" s="1349"/>
      <c r="H734" s="1358"/>
      <c r="I734" s="1360"/>
    </row>
    <row r="735">
      <c r="A735" s="1351" t="s">
        <v>313</v>
      </c>
      <c r="B735" s="1352" t="s">
        <v>1072</v>
      </c>
      <c r="C735" s="1353" t="s">
        <v>1495</v>
      </c>
      <c r="D735" s="1353"/>
      <c r="E735" s="1353"/>
      <c r="F735" s="1355">
        <v>12162.0</v>
      </c>
      <c r="G735" s="1356"/>
      <c r="H735" s="1353"/>
      <c r="I735" s="1362"/>
    </row>
    <row r="736">
      <c r="A736" s="1344" t="s">
        <v>313</v>
      </c>
      <c r="B736" s="1345" t="s">
        <v>1073</v>
      </c>
      <c r="C736" s="1346" t="s">
        <v>1495</v>
      </c>
      <c r="D736" s="1346"/>
      <c r="E736" s="1346"/>
      <c r="F736" s="1348">
        <v>10417.0</v>
      </c>
      <c r="G736" s="1349"/>
      <c r="H736" s="1358"/>
      <c r="I736" s="1360"/>
    </row>
    <row r="737">
      <c r="A737" s="1351" t="s">
        <v>313</v>
      </c>
      <c r="B737" s="1352" t="s">
        <v>1074</v>
      </c>
      <c r="C737" s="1353" t="s">
        <v>1495</v>
      </c>
      <c r="D737" s="1353"/>
      <c r="E737" s="1354"/>
      <c r="F737" s="1355">
        <v>12163.0</v>
      </c>
      <c r="G737" s="1356"/>
      <c r="H737" s="1359"/>
      <c r="I737" s="1362"/>
    </row>
    <row r="738">
      <c r="A738" s="1344" t="s">
        <v>313</v>
      </c>
      <c r="B738" s="1345" t="s">
        <v>1075</v>
      </c>
      <c r="C738" s="1346" t="s">
        <v>1495</v>
      </c>
      <c r="D738" s="1346"/>
      <c r="E738" s="1347"/>
      <c r="F738" s="1348">
        <v>8885.0</v>
      </c>
      <c r="G738" s="1349"/>
      <c r="H738" s="1346"/>
      <c r="I738" s="1360"/>
    </row>
    <row r="739">
      <c r="A739" s="1351" t="s">
        <v>313</v>
      </c>
      <c r="B739" s="1352" t="s">
        <v>1076</v>
      </c>
      <c r="C739" s="1353" t="s">
        <v>1495</v>
      </c>
      <c r="D739" s="1353"/>
      <c r="E739" s="1354"/>
      <c r="F739" s="1355">
        <v>12164.0</v>
      </c>
      <c r="G739" s="1356"/>
      <c r="H739" s="1353"/>
      <c r="I739" s="1362"/>
    </row>
    <row r="740">
      <c r="A740" s="1344" t="s">
        <v>313</v>
      </c>
      <c r="B740" s="1345" t="s">
        <v>1077</v>
      </c>
      <c r="C740" s="1346" t="s">
        <v>1495</v>
      </c>
      <c r="D740" s="1346"/>
      <c r="E740" s="1346"/>
      <c r="F740" s="1348">
        <v>10406.0</v>
      </c>
      <c r="G740" s="1349"/>
      <c r="H740" s="1358"/>
      <c r="I740" s="1360"/>
    </row>
    <row r="741">
      <c r="A741" s="1351" t="s">
        <v>313</v>
      </c>
      <c r="B741" s="1352" t="s">
        <v>1078</v>
      </c>
      <c r="C741" s="1353" t="s">
        <v>1495</v>
      </c>
      <c r="D741" s="1353"/>
      <c r="E741" s="1354"/>
      <c r="F741" s="1355">
        <v>20215.0</v>
      </c>
      <c r="G741" s="1356"/>
      <c r="H741" s="1359"/>
      <c r="I741" s="1362"/>
    </row>
    <row r="742">
      <c r="A742" s="1344" t="s">
        <v>313</v>
      </c>
      <c r="B742" s="1345" t="s">
        <v>1079</v>
      </c>
      <c r="C742" s="1346" t="s">
        <v>1495</v>
      </c>
      <c r="D742" s="1346"/>
      <c r="E742" s="1347"/>
      <c r="F742" s="1348"/>
      <c r="G742" s="1349"/>
      <c r="H742" s="1346"/>
      <c r="I742" s="1360"/>
    </row>
    <row r="743">
      <c r="A743" s="1351" t="s">
        <v>313</v>
      </c>
      <c r="B743" s="1352" t="s">
        <v>1080</v>
      </c>
      <c r="C743" s="1353" t="s">
        <v>1495</v>
      </c>
      <c r="D743" s="1353"/>
      <c r="E743" s="1354"/>
      <c r="F743" s="1355">
        <v>20201.0</v>
      </c>
      <c r="G743" s="1356"/>
      <c r="H743" s="1359"/>
      <c r="I743" s="1362"/>
    </row>
    <row r="744">
      <c r="A744" s="1344" t="s">
        <v>313</v>
      </c>
      <c r="B744" s="1345" t="s">
        <v>1081</v>
      </c>
      <c r="C744" s="1346" t="s">
        <v>1495</v>
      </c>
      <c r="D744" s="1346"/>
      <c r="E744" s="1347"/>
      <c r="F744" s="1348">
        <v>20219.0</v>
      </c>
      <c r="G744" s="1349"/>
      <c r="H744" s="1346"/>
      <c r="I744" s="1360"/>
    </row>
    <row r="745">
      <c r="A745" s="1351" t="s">
        <v>313</v>
      </c>
      <c r="B745" s="1352" t="s">
        <v>1082</v>
      </c>
      <c r="C745" s="1353" t="s">
        <v>1495</v>
      </c>
      <c r="D745" s="1353"/>
      <c r="E745" s="1354"/>
      <c r="F745" s="1355">
        <v>20202.0</v>
      </c>
      <c r="G745" s="1356"/>
      <c r="H745" s="1359"/>
      <c r="I745" s="1362"/>
    </row>
    <row r="746">
      <c r="A746" s="1344" t="s">
        <v>313</v>
      </c>
      <c r="B746" s="1345" t="s">
        <v>1083</v>
      </c>
      <c r="C746" s="1346" t="s">
        <v>1495</v>
      </c>
      <c r="D746" s="1346"/>
      <c r="E746" s="1347"/>
      <c r="F746" s="1348">
        <v>20216.0</v>
      </c>
      <c r="G746" s="1349"/>
      <c r="H746" s="1346"/>
      <c r="I746" s="1360"/>
    </row>
    <row r="747">
      <c r="A747" s="1351" t="s">
        <v>313</v>
      </c>
      <c r="B747" s="1352" t="s">
        <v>1084</v>
      </c>
      <c r="C747" s="1353" t="s">
        <v>1495</v>
      </c>
      <c r="D747" s="1353"/>
      <c r="E747" s="1353"/>
      <c r="F747" s="1355">
        <v>20203.0</v>
      </c>
      <c r="G747" s="1356"/>
      <c r="H747" s="1359"/>
      <c r="I747" s="1362"/>
    </row>
    <row r="748">
      <c r="A748" s="1344" t="s">
        <v>313</v>
      </c>
      <c r="B748" s="1345" t="s">
        <v>1085</v>
      </c>
      <c r="C748" s="1346" t="s">
        <v>1495</v>
      </c>
      <c r="D748" s="1346"/>
      <c r="E748" s="1347"/>
      <c r="F748" s="1348">
        <v>20201.0</v>
      </c>
      <c r="G748" s="1349"/>
      <c r="H748" s="1358"/>
      <c r="I748" s="1360"/>
    </row>
    <row r="749">
      <c r="A749" s="1351" t="s">
        <v>313</v>
      </c>
      <c r="B749" s="1352" t="s">
        <v>1086</v>
      </c>
      <c r="C749" s="1353" t="s">
        <v>1495</v>
      </c>
      <c r="D749" s="1353"/>
      <c r="E749" s="1353"/>
      <c r="F749" s="1355">
        <v>20205.0</v>
      </c>
      <c r="G749" s="1356"/>
      <c r="H749" s="1359"/>
      <c r="I749" s="1362"/>
    </row>
    <row r="750">
      <c r="A750" s="1344" t="s">
        <v>313</v>
      </c>
      <c r="B750" s="1345" t="s">
        <v>1087</v>
      </c>
      <c r="C750" s="1346" t="s">
        <v>1495</v>
      </c>
      <c r="D750" s="1346"/>
      <c r="E750" s="1346"/>
      <c r="F750" s="1348">
        <v>20218.0</v>
      </c>
      <c r="G750" s="1349"/>
      <c r="H750" s="1358"/>
      <c r="I750" s="1360"/>
    </row>
    <row r="751">
      <c r="A751" s="1351" t="s">
        <v>313</v>
      </c>
      <c r="B751" s="1352" t="s">
        <v>1088</v>
      </c>
      <c r="C751" s="1353" t="s">
        <v>1495</v>
      </c>
      <c r="D751" s="1353"/>
      <c r="E751" s="1353"/>
      <c r="F751" s="1355">
        <v>20208.0</v>
      </c>
      <c r="G751" s="1356"/>
      <c r="H751" s="1359"/>
      <c r="I751" s="1362"/>
    </row>
    <row r="752">
      <c r="A752" s="1344" t="s">
        <v>318</v>
      </c>
      <c r="B752" s="1345" t="s">
        <v>1089</v>
      </c>
      <c r="C752" s="1346" t="s">
        <v>1495</v>
      </c>
      <c r="D752" s="1346"/>
      <c r="E752" s="1346"/>
      <c r="F752" s="1348">
        <v>10111.0</v>
      </c>
      <c r="G752" s="1349"/>
      <c r="H752" s="1358"/>
      <c r="I752" s="1360"/>
    </row>
    <row r="753">
      <c r="A753" s="1351" t="s">
        <v>318</v>
      </c>
      <c r="B753" s="1352" t="s">
        <v>1090</v>
      </c>
      <c r="C753" s="1353" t="s">
        <v>1495</v>
      </c>
      <c r="D753" s="1353"/>
      <c r="E753" s="1353"/>
      <c r="F753" s="1355">
        <v>10116.0</v>
      </c>
      <c r="G753" s="1356"/>
      <c r="H753" s="1353"/>
      <c r="I753" s="1362"/>
    </row>
    <row r="754">
      <c r="A754" s="1344" t="s">
        <v>318</v>
      </c>
      <c r="B754" s="1345" t="s">
        <v>1091</v>
      </c>
      <c r="C754" s="1346" t="s">
        <v>1495</v>
      </c>
      <c r="D754" s="1346"/>
      <c r="E754" s="1346"/>
      <c r="F754" s="1348">
        <v>10108.0</v>
      </c>
      <c r="G754" s="1349"/>
      <c r="H754" s="1358"/>
      <c r="I754" s="1360"/>
    </row>
    <row r="755">
      <c r="A755" s="1351" t="s">
        <v>318</v>
      </c>
      <c r="B755" s="1352" t="s">
        <v>1092</v>
      </c>
      <c r="C755" s="1353" t="s">
        <v>1495</v>
      </c>
      <c r="D755" s="1353">
        <v>417.0</v>
      </c>
      <c r="E755" s="1354">
        <v>479.55</v>
      </c>
      <c r="F755" s="1355">
        <v>10115.0</v>
      </c>
      <c r="G755" s="1356"/>
      <c r="H755" s="1359"/>
      <c r="I755" s="1362"/>
    </row>
    <row r="756">
      <c r="A756" s="1344" t="s">
        <v>318</v>
      </c>
      <c r="B756" s="1345" t="s">
        <v>1093</v>
      </c>
      <c r="C756" s="1346" t="s">
        <v>1495</v>
      </c>
      <c r="D756" s="1346"/>
      <c r="E756" s="1347"/>
      <c r="F756" s="1348">
        <v>10107.0</v>
      </c>
      <c r="G756" s="1349"/>
      <c r="H756" s="1358"/>
      <c r="I756" s="1360"/>
    </row>
    <row r="757">
      <c r="A757" s="1351" t="s">
        <v>318</v>
      </c>
      <c r="B757" s="1352" t="s">
        <v>1094</v>
      </c>
      <c r="C757" s="1353" t="s">
        <v>1495</v>
      </c>
      <c r="D757" s="1353"/>
      <c r="E757" s="1354"/>
      <c r="F757" s="1355">
        <v>10114.0</v>
      </c>
      <c r="G757" s="1356"/>
      <c r="H757" s="1359"/>
      <c r="I757" s="1362"/>
    </row>
    <row r="758">
      <c r="A758" s="1344" t="s">
        <v>318</v>
      </c>
      <c r="B758" s="1345" t="s">
        <v>1095</v>
      </c>
      <c r="C758" s="1346" t="s">
        <v>1495</v>
      </c>
      <c r="D758" s="1346"/>
      <c r="E758" s="1346"/>
      <c r="F758" s="1348">
        <v>10113.0</v>
      </c>
      <c r="G758" s="1349"/>
      <c r="H758" s="1346"/>
      <c r="I758" s="1360"/>
    </row>
    <row r="759">
      <c r="A759" s="1351" t="s">
        <v>318</v>
      </c>
      <c r="B759" s="1352" t="s">
        <v>1096</v>
      </c>
      <c r="C759" s="1353" t="s">
        <v>1495</v>
      </c>
      <c r="D759" s="1353">
        <v>436.0</v>
      </c>
      <c r="E759" s="1353">
        <v>501.4</v>
      </c>
      <c r="F759" s="1355">
        <v>10106.0</v>
      </c>
      <c r="G759" s="1356"/>
      <c r="H759" s="1353"/>
      <c r="I759" s="1362"/>
    </row>
    <row r="760">
      <c r="A760" s="1344" t="s">
        <v>318</v>
      </c>
      <c r="B760" s="1345" t="s">
        <v>1097</v>
      </c>
      <c r="C760" s="1346" t="s">
        <v>1495</v>
      </c>
      <c r="D760" s="1346"/>
      <c r="E760" s="1347"/>
      <c r="F760" s="1348">
        <v>10112.0</v>
      </c>
      <c r="G760" s="1349"/>
      <c r="H760" s="1358"/>
      <c r="I760" s="1360"/>
    </row>
    <row r="761">
      <c r="A761" s="1351" t="s">
        <v>318</v>
      </c>
      <c r="B761" s="1352" t="s">
        <v>1098</v>
      </c>
      <c r="C761" s="1353" t="s">
        <v>1495</v>
      </c>
      <c r="D761" s="1353"/>
      <c r="E761" s="1353"/>
      <c r="F761" s="1355">
        <v>10105.0</v>
      </c>
      <c r="G761" s="1356"/>
      <c r="H761" s="1359"/>
      <c r="I761" s="1362"/>
    </row>
    <row r="762">
      <c r="A762" s="1344" t="s">
        <v>318</v>
      </c>
      <c r="B762" s="1345" t="s">
        <v>1099</v>
      </c>
      <c r="C762" s="1346" t="s">
        <v>1495</v>
      </c>
      <c r="D762" s="1346"/>
      <c r="E762" s="1347"/>
      <c r="F762" s="1348">
        <v>10104.0</v>
      </c>
      <c r="G762" s="1349"/>
      <c r="H762" s="1346"/>
      <c r="I762" s="1360"/>
    </row>
    <row r="763">
      <c r="A763" s="1351" t="s">
        <v>318</v>
      </c>
      <c r="B763" s="1352" t="s">
        <v>1100</v>
      </c>
      <c r="C763" s="1353" t="s">
        <v>1495</v>
      </c>
      <c r="D763" s="1353"/>
      <c r="E763" s="1354"/>
      <c r="F763" s="1355">
        <v>10118.0</v>
      </c>
      <c r="G763" s="1356"/>
      <c r="H763" s="1359"/>
      <c r="I763" s="1362"/>
    </row>
    <row r="764">
      <c r="A764" s="1344" t="s">
        <v>318</v>
      </c>
      <c r="B764" s="1345" t="s">
        <v>1101</v>
      </c>
      <c r="C764" s="1346" t="s">
        <v>1495</v>
      </c>
      <c r="D764" s="1346"/>
      <c r="E764" s="1346"/>
      <c r="F764" s="1348">
        <v>10119.0</v>
      </c>
      <c r="G764" s="1349"/>
      <c r="H764" s="1358"/>
      <c r="I764" s="1360"/>
    </row>
    <row r="765">
      <c r="A765" s="1351" t="s">
        <v>318</v>
      </c>
      <c r="B765" s="1352" t="s">
        <v>1102</v>
      </c>
      <c r="C765" s="1353" t="s">
        <v>1495</v>
      </c>
      <c r="D765" s="1353"/>
      <c r="E765" s="1354"/>
      <c r="F765" s="1355">
        <v>10110.0</v>
      </c>
      <c r="G765" s="1356"/>
      <c r="H765" s="1359"/>
      <c r="I765" s="1362"/>
    </row>
    <row r="766">
      <c r="A766" s="1344" t="s">
        <v>318</v>
      </c>
      <c r="B766" s="1345" t="s">
        <v>1103</v>
      </c>
      <c r="C766" s="1346" t="s">
        <v>1495</v>
      </c>
      <c r="D766" s="1346"/>
      <c r="E766" s="1347"/>
      <c r="F766" s="1348">
        <v>10109.0</v>
      </c>
      <c r="G766" s="1349"/>
      <c r="H766" s="1346"/>
      <c r="I766" s="1360"/>
    </row>
    <row r="767">
      <c r="A767" s="1351" t="s">
        <v>318</v>
      </c>
      <c r="B767" s="1352" t="s">
        <v>1104</v>
      </c>
      <c r="C767" s="1353" t="s">
        <v>1495</v>
      </c>
      <c r="D767" s="1353">
        <v>159.0</v>
      </c>
      <c r="E767" s="1354">
        <v>182.85</v>
      </c>
      <c r="F767" s="1355"/>
      <c r="G767" s="1356"/>
      <c r="H767" s="1359"/>
      <c r="I767" s="1362"/>
    </row>
    <row r="768">
      <c r="A768" s="1344" t="s">
        <v>277</v>
      </c>
      <c r="B768" s="1345" t="s">
        <v>1105</v>
      </c>
      <c r="C768" s="1346" t="s">
        <v>1495</v>
      </c>
      <c r="D768" s="1346"/>
      <c r="E768" s="1347"/>
      <c r="F768" s="1348"/>
      <c r="G768" s="1349"/>
      <c r="H768" s="1358"/>
      <c r="I768" s="1360"/>
    </row>
    <row r="769">
      <c r="A769" s="1351" t="s">
        <v>277</v>
      </c>
      <c r="B769" s="1352" t="s">
        <v>1106</v>
      </c>
      <c r="C769" s="1353" t="s">
        <v>1495</v>
      </c>
      <c r="D769" s="1353"/>
      <c r="E769" s="1354"/>
      <c r="F769" s="1355"/>
      <c r="G769" s="1356"/>
      <c r="H769" s="1359"/>
      <c r="I769" s="1362"/>
    </row>
    <row r="770">
      <c r="A770" s="1344" t="s">
        <v>277</v>
      </c>
      <c r="B770" s="1345" t="s">
        <v>1107</v>
      </c>
      <c r="C770" s="1346" t="s">
        <v>1495</v>
      </c>
      <c r="D770" s="1346"/>
      <c r="E770" s="1347"/>
      <c r="F770" s="1348"/>
      <c r="G770" s="1349"/>
      <c r="H770" s="1358"/>
      <c r="I770" s="1360"/>
    </row>
    <row r="771">
      <c r="A771" s="1351" t="s">
        <v>277</v>
      </c>
      <c r="B771" s="1352" t="s">
        <v>1108</v>
      </c>
      <c r="C771" s="1353" t="s">
        <v>1495</v>
      </c>
      <c r="D771" s="1353"/>
      <c r="E771" s="1353"/>
      <c r="F771" s="1355"/>
      <c r="G771" s="1356"/>
      <c r="H771" s="1359"/>
      <c r="I771" s="1362"/>
    </row>
    <row r="772">
      <c r="A772" s="1344" t="s">
        <v>14</v>
      </c>
      <c r="B772" s="1345" t="s">
        <v>1109</v>
      </c>
      <c r="C772" s="1346" t="s">
        <v>1495</v>
      </c>
      <c r="D772" s="1346"/>
      <c r="E772" s="1347"/>
      <c r="F772" s="1348"/>
      <c r="G772" s="1349"/>
      <c r="H772" s="1358"/>
      <c r="I772" s="1360"/>
    </row>
    <row r="773">
      <c r="A773" s="1351" t="s">
        <v>14</v>
      </c>
      <c r="B773" s="1352" t="s">
        <v>1110</v>
      </c>
      <c r="C773" s="1353" t="s">
        <v>1495</v>
      </c>
      <c r="D773" s="1353"/>
      <c r="E773" s="1353"/>
      <c r="F773" s="1355"/>
      <c r="G773" s="1356"/>
      <c r="H773" s="1353"/>
      <c r="I773" s="1362"/>
    </row>
    <row r="774">
      <c r="A774" s="1344" t="s">
        <v>328</v>
      </c>
      <c r="B774" s="1345" t="s">
        <v>1111</v>
      </c>
      <c r="C774" s="1346" t="s">
        <v>1495</v>
      </c>
      <c r="D774" s="1346"/>
      <c r="E774" s="1347"/>
      <c r="F774" s="1348"/>
      <c r="G774" s="1349"/>
      <c r="H774" s="1358"/>
      <c r="I774" s="1360"/>
    </row>
    <row r="775">
      <c r="A775" s="1351" t="s">
        <v>328</v>
      </c>
      <c r="B775" s="1352" t="s">
        <v>1112</v>
      </c>
      <c r="C775" s="1353" t="s">
        <v>1495</v>
      </c>
      <c r="D775" s="1353"/>
      <c r="E775" s="1353"/>
      <c r="F775" s="1355"/>
      <c r="G775" s="1356"/>
      <c r="H775" s="1359"/>
      <c r="I775" s="1362"/>
    </row>
    <row r="776">
      <c r="A776" s="1344" t="s">
        <v>277</v>
      </c>
      <c r="B776" s="1345" t="s">
        <v>1113</v>
      </c>
      <c r="C776" s="1346" t="s">
        <v>1495</v>
      </c>
      <c r="D776" s="1346"/>
      <c r="E776" s="1347"/>
      <c r="F776" s="1348"/>
      <c r="G776" s="1349"/>
      <c r="H776" s="1358"/>
      <c r="I776" s="1360"/>
    </row>
    <row r="777">
      <c r="A777" s="1351" t="s">
        <v>146</v>
      </c>
      <c r="B777" s="1352" t="s">
        <v>3157</v>
      </c>
      <c r="C777" s="1353" t="s">
        <v>1495</v>
      </c>
      <c r="D777" s="1353">
        <v>6.57</v>
      </c>
      <c r="E777" s="1354">
        <v>9.9</v>
      </c>
      <c r="F777" s="1355" t="s">
        <v>3158</v>
      </c>
      <c r="G777" s="1356">
        <v>2.0</v>
      </c>
      <c r="H777" s="1359">
        <v>44.0</v>
      </c>
      <c r="I777" s="1357" t="s">
        <v>2143</v>
      </c>
    </row>
    <row r="778">
      <c r="A778" s="1344" t="s">
        <v>146</v>
      </c>
      <c r="B778" s="1345" t="s">
        <v>1115</v>
      </c>
      <c r="C778" s="1346" t="s">
        <v>1495</v>
      </c>
      <c r="D778" s="1346">
        <v>8.69</v>
      </c>
      <c r="E778" s="1347">
        <v>13.05</v>
      </c>
      <c r="F778" s="1348" t="s">
        <v>3159</v>
      </c>
      <c r="G778" s="1349">
        <v>2.0</v>
      </c>
      <c r="H778" s="1358"/>
      <c r="I778" s="1350" t="s">
        <v>2143</v>
      </c>
    </row>
    <row r="779">
      <c r="A779" s="1351" t="s">
        <v>146</v>
      </c>
      <c r="B779" s="1352" t="s">
        <v>3160</v>
      </c>
      <c r="C779" s="1353" t="s">
        <v>1495</v>
      </c>
      <c r="D779" s="1353">
        <v>7.0</v>
      </c>
      <c r="E779" s="1354">
        <v>10.5</v>
      </c>
      <c r="F779" s="1355" t="s">
        <v>3161</v>
      </c>
      <c r="G779" s="1356"/>
      <c r="H779" s="1359">
        <v>38.0</v>
      </c>
      <c r="I779" s="1357" t="s">
        <v>2145</v>
      </c>
    </row>
    <row r="780">
      <c r="A780" s="1344" t="s">
        <v>3056</v>
      </c>
      <c r="B780" s="1345" t="s">
        <v>1117</v>
      </c>
      <c r="C780" s="1346" t="s">
        <v>3162</v>
      </c>
      <c r="D780" s="1346"/>
      <c r="E780" s="1347"/>
      <c r="F780" s="1348" t="s">
        <v>3163</v>
      </c>
      <c r="G780" s="1349"/>
      <c r="H780" s="1346"/>
      <c r="I780" s="1360"/>
    </row>
    <row r="781">
      <c r="A781" s="1351" t="s">
        <v>3056</v>
      </c>
      <c r="B781" s="1352" t="s">
        <v>1118</v>
      </c>
      <c r="C781" s="1353" t="s">
        <v>3162</v>
      </c>
      <c r="D781" s="1353"/>
      <c r="E781" s="1353"/>
      <c r="F781" s="1355" t="s">
        <v>3164</v>
      </c>
      <c r="G781" s="1356"/>
      <c r="H781" s="1359"/>
      <c r="I781" s="1362"/>
    </row>
    <row r="782">
      <c r="A782" s="1344" t="s">
        <v>321</v>
      </c>
      <c r="B782" s="1345" t="s">
        <v>1119</v>
      </c>
      <c r="C782" s="1346" t="s">
        <v>1495</v>
      </c>
      <c r="D782" s="1346"/>
      <c r="E782" s="1346"/>
      <c r="F782" s="1348" t="s">
        <v>3165</v>
      </c>
      <c r="G782" s="1349"/>
      <c r="H782" s="1346"/>
      <c r="I782" s="1360"/>
    </row>
    <row r="783">
      <c r="A783" s="1351" t="s">
        <v>146</v>
      </c>
      <c r="B783" s="1352" t="s">
        <v>3166</v>
      </c>
      <c r="C783" s="1353" t="s">
        <v>1495</v>
      </c>
      <c r="D783" s="1353">
        <v>11.33</v>
      </c>
      <c r="E783" s="1353">
        <v>13.05</v>
      </c>
      <c r="F783" s="1355" t="s">
        <v>2146</v>
      </c>
      <c r="G783" s="1356"/>
      <c r="H783" s="1359">
        <v>221.0</v>
      </c>
      <c r="I783" s="1357" t="s">
        <v>3167</v>
      </c>
    </row>
    <row r="784">
      <c r="A784" s="1344" t="s">
        <v>318</v>
      </c>
      <c r="B784" s="1345" t="s">
        <v>1121</v>
      </c>
      <c r="C784" s="1346" t="s">
        <v>1495</v>
      </c>
      <c r="D784" s="1346"/>
      <c r="E784" s="1347"/>
      <c r="F784" s="1348"/>
      <c r="G784" s="1349"/>
      <c r="H784" s="1346"/>
      <c r="I784" s="1360"/>
    </row>
    <row r="785">
      <c r="A785" s="1351" t="s">
        <v>2695</v>
      </c>
      <c r="B785" s="1352" t="s">
        <v>1122</v>
      </c>
      <c r="C785" s="1353" t="s">
        <v>1495</v>
      </c>
      <c r="D785" s="1353"/>
      <c r="E785" s="1354"/>
      <c r="F785" s="1355"/>
      <c r="G785" s="1356"/>
      <c r="H785" s="1359"/>
      <c r="I785" s="1357" t="s">
        <v>3168</v>
      </c>
    </row>
    <row r="786">
      <c r="A786" s="1344" t="s">
        <v>2695</v>
      </c>
      <c r="B786" s="1345" t="s">
        <v>1123</v>
      </c>
      <c r="C786" s="1346" t="s">
        <v>1495</v>
      </c>
      <c r="D786" s="1346"/>
      <c r="E786" s="1346"/>
      <c r="F786" s="1348"/>
      <c r="G786" s="1349"/>
      <c r="H786" s="1346"/>
      <c r="I786" s="1350" t="s">
        <v>3169</v>
      </c>
    </row>
    <row r="787">
      <c r="A787" s="1351" t="s">
        <v>2695</v>
      </c>
      <c r="B787" s="1352" t="s">
        <v>1124</v>
      </c>
      <c r="C787" s="1353" t="s">
        <v>1495</v>
      </c>
      <c r="D787" s="1353"/>
      <c r="E787" s="1354"/>
      <c r="F787" s="1355"/>
      <c r="G787" s="1356"/>
      <c r="H787" s="1359"/>
      <c r="I787" s="1357" t="s">
        <v>3170</v>
      </c>
    </row>
    <row r="788">
      <c r="A788" s="1344" t="s">
        <v>2695</v>
      </c>
      <c r="B788" s="1345" t="s">
        <v>1125</v>
      </c>
      <c r="C788" s="1346" t="s">
        <v>1495</v>
      </c>
      <c r="D788" s="1346"/>
      <c r="E788" s="1347"/>
      <c r="F788" s="1348"/>
      <c r="G788" s="1349"/>
      <c r="H788" s="1346"/>
      <c r="I788" s="1350" t="s">
        <v>3171</v>
      </c>
    </row>
    <row r="789">
      <c r="A789" s="1351" t="s">
        <v>2400</v>
      </c>
      <c r="B789" s="1352" t="s">
        <v>3172</v>
      </c>
      <c r="C789" s="1353" t="s">
        <v>1495</v>
      </c>
      <c r="D789" s="1353"/>
      <c r="E789" s="1353"/>
      <c r="F789" s="1355" t="s">
        <v>3173</v>
      </c>
      <c r="G789" s="1356"/>
      <c r="H789" s="1359">
        <v>10.0</v>
      </c>
      <c r="I789" s="1363"/>
    </row>
    <row r="790">
      <c r="A790" s="1344" t="s">
        <v>2400</v>
      </c>
      <c r="B790" s="1345" t="s">
        <v>1127</v>
      </c>
      <c r="C790" s="1346" t="s">
        <v>1495</v>
      </c>
      <c r="D790" s="1346"/>
      <c r="E790" s="1347"/>
      <c r="F790" s="1348" t="s">
        <v>3174</v>
      </c>
      <c r="G790" s="1349"/>
      <c r="H790" s="1358"/>
      <c r="I790" s="1360"/>
    </row>
    <row r="791">
      <c r="A791" s="1351" t="s">
        <v>2400</v>
      </c>
      <c r="B791" s="1352" t="s">
        <v>1128</v>
      </c>
      <c r="C791" s="1353" t="s">
        <v>1495</v>
      </c>
      <c r="D791" s="1353"/>
      <c r="E791" s="1354"/>
      <c r="F791" s="1355" t="s">
        <v>3175</v>
      </c>
      <c r="G791" s="1356"/>
      <c r="H791" s="1359"/>
      <c r="I791" s="1363"/>
    </row>
    <row r="792">
      <c r="A792" s="1344" t="s">
        <v>2400</v>
      </c>
      <c r="B792" s="1345" t="s">
        <v>1129</v>
      </c>
      <c r="C792" s="1346" t="s">
        <v>1495</v>
      </c>
      <c r="D792" s="1346"/>
      <c r="E792" s="1347"/>
      <c r="F792" s="1348" t="s">
        <v>3176</v>
      </c>
      <c r="G792" s="1349"/>
      <c r="H792" s="1358"/>
      <c r="I792" s="1360"/>
    </row>
    <row r="793">
      <c r="A793" s="1351" t="s">
        <v>2400</v>
      </c>
      <c r="B793" s="1352" t="s">
        <v>3177</v>
      </c>
      <c r="C793" s="1353" t="s">
        <v>1495</v>
      </c>
      <c r="D793" s="1353">
        <v>0.16</v>
      </c>
      <c r="E793" s="1354">
        <v>0.2</v>
      </c>
      <c r="F793" s="1355" t="s">
        <v>3178</v>
      </c>
      <c r="G793" s="1356"/>
      <c r="H793" s="1359">
        <v>20.0</v>
      </c>
      <c r="I793" s="1357" t="s">
        <v>3179</v>
      </c>
    </row>
    <row r="794">
      <c r="A794" s="1344" t="s">
        <v>2400</v>
      </c>
      <c r="B794" s="1345" t="s">
        <v>1131</v>
      </c>
      <c r="C794" s="1346" t="s">
        <v>1495</v>
      </c>
      <c r="D794" s="1346"/>
      <c r="E794" s="1346"/>
      <c r="F794" s="1348" t="s">
        <v>3180</v>
      </c>
      <c r="G794" s="1349"/>
      <c r="H794" s="1346"/>
      <c r="I794" s="1360"/>
    </row>
    <row r="795">
      <c r="A795" s="1351" t="s">
        <v>2400</v>
      </c>
      <c r="B795" s="1352" t="s">
        <v>1132</v>
      </c>
      <c r="C795" s="1353" t="s">
        <v>1495</v>
      </c>
      <c r="D795" s="1353"/>
      <c r="E795" s="1354"/>
      <c r="F795" s="1355" t="s">
        <v>3181</v>
      </c>
      <c r="G795" s="1356"/>
      <c r="H795" s="1353"/>
      <c r="I795" s="1362"/>
    </row>
    <row r="796">
      <c r="A796" s="1344" t="s">
        <v>2400</v>
      </c>
      <c r="B796" s="1345" t="s">
        <v>3182</v>
      </c>
      <c r="C796" s="1346" t="s">
        <v>1495</v>
      </c>
      <c r="D796" s="1346">
        <v>1.12</v>
      </c>
      <c r="E796" s="1347">
        <v>1.3</v>
      </c>
      <c r="F796" s="1348" t="s">
        <v>3183</v>
      </c>
      <c r="G796" s="1349"/>
      <c r="H796" s="1346">
        <v>34.0</v>
      </c>
      <c r="I796" s="1360"/>
    </row>
    <row r="797">
      <c r="A797" s="1351" t="s">
        <v>2400</v>
      </c>
      <c r="B797" s="1352" t="s">
        <v>3184</v>
      </c>
      <c r="C797" s="1353" t="s">
        <v>1495</v>
      </c>
      <c r="D797" s="1353">
        <v>1.53</v>
      </c>
      <c r="E797" s="1354">
        <v>1.8</v>
      </c>
      <c r="F797" s="1355" t="s">
        <v>3185</v>
      </c>
      <c r="G797" s="1356"/>
      <c r="H797" s="1359">
        <v>92.0</v>
      </c>
      <c r="I797" s="1357" t="s">
        <v>3186</v>
      </c>
    </row>
    <row r="798">
      <c r="A798" s="1344" t="s">
        <v>2400</v>
      </c>
      <c r="B798" s="1345" t="s">
        <v>3187</v>
      </c>
      <c r="C798" s="1346" t="s">
        <v>1495</v>
      </c>
      <c r="D798" s="1346">
        <v>2.7</v>
      </c>
      <c r="E798" s="1346">
        <v>3.15</v>
      </c>
      <c r="F798" s="1348" t="s">
        <v>3188</v>
      </c>
      <c r="G798" s="1349"/>
      <c r="H798" s="1358">
        <v>16.0</v>
      </c>
      <c r="I798" s="1350" t="s">
        <v>3189</v>
      </c>
    </row>
    <row r="799">
      <c r="A799" s="1351" t="s">
        <v>2400</v>
      </c>
      <c r="B799" s="1352" t="s">
        <v>3190</v>
      </c>
      <c r="C799" s="1353" t="s">
        <v>1495</v>
      </c>
      <c r="D799" s="1353">
        <v>3.85</v>
      </c>
      <c r="E799" s="1354">
        <v>4.45</v>
      </c>
      <c r="F799" s="1355" t="s">
        <v>3191</v>
      </c>
      <c r="G799" s="1356"/>
      <c r="H799" s="1353">
        <v>4.0</v>
      </c>
      <c r="I799" s="1357" t="s">
        <v>3192</v>
      </c>
    </row>
    <row r="800">
      <c r="A800" s="1344" t="s">
        <v>326</v>
      </c>
      <c r="B800" s="1345" t="s">
        <v>3193</v>
      </c>
      <c r="C800" s="1346" t="s">
        <v>1495</v>
      </c>
      <c r="D800" s="1346">
        <v>7.85</v>
      </c>
      <c r="E800" s="1346">
        <v>9.05</v>
      </c>
      <c r="F800" s="1348" t="s">
        <v>3194</v>
      </c>
      <c r="G800" s="1349"/>
      <c r="H800" s="1358">
        <v>132.0</v>
      </c>
      <c r="I800" s="1350" t="s">
        <v>3195</v>
      </c>
    </row>
    <row r="801">
      <c r="A801" s="1351" t="s">
        <v>2170</v>
      </c>
      <c r="B801" s="1352" t="s">
        <v>3196</v>
      </c>
      <c r="C801" s="1353" t="s">
        <v>1495</v>
      </c>
      <c r="D801" s="1353">
        <v>21.0</v>
      </c>
      <c r="E801" s="1354">
        <v>24.15</v>
      </c>
      <c r="F801" s="1355">
        <v>2061251.0</v>
      </c>
      <c r="G801" s="1356"/>
      <c r="H801" s="1359">
        <v>1.0</v>
      </c>
      <c r="I801" s="1362"/>
    </row>
    <row r="802">
      <c r="A802" s="1344" t="s">
        <v>2587</v>
      </c>
      <c r="B802" s="1345" t="s">
        <v>1139</v>
      </c>
      <c r="C802" s="1346" t="s">
        <v>1642</v>
      </c>
      <c r="D802" s="1346"/>
      <c r="E802" s="1346"/>
      <c r="F802" s="1348" t="s">
        <v>3197</v>
      </c>
      <c r="G802" s="1349"/>
      <c r="H802" s="1346"/>
      <c r="I802" s="1360"/>
    </row>
    <row r="803">
      <c r="A803" s="1351" t="s">
        <v>2400</v>
      </c>
      <c r="B803" s="1352" t="s">
        <v>3198</v>
      </c>
      <c r="C803" s="1353" t="s">
        <v>1495</v>
      </c>
      <c r="D803" s="1353">
        <v>2.0</v>
      </c>
      <c r="E803" s="1353">
        <v>2.3</v>
      </c>
      <c r="F803" s="1355" t="s">
        <v>3199</v>
      </c>
      <c r="G803" s="1356"/>
      <c r="H803" s="1359">
        <v>40.0</v>
      </c>
      <c r="I803" s="1362"/>
    </row>
    <row r="804">
      <c r="A804" s="1344" t="s">
        <v>2393</v>
      </c>
      <c r="B804" s="1345" t="s">
        <v>3200</v>
      </c>
      <c r="C804" s="1346" t="s">
        <v>1495</v>
      </c>
      <c r="D804" s="1346">
        <v>0.14</v>
      </c>
      <c r="E804" s="1347">
        <v>0.2</v>
      </c>
      <c r="F804" s="1348" t="s">
        <v>3201</v>
      </c>
      <c r="G804" s="1349"/>
      <c r="H804" s="1358">
        <v>80.0</v>
      </c>
      <c r="I804" s="1350" t="s">
        <v>3202</v>
      </c>
    </row>
    <row r="805">
      <c r="A805" s="1351" t="s">
        <v>323</v>
      </c>
      <c r="B805" s="1352" t="s">
        <v>1142</v>
      </c>
      <c r="C805" s="1353" t="s">
        <v>1495</v>
      </c>
      <c r="D805" s="1353">
        <v>1362.0</v>
      </c>
      <c r="E805" s="1354">
        <v>1566.3</v>
      </c>
      <c r="F805" s="1355"/>
      <c r="G805" s="1356"/>
      <c r="H805" s="1359"/>
      <c r="I805" s="1363"/>
    </row>
    <row r="806">
      <c r="A806" s="1344" t="s">
        <v>323</v>
      </c>
      <c r="B806" s="1345" t="s">
        <v>1143</v>
      </c>
      <c r="C806" s="1346" t="s">
        <v>1495</v>
      </c>
      <c r="D806" s="1346">
        <v>545.0</v>
      </c>
      <c r="E806" s="1347">
        <v>626.75</v>
      </c>
      <c r="F806" s="1348"/>
      <c r="G806" s="1349"/>
      <c r="H806" s="1358"/>
      <c r="I806" s="1360"/>
    </row>
    <row r="807">
      <c r="A807" s="1351" t="s">
        <v>2439</v>
      </c>
      <c r="B807" s="1352" t="s">
        <v>3203</v>
      </c>
      <c r="C807" s="1353" t="s">
        <v>1495</v>
      </c>
      <c r="D807" s="1353">
        <v>8.95</v>
      </c>
      <c r="E807" s="1354">
        <v>10.3</v>
      </c>
      <c r="F807" s="1355">
        <v>2921142.0</v>
      </c>
      <c r="G807" s="1356"/>
      <c r="H807" s="1353">
        <v>2.0</v>
      </c>
      <c r="I807" s="1357" t="s">
        <v>2570</v>
      </c>
    </row>
    <row r="808">
      <c r="A808" s="1344" t="s">
        <v>2400</v>
      </c>
      <c r="B808" s="1345" t="s">
        <v>3204</v>
      </c>
      <c r="C808" s="1346" t="s">
        <v>1495</v>
      </c>
      <c r="D808" s="1346">
        <v>1.02</v>
      </c>
      <c r="E808" s="1347">
        <v>1.2</v>
      </c>
      <c r="F808" s="1348" t="s">
        <v>3205</v>
      </c>
      <c r="G808" s="1349"/>
      <c r="H808" s="1346">
        <v>10.0</v>
      </c>
      <c r="I808" s="1360"/>
    </row>
    <row r="809">
      <c r="A809" s="1351" t="s">
        <v>315</v>
      </c>
      <c r="B809" s="1352" t="s">
        <v>1146</v>
      </c>
      <c r="C809" s="1353" t="s">
        <v>1495</v>
      </c>
      <c r="D809" s="1353"/>
      <c r="E809" s="1354"/>
      <c r="F809" s="1355">
        <v>4661580.0</v>
      </c>
      <c r="G809" s="1356"/>
      <c r="H809" s="1359"/>
      <c r="I809" s="1357" t="s">
        <v>3206</v>
      </c>
    </row>
    <row r="810">
      <c r="A810" s="1344" t="s">
        <v>2587</v>
      </c>
      <c r="B810" s="1345" t="s">
        <v>3207</v>
      </c>
      <c r="C810" s="1346" t="s">
        <v>1642</v>
      </c>
      <c r="D810" s="1346">
        <v>2.16</v>
      </c>
      <c r="E810" s="1346">
        <v>2.5</v>
      </c>
      <c r="F810" s="1348" t="s">
        <v>3208</v>
      </c>
      <c r="G810" s="1349"/>
      <c r="H810" s="1346">
        <v>194.0</v>
      </c>
      <c r="I810" s="1350" t="s">
        <v>3209</v>
      </c>
    </row>
    <row r="811">
      <c r="A811" s="1351" t="s">
        <v>2587</v>
      </c>
      <c r="B811" s="1352" t="s">
        <v>3210</v>
      </c>
      <c r="C811" s="1353" t="s">
        <v>1495</v>
      </c>
      <c r="D811" s="1353">
        <v>0.85</v>
      </c>
      <c r="E811" s="1354">
        <v>1.0</v>
      </c>
      <c r="F811" s="1355" t="s">
        <v>3211</v>
      </c>
      <c r="G811" s="1356"/>
      <c r="H811" s="1353">
        <v>14.0</v>
      </c>
      <c r="I811" s="1362"/>
    </row>
    <row r="812">
      <c r="A812" s="1344" t="s">
        <v>2587</v>
      </c>
      <c r="B812" s="1345" t="s">
        <v>3212</v>
      </c>
      <c r="C812" s="1346" t="s">
        <v>1495</v>
      </c>
      <c r="D812" s="1346">
        <v>1.2</v>
      </c>
      <c r="E812" s="1346">
        <v>1.4</v>
      </c>
      <c r="F812" s="1348" t="s">
        <v>3213</v>
      </c>
      <c r="G812" s="1349"/>
      <c r="H812" s="1346">
        <v>28.0</v>
      </c>
      <c r="I812" s="1360"/>
    </row>
    <row r="813">
      <c r="A813" s="1351" t="s">
        <v>2587</v>
      </c>
      <c r="B813" s="1352" t="s">
        <v>3214</v>
      </c>
      <c r="C813" s="1353" t="s">
        <v>1495</v>
      </c>
      <c r="D813" s="1353">
        <v>1.3</v>
      </c>
      <c r="E813" s="1354">
        <v>1.5</v>
      </c>
      <c r="F813" s="1355" t="s">
        <v>3215</v>
      </c>
      <c r="G813" s="1356"/>
      <c r="H813" s="1359">
        <v>30.0</v>
      </c>
      <c r="I813" s="1363"/>
    </row>
    <row r="814">
      <c r="A814" s="1344" t="s">
        <v>2587</v>
      </c>
      <c r="B814" s="1345" t="s">
        <v>3216</v>
      </c>
      <c r="C814" s="1346" t="s">
        <v>1495</v>
      </c>
      <c r="D814" s="1346">
        <v>1.11</v>
      </c>
      <c r="E814" s="1346">
        <v>1.3</v>
      </c>
      <c r="F814" s="1348" t="s">
        <v>3217</v>
      </c>
      <c r="G814" s="1349"/>
      <c r="H814" s="1358">
        <v>29.0</v>
      </c>
      <c r="I814" s="1361"/>
    </row>
    <row r="815">
      <c r="A815" s="1351" t="s">
        <v>2587</v>
      </c>
      <c r="B815" s="1352" t="s">
        <v>3218</v>
      </c>
      <c r="C815" s="1353" t="s">
        <v>1495</v>
      </c>
      <c r="D815" s="1353">
        <v>1.4</v>
      </c>
      <c r="E815" s="1354">
        <v>1.65</v>
      </c>
      <c r="F815" s="1355" t="s">
        <v>3219</v>
      </c>
      <c r="G815" s="1356"/>
      <c r="H815" s="1359">
        <v>5.0</v>
      </c>
      <c r="I815" s="1363"/>
    </row>
    <row r="816">
      <c r="A816" s="1344" t="s">
        <v>2170</v>
      </c>
      <c r="B816" s="1345" t="s">
        <v>1153</v>
      </c>
      <c r="C816" s="1346" t="s">
        <v>1495</v>
      </c>
      <c r="D816" s="1346">
        <v>16.45</v>
      </c>
      <c r="E816" s="1346">
        <v>18.95</v>
      </c>
      <c r="F816" s="1348" t="s">
        <v>3220</v>
      </c>
      <c r="G816" s="1349"/>
      <c r="H816" s="1346"/>
      <c r="I816" s="1350" t="s">
        <v>3221</v>
      </c>
    </row>
    <row r="817">
      <c r="A817" s="1351" t="s">
        <v>146</v>
      </c>
      <c r="B817" s="1352" t="s">
        <v>3222</v>
      </c>
      <c r="C817" s="1353" t="s">
        <v>1495</v>
      </c>
      <c r="D817" s="1353">
        <v>1.7</v>
      </c>
      <c r="E817" s="1353">
        <v>2.0</v>
      </c>
      <c r="F817" s="1355" t="s">
        <v>3223</v>
      </c>
      <c r="G817" s="1356"/>
      <c r="H817" s="1359">
        <v>54.0</v>
      </c>
      <c r="I817" s="1357" t="s">
        <v>3224</v>
      </c>
    </row>
    <row r="818">
      <c r="A818" s="1344" t="s">
        <v>2393</v>
      </c>
      <c r="B818" s="1345" t="s">
        <v>3225</v>
      </c>
      <c r="C818" s="1346" t="s">
        <v>1495</v>
      </c>
      <c r="D818" s="1346"/>
      <c r="E818" s="1346"/>
      <c r="F818" s="1348" t="s">
        <v>3226</v>
      </c>
      <c r="G818" s="1349"/>
      <c r="H818" s="1358">
        <v>30.0</v>
      </c>
      <c r="I818" s="1361"/>
    </row>
    <row r="819">
      <c r="A819" s="1351" t="s">
        <v>2393</v>
      </c>
      <c r="B819" s="1352" t="s">
        <v>3227</v>
      </c>
      <c r="C819" s="1353" t="s">
        <v>1495</v>
      </c>
      <c r="D819" s="1353">
        <v>0.6</v>
      </c>
      <c r="E819" s="1354">
        <v>0.7</v>
      </c>
      <c r="F819" s="1355" t="s">
        <v>3228</v>
      </c>
      <c r="G819" s="1356"/>
      <c r="H819" s="1359">
        <v>37.0</v>
      </c>
      <c r="I819" s="1357" t="s">
        <v>3229</v>
      </c>
    </row>
    <row r="820">
      <c r="A820" s="1344" t="s">
        <v>2593</v>
      </c>
      <c r="B820" s="1345" t="s">
        <v>3230</v>
      </c>
      <c r="C820" s="1346" t="s">
        <v>1495</v>
      </c>
      <c r="D820" s="1346">
        <v>4.51</v>
      </c>
      <c r="E820" s="1347">
        <v>5.2</v>
      </c>
      <c r="F820" s="1348"/>
      <c r="G820" s="1349"/>
      <c r="H820" s="1358">
        <v>3.0</v>
      </c>
      <c r="I820" s="1350" t="s">
        <v>3231</v>
      </c>
    </row>
    <row r="821">
      <c r="A821" s="1351" t="s">
        <v>14</v>
      </c>
      <c r="B821" s="1352" t="s">
        <v>3232</v>
      </c>
      <c r="C821" s="1353" t="s">
        <v>1495</v>
      </c>
      <c r="D821" s="1353">
        <v>15.05</v>
      </c>
      <c r="E821" s="1353">
        <v>17.35</v>
      </c>
      <c r="F821" s="1355">
        <v>2464094.0</v>
      </c>
      <c r="G821" s="1356"/>
      <c r="H821" s="1359">
        <v>1.0</v>
      </c>
      <c r="I821" s="1357" t="s">
        <v>3233</v>
      </c>
    </row>
    <row r="822">
      <c r="A822" s="1344" t="s">
        <v>2383</v>
      </c>
      <c r="B822" s="1345" t="s">
        <v>1159</v>
      </c>
      <c r="C822" s="1346" t="s">
        <v>1495</v>
      </c>
      <c r="D822" s="1346">
        <v>3.55</v>
      </c>
      <c r="E822" s="1346">
        <v>4.1</v>
      </c>
      <c r="F822" s="1348"/>
      <c r="G822" s="1349"/>
      <c r="H822" s="1358"/>
      <c r="I822" s="1361"/>
    </row>
    <row r="823">
      <c r="A823" s="1351" t="s">
        <v>3056</v>
      </c>
      <c r="B823" s="1352" t="s">
        <v>1160</v>
      </c>
      <c r="C823" s="1353" t="s">
        <v>1495</v>
      </c>
      <c r="D823" s="1353"/>
      <c r="E823" s="1354"/>
      <c r="F823" s="1355" t="s">
        <v>3234</v>
      </c>
      <c r="G823" s="1356"/>
      <c r="H823" s="1359"/>
      <c r="I823" s="1363"/>
    </row>
    <row r="824">
      <c r="A824" s="1344" t="s">
        <v>3058</v>
      </c>
      <c r="B824" s="1345" t="s">
        <v>1161</v>
      </c>
      <c r="C824" s="1346" t="s">
        <v>1495</v>
      </c>
      <c r="D824" s="1346">
        <v>0.3</v>
      </c>
      <c r="E824" s="1346">
        <v>0.35</v>
      </c>
      <c r="F824" s="1348">
        <v>2.051005E7</v>
      </c>
      <c r="G824" s="1349"/>
      <c r="H824" s="1358"/>
      <c r="I824" s="1360"/>
    </row>
    <row r="825">
      <c r="A825" s="1351" t="s">
        <v>326</v>
      </c>
      <c r="B825" s="1352" t="s">
        <v>1162</v>
      </c>
      <c r="C825" s="1353" t="s">
        <v>3162</v>
      </c>
      <c r="D825" s="1353">
        <v>10.97</v>
      </c>
      <c r="E825" s="1354">
        <v>12.65</v>
      </c>
      <c r="F825" s="1355">
        <v>4671191.0</v>
      </c>
      <c r="G825" s="1356"/>
      <c r="H825" s="1353"/>
      <c r="I825" s="1357" t="s">
        <v>3235</v>
      </c>
    </row>
    <row r="826">
      <c r="A826" s="1344" t="s">
        <v>314</v>
      </c>
      <c r="B826" s="1345" t="s">
        <v>1163</v>
      </c>
      <c r="C826" s="1346" t="s">
        <v>1495</v>
      </c>
      <c r="D826" s="1346">
        <v>11.25</v>
      </c>
      <c r="E826" s="1347">
        <v>12.95</v>
      </c>
      <c r="F826" s="1348"/>
      <c r="G826" s="1349"/>
      <c r="H826" s="1358"/>
      <c r="I826" s="1360"/>
    </row>
    <row r="827">
      <c r="A827" s="1351" t="s">
        <v>317</v>
      </c>
      <c r="B827" s="1352" t="s">
        <v>1164</v>
      </c>
      <c r="C827" s="1353" t="s">
        <v>1642</v>
      </c>
      <c r="D827" s="1353">
        <v>7.68</v>
      </c>
      <c r="E827" s="1354">
        <v>8.85</v>
      </c>
      <c r="F827" s="1355"/>
      <c r="G827" s="1356"/>
      <c r="H827" s="1359"/>
      <c r="I827" s="1362"/>
    </row>
    <row r="828">
      <c r="A828" s="1344" t="s">
        <v>317</v>
      </c>
      <c r="B828" s="1345" t="s">
        <v>1165</v>
      </c>
      <c r="C828" s="1346" t="s">
        <v>1642</v>
      </c>
      <c r="D828" s="1346">
        <v>11.3</v>
      </c>
      <c r="E828" s="1346">
        <v>13.0</v>
      </c>
      <c r="F828" s="1348"/>
      <c r="G828" s="1349"/>
      <c r="H828" s="1358"/>
      <c r="I828" s="1360"/>
    </row>
    <row r="829">
      <c r="A829" s="1351" t="s">
        <v>317</v>
      </c>
      <c r="B829" s="1352" t="s">
        <v>1166</v>
      </c>
      <c r="C829" s="1353" t="s">
        <v>1642</v>
      </c>
      <c r="D829" s="1353">
        <v>12.63</v>
      </c>
      <c r="E829" s="1354">
        <v>14.55</v>
      </c>
      <c r="F829" s="1355"/>
      <c r="G829" s="1356"/>
      <c r="H829" s="1353"/>
      <c r="I829" s="1362"/>
    </row>
    <row r="830">
      <c r="A830" s="1344" t="s">
        <v>317</v>
      </c>
      <c r="B830" s="1345" t="s">
        <v>1167</v>
      </c>
      <c r="C830" s="1346" t="s">
        <v>1642</v>
      </c>
      <c r="D830" s="1346"/>
      <c r="E830" s="1347"/>
      <c r="F830" s="1348"/>
      <c r="G830" s="1349"/>
      <c r="H830" s="1358"/>
      <c r="I830" s="1360"/>
    </row>
    <row r="831">
      <c r="A831" s="1351" t="s">
        <v>317</v>
      </c>
      <c r="B831" s="1352" t="s">
        <v>1168</v>
      </c>
      <c r="C831" s="1353" t="s">
        <v>1642</v>
      </c>
      <c r="D831" s="1353"/>
      <c r="E831" s="1354"/>
      <c r="F831" s="1355"/>
      <c r="G831" s="1356"/>
      <c r="H831" s="1353"/>
      <c r="I831" s="1362"/>
    </row>
    <row r="832">
      <c r="A832" s="1344" t="s">
        <v>317</v>
      </c>
      <c r="B832" s="1345" t="s">
        <v>1169</v>
      </c>
      <c r="C832" s="1346" t="s">
        <v>1642</v>
      </c>
      <c r="D832" s="1346"/>
      <c r="E832" s="1347"/>
      <c r="F832" s="1348"/>
      <c r="G832" s="1349"/>
      <c r="H832" s="1358"/>
      <c r="I832" s="1360"/>
    </row>
    <row r="833">
      <c r="A833" s="1351" t="s">
        <v>317</v>
      </c>
      <c r="B833" s="1352" t="s">
        <v>1170</v>
      </c>
      <c r="C833" s="1353" t="s">
        <v>1495</v>
      </c>
      <c r="D833" s="1353"/>
      <c r="E833" s="1354"/>
      <c r="F833" s="1355"/>
      <c r="G833" s="1356"/>
      <c r="H833" s="1359"/>
      <c r="I833" s="1362"/>
    </row>
    <row r="834">
      <c r="A834" s="1344" t="s">
        <v>317</v>
      </c>
      <c r="B834" s="1345" t="s">
        <v>1171</v>
      </c>
      <c r="C834" s="1346" t="s">
        <v>1642</v>
      </c>
      <c r="D834" s="1346"/>
      <c r="E834" s="1347"/>
      <c r="F834" s="1348"/>
      <c r="G834" s="1349"/>
      <c r="H834" s="1346"/>
      <c r="I834" s="1360"/>
    </row>
    <row r="835">
      <c r="A835" s="1351" t="s">
        <v>326</v>
      </c>
      <c r="B835" s="1352" t="s">
        <v>3236</v>
      </c>
      <c r="C835" s="1353" t="s">
        <v>1495</v>
      </c>
      <c r="D835" s="1353">
        <v>54.7</v>
      </c>
      <c r="E835" s="1354">
        <v>62.95</v>
      </c>
      <c r="F835" s="1355">
        <v>4673006.0</v>
      </c>
      <c r="G835" s="1356"/>
      <c r="H835" s="1353">
        <v>5.0</v>
      </c>
      <c r="I835" s="1357" t="s">
        <v>3237</v>
      </c>
    </row>
    <row r="836">
      <c r="A836" s="1344" t="s">
        <v>326</v>
      </c>
      <c r="B836" s="1345" t="s">
        <v>1173</v>
      </c>
      <c r="C836" s="1346" t="s">
        <v>1495</v>
      </c>
      <c r="D836" s="1346"/>
      <c r="E836" s="1347"/>
      <c r="F836" s="1348">
        <v>4673026.0</v>
      </c>
      <c r="G836" s="1349"/>
      <c r="H836" s="1346"/>
      <c r="I836" s="1350" t="s">
        <v>3238</v>
      </c>
    </row>
    <row r="837">
      <c r="A837" s="1351" t="s">
        <v>326</v>
      </c>
      <c r="B837" s="1352" t="s">
        <v>1174</v>
      </c>
      <c r="C837" s="1353" t="s">
        <v>1495</v>
      </c>
      <c r="D837" s="1353">
        <v>63.33</v>
      </c>
      <c r="E837" s="1354">
        <v>72.85</v>
      </c>
      <c r="F837" s="1355">
        <v>4673028.0</v>
      </c>
      <c r="G837" s="1356"/>
      <c r="H837" s="1359"/>
      <c r="I837" s="1357" t="s">
        <v>3239</v>
      </c>
    </row>
    <row r="838">
      <c r="A838" s="1344" t="s">
        <v>326</v>
      </c>
      <c r="B838" s="1345" t="s">
        <v>3240</v>
      </c>
      <c r="C838" s="1346" t="s">
        <v>1495</v>
      </c>
      <c r="D838" s="1346">
        <v>72.2</v>
      </c>
      <c r="E838" s="1346">
        <v>83.05</v>
      </c>
      <c r="F838" s="1348">
        <v>4673071.0</v>
      </c>
      <c r="G838" s="1349"/>
      <c r="H838" s="1358">
        <v>1.0</v>
      </c>
      <c r="I838" s="1350" t="s">
        <v>3241</v>
      </c>
    </row>
    <row r="839">
      <c r="A839" s="1351" t="s">
        <v>326</v>
      </c>
      <c r="B839" s="1352" t="s">
        <v>3242</v>
      </c>
      <c r="C839" s="1353" t="s">
        <v>1495</v>
      </c>
      <c r="D839" s="1353">
        <v>58.86</v>
      </c>
      <c r="E839" s="1353">
        <v>67.7</v>
      </c>
      <c r="F839" s="1355">
        <v>4673072.0</v>
      </c>
      <c r="G839" s="1356"/>
      <c r="H839" s="1359">
        <v>1.0</v>
      </c>
      <c r="I839" s="1357" t="s">
        <v>3243</v>
      </c>
    </row>
    <row r="840">
      <c r="A840" s="1344" t="s">
        <v>2157</v>
      </c>
      <c r="B840" s="1345" t="s">
        <v>1177</v>
      </c>
      <c r="C840" s="1346" t="s">
        <v>1495</v>
      </c>
      <c r="D840" s="1346"/>
      <c r="E840" s="1346"/>
      <c r="F840" s="1348">
        <v>4673009.0</v>
      </c>
      <c r="G840" s="1349"/>
      <c r="H840" s="1358"/>
      <c r="I840" s="1350" t="s">
        <v>3244</v>
      </c>
    </row>
    <row r="841">
      <c r="A841" s="1351" t="s">
        <v>319</v>
      </c>
      <c r="B841" s="1352" t="s">
        <v>1178</v>
      </c>
      <c r="C841" s="1353" t="s">
        <v>1495</v>
      </c>
      <c r="D841" s="1353"/>
      <c r="E841" s="1354"/>
      <c r="F841" s="1355"/>
      <c r="G841" s="1356"/>
      <c r="H841" s="1353"/>
      <c r="I841" s="1362"/>
    </row>
    <row r="842">
      <c r="A842" s="1344" t="s">
        <v>2439</v>
      </c>
      <c r="B842" s="1345" t="s">
        <v>3245</v>
      </c>
      <c r="C842" s="1346" t="s">
        <v>1642</v>
      </c>
      <c r="D842" s="1346">
        <v>3.2</v>
      </c>
      <c r="E842" s="1347">
        <v>3.7</v>
      </c>
      <c r="F842" s="1348" t="s">
        <v>3246</v>
      </c>
      <c r="G842" s="1349"/>
      <c r="H842" s="1358">
        <v>3.0</v>
      </c>
      <c r="I842" s="1350" t="s">
        <v>3247</v>
      </c>
    </row>
    <row r="843">
      <c r="A843" s="1351" t="s">
        <v>2439</v>
      </c>
      <c r="B843" s="1352" t="s">
        <v>3248</v>
      </c>
      <c r="C843" s="1353" t="s">
        <v>1642</v>
      </c>
      <c r="D843" s="1353">
        <v>4.3</v>
      </c>
      <c r="E843" s="1354">
        <v>4.95</v>
      </c>
      <c r="F843" s="1355" t="s">
        <v>3249</v>
      </c>
      <c r="G843" s="1356"/>
      <c r="H843" s="1359">
        <v>5.3</v>
      </c>
      <c r="I843" s="1362"/>
    </row>
    <row r="844">
      <c r="A844" s="1344" t="s">
        <v>320</v>
      </c>
      <c r="B844" s="1345" t="s">
        <v>1181</v>
      </c>
      <c r="C844" s="1346" t="s">
        <v>1495</v>
      </c>
      <c r="D844" s="1346"/>
      <c r="E844" s="1346"/>
      <c r="F844" s="1348"/>
      <c r="G844" s="1349"/>
      <c r="H844" s="1358"/>
      <c r="I844" s="1360"/>
    </row>
    <row r="845">
      <c r="A845" s="1351" t="s">
        <v>321</v>
      </c>
      <c r="B845" s="1352" t="s">
        <v>1182</v>
      </c>
      <c r="C845" s="1353" t="s">
        <v>1495</v>
      </c>
      <c r="D845" s="1353"/>
      <c r="E845" s="1354"/>
      <c r="F845" s="1355" t="s">
        <v>3250</v>
      </c>
      <c r="G845" s="1356"/>
      <c r="H845" s="1359"/>
      <c r="I845" s="1362"/>
    </row>
    <row r="846">
      <c r="A846" s="1344" t="s">
        <v>320</v>
      </c>
      <c r="B846" s="1345" t="s">
        <v>1183</v>
      </c>
      <c r="C846" s="1346" t="s">
        <v>1495</v>
      </c>
      <c r="D846" s="1346">
        <v>2263.0</v>
      </c>
      <c r="E846" s="1346">
        <v>2602.45</v>
      </c>
      <c r="F846" s="1348" t="s">
        <v>3251</v>
      </c>
      <c r="G846" s="1349"/>
      <c r="H846" s="1346"/>
      <c r="I846" s="1360"/>
    </row>
    <row r="847">
      <c r="A847" s="1351" t="s">
        <v>321</v>
      </c>
      <c r="B847" s="1352" t="s">
        <v>1184</v>
      </c>
      <c r="C847" s="1353" t="s">
        <v>1495</v>
      </c>
      <c r="D847" s="1353">
        <v>1210.0</v>
      </c>
      <c r="E847" s="1353">
        <v>1391.5</v>
      </c>
      <c r="F847" s="1355"/>
      <c r="G847" s="1356"/>
      <c r="H847" s="1359"/>
      <c r="I847" s="1362"/>
    </row>
    <row r="848">
      <c r="A848" s="1344" t="s">
        <v>3056</v>
      </c>
      <c r="B848" s="1345" t="s">
        <v>1185</v>
      </c>
      <c r="C848" s="1346" t="s">
        <v>1495</v>
      </c>
      <c r="D848" s="1346">
        <v>12.6</v>
      </c>
      <c r="E848" s="1347">
        <v>14.5</v>
      </c>
      <c r="F848" s="1348" t="s">
        <v>3252</v>
      </c>
      <c r="G848" s="1349"/>
      <c r="H848" s="1358"/>
      <c r="I848" s="1360"/>
    </row>
    <row r="849">
      <c r="A849" s="1351" t="s">
        <v>3056</v>
      </c>
      <c r="B849" s="1352" t="s">
        <v>1186</v>
      </c>
      <c r="C849" s="1353" t="s">
        <v>1495</v>
      </c>
      <c r="D849" s="1353">
        <v>15.08</v>
      </c>
      <c r="E849" s="1354">
        <v>17.35</v>
      </c>
      <c r="F849" s="1355" t="s">
        <v>3253</v>
      </c>
      <c r="G849" s="1356"/>
      <c r="H849" s="1353"/>
      <c r="I849" s="1362"/>
    </row>
    <row r="850">
      <c r="A850" s="1344" t="s">
        <v>3056</v>
      </c>
      <c r="B850" s="1345" t="s">
        <v>1187</v>
      </c>
      <c r="C850" s="1346" t="s">
        <v>1495</v>
      </c>
      <c r="D850" s="1346">
        <v>20.06</v>
      </c>
      <c r="E850" s="1347">
        <v>23.1</v>
      </c>
      <c r="F850" s="1348" t="s">
        <v>3254</v>
      </c>
      <c r="G850" s="1349"/>
      <c r="H850" s="1358"/>
      <c r="I850" s="1360"/>
    </row>
    <row r="851">
      <c r="A851" s="1351" t="s">
        <v>3255</v>
      </c>
      <c r="B851" s="1352" t="s">
        <v>1188</v>
      </c>
      <c r="C851" s="1353" t="s">
        <v>1495</v>
      </c>
      <c r="D851" s="1353">
        <v>13.75</v>
      </c>
      <c r="E851" s="1354">
        <v>17.9</v>
      </c>
      <c r="F851" s="1355"/>
      <c r="G851" s="1356"/>
      <c r="H851" s="1353"/>
      <c r="I851" s="1362"/>
    </row>
    <row r="852">
      <c r="A852" s="1344" t="s">
        <v>3132</v>
      </c>
      <c r="B852" s="1345" t="s">
        <v>1189</v>
      </c>
      <c r="C852" s="1346" t="s">
        <v>3256</v>
      </c>
      <c r="D852" s="1346"/>
      <c r="E852" s="1346"/>
      <c r="F852" s="1348"/>
      <c r="G852" s="1349"/>
      <c r="H852" s="1358"/>
      <c r="I852" s="1360"/>
    </row>
    <row r="853">
      <c r="A853" s="1351" t="s">
        <v>277</v>
      </c>
      <c r="B853" s="1352" t="s">
        <v>1189</v>
      </c>
      <c r="C853" s="1353" t="s">
        <v>1495</v>
      </c>
      <c r="D853" s="1353"/>
      <c r="E853" s="1354"/>
      <c r="F853" s="1355"/>
      <c r="G853" s="1356"/>
      <c r="H853" s="1359"/>
      <c r="I853" s="1362"/>
    </row>
    <row r="854">
      <c r="A854" s="1344" t="s">
        <v>3056</v>
      </c>
      <c r="B854" s="1345" t="s">
        <v>1190</v>
      </c>
      <c r="C854" s="1346" t="s">
        <v>3162</v>
      </c>
      <c r="D854" s="1346">
        <v>53.0</v>
      </c>
      <c r="E854" s="1347">
        <v>60.95</v>
      </c>
      <c r="F854" s="1348" t="s">
        <v>3257</v>
      </c>
      <c r="G854" s="1349"/>
      <c r="H854" s="1358"/>
      <c r="I854" s="1360"/>
    </row>
    <row r="855">
      <c r="A855" s="1351" t="s">
        <v>3056</v>
      </c>
      <c r="B855" s="1352" t="s">
        <v>1191</v>
      </c>
      <c r="C855" s="1353" t="s">
        <v>3162</v>
      </c>
      <c r="D855" s="1353">
        <v>145.0</v>
      </c>
      <c r="E855" s="1353">
        <v>166.75</v>
      </c>
      <c r="F855" s="1355" t="s">
        <v>3258</v>
      </c>
      <c r="G855" s="1356"/>
      <c r="H855" s="1359"/>
      <c r="I855" s="1362"/>
    </row>
    <row r="856">
      <c r="A856" s="1344" t="s">
        <v>3056</v>
      </c>
      <c r="B856" s="1345" t="s">
        <v>1192</v>
      </c>
      <c r="C856" s="1346" t="s">
        <v>1495</v>
      </c>
      <c r="D856" s="1346"/>
      <c r="E856" s="1347"/>
      <c r="F856" s="1348" t="s">
        <v>3259</v>
      </c>
      <c r="G856" s="1349"/>
      <c r="H856" s="1358"/>
      <c r="I856" s="1360"/>
    </row>
    <row r="857">
      <c r="A857" s="1351" t="s">
        <v>2383</v>
      </c>
      <c r="B857" s="1352" t="s">
        <v>1193</v>
      </c>
      <c r="C857" s="1353" t="s">
        <v>1495</v>
      </c>
      <c r="D857" s="1353">
        <v>5.6</v>
      </c>
      <c r="E857" s="1354">
        <v>6.45</v>
      </c>
      <c r="F857" s="1355" t="s">
        <v>3260</v>
      </c>
      <c r="G857" s="1356"/>
      <c r="H857" s="1359"/>
      <c r="I857" s="1357" t="s">
        <v>3261</v>
      </c>
    </row>
    <row r="858">
      <c r="A858" s="1344" t="s">
        <v>2383</v>
      </c>
      <c r="B858" s="1345" t="s">
        <v>3262</v>
      </c>
      <c r="C858" s="1346" t="s">
        <v>1495</v>
      </c>
      <c r="D858" s="1346"/>
      <c r="E858" s="1347"/>
      <c r="F858" s="1348" t="s">
        <v>3263</v>
      </c>
      <c r="G858" s="1349"/>
      <c r="H858" s="1358">
        <v>4.0</v>
      </c>
      <c r="I858" s="1350" t="s">
        <v>3264</v>
      </c>
    </row>
    <row r="859">
      <c r="A859" s="1351" t="s">
        <v>3056</v>
      </c>
      <c r="B859" s="1352" t="s">
        <v>1195</v>
      </c>
      <c r="C859" s="1353" t="s">
        <v>1495</v>
      </c>
      <c r="D859" s="1353"/>
      <c r="E859" s="1354"/>
      <c r="F859" s="1355" t="s">
        <v>3265</v>
      </c>
      <c r="G859" s="1356"/>
      <c r="H859" s="1353"/>
      <c r="I859" s="1362"/>
    </row>
    <row r="860">
      <c r="A860" s="1344" t="s">
        <v>2695</v>
      </c>
      <c r="B860" s="1345" t="s">
        <v>1196</v>
      </c>
      <c r="C860" s="1346" t="s">
        <v>1495</v>
      </c>
      <c r="D860" s="1346"/>
      <c r="E860" s="1347"/>
      <c r="F860" s="1348"/>
      <c r="G860" s="1349"/>
      <c r="H860" s="1346"/>
      <c r="I860" s="1360"/>
    </row>
    <row r="861">
      <c r="A861" s="1351" t="s">
        <v>277</v>
      </c>
      <c r="B861" s="1352" t="s">
        <v>1197</v>
      </c>
      <c r="C861" s="1353" t="s">
        <v>1495</v>
      </c>
      <c r="D861" s="1353"/>
      <c r="E861" s="1354"/>
      <c r="F861" s="1355"/>
      <c r="G861" s="1356"/>
      <c r="H861" s="1353"/>
      <c r="I861" s="1362"/>
    </row>
    <row r="862">
      <c r="A862" s="1344" t="s">
        <v>317</v>
      </c>
      <c r="B862" s="1345" t="s">
        <v>3266</v>
      </c>
      <c r="C862" s="1346" t="s">
        <v>1642</v>
      </c>
      <c r="D862" s="1346">
        <v>0.74</v>
      </c>
      <c r="E862" s="1347">
        <v>0.9</v>
      </c>
      <c r="F862" s="1348"/>
      <c r="G862" s="1349"/>
      <c r="H862" s="1346">
        <v>78.0</v>
      </c>
      <c r="I862" s="1360"/>
    </row>
    <row r="863">
      <c r="A863" s="1351" t="s">
        <v>317</v>
      </c>
      <c r="B863" s="1352" t="s">
        <v>1199</v>
      </c>
      <c r="C863" s="1353" t="s">
        <v>1642</v>
      </c>
      <c r="D863" s="1353">
        <v>1.16</v>
      </c>
      <c r="E863" s="1353">
        <v>1.35</v>
      </c>
      <c r="F863" s="1355"/>
      <c r="G863" s="1356"/>
      <c r="H863" s="1353"/>
      <c r="I863" s="1362"/>
    </row>
    <row r="864">
      <c r="A864" s="1344" t="s">
        <v>317</v>
      </c>
      <c r="B864" s="1345" t="s">
        <v>1200</v>
      </c>
      <c r="C864" s="1346" t="s">
        <v>1642</v>
      </c>
      <c r="D864" s="1346"/>
      <c r="E864" s="1347"/>
      <c r="F864" s="1348"/>
      <c r="G864" s="1349"/>
      <c r="H864" s="1358"/>
      <c r="I864" s="1350" t="s">
        <v>3267</v>
      </c>
    </row>
    <row r="865">
      <c r="A865" s="1351" t="s">
        <v>2271</v>
      </c>
      <c r="B865" s="1352" t="s">
        <v>3268</v>
      </c>
      <c r="C865" s="1353" t="s">
        <v>1495</v>
      </c>
      <c r="D865" s="1353">
        <v>4.32</v>
      </c>
      <c r="E865" s="1354">
        <v>5.0</v>
      </c>
      <c r="F865" s="1355" t="s">
        <v>3269</v>
      </c>
      <c r="G865" s="1356"/>
      <c r="H865" s="1353">
        <v>1.0</v>
      </c>
      <c r="I865" s="1357" t="s">
        <v>3270</v>
      </c>
    </row>
    <row r="866">
      <c r="A866" s="1344" t="s">
        <v>277</v>
      </c>
      <c r="B866" s="1345" t="s">
        <v>1202</v>
      </c>
      <c r="C866" s="1346" t="s">
        <v>1495</v>
      </c>
      <c r="D866" s="1346"/>
      <c r="E866" s="1347"/>
      <c r="F866" s="1348"/>
      <c r="G866" s="1349"/>
      <c r="H866" s="1358"/>
      <c r="I866" s="1360"/>
    </row>
    <row r="867">
      <c r="A867" s="1351" t="s">
        <v>277</v>
      </c>
      <c r="B867" s="1352" t="s">
        <v>1203</v>
      </c>
      <c r="C867" s="1353" t="s">
        <v>3271</v>
      </c>
      <c r="D867" s="1353"/>
      <c r="E867" s="1353"/>
      <c r="F867" s="1355"/>
      <c r="G867" s="1356"/>
      <c r="H867" s="1359"/>
      <c r="I867" s="1362"/>
    </row>
    <row r="868">
      <c r="A868" s="1344" t="s">
        <v>3056</v>
      </c>
      <c r="B868" s="1345" t="s">
        <v>1204</v>
      </c>
      <c r="C868" s="1346" t="s">
        <v>1495</v>
      </c>
      <c r="D868" s="1346">
        <v>4.84</v>
      </c>
      <c r="E868" s="1347">
        <v>5.6</v>
      </c>
      <c r="F868" s="1348"/>
      <c r="G868" s="1349"/>
      <c r="H868" s="1346"/>
      <c r="I868" s="1360"/>
    </row>
    <row r="869">
      <c r="A869" s="1351" t="s">
        <v>3056</v>
      </c>
      <c r="B869" s="1352" t="s">
        <v>1205</v>
      </c>
      <c r="C869" s="1353" t="s">
        <v>1495</v>
      </c>
      <c r="D869" s="1353">
        <v>6.17</v>
      </c>
      <c r="E869" s="1353">
        <v>7.1</v>
      </c>
      <c r="F869" s="1355">
        <v>5.002404E7</v>
      </c>
      <c r="G869" s="1356"/>
      <c r="H869" s="1359"/>
      <c r="I869" s="1362"/>
    </row>
    <row r="870">
      <c r="A870" s="1344" t="s">
        <v>3132</v>
      </c>
      <c r="B870" s="1345" t="s">
        <v>1206</v>
      </c>
      <c r="C870" s="1346" t="s">
        <v>1495</v>
      </c>
      <c r="D870" s="1346"/>
      <c r="E870" s="1346"/>
      <c r="F870" s="1348"/>
      <c r="G870" s="1349"/>
      <c r="H870" s="1358"/>
      <c r="I870" s="1360"/>
    </row>
    <row r="871">
      <c r="A871" s="1351" t="s">
        <v>2695</v>
      </c>
      <c r="B871" s="1352" t="s">
        <v>1207</v>
      </c>
      <c r="C871" s="1353" t="s">
        <v>1495</v>
      </c>
      <c r="D871" s="1353"/>
      <c r="E871" s="1353"/>
      <c r="F871" s="1355" t="s">
        <v>3272</v>
      </c>
      <c r="G871" s="1356"/>
      <c r="H871" s="1359"/>
      <c r="I871" s="1362"/>
    </row>
    <row r="872">
      <c r="A872" s="1344" t="s">
        <v>2456</v>
      </c>
      <c r="B872" s="1345" t="s">
        <v>3273</v>
      </c>
      <c r="C872" s="1346" t="s">
        <v>1495</v>
      </c>
      <c r="D872" s="1346">
        <v>1.53</v>
      </c>
      <c r="E872" s="1346">
        <v>1.8</v>
      </c>
      <c r="F872" s="1348" t="s">
        <v>3274</v>
      </c>
      <c r="G872" s="1349"/>
      <c r="H872" s="1358">
        <v>26.0</v>
      </c>
      <c r="I872" s="1350" t="s">
        <v>3275</v>
      </c>
    </row>
    <row r="873">
      <c r="A873" s="1351" t="s">
        <v>3132</v>
      </c>
      <c r="B873" s="1352" t="s">
        <v>1209</v>
      </c>
      <c r="C873" s="1353" t="s">
        <v>1634</v>
      </c>
      <c r="D873" s="1353"/>
      <c r="E873" s="1353"/>
      <c r="F873" s="1355"/>
      <c r="G873" s="1356"/>
      <c r="H873" s="1359"/>
      <c r="I873" s="1362"/>
    </row>
    <row r="874">
      <c r="A874" s="1344" t="s">
        <v>2695</v>
      </c>
      <c r="B874" s="1345" t="s">
        <v>1210</v>
      </c>
      <c r="C874" s="1346" t="s">
        <v>1495</v>
      </c>
      <c r="D874" s="1346"/>
      <c r="E874" s="1346"/>
      <c r="F874" s="1348" t="s">
        <v>3276</v>
      </c>
      <c r="G874" s="1349"/>
      <c r="H874" s="1358"/>
      <c r="I874" s="1360"/>
    </row>
    <row r="875">
      <c r="A875" s="1351" t="s">
        <v>314</v>
      </c>
      <c r="B875" s="1352" t="s">
        <v>1211</v>
      </c>
      <c r="C875" s="1353" t="s">
        <v>1495</v>
      </c>
      <c r="D875" s="1353"/>
      <c r="E875" s="1353"/>
      <c r="F875" s="1355"/>
      <c r="G875" s="1356"/>
      <c r="H875" s="1359"/>
      <c r="I875" s="1357" t="s">
        <v>3277</v>
      </c>
    </row>
    <row r="876">
      <c r="A876" s="1344" t="s">
        <v>3132</v>
      </c>
      <c r="B876" s="1345" t="s">
        <v>1212</v>
      </c>
      <c r="C876" s="1346" t="s">
        <v>1495</v>
      </c>
      <c r="D876" s="1346"/>
      <c r="E876" s="1347"/>
      <c r="F876" s="1348"/>
      <c r="G876" s="1349"/>
      <c r="H876" s="1346"/>
      <c r="I876" s="1360"/>
    </row>
    <row r="877">
      <c r="A877" s="1351" t="s">
        <v>277</v>
      </c>
      <c r="B877" s="1352" t="s">
        <v>1213</v>
      </c>
      <c r="C877" s="1353" t="s">
        <v>1495</v>
      </c>
      <c r="D877" s="1353"/>
      <c r="E877" s="1354"/>
      <c r="F877" s="1355"/>
      <c r="G877" s="1356"/>
      <c r="H877" s="1359"/>
      <c r="I877" s="1362"/>
    </row>
    <row r="878">
      <c r="A878" s="1344" t="s">
        <v>3132</v>
      </c>
      <c r="B878" s="1345" t="s">
        <v>1214</v>
      </c>
      <c r="C878" s="1346" t="s">
        <v>1495</v>
      </c>
      <c r="D878" s="1346"/>
      <c r="E878" s="1346"/>
      <c r="F878" s="1348"/>
      <c r="G878" s="1349"/>
      <c r="H878" s="1346"/>
      <c r="I878" s="1360"/>
    </row>
    <row r="879">
      <c r="A879" s="1351" t="s">
        <v>2587</v>
      </c>
      <c r="B879" s="1352" t="s">
        <v>1215</v>
      </c>
      <c r="C879" s="1353" t="s">
        <v>1642</v>
      </c>
      <c r="D879" s="1353">
        <v>4.9</v>
      </c>
      <c r="E879" s="1353">
        <v>5.65</v>
      </c>
      <c r="F879" s="1355">
        <v>6001442.0</v>
      </c>
      <c r="G879" s="1356"/>
      <c r="H879" s="1353"/>
      <c r="I879" s="1357" t="s">
        <v>3278</v>
      </c>
    </row>
    <row r="880">
      <c r="A880" s="1344" t="s">
        <v>2587</v>
      </c>
      <c r="B880" s="1345" t="s">
        <v>1216</v>
      </c>
      <c r="C880" s="1346" t="s">
        <v>1642</v>
      </c>
      <c r="D880" s="1346"/>
      <c r="E880" s="1347"/>
      <c r="F880" s="1348">
        <v>6001444.0</v>
      </c>
      <c r="G880" s="1349"/>
      <c r="H880" s="1358"/>
      <c r="I880" s="1350" t="s">
        <v>3279</v>
      </c>
    </row>
    <row r="881">
      <c r="A881" s="1351" t="s">
        <v>2587</v>
      </c>
      <c r="B881" s="1352" t="s">
        <v>1217</v>
      </c>
      <c r="C881" s="1353" t="s">
        <v>1642</v>
      </c>
      <c r="D881" s="1353"/>
      <c r="E881" s="1354"/>
      <c r="F881" s="1355">
        <v>6001446.0</v>
      </c>
      <c r="G881" s="1356"/>
      <c r="H881" s="1353"/>
      <c r="I881" s="1357" t="s">
        <v>3280</v>
      </c>
    </row>
    <row r="882">
      <c r="A882" s="1344" t="s">
        <v>2587</v>
      </c>
      <c r="B882" s="1345" t="s">
        <v>1218</v>
      </c>
      <c r="C882" s="1346" t="s">
        <v>1642</v>
      </c>
      <c r="D882" s="1346"/>
      <c r="E882" s="1347"/>
      <c r="F882" s="1348">
        <v>6001448.0</v>
      </c>
      <c r="G882" s="1349"/>
      <c r="H882" s="1346"/>
      <c r="I882" s="1350" t="s">
        <v>3281</v>
      </c>
    </row>
    <row r="883">
      <c r="A883" s="1351" t="s">
        <v>2587</v>
      </c>
      <c r="B883" s="1352" t="s">
        <v>1219</v>
      </c>
      <c r="C883" s="1353" t="s">
        <v>1642</v>
      </c>
      <c r="D883" s="1353"/>
      <c r="E883" s="1354"/>
      <c r="F883" s="1355">
        <v>6001441.0</v>
      </c>
      <c r="G883" s="1356"/>
      <c r="H883" s="1359"/>
      <c r="I883" s="1357" t="s">
        <v>3282</v>
      </c>
    </row>
    <row r="884">
      <c r="A884" s="1344" t="s">
        <v>3130</v>
      </c>
      <c r="B884" s="1345" t="s">
        <v>1220</v>
      </c>
      <c r="C884" s="1346" t="s">
        <v>1495</v>
      </c>
      <c r="D884" s="1346">
        <v>404.23</v>
      </c>
      <c r="E884" s="1346">
        <v>464.9</v>
      </c>
      <c r="F884" s="1348" t="s">
        <v>3283</v>
      </c>
      <c r="G884" s="1349"/>
      <c r="H884" s="1358"/>
      <c r="I884" s="1360"/>
    </row>
    <row r="885">
      <c r="A885" s="1351" t="s">
        <v>3130</v>
      </c>
      <c r="B885" s="1352" t="s">
        <v>1221</v>
      </c>
      <c r="C885" s="1353" t="s">
        <v>1495</v>
      </c>
      <c r="D885" s="1353"/>
      <c r="E885" s="1354"/>
      <c r="F885" s="1355" t="s">
        <v>3283</v>
      </c>
      <c r="G885" s="1356"/>
      <c r="H885" s="1359"/>
      <c r="I885" s="1362"/>
    </row>
    <row r="886">
      <c r="A886" s="1344" t="s">
        <v>3284</v>
      </c>
      <c r="B886" s="1345" t="s">
        <v>3285</v>
      </c>
      <c r="C886" s="1346" t="s">
        <v>1495</v>
      </c>
      <c r="D886" s="1346">
        <v>1.2</v>
      </c>
      <c r="E886" s="1347">
        <v>1.4</v>
      </c>
      <c r="F886" s="1348"/>
      <c r="G886" s="1349"/>
      <c r="H886" s="1358">
        <v>230.0</v>
      </c>
      <c r="I886" s="1350" t="s">
        <v>3286</v>
      </c>
    </row>
    <row r="887">
      <c r="A887" s="1351" t="s">
        <v>2587</v>
      </c>
      <c r="B887" s="1352" t="s">
        <v>3287</v>
      </c>
      <c r="C887" s="1353" t="s">
        <v>1495</v>
      </c>
      <c r="D887" s="1353">
        <v>0.84</v>
      </c>
      <c r="E887" s="1353">
        <v>1.0</v>
      </c>
      <c r="F887" s="1355">
        <v>6016596.0</v>
      </c>
      <c r="G887" s="1356"/>
      <c r="H887" s="1359">
        <v>16.0</v>
      </c>
      <c r="I887" s="1357" t="s">
        <v>3288</v>
      </c>
    </row>
    <row r="888">
      <c r="A888" s="1344" t="s">
        <v>3056</v>
      </c>
      <c r="B888" s="1345" t="s">
        <v>1224</v>
      </c>
      <c r="C888" s="1346" t="s">
        <v>1495</v>
      </c>
      <c r="D888" s="1346">
        <v>12.11</v>
      </c>
      <c r="E888" s="1347">
        <v>13.95</v>
      </c>
      <c r="F888" s="1348"/>
      <c r="G888" s="1349"/>
      <c r="H888" s="1346"/>
      <c r="I888" s="1360"/>
    </row>
    <row r="889">
      <c r="A889" s="1351" t="s">
        <v>3056</v>
      </c>
      <c r="B889" s="1352" t="s">
        <v>1225</v>
      </c>
      <c r="C889" s="1353" t="s">
        <v>3162</v>
      </c>
      <c r="D889" s="1353"/>
      <c r="E889" s="1353"/>
      <c r="F889" s="1355" t="s">
        <v>3289</v>
      </c>
      <c r="G889" s="1356"/>
      <c r="H889" s="1359"/>
      <c r="I889" s="1362"/>
    </row>
    <row r="890">
      <c r="A890" s="1344" t="s">
        <v>3056</v>
      </c>
      <c r="B890" s="1345" t="s">
        <v>1226</v>
      </c>
      <c r="C890" s="1346" t="s">
        <v>1495</v>
      </c>
      <c r="D890" s="1346">
        <v>0.16</v>
      </c>
      <c r="E890" s="1346">
        <v>0.2</v>
      </c>
      <c r="F890" s="1348">
        <v>5.00404183E8</v>
      </c>
      <c r="G890" s="1349"/>
      <c r="H890" s="1358"/>
      <c r="I890" s="1360"/>
    </row>
    <row r="891">
      <c r="A891" s="1351" t="s">
        <v>2456</v>
      </c>
      <c r="B891" s="1352" t="s">
        <v>1227</v>
      </c>
      <c r="C891" s="1353" t="s">
        <v>1495</v>
      </c>
      <c r="D891" s="1353">
        <v>2.0</v>
      </c>
      <c r="E891" s="1354">
        <v>2.3</v>
      </c>
      <c r="F891" s="1355"/>
      <c r="G891" s="1356"/>
      <c r="H891" s="1359"/>
      <c r="I891" s="1357" t="s">
        <v>3290</v>
      </c>
    </row>
    <row r="892">
      <c r="A892" s="1344" t="s">
        <v>2456</v>
      </c>
      <c r="B892" s="1345" t="s">
        <v>1228</v>
      </c>
      <c r="C892" s="1346" t="s">
        <v>1495</v>
      </c>
      <c r="D892" s="1346">
        <v>0.47</v>
      </c>
      <c r="E892" s="1346">
        <v>0.55</v>
      </c>
      <c r="F892" s="1348"/>
      <c r="G892" s="1349"/>
      <c r="H892" s="1358"/>
      <c r="I892" s="1350" t="s">
        <v>3291</v>
      </c>
    </row>
    <row r="893">
      <c r="A893" s="1351" t="s">
        <v>2456</v>
      </c>
      <c r="B893" s="1352" t="s">
        <v>3292</v>
      </c>
      <c r="C893" s="1353" t="s">
        <v>1495</v>
      </c>
      <c r="D893" s="1353">
        <v>1.21</v>
      </c>
      <c r="E893" s="1354">
        <v>1.4</v>
      </c>
      <c r="F893" s="1355"/>
      <c r="G893" s="1356"/>
      <c r="H893" s="1353">
        <v>4.0</v>
      </c>
      <c r="I893" s="1357" t="s">
        <v>3293</v>
      </c>
    </row>
    <row r="894">
      <c r="A894" s="1344" t="s">
        <v>2383</v>
      </c>
      <c r="B894" s="1345" t="s">
        <v>1230</v>
      </c>
      <c r="C894" s="1346" t="s">
        <v>1495</v>
      </c>
      <c r="D894" s="1346">
        <v>1.65</v>
      </c>
      <c r="E894" s="1347">
        <v>1.9</v>
      </c>
      <c r="F894" s="1348">
        <v>3901574.0</v>
      </c>
      <c r="G894" s="1349"/>
      <c r="H894" s="1346"/>
      <c r="I894" s="1350" t="s">
        <v>3294</v>
      </c>
    </row>
    <row r="895">
      <c r="A895" s="1351" t="s">
        <v>277</v>
      </c>
      <c r="B895" s="1352" t="s">
        <v>1231</v>
      </c>
      <c r="C895" s="1353" t="s">
        <v>1495</v>
      </c>
      <c r="D895" s="1353"/>
      <c r="E895" s="1353"/>
      <c r="F895" s="1355"/>
      <c r="G895" s="1356"/>
      <c r="H895" s="1359"/>
      <c r="I895" s="1362"/>
    </row>
    <row r="896">
      <c r="A896" s="1344" t="s">
        <v>3132</v>
      </c>
      <c r="B896" s="1345" t="s">
        <v>1232</v>
      </c>
      <c r="C896" s="1346" t="s">
        <v>1495</v>
      </c>
      <c r="D896" s="1346"/>
      <c r="E896" s="1346"/>
      <c r="F896" s="1348"/>
      <c r="G896" s="1349"/>
      <c r="H896" s="1358"/>
      <c r="I896" s="1360"/>
    </row>
    <row r="897">
      <c r="A897" s="1351" t="s">
        <v>2271</v>
      </c>
      <c r="B897" s="1352" t="s">
        <v>3295</v>
      </c>
      <c r="C897" s="1353" t="s">
        <v>1495</v>
      </c>
      <c r="D897" s="1353">
        <v>8.27</v>
      </c>
      <c r="E897" s="1353">
        <v>9.55</v>
      </c>
      <c r="F897" s="1355">
        <v>2413001.0</v>
      </c>
      <c r="G897" s="1356"/>
      <c r="H897" s="1359">
        <v>1.0</v>
      </c>
      <c r="I897" s="1357" t="s">
        <v>3296</v>
      </c>
    </row>
    <row r="898">
      <c r="A898" s="1344" t="s">
        <v>2393</v>
      </c>
      <c r="B898" s="1345" t="s">
        <v>3297</v>
      </c>
      <c r="C898" s="1346" t="s">
        <v>1495</v>
      </c>
      <c r="D898" s="1346"/>
      <c r="E898" s="1347"/>
      <c r="F898" s="1348" t="s">
        <v>3298</v>
      </c>
      <c r="G898" s="1349"/>
      <c r="H898" s="1358">
        <v>2.0</v>
      </c>
      <c r="I898" s="1350" t="s">
        <v>3299</v>
      </c>
    </row>
    <row r="899">
      <c r="A899" s="1351" t="s">
        <v>2366</v>
      </c>
      <c r="B899" s="1352" t="s">
        <v>1235</v>
      </c>
      <c r="C899" s="1353" t="s">
        <v>1495</v>
      </c>
      <c r="D899" s="1353">
        <v>0.75</v>
      </c>
      <c r="E899" s="1354">
        <v>0.9</v>
      </c>
      <c r="F899" s="1355" t="s">
        <v>3300</v>
      </c>
      <c r="G899" s="1356"/>
      <c r="H899" s="1353"/>
      <c r="I899" s="1362"/>
    </row>
    <row r="900">
      <c r="A900" s="1344" t="s">
        <v>2366</v>
      </c>
      <c r="B900" s="1345" t="s">
        <v>1236</v>
      </c>
      <c r="C900" s="1346" t="s">
        <v>1495</v>
      </c>
      <c r="D900" s="1346">
        <v>0.75</v>
      </c>
      <c r="E900" s="1347">
        <v>0.9</v>
      </c>
      <c r="F900" s="1348" t="s">
        <v>3301</v>
      </c>
      <c r="G900" s="1349"/>
      <c r="H900" s="1358"/>
      <c r="I900" s="1360"/>
    </row>
    <row r="901">
      <c r="A901" s="1351" t="s">
        <v>2366</v>
      </c>
      <c r="B901" s="1352" t="s">
        <v>1237</v>
      </c>
      <c r="C901" s="1353" t="s">
        <v>1495</v>
      </c>
      <c r="D901" s="1353">
        <v>0.8</v>
      </c>
      <c r="E901" s="1354">
        <v>0.95</v>
      </c>
      <c r="F901" s="1355" t="s">
        <v>3302</v>
      </c>
      <c r="G901" s="1356"/>
      <c r="H901" s="1359"/>
      <c r="I901" s="1362"/>
    </row>
    <row r="902">
      <c r="A902" s="1344" t="s">
        <v>2366</v>
      </c>
      <c r="B902" s="1345" t="s">
        <v>1238</v>
      </c>
      <c r="C902" s="1346" t="s">
        <v>1495</v>
      </c>
      <c r="D902" s="1346"/>
      <c r="E902" s="1347"/>
      <c r="F902" s="1348" t="s">
        <v>3303</v>
      </c>
      <c r="G902" s="1349"/>
      <c r="H902" s="1358"/>
      <c r="I902" s="1350" t="s">
        <v>3304</v>
      </c>
    </row>
    <row r="903">
      <c r="A903" s="1351" t="s">
        <v>2366</v>
      </c>
      <c r="B903" s="1352" t="s">
        <v>3305</v>
      </c>
      <c r="C903" s="1353" t="s">
        <v>1495</v>
      </c>
      <c r="D903" s="1353">
        <v>0.82</v>
      </c>
      <c r="E903" s="1354">
        <v>0.95</v>
      </c>
      <c r="F903" s="1355" t="s">
        <v>3306</v>
      </c>
      <c r="G903" s="1356"/>
      <c r="H903" s="1359">
        <v>10.0</v>
      </c>
      <c r="I903" s="1357" t="s">
        <v>3307</v>
      </c>
    </row>
    <row r="904">
      <c r="A904" s="1344" t="s">
        <v>2366</v>
      </c>
      <c r="B904" s="1345" t="s">
        <v>3308</v>
      </c>
      <c r="C904" s="1346" t="s">
        <v>1495</v>
      </c>
      <c r="D904" s="1346">
        <v>0.91</v>
      </c>
      <c r="E904" s="1347">
        <v>1.05</v>
      </c>
      <c r="F904" s="1348" t="s">
        <v>3309</v>
      </c>
      <c r="G904" s="1349"/>
      <c r="H904" s="1346">
        <v>6.0</v>
      </c>
      <c r="I904" s="1350" t="s">
        <v>3310</v>
      </c>
    </row>
    <row r="905">
      <c r="A905" s="1351" t="s">
        <v>2366</v>
      </c>
      <c r="B905" s="1352" t="s">
        <v>1241</v>
      </c>
      <c r="C905" s="1353" t="s">
        <v>1495</v>
      </c>
      <c r="D905" s="1353"/>
      <c r="E905" s="1354"/>
      <c r="F905" s="1355" t="s">
        <v>3311</v>
      </c>
      <c r="G905" s="1356"/>
      <c r="H905" s="1359"/>
      <c r="I905" s="1357" t="s">
        <v>3312</v>
      </c>
    </row>
    <row r="906">
      <c r="A906" s="1351" t="s">
        <v>2366</v>
      </c>
      <c r="B906" s="1352" t="s">
        <v>3313</v>
      </c>
      <c r="C906" s="1353" t="s">
        <v>1495</v>
      </c>
      <c r="D906" s="1353">
        <v>0.91</v>
      </c>
      <c r="E906" s="1354">
        <v>1.05</v>
      </c>
      <c r="F906" s="1355" t="s">
        <v>3314</v>
      </c>
      <c r="G906" s="1356"/>
      <c r="H906" s="1358">
        <v>6.0</v>
      </c>
      <c r="I906" s="1350" t="s">
        <v>3315</v>
      </c>
    </row>
    <row r="907">
      <c r="A907" s="1351" t="s">
        <v>2366</v>
      </c>
      <c r="B907" s="1352" t="s">
        <v>1243</v>
      </c>
      <c r="C907" s="1353" t="s">
        <v>1495</v>
      </c>
      <c r="D907" s="1353"/>
      <c r="E907" s="1354"/>
      <c r="F907" s="1355" t="s">
        <v>3316</v>
      </c>
      <c r="G907" s="1356"/>
      <c r="H907" s="1359"/>
      <c r="I907" s="1357" t="s">
        <v>3317</v>
      </c>
    </row>
    <row r="908">
      <c r="A908" s="1344" t="s">
        <v>2366</v>
      </c>
      <c r="B908" s="1345" t="s">
        <v>3318</v>
      </c>
      <c r="C908" s="1346" t="s">
        <v>1495</v>
      </c>
      <c r="D908" s="1346">
        <v>0.82</v>
      </c>
      <c r="E908" s="1347">
        <v>0.95</v>
      </c>
      <c r="F908" s="1348" t="s">
        <v>3319</v>
      </c>
      <c r="G908" s="1349"/>
      <c r="H908" s="1358">
        <v>10.0</v>
      </c>
      <c r="I908" s="1350" t="s">
        <v>3320</v>
      </c>
    </row>
    <row r="909">
      <c r="A909" s="1351" t="s">
        <v>2366</v>
      </c>
      <c r="B909" s="1352" t="s">
        <v>3321</v>
      </c>
      <c r="C909" s="1353" t="s">
        <v>1495</v>
      </c>
      <c r="D909" s="1353">
        <v>0.82</v>
      </c>
      <c r="E909" s="1354">
        <v>0.95</v>
      </c>
      <c r="F909" s="1355" t="s">
        <v>3322</v>
      </c>
      <c r="G909" s="1356"/>
      <c r="H909" s="1359">
        <v>1.0</v>
      </c>
      <c r="I909" s="1357" t="s">
        <v>3323</v>
      </c>
    </row>
    <row r="910">
      <c r="A910" s="1344" t="s">
        <v>2366</v>
      </c>
      <c r="B910" s="1345" t="s">
        <v>1246</v>
      </c>
      <c r="C910" s="1346" t="s">
        <v>1495</v>
      </c>
      <c r="D910" s="1346"/>
      <c r="E910" s="1347"/>
      <c r="F910" s="1348" t="s">
        <v>3324</v>
      </c>
      <c r="G910" s="1349"/>
      <c r="H910" s="1358"/>
      <c r="I910" s="1350" t="s">
        <v>3325</v>
      </c>
    </row>
    <row r="911">
      <c r="A911" s="1351" t="s">
        <v>319</v>
      </c>
      <c r="B911" s="1352" t="s">
        <v>1247</v>
      </c>
      <c r="C911" s="1353" t="s">
        <v>1495</v>
      </c>
      <c r="D911" s="1353"/>
      <c r="E911" s="1354"/>
      <c r="F911" s="1355"/>
      <c r="G911" s="1356"/>
      <c r="H911" s="1359"/>
      <c r="I911" s="1362"/>
    </row>
    <row r="912">
      <c r="A912" s="1344" t="s">
        <v>319</v>
      </c>
      <c r="B912" s="1345" t="s">
        <v>1248</v>
      </c>
      <c r="C912" s="1346" t="s">
        <v>1495</v>
      </c>
      <c r="D912" s="1346"/>
      <c r="E912" s="1347"/>
      <c r="F912" s="1348"/>
      <c r="G912" s="1349"/>
      <c r="H912" s="1358"/>
      <c r="I912" s="1360"/>
    </row>
    <row r="913">
      <c r="A913" s="1351" t="s">
        <v>319</v>
      </c>
      <c r="B913" s="1352" t="s">
        <v>1249</v>
      </c>
      <c r="C913" s="1353" t="s">
        <v>1495</v>
      </c>
      <c r="D913" s="1353"/>
      <c r="E913" s="1354"/>
      <c r="F913" s="1355"/>
      <c r="G913" s="1356"/>
      <c r="H913" s="1359"/>
      <c r="I913" s="1362"/>
    </row>
    <row r="914">
      <c r="A914" s="1344" t="s">
        <v>319</v>
      </c>
      <c r="B914" s="1345" t="s">
        <v>1250</v>
      </c>
      <c r="C914" s="1346" t="s">
        <v>1495</v>
      </c>
      <c r="D914" s="1346"/>
      <c r="E914" s="1346"/>
      <c r="F914" s="1348"/>
      <c r="G914" s="1349"/>
      <c r="H914" s="1346"/>
      <c r="I914" s="1360"/>
    </row>
    <row r="915">
      <c r="A915" s="1351" t="s">
        <v>319</v>
      </c>
      <c r="B915" s="1352" t="s">
        <v>1251</v>
      </c>
      <c r="C915" s="1353" t="s">
        <v>1495</v>
      </c>
      <c r="D915" s="1353"/>
      <c r="E915" s="1354"/>
      <c r="F915" s="1355"/>
      <c r="G915" s="1356"/>
      <c r="H915" s="1359"/>
      <c r="I915" s="1362"/>
    </row>
    <row r="916">
      <c r="A916" s="1344" t="s">
        <v>319</v>
      </c>
      <c r="B916" s="1345" t="s">
        <v>1252</v>
      </c>
      <c r="C916" s="1346" t="s">
        <v>1495</v>
      </c>
      <c r="D916" s="1346"/>
      <c r="E916" s="1347"/>
      <c r="F916" s="1348"/>
      <c r="G916" s="1349"/>
      <c r="H916" s="1358"/>
      <c r="I916" s="1360"/>
    </row>
    <row r="917">
      <c r="A917" s="1351" t="s">
        <v>319</v>
      </c>
      <c r="B917" s="1352" t="s">
        <v>1253</v>
      </c>
      <c r="C917" s="1353" t="s">
        <v>1495</v>
      </c>
      <c r="D917" s="1353">
        <v>2600.0</v>
      </c>
      <c r="E917" s="1354">
        <v>2990.0</v>
      </c>
      <c r="F917" s="1355"/>
      <c r="G917" s="1356"/>
      <c r="H917" s="1353"/>
      <c r="I917" s="1362"/>
    </row>
    <row r="918">
      <c r="A918" s="1344" t="s">
        <v>319</v>
      </c>
      <c r="B918" s="1345" t="s">
        <v>1254</v>
      </c>
      <c r="C918" s="1346" t="s">
        <v>1495</v>
      </c>
      <c r="D918" s="1346"/>
      <c r="E918" s="1346"/>
      <c r="F918" s="1348"/>
      <c r="G918" s="1349"/>
      <c r="H918" s="1358"/>
      <c r="I918" s="1360"/>
    </row>
    <row r="919">
      <c r="A919" s="1351" t="s">
        <v>319</v>
      </c>
      <c r="B919" s="1352" t="s">
        <v>1255</v>
      </c>
      <c r="C919" s="1353" t="s">
        <v>1495</v>
      </c>
      <c r="D919" s="1353">
        <v>4650.0</v>
      </c>
      <c r="E919" s="1353">
        <v>5347.5</v>
      </c>
      <c r="F919" s="1355"/>
      <c r="G919" s="1356"/>
      <c r="H919" s="1359"/>
      <c r="I919" s="1362"/>
    </row>
    <row r="920">
      <c r="A920" s="1344" t="s">
        <v>319</v>
      </c>
      <c r="B920" s="1345" t="s">
        <v>1256</v>
      </c>
      <c r="C920" s="1346" t="s">
        <v>1495</v>
      </c>
      <c r="D920" s="1346">
        <v>3917.33</v>
      </c>
      <c r="E920" s="1346">
        <v>4504.95</v>
      </c>
      <c r="F920" s="1348"/>
      <c r="G920" s="1349"/>
      <c r="H920" s="1358"/>
      <c r="I920" s="1360"/>
    </row>
    <row r="921">
      <c r="A921" s="1351" t="s">
        <v>319</v>
      </c>
      <c r="B921" s="1352" t="s">
        <v>1257</v>
      </c>
      <c r="C921" s="1353" t="s">
        <v>1495</v>
      </c>
      <c r="D921" s="1353"/>
      <c r="E921" s="1354"/>
      <c r="F921" s="1355"/>
      <c r="G921" s="1356"/>
      <c r="H921" s="1353"/>
      <c r="I921" s="1362"/>
    </row>
    <row r="922">
      <c r="A922" s="1344" t="s">
        <v>319</v>
      </c>
      <c r="B922" s="1345" t="s">
        <v>1258</v>
      </c>
      <c r="C922" s="1346" t="s">
        <v>1495</v>
      </c>
      <c r="D922" s="1346"/>
      <c r="E922" s="1346"/>
      <c r="F922" s="1348"/>
      <c r="G922" s="1349"/>
      <c r="H922" s="1358"/>
      <c r="I922" s="1361"/>
    </row>
    <row r="923">
      <c r="A923" s="1351" t="s">
        <v>319</v>
      </c>
      <c r="B923" s="1352" t="s">
        <v>1259</v>
      </c>
      <c r="C923" s="1353" t="s">
        <v>1495</v>
      </c>
      <c r="D923" s="1353"/>
      <c r="E923" s="1354"/>
      <c r="F923" s="1355"/>
      <c r="G923" s="1356"/>
      <c r="H923" s="1353"/>
      <c r="I923" s="1362"/>
    </row>
    <row r="924">
      <c r="A924" s="1344" t="s">
        <v>319</v>
      </c>
      <c r="B924" s="1345" t="s">
        <v>1260</v>
      </c>
      <c r="C924" s="1346" t="s">
        <v>1495</v>
      </c>
      <c r="D924" s="1346"/>
      <c r="E924" s="1347"/>
      <c r="F924" s="1348"/>
      <c r="G924" s="1349"/>
      <c r="H924" s="1358"/>
      <c r="I924" s="1360"/>
    </row>
    <row r="925">
      <c r="A925" s="1351" t="s">
        <v>319</v>
      </c>
      <c r="B925" s="1352" t="s">
        <v>1261</v>
      </c>
      <c r="C925" s="1353" t="s">
        <v>1495</v>
      </c>
      <c r="D925" s="1353"/>
      <c r="E925" s="1354"/>
      <c r="F925" s="1355"/>
      <c r="G925" s="1356"/>
      <c r="H925" s="1353"/>
      <c r="I925" s="1362"/>
    </row>
    <row r="926">
      <c r="A926" s="1344" t="s">
        <v>319</v>
      </c>
      <c r="B926" s="1345" t="s">
        <v>1262</v>
      </c>
      <c r="C926" s="1346" t="s">
        <v>1495</v>
      </c>
      <c r="D926" s="1346">
        <v>650.0</v>
      </c>
      <c r="E926" s="1347">
        <v>747.5</v>
      </c>
      <c r="F926" s="1348"/>
      <c r="G926" s="1349"/>
      <c r="H926" s="1358"/>
      <c r="I926" s="1360"/>
    </row>
    <row r="927">
      <c r="A927" s="1351" t="s">
        <v>319</v>
      </c>
      <c r="B927" s="1352" t="s">
        <v>1263</v>
      </c>
      <c r="C927" s="1353" t="s">
        <v>1495</v>
      </c>
      <c r="D927" s="1353"/>
      <c r="E927" s="1353"/>
      <c r="F927" s="1355">
        <v>20211.0</v>
      </c>
      <c r="G927" s="1356"/>
      <c r="H927" s="1359"/>
      <c r="I927" s="1362"/>
    </row>
    <row r="928">
      <c r="A928" s="1344" t="s">
        <v>308</v>
      </c>
      <c r="B928" s="1345" t="s">
        <v>1264</v>
      </c>
      <c r="C928" s="1346" t="s">
        <v>1495</v>
      </c>
      <c r="D928" s="1346"/>
      <c r="E928" s="1347"/>
      <c r="F928" s="1348" t="s">
        <v>3326</v>
      </c>
      <c r="G928" s="1349"/>
      <c r="H928" s="1358"/>
      <c r="I928" s="1360"/>
    </row>
    <row r="929">
      <c r="A929" s="1351" t="s">
        <v>319</v>
      </c>
      <c r="B929" s="1352" t="s">
        <v>1265</v>
      </c>
      <c r="C929" s="1353" t="s">
        <v>1495</v>
      </c>
      <c r="D929" s="1353">
        <v>3037.0</v>
      </c>
      <c r="E929" s="1353">
        <v>3492.55</v>
      </c>
      <c r="F929" s="1355"/>
      <c r="G929" s="1356"/>
      <c r="H929" s="1359"/>
      <c r="I929" s="1362"/>
    </row>
    <row r="930">
      <c r="A930" s="1344" t="s">
        <v>319</v>
      </c>
      <c r="B930" s="1345" t="s">
        <v>1266</v>
      </c>
      <c r="C930" s="1346" t="s">
        <v>1495</v>
      </c>
      <c r="D930" s="1346"/>
      <c r="E930" s="1346"/>
      <c r="F930" s="1348"/>
      <c r="G930" s="1349"/>
      <c r="H930" s="1358"/>
      <c r="I930" s="1360"/>
    </row>
    <row r="931">
      <c r="A931" s="1351" t="s">
        <v>319</v>
      </c>
      <c r="B931" s="1352" t="s">
        <v>1267</v>
      </c>
      <c r="C931" s="1353" t="s">
        <v>1495</v>
      </c>
      <c r="D931" s="1353">
        <v>1196.0</v>
      </c>
      <c r="E931" s="1354">
        <v>1375.4</v>
      </c>
      <c r="F931" s="1355"/>
      <c r="G931" s="1356"/>
      <c r="H931" s="1359"/>
      <c r="I931" s="1362"/>
    </row>
    <row r="932">
      <c r="A932" s="1344" t="s">
        <v>319</v>
      </c>
      <c r="B932" s="1345" t="s">
        <v>1268</v>
      </c>
      <c r="C932" s="1346" t="s">
        <v>1495</v>
      </c>
      <c r="D932" s="1346">
        <v>2654.0</v>
      </c>
      <c r="E932" s="1347">
        <v>3052.1</v>
      </c>
      <c r="F932" s="1348"/>
      <c r="G932" s="1349"/>
      <c r="H932" s="1358"/>
      <c r="I932" s="1360"/>
    </row>
    <row r="933">
      <c r="A933" s="1351" t="s">
        <v>319</v>
      </c>
      <c r="B933" s="1352" t="s">
        <v>1269</v>
      </c>
      <c r="C933" s="1353" t="s">
        <v>1495</v>
      </c>
      <c r="D933" s="1353"/>
      <c r="E933" s="1354"/>
      <c r="F933" s="1355"/>
      <c r="G933" s="1356"/>
      <c r="H933" s="1359"/>
      <c r="I933" s="1362"/>
    </row>
    <row r="934">
      <c r="A934" s="1344" t="s">
        <v>319</v>
      </c>
      <c r="B934" s="1345" t="s">
        <v>1270</v>
      </c>
      <c r="C934" s="1346" t="s">
        <v>1495</v>
      </c>
      <c r="D934" s="1346">
        <v>4166.0</v>
      </c>
      <c r="E934" s="1347">
        <v>4790.9</v>
      </c>
      <c r="F934" s="1348"/>
      <c r="G934" s="1349"/>
      <c r="H934" s="1358"/>
      <c r="I934" s="1360"/>
    </row>
    <row r="935">
      <c r="A935" s="1351" t="s">
        <v>319</v>
      </c>
      <c r="B935" s="1352" t="s">
        <v>1271</v>
      </c>
      <c r="C935" s="1353" t="s">
        <v>1495</v>
      </c>
      <c r="D935" s="1353">
        <v>2036.0</v>
      </c>
      <c r="E935" s="1353">
        <v>2341.4</v>
      </c>
      <c r="F935" s="1355"/>
      <c r="G935" s="1356"/>
      <c r="H935" s="1359"/>
      <c r="I935" s="1362"/>
    </row>
    <row r="936">
      <c r="A936" s="1344" t="s">
        <v>319</v>
      </c>
      <c r="B936" s="1345" t="s">
        <v>1272</v>
      </c>
      <c r="C936" s="1346" t="s">
        <v>1495</v>
      </c>
      <c r="D936" s="1346">
        <v>2703.0</v>
      </c>
      <c r="E936" s="1347">
        <v>3108.45</v>
      </c>
      <c r="F936" s="1348"/>
      <c r="G936" s="1349"/>
      <c r="H936" s="1358"/>
      <c r="I936" s="1360"/>
    </row>
    <row r="937">
      <c r="A937" s="1351" t="s">
        <v>319</v>
      </c>
      <c r="B937" s="1352" t="s">
        <v>1273</v>
      </c>
      <c r="C937" s="1353" t="s">
        <v>1495</v>
      </c>
      <c r="D937" s="1353"/>
      <c r="E937" s="1354"/>
      <c r="F937" s="1355"/>
      <c r="G937" s="1356"/>
      <c r="H937" s="1359"/>
      <c r="I937" s="1362"/>
    </row>
    <row r="938">
      <c r="A938" s="1344" t="s">
        <v>313</v>
      </c>
      <c r="B938" s="1345" t="s">
        <v>1274</v>
      </c>
      <c r="C938" s="1346" t="s">
        <v>1495</v>
      </c>
      <c r="D938" s="1346"/>
      <c r="E938" s="1346"/>
      <c r="F938" s="1348"/>
      <c r="G938" s="1349"/>
      <c r="H938" s="1358"/>
      <c r="I938" s="1361"/>
    </row>
    <row r="939">
      <c r="A939" s="1351" t="s">
        <v>313</v>
      </c>
      <c r="B939" s="1352" t="s">
        <v>1275</v>
      </c>
      <c r="C939" s="1353" t="s">
        <v>1495</v>
      </c>
      <c r="D939" s="1353">
        <v>829.0</v>
      </c>
      <c r="E939" s="1353">
        <v>953.35</v>
      </c>
      <c r="F939" s="1355"/>
      <c r="G939" s="1356"/>
      <c r="H939" s="1353"/>
      <c r="I939" s="1362"/>
    </row>
    <row r="940">
      <c r="A940" s="1344" t="s">
        <v>313</v>
      </c>
      <c r="B940" s="1345" t="s">
        <v>1276</v>
      </c>
      <c r="C940" s="1346" t="s">
        <v>1495</v>
      </c>
      <c r="D940" s="1346"/>
      <c r="E940" s="1346"/>
      <c r="F940" s="1348"/>
      <c r="G940" s="1349"/>
      <c r="H940" s="1358"/>
      <c r="I940" s="1361"/>
    </row>
    <row r="941">
      <c r="A941" s="1351" t="s">
        <v>313</v>
      </c>
      <c r="B941" s="1352" t="s">
        <v>1277</v>
      </c>
      <c r="C941" s="1353" t="s">
        <v>1495</v>
      </c>
      <c r="D941" s="1353"/>
      <c r="E941" s="1353"/>
      <c r="F941" s="1355"/>
      <c r="G941" s="1356"/>
      <c r="H941" s="1359"/>
      <c r="I941" s="1363"/>
    </row>
    <row r="942">
      <c r="A942" s="1344" t="s">
        <v>313</v>
      </c>
      <c r="B942" s="1345" t="s">
        <v>1278</v>
      </c>
      <c r="C942" s="1346" t="s">
        <v>1495</v>
      </c>
      <c r="D942" s="1346">
        <v>1096.0</v>
      </c>
      <c r="E942" s="1346">
        <v>1260.4</v>
      </c>
      <c r="F942" s="1348"/>
      <c r="G942" s="1349"/>
      <c r="H942" s="1358"/>
      <c r="I942" s="1361"/>
    </row>
    <row r="943">
      <c r="A943" s="1351" t="s">
        <v>313</v>
      </c>
      <c r="B943" s="1352" t="s">
        <v>1279</v>
      </c>
      <c r="C943" s="1353" t="s">
        <v>1495</v>
      </c>
      <c r="D943" s="1353"/>
      <c r="E943" s="1353"/>
      <c r="F943" s="1355"/>
      <c r="G943" s="1356"/>
      <c r="H943" s="1359"/>
      <c r="I943" s="1362"/>
    </row>
    <row r="944">
      <c r="A944" s="1344" t="s">
        <v>313</v>
      </c>
      <c r="B944" s="1345" t="s">
        <v>1280</v>
      </c>
      <c r="C944" s="1346" t="s">
        <v>1495</v>
      </c>
      <c r="D944" s="1346"/>
      <c r="E944" s="1346"/>
      <c r="F944" s="1348"/>
      <c r="G944" s="1349"/>
      <c r="H944" s="1346"/>
      <c r="I944" s="1360"/>
    </row>
    <row r="945">
      <c r="A945" s="1351" t="s">
        <v>313</v>
      </c>
      <c r="B945" s="1352" t="s">
        <v>1281</v>
      </c>
      <c r="C945" s="1353" t="s">
        <v>1495</v>
      </c>
      <c r="D945" s="1353"/>
      <c r="E945" s="1354"/>
      <c r="F945" s="1355"/>
      <c r="G945" s="1356"/>
      <c r="H945" s="1353"/>
      <c r="I945" s="1362"/>
    </row>
    <row r="946">
      <c r="A946" s="1344" t="s">
        <v>313</v>
      </c>
      <c r="B946" s="1345" t="s">
        <v>1282</v>
      </c>
      <c r="C946" s="1346" t="s">
        <v>1495</v>
      </c>
      <c r="D946" s="1346">
        <v>1060.0</v>
      </c>
      <c r="E946" s="1346">
        <v>1219.0</v>
      </c>
      <c r="F946" s="1348"/>
      <c r="G946" s="1349"/>
      <c r="H946" s="1358"/>
      <c r="I946" s="1360"/>
    </row>
    <row r="947">
      <c r="A947" s="1351" t="s">
        <v>313</v>
      </c>
      <c r="B947" s="1352" t="s">
        <v>1283</v>
      </c>
      <c r="C947" s="1353" t="s">
        <v>1495</v>
      </c>
      <c r="D947" s="1353"/>
      <c r="E947" s="1354"/>
      <c r="F947" s="1355"/>
      <c r="G947" s="1356"/>
      <c r="H947" s="1359"/>
      <c r="I947" s="1362"/>
    </row>
    <row r="948">
      <c r="A948" s="1344" t="s">
        <v>313</v>
      </c>
      <c r="B948" s="1345" t="s">
        <v>1284</v>
      </c>
      <c r="C948" s="1346" t="s">
        <v>1495</v>
      </c>
      <c r="D948" s="1346"/>
      <c r="E948" s="1347"/>
      <c r="F948" s="1348"/>
      <c r="G948" s="1349"/>
      <c r="H948" s="1346"/>
      <c r="I948" s="1360"/>
    </row>
    <row r="949">
      <c r="A949" s="1351" t="s">
        <v>313</v>
      </c>
      <c r="B949" s="1352" t="s">
        <v>1285</v>
      </c>
      <c r="C949" s="1353" t="s">
        <v>1495</v>
      </c>
      <c r="D949" s="1353">
        <v>1670.0</v>
      </c>
      <c r="E949" s="1353">
        <v>1920.5</v>
      </c>
      <c r="F949" s="1355"/>
      <c r="G949" s="1356"/>
      <c r="H949" s="1359"/>
      <c r="I949" s="1362"/>
    </row>
    <row r="950">
      <c r="A950" s="1344" t="s">
        <v>313</v>
      </c>
      <c r="B950" s="1345" t="s">
        <v>1286</v>
      </c>
      <c r="C950" s="1346" t="s">
        <v>1495</v>
      </c>
      <c r="D950" s="1346"/>
      <c r="E950" s="1346"/>
      <c r="F950" s="1348"/>
      <c r="G950" s="1349"/>
      <c r="H950" s="1358"/>
      <c r="I950" s="1360"/>
    </row>
    <row r="951">
      <c r="A951" s="1351" t="s">
        <v>313</v>
      </c>
      <c r="B951" s="1352" t="s">
        <v>1287</v>
      </c>
      <c r="C951" s="1353" t="s">
        <v>1495</v>
      </c>
      <c r="D951" s="1353"/>
      <c r="E951" s="1353"/>
      <c r="F951" s="1355"/>
      <c r="G951" s="1356"/>
      <c r="H951" s="1359"/>
      <c r="I951" s="1362"/>
    </row>
    <row r="952">
      <c r="A952" s="1344" t="s">
        <v>313</v>
      </c>
      <c r="B952" s="1345" t="s">
        <v>1288</v>
      </c>
      <c r="C952" s="1346" t="s">
        <v>1495</v>
      </c>
      <c r="D952" s="1346">
        <v>2330.0</v>
      </c>
      <c r="E952" s="1347">
        <v>2679.5</v>
      </c>
      <c r="F952" s="1348"/>
      <c r="G952" s="1349"/>
      <c r="H952" s="1358"/>
      <c r="I952" s="1360"/>
    </row>
    <row r="953">
      <c r="A953" s="1351" t="s">
        <v>313</v>
      </c>
      <c r="B953" s="1352" t="s">
        <v>1289</v>
      </c>
      <c r="C953" s="1353" t="s">
        <v>1495</v>
      </c>
      <c r="D953" s="1353"/>
      <c r="E953" s="1354"/>
      <c r="F953" s="1355"/>
      <c r="G953" s="1356"/>
      <c r="H953" s="1359"/>
      <c r="I953" s="1362"/>
    </row>
    <row r="954">
      <c r="A954" s="1344" t="s">
        <v>313</v>
      </c>
      <c r="B954" s="1345" t="s">
        <v>1290</v>
      </c>
      <c r="C954" s="1346" t="s">
        <v>1495</v>
      </c>
      <c r="D954" s="1346"/>
      <c r="E954" s="1346"/>
      <c r="F954" s="1348"/>
      <c r="G954" s="1349"/>
      <c r="H954" s="1358"/>
      <c r="I954" s="1360"/>
    </row>
    <row r="955">
      <c r="A955" s="1351" t="s">
        <v>313</v>
      </c>
      <c r="B955" s="1352" t="s">
        <v>1291</v>
      </c>
      <c r="C955" s="1353" t="s">
        <v>1495</v>
      </c>
      <c r="D955" s="1353"/>
      <c r="E955" s="1354"/>
      <c r="F955" s="1355"/>
      <c r="G955" s="1356"/>
      <c r="H955" s="1359"/>
      <c r="I955" s="1362"/>
    </row>
    <row r="956">
      <c r="A956" s="1344" t="s">
        <v>313</v>
      </c>
      <c r="B956" s="1345" t="s">
        <v>1292</v>
      </c>
      <c r="C956" s="1346" t="s">
        <v>1495</v>
      </c>
      <c r="D956" s="1346"/>
      <c r="E956" s="1347"/>
      <c r="F956" s="1348"/>
      <c r="G956" s="1349"/>
      <c r="H956" s="1346"/>
      <c r="I956" s="1350" t="s">
        <v>3327</v>
      </c>
    </row>
    <row r="957">
      <c r="A957" s="1351" t="s">
        <v>313</v>
      </c>
      <c r="B957" s="1352" t="s">
        <v>1293</v>
      </c>
      <c r="C957" s="1353" t="s">
        <v>1495</v>
      </c>
      <c r="D957" s="1353"/>
      <c r="E957" s="1354"/>
      <c r="F957" s="1355"/>
      <c r="G957" s="1356"/>
      <c r="H957" s="1359"/>
      <c r="I957" s="1362"/>
    </row>
    <row r="958">
      <c r="A958" s="1344" t="s">
        <v>313</v>
      </c>
      <c r="B958" s="1345" t="s">
        <v>1294</v>
      </c>
      <c r="C958" s="1346" t="s">
        <v>1495</v>
      </c>
      <c r="D958" s="1346"/>
      <c r="E958" s="1347"/>
      <c r="F958" s="1348"/>
      <c r="G958" s="1349"/>
      <c r="H958" s="1358"/>
      <c r="I958" s="1360"/>
    </row>
    <row r="959">
      <c r="A959" s="1351" t="s">
        <v>313</v>
      </c>
      <c r="B959" s="1352" t="s">
        <v>1295</v>
      </c>
      <c r="C959" s="1353" t="s">
        <v>1495</v>
      </c>
      <c r="D959" s="1353"/>
      <c r="E959" s="1354"/>
      <c r="F959" s="1355"/>
      <c r="G959" s="1356"/>
      <c r="H959" s="1359"/>
      <c r="I959" s="1362"/>
    </row>
    <row r="960">
      <c r="A960" s="1344" t="s">
        <v>313</v>
      </c>
      <c r="B960" s="1345" t="s">
        <v>1296</v>
      </c>
      <c r="C960" s="1346" t="s">
        <v>1495</v>
      </c>
      <c r="D960" s="1346"/>
      <c r="E960" s="1347"/>
      <c r="F960" s="1348"/>
      <c r="G960" s="1349"/>
      <c r="H960" s="1358"/>
      <c r="I960" s="1360"/>
    </row>
    <row r="961">
      <c r="A961" s="1351" t="s">
        <v>313</v>
      </c>
      <c r="B961" s="1352" t="s">
        <v>1297</v>
      </c>
      <c r="C961" s="1353" t="s">
        <v>1495</v>
      </c>
      <c r="D961" s="1353"/>
      <c r="E961" s="1354"/>
      <c r="F961" s="1355"/>
      <c r="G961" s="1356"/>
      <c r="H961" s="1359"/>
      <c r="I961" s="1362"/>
    </row>
    <row r="962">
      <c r="A962" s="1344" t="s">
        <v>313</v>
      </c>
      <c r="B962" s="1345" t="s">
        <v>1298</v>
      </c>
      <c r="C962" s="1346" t="s">
        <v>1495</v>
      </c>
      <c r="D962" s="1346"/>
      <c r="E962" s="1347"/>
      <c r="F962" s="1348"/>
      <c r="G962" s="1349"/>
      <c r="H962" s="1346"/>
      <c r="I962" s="1360"/>
    </row>
    <row r="963">
      <c r="A963" s="1351" t="s">
        <v>313</v>
      </c>
      <c r="B963" s="1352" t="s">
        <v>1299</v>
      </c>
      <c r="C963" s="1353" t="s">
        <v>1495</v>
      </c>
      <c r="D963" s="1353"/>
      <c r="E963" s="1354"/>
      <c r="F963" s="1355"/>
      <c r="G963" s="1356"/>
      <c r="H963" s="1359"/>
      <c r="I963" s="1362"/>
    </row>
    <row r="964">
      <c r="A964" s="1344" t="s">
        <v>313</v>
      </c>
      <c r="B964" s="1345" t="s">
        <v>1300</v>
      </c>
      <c r="C964" s="1346" t="s">
        <v>1495</v>
      </c>
      <c r="D964" s="1346">
        <v>750.0</v>
      </c>
      <c r="E964" s="1346">
        <v>862.5</v>
      </c>
      <c r="F964" s="1348"/>
      <c r="G964" s="1349"/>
      <c r="H964" s="1358"/>
      <c r="I964" s="1360"/>
    </row>
    <row r="965">
      <c r="A965" s="1351" t="s">
        <v>313</v>
      </c>
      <c r="B965" s="1352" t="s">
        <v>1301</v>
      </c>
      <c r="C965" s="1353" t="s">
        <v>1495</v>
      </c>
      <c r="D965" s="1353"/>
      <c r="E965" s="1354"/>
      <c r="F965" s="1355"/>
      <c r="G965" s="1356"/>
      <c r="H965" s="1359"/>
      <c r="I965" s="1362"/>
    </row>
    <row r="966">
      <c r="A966" s="1344" t="s">
        <v>313</v>
      </c>
      <c r="B966" s="1345" t="s">
        <v>1302</v>
      </c>
      <c r="C966" s="1346" t="s">
        <v>1495</v>
      </c>
      <c r="D966" s="1346"/>
      <c r="E966" s="1347"/>
      <c r="F966" s="1348"/>
      <c r="G966" s="1349"/>
      <c r="H966" s="1358"/>
      <c r="I966" s="1360"/>
    </row>
    <row r="967">
      <c r="A967" s="1351" t="s">
        <v>313</v>
      </c>
      <c r="B967" s="1352" t="s">
        <v>1303</v>
      </c>
      <c r="C967" s="1353" t="s">
        <v>1495</v>
      </c>
      <c r="D967" s="1353"/>
      <c r="E967" s="1354"/>
      <c r="F967" s="1355"/>
      <c r="G967" s="1356"/>
      <c r="H967" s="1353"/>
      <c r="I967" s="1362"/>
    </row>
    <row r="968">
      <c r="A968" s="1344" t="s">
        <v>313</v>
      </c>
      <c r="B968" s="1345" t="s">
        <v>1304</v>
      </c>
      <c r="C968" s="1346" t="s">
        <v>1495</v>
      </c>
      <c r="D968" s="1346"/>
      <c r="E968" s="1347"/>
      <c r="F968" s="1348"/>
      <c r="G968" s="1349"/>
      <c r="H968" s="1358"/>
      <c r="I968" s="1360"/>
    </row>
    <row r="969">
      <c r="A969" s="1351" t="s">
        <v>313</v>
      </c>
      <c r="B969" s="1352" t="s">
        <v>1305</v>
      </c>
      <c r="C969" s="1353" t="s">
        <v>1495</v>
      </c>
      <c r="D969" s="1353"/>
      <c r="E969" s="1354"/>
      <c r="F969" s="1355"/>
      <c r="G969" s="1356"/>
      <c r="H969" s="1359"/>
      <c r="I969" s="1362"/>
    </row>
    <row r="970">
      <c r="A970" s="1344" t="s">
        <v>317</v>
      </c>
      <c r="B970" s="1345" t="s">
        <v>1306</v>
      </c>
      <c r="C970" s="1346" t="s">
        <v>1495</v>
      </c>
      <c r="D970" s="1346">
        <v>0.39</v>
      </c>
      <c r="E970" s="1346">
        <v>0.45</v>
      </c>
      <c r="F970" s="1348"/>
      <c r="G970" s="1349"/>
      <c r="H970" s="1358"/>
      <c r="I970" s="1360"/>
    </row>
    <row r="971">
      <c r="A971" s="1351" t="s">
        <v>277</v>
      </c>
      <c r="B971" s="1352" t="s">
        <v>1307</v>
      </c>
      <c r="C971" s="1353" t="s">
        <v>1495</v>
      </c>
      <c r="D971" s="1353"/>
      <c r="E971" s="1353"/>
      <c r="F971" s="1355"/>
      <c r="G971" s="1356"/>
      <c r="H971" s="1359"/>
      <c r="I971" s="1362"/>
    </row>
    <row r="972">
      <c r="A972" s="1344" t="s">
        <v>2587</v>
      </c>
      <c r="B972" s="1345" t="s">
        <v>3328</v>
      </c>
      <c r="C972" s="1346" t="s">
        <v>1495</v>
      </c>
      <c r="D972" s="1346">
        <v>0.07</v>
      </c>
      <c r="E972" s="1347">
        <v>0.1</v>
      </c>
      <c r="F972" s="1348">
        <v>54520.0</v>
      </c>
      <c r="G972" s="1349"/>
      <c r="H972" s="1358">
        <v>20.0</v>
      </c>
      <c r="I972" s="1350" t="s">
        <v>3329</v>
      </c>
    </row>
    <row r="973">
      <c r="A973" s="1351" t="s">
        <v>2587</v>
      </c>
      <c r="B973" s="1352" t="s">
        <v>1309</v>
      </c>
      <c r="C973" s="1353" t="s">
        <v>1495</v>
      </c>
      <c r="D973" s="1353">
        <v>0.32</v>
      </c>
      <c r="E973" s="1354">
        <v>0.4</v>
      </c>
      <c r="F973" s="1355">
        <v>54532.0</v>
      </c>
      <c r="G973" s="1356"/>
      <c r="H973" s="1359"/>
      <c r="I973" s="1357" t="s">
        <v>3330</v>
      </c>
    </row>
    <row r="974">
      <c r="A974" s="1344" t="s">
        <v>2587</v>
      </c>
      <c r="B974" s="1345" t="s">
        <v>3331</v>
      </c>
      <c r="C974" s="1346" t="s">
        <v>1495</v>
      </c>
      <c r="D974" s="1346">
        <v>0.37</v>
      </c>
      <c r="E974" s="1347">
        <v>0.45</v>
      </c>
      <c r="F974" s="1348">
        <v>54540.0</v>
      </c>
      <c r="G974" s="1349"/>
      <c r="H974" s="1358">
        <v>20.0</v>
      </c>
      <c r="I974" s="1350" t="s">
        <v>3332</v>
      </c>
    </row>
    <row r="975">
      <c r="A975" s="1351" t="s">
        <v>2393</v>
      </c>
      <c r="B975" s="1352" t="s">
        <v>3333</v>
      </c>
      <c r="C975" s="1353" t="s">
        <v>1495</v>
      </c>
      <c r="D975" s="1353">
        <v>0.65</v>
      </c>
      <c r="E975" s="1354">
        <v>0.8</v>
      </c>
      <c r="F975" s="1355" t="s">
        <v>3334</v>
      </c>
      <c r="G975" s="1356"/>
      <c r="H975" s="1359">
        <v>10.0</v>
      </c>
      <c r="I975" s="1357" t="s">
        <v>3335</v>
      </c>
    </row>
    <row r="976">
      <c r="A976" s="1366" t="s">
        <v>2393</v>
      </c>
      <c r="B976" s="1367" t="s">
        <v>3336</v>
      </c>
      <c r="C976" s="1368" t="s">
        <v>1495</v>
      </c>
      <c r="D976" s="1368">
        <v>0.65</v>
      </c>
      <c r="E976" s="1369">
        <v>0.8</v>
      </c>
      <c r="F976" s="1370" t="s">
        <v>3337</v>
      </c>
      <c r="G976" s="1371"/>
      <c r="H976" s="1346">
        <v>11.0</v>
      </c>
      <c r="I976" s="1350" t="s">
        <v>3338</v>
      </c>
    </row>
    <row r="977">
      <c r="A977" s="1351" t="s">
        <v>2393</v>
      </c>
      <c r="B977" s="1352" t="s">
        <v>3339</v>
      </c>
      <c r="C977" s="1353" t="s">
        <v>1495</v>
      </c>
      <c r="D977" s="1353">
        <v>0.15</v>
      </c>
      <c r="E977" s="1353">
        <v>0.2</v>
      </c>
      <c r="F977" s="1355" t="s">
        <v>3340</v>
      </c>
      <c r="G977" s="1356"/>
      <c r="H977" s="1359">
        <v>10.0</v>
      </c>
      <c r="I977" s="1357" t="s">
        <v>3341</v>
      </c>
    </row>
    <row r="978">
      <c r="A978" s="1344" t="s">
        <v>2393</v>
      </c>
      <c r="B978" s="1345" t="s">
        <v>3342</v>
      </c>
      <c r="C978" s="1346" t="s">
        <v>1495</v>
      </c>
      <c r="D978" s="1346">
        <v>0.95</v>
      </c>
      <c r="E978" s="1347">
        <v>1.15</v>
      </c>
      <c r="F978" s="1348" t="s">
        <v>3343</v>
      </c>
      <c r="G978" s="1349"/>
      <c r="H978" s="1358">
        <v>6.0</v>
      </c>
      <c r="I978" s="1350" t="s">
        <v>3344</v>
      </c>
    </row>
    <row r="979">
      <c r="A979" s="1351" t="s">
        <v>3056</v>
      </c>
      <c r="B979" s="1352" t="s">
        <v>1315</v>
      </c>
      <c r="C979" s="1353" t="s">
        <v>1495</v>
      </c>
      <c r="D979" s="1353">
        <v>69.89</v>
      </c>
      <c r="E979" s="1353">
        <v>80.4</v>
      </c>
      <c r="F979" s="1355"/>
      <c r="G979" s="1356"/>
      <c r="H979" s="1359"/>
      <c r="I979" s="1362"/>
    </row>
    <row r="980">
      <c r="A980" s="1344" t="s">
        <v>2587</v>
      </c>
      <c r="B980" s="1345" t="s">
        <v>3345</v>
      </c>
      <c r="C980" s="1346" t="s">
        <v>1495</v>
      </c>
      <c r="D980" s="1346">
        <v>3.13</v>
      </c>
      <c r="E980" s="1347">
        <v>3.6</v>
      </c>
      <c r="F980" s="1348">
        <v>5043107.0</v>
      </c>
      <c r="G980" s="1349"/>
      <c r="H980" s="1346">
        <v>23.0</v>
      </c>
      <c r="I980" s="1350" t="s">
        <v>3346</v>
      </c>
    </row>
    <row r="981">
      <c r="A981" s="1351" t="s">
        <v>2383</v>
      </c>
      <c r="B981" s="1352" t="s">
        <v>3347</v>
      </c>
      <c r="C981" s="1353" t="s">
        <v>1495</v>
      </c>
      <c r="D981" s="1353">
        <v>6.13</v>
      </c>
      <c r="E981" s="1354">
        <v>7.05</v>
      </c>
      <c r="F981" s="1355">
        <v>3901606.0</v>
      </c>
      <c r="G981" s="1356"/>
      <c r="H981" s="1359">
        <v>7.0</v>
      </c>
      <c r="I981" s="1357" t="s">
        <v>3348</v>
      </c>
    </row>
    <row r="982">
      <c r="A982" s="1344" t="s">
        <v>2383</v>
      </c>
      <c r="B982" s="1345" t="s">
        <v>1318</v>
      </c>
      <c r="C982" s="1346" t="s">
        <v>1495</v>
      </c>
      <c r="D982" s="1346">
        <v>0.65</v>
      </c>
      <c r="E982" s="1346">
        <v>0.75</v>
      </c>
      <c r="F982" s="1348" t="s">
        <v>3349</v>
      </c>
      <c r="G982" s="1349"/>
      <c r="H982" s="1358"/>
      <c r="I982" s="1350" t="s">
        <v>3350</v>
      </c>
    </row>
    <row r="983">
      <c r="A983" s="1351" t="s">
        <v>2383</v>
      </c>
      <c r="B983" s="1352" t="s">
        <v>3351</v>
      </c>
      <c r="C983" s="1353" t="s">
        <v>1495</v>
      </c>
      <c r="D983" s="1353">
        <v>1.01</v>
      </c>
      <c r="E983" s="1353">
        <v>1.2</v>
      </c>
      <c r="F983" s="1355" t="s">
        <v>3352</v>
      </c>
      <c r="G983" s="1356"/>
      <c r="H983" s="1359">
        <v>5.0</v>
      </c>
      <c r="I983" s="1357" t="s">
        <v>3353</v>
      </c>
    </row>
    <row r="984">
      <c r="A984" s="1344" t="s">
        <v>328</v>
      </c>
      <c r="B984" s="1345" t="s">
        <v>210</v>
      </c>
      <c r="C984" s="1346" t="s">
        <v>1495</v>
      </c>
      <c r="D984" s="1346">
        <v>4.1</v>
      </c>
      <c r="E984" s="1346">
        <v>4.75</v>
      </c>
      <c r="F984" s="1348"/>
      <c r="G984" s="1349"/>
      <c r="H984" s="1358">
        <v>58.0</v>
      </c>
      <c r="I984" s="1350" t="s">
        <v>3354</v>
      </c>
    </row>
    <row r="985">
      <c r="A985" s="1351" t="s">
        <v>328</v>
      </c>
      <c r="B985" s="1352" t="s">
        <v>3355</v>
      </c>
      <c r="C985" s="1353" t="s">
        <v>1495</v>
      </c>
      <c r="D985" s="1353"/>
      <c r="E985" s="1353"/>
      <c r="F985" s="1355" t="s">
        <v>3356</v>
      </c>
      <c r="G985" s="1356"/>
      <c r="H985" s="1353">
        <v>52.0</v>
      </c>
      <c r="I985" s="1357" t="s">
        <v>3357</v>
      </c>
    </row>
    <row r="986">
      <c r="A986" s="1344" t="s">
        <v>328</v>
      </c>
      <c r="B986" s="1345" t="s">
        <v>1322</v>
      </c>
      <c r="C986" s="1346" t="s">
        <v>1495</v>
      </c>
      <c r="D986" s="1346"/>
      <c r="E986" s="1347"/>
      <c r="F986" s="1348">
        <v>45004.0</v>
      </c>
      <c r="G986" s="1349"/>
      <c r="H986" s="1358"/>
      <c r="I986" s="1350" t="s">
        <v>3358</v>
      </c>
    </row>
    <row r="987">
      <c r="A987" s="1351" t="s">
        <v>2587</v>
      </c>
      <c r="B987" s="1352" t="s">
        <v>1323</v>
      </c>
      <c r="C987" s="1353" t="s">
        <v>1495</v>
      </c>
      <c r="D987" s="1353"/>
      <c r="E987" s="1354"/>
      <c r="F987" s="1355" t="s">
        <v>3359</v>
      </c>
      <c r="G987" s="1356"/>
      <c r="H987" s="1359"/>
      <c r="I987" s="1362"/>
    </row>
    <row r="988">
      <c r="A988" s="1344" t="s">
        <v>327</v>
      </c>
      <c r="B988" s="1345" t="s">
        <v>1324</v>
      </c>
      <c r="C988" s="1346" t="s">
        <v>1495</v>
      </c>
      <c r="D988" s="1346"/>
      <c r="E988" s="1347"/>
      <c r="F988" s="1348" t="s">
        <v>3360</v>
      </c>
      <c r="G988" s="1349"/>
      <c r="H988" s="1358"/>
      <c r="I988" s="1350" t="s">
        <v>3361</v>
      </c>
    </row>
    <row r="989">
      <c r="A989" s="1351" t="s">
        <v>327</v>
      </c>
      <c r="B989" s="1352" t="s">
        <v>1325</v>
      </c>
      <c r="C989" s="1353" t="s">
        <v>1495</v>
      </c>
      <c r="D989" s="1353"/>
      <c r="E989" s="1354"/>
      <c r="F989" s="1355" t="s">
        <v>3362</v>
      </c>
      <c r="G989" s="1356"/>
      <c r="H989" s="1359"/>
      <c r="I989" s="1357" t="s">
        <v>3363</v>
      </c>
    </row>
    <row r="990">
      <c r="A990" s="1344" t="s">
        <v>327</v>
      </c>
      <c r="B990" s="1345" t="s">
        <v>1326</v>
      </c>
      <c r="C990" s="1346" t="s">
        <v>1495</v>
      </c>
      <c r="D990" s="1346">
        <v>42.85</v>
      </c>
      <c r="E990" s="1346">
        <v>49.3</v>
      </c>
      <c r="F990" s="1348" t="s">
        <v>3364</v>
      </c>
      <c r="G990" s="1349"/>
      <c r="H990" s="1358"/>
      <c r="I990" s="1350" t="s">
        <v>3365</v>
      </c>
    </row>
    <row r="991">
      <c r="A991" s="1351" t="s">
        <v>277</v>
      </c>
      <c r="B991" s="1352" t="s">
        <v>1327</v>
      </c>
      <c r="C991" s="1353" t="s">
        <v>1495</v>
      </c>
      <c r="D991" s="1353"/>
      <c r="E991" s="1353"/>
      <c r="F991" s="1355"/>
      <c r="G991" s="1356"/>
      <c r="H991" s="1359"/>
      <c r="I991" s="1362"/>
    </row>
    <row r="992">
      <c r="A992" s="1344" t="s">
        <v>317</v>
      </c>
      <c r="B992" s="1345" t="s">
        <v>3366</v>
      </c>
      <c r="C992" s="1346" t="s">
        <v>1642</v>
      </c>
      <c r="D992" s="1346">
        <v>0.36</v>
      </c>
      <c r="E992" s="1347">
        <v>0.45</v>
      </c>
      <c r="F992" s="1348"/>
      <c r="G992" s="1349"/>
      <c r="H992" s="1346">
        <v>270.0</v>
      </c>
      <c r="I992" s="1360"/>
    </row>
    <row r="993">
      <c r="A993" s="1351" t="s">
        <v>329</v>
      </c>
      <c r="B993" s="1352" t="s">
        <v>3367</v>
      </c>
      <c r="C993" s="1353" t="s">
        <v>1642</v>
      </c>
      <c r="D993" s="1353"/>
      <c r="E993" s="1354"/>
      <c r="F993" s="1355"/>
      <c r="G993" s="1356"/>
      <c r="H993" s="1353">
        <v>260.0</v>
      </c>
      <c r="I993" s="1362"/>
    </row>
    <row r="994">
      <c r="A994" s="1344" t="s">
        <v>2587</v>
      </c>
      <c r="B994" s="1345" t="s">
        <v>3368</v>
      </c>
      <c r="C994" s="1346" t="s">
        <v>1495</v>
      </c>
      <c r="D994" s="1346">
        <v>7.93</v>
      </c>
      <c r="E994" s="1347">
        <v>9.15</v>
      </c>
      <c r="F994" s="1348">
        <v>38245.0</v>
      </c>
      <c r="G994" s="1349"/>
      <c r="H994" s="1346">
        <v>1.0</v>
      </c>
      <c r="I994" s="1350" t="s">
        <v>3369</v>
      </c>
    </row>
    <row r="995">
      <c r="A995" s="1351" t="s">
        <v>2587</v>
      </c>
      <c r="B995" s="1352" t="s">
        <v>1331</v>
      </c>
      <c r="C995" s="1353" t="s">
        <v>1495</v>
      </c>
      <c r="D995" s="1353"/>
      <c r="E995" s="1353"/>
      <c r="F995" s="1355">
        <v>38004.0</v>
      </c>
      <c r="G995" s="1356"/>
      <c r="H995" s="1353"/>
      <c r="I995" s="1357" t="s">
        <v>3370</v>
      </c>
    </row>
    <row r="996">
      <c r="A996" s="1344" t="s">
        <v>2587</v>
      </c>
      <c r="B996" s="1345" t="s">
        <v>3371</v>
      </c>
      <c r="C996" s="1346" t="s">
        <v>1495</v>
      </c>
      <c r="D996" s="1346">
        <v>8.25</v>
      </c>
      <c r="E996" s="1347">
        <v>9.5</v>
      </c>
      <c r="F996" s="1348">
        <v>38005.0</v>
      </c>
      <c r="G996" s="1349"/>
      <c r="H996" s="1346">
        <v>1.0</v>
      </c>
      <c r="I996" s="1350" t="s">
        <v>3372</v>
      </c>
    </row>
    <row r="997">
      <c r="A997" s="1351" t="s">
        <v>2587</v>
      </c>
      <c r="B997" s="1352" t="s">
        <v>1333</v>
      </c>
      <c r="C997" s="1353" t="s">
        <v>1642</v>
      </c>
      <c r="D997" s="1353"/>
      <c r="E997" s="1353"/>
      <c r="F997" s="1355">
        <v>35522.0</v>
      </c>
      <c r="G997" s="1356"/>
      <c r="H997" s="1359"/>
      <c r="I997" s="1362"/>
    </row>
    <row r="998">
      <c r="A998" s="1344" t="s">
        <v>2587</v>
      </c>
      <c r="B998" s="1345" t="s">
        <v>3373</v>
      </c>
      <c r="C998" s="1346" t="s">
        <v>1642</v>
      </c>
      <c r="D998" s="1346">
        <v>4.34</v>
      </c>
      <c r="E998" s="1346">
        <v>5.0</v>
      </c>
      <c r="F998" s="1348">
        <v>35524.0</v>
      </c>
      <c r="G998" s="1349"/>
      <c r="H998" s="1358">
        <v>4.5</v>
      </c>
      <c r="I998" s="1350" t="s">
        <v>3374</v>
      </c>
    </row>
    <row r="999">
      <c r="A999" s="1351" t="s">
        <v>2587</v>
      </c>
      <c r="B999" s="1352" t="s">
        <v>3375</v>
      </c>
      <c r="C999" s="1353" t="s">
        <v>1642</v>
      </c>
      <c r="D999" s="1353">
        <v>16.56</v>
      </c>
      <c r="E999" s="1354">
        <v>19.05</v>
      </c>
      <c r="F999" s="1355">
        <v>35525.0</v>
      </c>
      <c r="G999" s="1356"/>
      <c r="H999" s="1353">
        <v>6.0</v>
      </c>
      <c r="I999" s="1357" t="s">
        <v>3376</v>
      </c>
    </row>
    <row r="1000">
      <c r="A1000" s="1344" t="s">
        <v>2587</v>
      </c>
      <c r="B1000" s="1345" t="s">
        <v>1336</v>
      </c>
      <c r="C1000" s="1346" t="s">
        <v>1642</v>
      </c>
      <c r="D1000" s="1346"/>
      <c r="E1000" s="1347"/>
      <c r="F1000" s="1348">
        <v>35527.0</v>
      </c>
      <c r="G1000" s="1349"/>
      <c r="H1000" s="1358"/>
      <c r="I1000" s="1360"/>
    </row>
    <row r="1001">
      <c r="A1001" s="1351" t="s">
        <v>3056</v>
      </c>
      <c r="B1001" s="1352" t="s">
        <v>1337</v>
      </c>
      <c r="C1001" s="1353" t="s">
        <v>1495</v>
      </c>
      <c r="D1001" s="1353">
        <v>1.34</v>
      </c>
      <c r="E1001" s="1354">
        <v>1.55</v>
      </c>
      <c r="F1001" s="1355" t="s">
        <v>3377</v>
      </c>
      <c r="G1001" s="1356"/>
      <c r="H1001" s="1359"/>
      <c r="I1001" s="1362"/>
    </row>
    <row r="1002">
      <c r="A1002" s="1344" t="s">
        <v>2587</v>
      </c>
      <c r="B1002" s="1345" t="s">
        <v>3378</v>
      </c>
      <c r="C1002" s="1346" t="s">
        <v>1495</v>
      </c>
      <c r="D1002" s="1346">
        <v>4.46</v>
      </c>
      <c r="E1002" s="1347">
        <v>5.15</v>
      </c>
      <c r="F1002" s="1348" t="s">
        <v>3379</v>
      </c>
      <c r="G1002" s="1349"/>
      <c r="H1002" s="1358">
        <v>10.0</v>
      </c>
      <c r="I1002" s="1360"/>
    </row>
    <row r="1003">
      <c r="A1003" s="1351" t="s">
        <v>2587</v>
      </c>
      <c r="B1003" s="1352" t="s">
        <v>3380</v>
      </c>
      <c r="C1003" s="1353" t="s">
        <v>1495</v>
      </c>
      <c r="D1003" s="1353">
        <v>1.11</v>
      </c>
      <c r="E1003" s="1353">
        <v>1.3</v>
      </c>
      <c r="F1003" s="1355">
        <v>6015263.0</v>
      </c>
      <c r="G1003" s="1356"/>
      <c r="H1003" s="1359">
        <v>35.0</v>
      </c>
      <c r="I1003" s="1357" t="s">
        <v>3381</v>
      </c>
    </row>
    <row r="1004">
      <c r="A1004" s="1344" t="s">
        <v>310</v>
      </c>
      <c r="B1004" s="1345" t="s">
        <v>1340</v>
      </c>
      <c r="C1004" s="1346" t="s">
        <v>1495</v>
      </c>
      <c r="D1004" s="1346"/>
      <c r="E1004" s="1346"/>
      <c r="F1004" s="1348" t="s">
        <v>3382</v>
      </c>
      <c r="G1004" s="1349"/>
      <c r="H1004" s="1358"/>
      <c r="I1004" s="1360"/>
    </row>
    <row r="1005">
      <c r="A1005" s="1351" t="s">
        <v>2587</v>
      </c>
      <c r="B1005" s="1352" t="s">
        <v>3383</v>
      </c>
      <c r="C1005" s="1353" t="s">
        <v>1495</v>
      </c>
      <c r="D1005" s="1353">
        <v>12.99</v>
      </c>
      <c r="E1005" s="1354">
        <v>14.95</v>
      </c>
      <c r="F1005" s="1355">
        <v>36824.0</v>
      </c>
      <c r="G1005" s="1356"/>
      <c r="H1005" s="1353">
        <v>1.0</v>
      </c>
      <c r="I1005" s="1357" t="s">
        <v>3384</v>
      </c>
    </row>
    <row r="1006">
      <c r="A1006" s="1344" t="s">
        <v>2587</v>
      </c>
      <c r="B1006" s="1345" t="s">
        <v>1342</v>
      </c>
      <c r="C1006" s="1346" t="s">
        <v>1495</v>
      </c>
      <c r="D1006" s="1346"/>
      <c r="E1006" s="1347"/>
      <c r="F1006" s="1348">
        <v>36004.0</v>
      </c>
      <c r="G1006" s="1349"/>
      <c r="H1006" s="1358"/>
      <c r="I1006" s="1350" t="s">
        <v>3385</v>
      </c>
    </row>
    <row r="1007">
      <c r="A1007" s="1351" t="s">
        <v>2587</v>
      </c>
      <c r="B1007" s="1352" t="s">
        <v>3386</v>
      </c>
      <c r="C1007" s="1353" t="s">
        <v>1495</v>
      </c>
      <c r="D1007" s="1353">
        <v>14.86</v>
      </c>
      <c r="E1007" s="1353">
        <v>17.1</v>
      </c>
      <c r="F1007" s="1355">
        <v>36044.0</v>
      </c>
      <c r="G1007" s="1356"/>
      <c r="H1007" s="1359">
        <v>1.0</v>
      </c>
      <c r="I1007" s="1357" t="s">
        <v>3387</v>
      </c>
    </row>
    <row r="1008">
      <c r="A1008" s="1344" t="s">
        <v>322</v>
      </c>
      <c r="B1008" s="1345" t="s">
        <v>1344</v>
      </c>
      <c r="C1008" s="1346" t="s">
        <v>1495</v>
      </c>
      <c r="D1008" s="1346"/>
      <c r="E1008" s="1346"/>
      <c r="F1008" s="1348"/>
      <c r="G1008" s="1349"/>
      <c r="H1008" s="1358"/>
      <c r="I1008" s="1360"/>
    </row>
    <row r="1009">
      <c r="A1009" s="1351" t="s">
        <v>322</v>
      </c>
      <c r="B1009" s="1352" t="s">
        <v>1345</v>
      </c>
      <c r="C1009" s="1353" t="s">
        <v>1495</v>
      </c>
      <c r="D1009" s="1353"/>
      <c r="E1009" s="1353"/>
      <c r="F1009" s="1355"/>
      <c r="G1009" s="1356"/>
      <c r="H1009" s="1359"/>
      <c r="I1009" s="1357" t="s">
        <v>3388</v>
      </c>
    </row>
    <row r="1010">
      <c r="A1010" s="1344" t="s">
        <v>322</v>
      </c>
      <c r="B1010" s="1345" t="s">
        <v>3389</v>
      </c>
      <c r="C1010" s="1346" t="s">
        <v>1495</v>
      </c>
      <c r="D1010" s="1346">
        <v>175.15</v>
      </c>
      <c r="E1010" s="1347">
        <v>201.45</v>
      </c>
      <c r="F1010" s="1348"/>
      <c r="G1010" s="1349"/>
      <c r="H1010" s="1358">
        <v>2.0</v>
      </c>
      <c r="I1010" s="1350" t="s">
        <v>3390</v>
      </c>
    </row>
    <row r="1011">
      <c r="A1011" s="1351" t="s">
        <v>322</v>
      </c>
      <c r="B1011" s="1352" t="s">
        <v>1347</v>
      </c>
      <c r="C1011" s="1353" t="s">
        <v>1495</v>
      </c>
      <c r="D1011" s="1353"/>
      <c r="E1011" s="1354"/>
      <c r="F1011" s="1355"/>
      <c r="G1011" s="1356"/>
      <c r="H1011" s="1353"/>
      <c r="I1011" s="1357" t="s">
        <v>3391</v>
      </c>
    </row>
    <row r="1012">
      <c r="A1012" s="1344" t="s">
        <v>322</v>
      </c>
      <c r="B1012" s="1345" t="s">
        <v>1348</v>
      </c>
      <c r="C1012" s="1346" t="s">
        <v>1495</v>
      </c>
      <c r="D1012" s="1346"/>
      <c r="E1012" s="1346"/>
      <c r="F1012" s="1348"/>
      <c r="G1012" s="1349"/>
      <c r="H1012" s="1358"/>
      <c r="I1012" s="1350" t="s">
        <v>3392</v>
      </c>
    </row>
    <row r="1013">
      <c r="A1013" s="1351" t="s">
        <v>2587</v>
      </c>
      <c r="B1013" s="1352" t="s">
        <v>1349</v>
      </c>
      <c r="C1013" s="1353" t="s">
        <v>1642</v>
      </c>
      <c r="D1013" s="1353"/>
      <c r="E1013" s="1354"/>
      <c r="F1013" s="1355">
        <v>35302.0</v>
      </c>
      <c r="G1013" s="1356"/>
      <c r="H1013" s="1353"/>
      <c r="I1013" s="1362"/>
    </row>
    <row r="1014">
      <c r="A1014" s="1344" t="s">
        <v>2587</v>
      </c>
      <c r="B1014" s="1345" t="s">
        <v>1350</v>
      </c>
      <c r="C1014" s="1346" t="s">
        <v>1642</v>
      </c>
      <c r="D1014" s="1346"/>
      <c r="E1014" s="1347"/>
      <c r="F1014" s="1348" t="s">
        <v>3393</v>
      </c>
      <c r="G1014" s="1349"/>
      <c r="H1014" s="1358"/>
      <c r="I1014" s="1360"/>
    </row>
    <row r="1015">
      <c r="A1015" s="1351" t="s">
        <v>2587</v>
      </c>
      <c r="B1015" s="1352" t="s">
        <v>1351</v>
      </c>
      <c r="C1015" s="1353" t="s">
        <v>1642</v>
      </c>
      <c r="D1015" s="1353"/>
      <c r="E1015" s="1354"/>
      <c r="F1015" s="1355" t="s">
        <v>3394</v>
      </c>
      <c r="G1015" s="1356"/>
      <c r="H1015" s="1359"/>
      <c r="I1015" s="1362"/>
    </row>
    <row r="1016">
      <c r="A1016" s="1344" t="s">
        <v>2587</v>
      </c>
      <c r="B1016" s="1345" t="s">
        <v>1352</v>
      </c>
      <c r="C1016" s="1346" t="s">
        <v>1642</v>
      </c>
      <c r="D1016" s="1346"/>
      <c r="E1016" s="1347"/>
      <c r="F1016" s="1348" t="s">
        <v>3395</v>
      </c>
      <c r="G1016" s="1349"/>
      <c r="H1016" s="1358"/>
      <c r="I1016" s="1360"/>
    </row>
    <row r="1017">
      <c r="A1017" s="1351" t="s">
        <v>2587</v>
      </c>
      <c r="B1017" s="1352" t="s">
        <v>1353</v>
      </c>
      <c r="C1017" s="1353" t="s">
        <v>1642</v>
      </c>
      <c r="D1017" s="1353"/>
      <c r="E1017" s="1354"/>
      <c r="F1017" s="1355">
        <v>35343.0</v>
      </c>
      <c r="G1017" s="1356"/>
      <c r="H1017" s="1359"/>
      <c r="I1017" s="1362"/>
    </row>
    <row r="1018">
      <c r="A1018" s="1344" t="s">
        <v>2587</v>
      </c>
      <c r="B1018" s="1345" t="s">
        <v>3396</v>
      </c>
      <c r="C1018" s="1346" t="s">
        <v>1642</v>
      </c>
      <c r="D1018" s="1346">
        <v>5.26</v>
      </c>
      <c r="E1018" s="1347">
        <v>6.05</v>
      </c>
      <c r="F1018" s="1348">
        <v>35264.0</v>
      </c>
      <c r="G1018" s="1349"/>
      <c r="H1018" s="1358">
        <v>4.5</v>
      </c>
      <c r="I1018" s="1350" t="s">
        <v>3397</v>
      </c>
    </row>
    <row r="1019">
      <c r="A1019" s="1351" t="s">
        <v>2587</v>
      </c>
      <c r="B1019" s="1352" t="s">
        <v>3398</v>
      </c>
      <c r="C1019" s="1353" t="s">
        <v>1642</v>
      </c>
      <c r="D1019" s="1353">
        <v>30.66</v>
      </c>
      <c r="E1019" s="1354">
        <v>35.3</v>
      </c>
      <c r="F1019" s="1355">
        <v>35344.0</v>
      </c>
      <c r="G1019" s="1356"/>
      <c r="H1019" s="1359">
        <v>6.0</v>
      </c>
      <c r="I1019" s="1357" t="s">
        <v>3399</v>
      </c>
    </row>
    <row r="1020">
      <c r="A1020" s="1344" t="s">
        <v>2587</v>
      </c>
      <c r="B1020" s="1345" t="s">
        <v>1356</v>
      </c>
      <c r="C1020" s="1346" t="s">
        <v>1642</v>
      </c>
      <c r="D1020" s="1346"/>
      <c r="E1020" s="1346"/>
      <c r="F1020" s="1348">
        <v>35346.0</v>
      </c>
      <c r="G1020" s="1349"/>
      <c r="H1020" s="1358"/>
      <c r="I1020" s="1360"/>
    </row>
    <row r="1021">
      <c r="A1021" s="1351" t="s">
        <v>2587</v>
      </c>
      <c r="B1021" s="1352" t="s">
        <v>1357</v>
      </c>
      <c r="C1021" s="1353" t="s">
        <v>1642</v>
      </c>
      <c r="D1021" s="1353">
        <v>5.0</v>
      </c>
      <c r="E1021" s="1354">
        <v>5.75</v>
      </c>
      <c r="F1021" s="1355" t="s">
        <v>3400</v>
      </c>
      <c r="G1021" s="1356"/>
      <c r="H1021" s="1359"/>
      <c r="I1021" s="1362"/>
    </row>
    <row r="1022">
      <c r="A1022" s="1344" t="s">
        <v>2587</v>
      </c>
      <c r="B1022" s="1345" t="s">
        <v>1358</v>
      </c>
      <c r="C1022" s="1346" t="s">
        <v>1642</v>
      </c>
      <c r="D1022" s="1346"/>
      <c r="E1022" s="1346"/>
      <c r="F1022" s="1348" t="s">
        <v>3401</v>
      </c>
      <c r="G1022" s="1349"/>
      <c r="H1022" s="1358"/>
      <c r="I1022" s="1361"/>
    </row>
    <row r="1023">
      <c r="A1023" s="1351" t="s">
        <v>314</v>
      </c>
      <c r="B1023" s="1352" t="s">
        <v>3402</v>
      </c>
      <c r="C1023" s="1353" t="s">
        <v>1495</v>
      </c>
      <c r="D1023" s="1353">
        <v>1.04</v>
      </c>
      <c r="E1023" s="1353">
        <v>1.2</v>
      </c>
      <c r="F1023" s="1355"/>
      <c r="G1023" s="1356"/>
      <c r="H1023" s="1359">
        <v>20.0</v>
      </c>
      <c r="I1023" s="1362"/>
    </row>
    <row r="1024">
      <c r="A1024" s="1344" t="s">
        <v>277</v>
      </c>
      <c r="B1024" s="1345" t="s">
        <v>1360</v>
      </c>
      <c r="C1024" s="1346" t="s">
        <v>1495</v>
      </c>
      <c r="D1024" s="1346"/>
      <c r="E1024" s="1346"/>
      <c r="F1024" s="1348"/>
      <c r="G1024" s="1349"/>
      <c r="H1024" s="1358"/>
      <c r="I1024" s="1360"/>
    </row>
    <row r="1025">
      <c r="A1025" s="1351" t="s">
        <v>277</v>
      </c>
      <c r="B1025" s="1352" t="s">
        <v>1361</v>
      </c>
      <c r="C1025" s="1353" t="s">
        <v>1495</v>
      </c>
      <c r="D1025" s="1353"/>
      <c r="E1025" s="1353"/>
      <c r="F1025" s="1355"/>
      <c r="G1025" s="1356"/>
      <c r="H1025" s="1353"/>
      <c r="I1025" s="1362"/>
    </row>
    <row r="1026">
      <c r="A1026" s="1344" t="s">
        <v>321</v>
      </c>
      <c r="B1026" s="1345" t="s">
        <v>1362</v>
      </c>
      <c r="C1026" s="1346" t="s">
        <v>1495</v>
      </c>
      <c r="D1026" s="1346"/>
      <c r="E1026" s="1346"/>
      <c r="F1026" s="1348"/>
      <c r="G1026" s="1349"/>
      <c r="H1026" s="1358"/>
      <c r="I1026" s="1361"/>
    </row>
    <row r="1027">
      <c r="A1027" s="1351" t="s">
        <v>277</v>
      </c>
      <c r="B1027" s="1352" t="s">
        <v>1363</v>
      </c>
      <c r="C1027" s="1353" t="s">
        <v>1634</v>
      </c>
      <c r="D1027" s="1353"/>
      <c r="E1027" s="1353"/>
      <c r="F1027" s="1355"/>
      <c r="G1027" s="1356"/>
      <c r="H1027" s="1353"/>
      <c r="I1027" s="1362"/>
    </row>
    <row r="1028">
      <c r="A1028" s="1344" t="s">
        <v>277</v>
      </c>
      <c r="B1028" s="1345" t="s">
        <v>1364</v>
      </c>
      <c r="C1028" s="1346" t="s">
        <v>1634</v>
      </c>
      <c r="D1028" s="1346"/>
      <c r="E1028" s="1346"/>
      <c r="F1028" s="1348"/>
      <c r="G1028" s="1349"/>
      <c r="H1028" s="1346"/>
      <c r="I1028" s="1360"/>
    </row>
    <row r="1029">
      <c r="A1029" s="1351" t="s">
        <v>2593</v>
      </c>
      <c r="B1029" s="1352" t="s">
        <v>1365</v>
      </c>
      <c r="C1029" s="1353" t="s">
        <v>1495</v>
      </c>
      <c r="D1029" s="1353"/>
      <c r="E1029" s="1353"/>
      <c r="F1029" s="1355"/>
      <c r="G1029" s="1356"/>
      <c r="H1029" s="1353"/>
      <c r="I1029" s="1362"/>
    </row>
    <row r="1030">
      <c r="A1030" s="1344" t="s">
        <v>2593</v>
      </c>
      <c r="B1030" s="1345" t="s">
        <v>1366</v>
      </c>
      <c r="C1030" s="1346" t="s">
        <v>1495</v>
      </c>
      <c r="D1030" s="1346"/>
      <c r="E1030" s="1346"/>
      <c r="F1030" s="1348"/>
      <c r="G1030" s="1349"/>
      <c r="H1030" s="1346"/>
      <c r="I1030" s="1360"/>
    </row>
    <row r="1031">
      <c r="A1031" s="1351" t="s">
        <v>277</v>
      </c>
      <c r="B1031" s="1352" t="s">
        <v>1367</v>
      </c>
      <c r="C1031" s="1353" t="s">
        <v>1495</v>
      </c>
      <c r="D1031" s="1353"/>
      <c r="E1031" s="1353"/>
      <c r="F1031" s="1355"/>
      <c r="G1031" s="1356"/>
      <c r="H1031" s="1353"/>
      <c r="I1031" s="1362"/>
    </row>
    <row r="1032">
      <c r="A1032" s="1344" t="s">
        <v>326</v>
      </c>
      <c r="B1032" s="1345" t="s">
        <v>3403</v>
      </c>
      <c r="C1032" s="1346" t="s">
        <v>1495</v>
      </c>
      <c r="D1032" s="1346">
        <v>8.71</v>
      </c>
      <c r="E1032" s="1346">
        <v>10.05</v>
      </c>
      <c r="F1032" s="1348" t="s">
        <v>3404</v>
      </c>
      <c r="G1032" s="1349">
        <v>1.0</v>
      </c>
      <c r="H1032" s="1346">
        <v>1.0</v>
      </c>
      <c r="I1032" s="1350" t="s">
        <v>3405</v>
      </c>
    </row>
    <row r="1033">
      <c r="A1033" s="1351" t="s">
        <v>313</v>
      </c>
      <c r="B1033" s="1352" t="s">
        <v>1369</v>
      </c>
      <c r="C1033" s="1353" t="s">
        <v>1495</v>
      </c>
      <c r="D1033" s="1353"/>
      <c r="E1033" s="1353"/>
      <c r="F1033" s="1355"/>
      <c r="G1033" s="1356"/>
      <c r="H1033" s="1353"/>
      <c r="I1033" s="1362"/>
    </row>
    <row r="1034">
      <c r="A1034" s="1344" t="s">
        <v>313</v>
      </c>
      <c r="B1034" s="1345" t="s">
        <v>1370</v>
      </c>
      <c r="C1034" s="1346" t="s">
        <v>1495</v>
      </c>
      <c r="D1034" s="1346"/>
      <c r="E1034" s="1346"/>
      <c r="F1034" s="1348"/>
      <c r="G1034" s="1349"/>
      <c r="H1034" s="1358"/>
      <c r="I1034" s="1361"/>
    </row>
    <row r="1035">
      <c r="A1035" s="1351" t="s">
        <v>277</v>
      </c>
      <c r="B1035" s="1352" t="s">
        <v>1371</v>
      </c>
      <c r="C1035" s="1353" t="s">
        <v>3406</v>
      </c>
      <c r="D1035" s="1353"/>
      <c r="E1035" s="1353"/>
      <c r="F1035" s="1355"/>
      <c r="G1035" s="1356"/>
      <c r="H1035" s="1359"/>
      <c r="I1035" s="1362"/>
    </row>
    <row r="1036">
      <c r="A1036" s="1344" t="s">
        <v>3132</v>
      </c>
      <c r="B1036" s="1345" t="s">
        <v>1372</v>
      </c>
      <c r="C1036" s="1346" t="s">
        <v>1495</v>
      </c>
      <c r="D1036" s="1346"/>
      <c r="E1036" s="1346"/>
      <c r="F1036" s="1348"/>
      <c r="G1036" s="1349"/>
      <c r="H1036" s="1358"/>
      <c r="I1036" s="1361"/>
    </row>
    <row r="1037">
      <c r="A1037" s="1351" t="s">
        <v>277</v>
      </c>
      <c r="B1037" s="1352" t="s">
        <v>1373</v>
      </c>
      <c r="C1037" s="1353" t="s">
        <v>3131</v>
      </c>
      <c r="D1037" s="1353"/>
      <c r="E1037" s="1353"/>
      <c r="F1037" s="1355"/>
      <c r="G1037" s="1356"/>
      <c r="H1037" s="1359"/>
      <c r="I1037" s="1362"/>
    </row>
    <row r="1038">
      <c r="A1038" s="1344" t="s">
        <v>3058</v>
      </c>
      <c r="B1038" s="1345" t="s">
        <v>1374</v>
      </c>
      <c r="C1038" s="1346" t="s">
        <v>1495</v>
      </c>
      <c r="D1038" s="1346">
        <v>0.4</v>
      </c>
      <c r="E1038" s="1347">
        <v>0.5</v>
      </c>
      <c r="F1038" s="1348" t="s">
        <v>3407</v>
      </c>
      <c r="G1038" s="1349"/>
      <c r="H1038" s="1358"/>
      <c r="I1038" s="1360"/>
    </row>
    <row r="1039">
      <c r="A1039" s="1351" t="s">
        <v>328</v>
      </c>
      <c r="B1039" s="1352" t="s">
        <v>1375</v>
      </c>
      <c r="C1039" s="1353" t="s">
        <v>1495</v>
      </c>
      <c r="D1039" s="1353"/>
      <c r="E1039" s="1354"/>
      <c r="F1039" s="1355" t="s">
        <v>3408</v>
      </c>
      <c r="G1039" s="1356"/>
      <c r="H1039" s="1359"/>
      <c r="I1039" s="1357" t="s">
        <v>3409</v>
      </c>
    </row>
    <row r="1040">
      <c r="A1040" s="1344" t="s">
        <v>317</v>
      </c>
      <c r="B1040" s="1345" t="s">
        <v>1376</v>
      </c>
      <c r="C1040" s="1346" t="s">
        <v>1642</v>
      </c>
      <c r="D1040" s="1346">
        <v>1.66</v>
      </c>
      <c r="E1040" s="1346">
        <v>1.95</v>
      </c>
      <c r="F1040" s="1348"/>
      <c r="G1040" s="1349"/>
      <c r="H1040" s="1346"/>
      <c r="I1040" s="1360"/>
    </row>
    <row r="1041">
      <c r="A1041" s="1351" t="s">
        <v>2271</v>
      </c>
      <c r="B1041" s="1352" t="s">
        <v>1377</v>
      </c>
      <c r="C1041" s="1353" t="s">
        <v>1495</v>
      </c>
      <c r="D1041" s="1353">
        <v>2.79</v>
      </c>
      <c r="E1041" s="1354">
        <v>3.25</v>
      </c>
      <c r="F1041" s="1355" t="s">
        <v>3410</v>
      </c>
      <c r="G1041" s="1356"/>
      <c r="H1041" s="1359"/>
      <c r="I1041" s="1357" t="s">
        <v>3411</v>
      </c>
    </row>
    <row r="1042">
      <c r="A1042" s="1344" t="s">
        <v>3056</v>
      </c>
      <c r="B1042" s="1345" t="s">
        <v>1378</v>
      </c>
      <c r="C1042" s="1346" t="s">
        <v>1495</v>
      </c>
      <c r="D1042" s="1346">
        <v>0.11</v>
      </c>
      <c r="E1042" s="1347">
        <v>0.15</v>
      </c>
      <c r="F1042" s="1348">
        <v>1.00260604E8</v>
      </c>
      <c r="G1042" s="1349"/>
      <c r="H1042" s="1358"/>
      <c r="I1042" s="1360"/>
    </row>
    <row r="1043">
      <c r="A1043" s="1351" t="s">
        <v>328</v>
      </c>
      <c r="B1043" s="1352" t="s">
        <v>1379</v>
      </c>
      <c r="C1043" s="1353" t="s">
        <v>1495</v>
      </c>
      <c r="D1043" s="1353"/>
      <c r="E1043" s="1354"/>
      <c r="F1043" s="1355" t="s">
        <v>3412</v>
      </c>
      <c r="G1043" s="1356"/>
      <c r="H1043" s="1353"/>
      <c r="I1043" s="1357" t="s">
        <v>3413</v>
      </c>
    </row>
    <row r="1044">
      <c r="A1044" s="1344" t="s">
        <v>277</v>
      </c>
      <c r="B1044" s="1345" t="s">
        <v>1380</v>
      </c>
      <c r="C1044" s="1346" t="s">
        <v>1495</v>
      </c>
      <c r="D1044" s="1346"/>
      <c r="E1044" s="1346"/>
      <c r="F1044" s="1348"/>
      <c r="G1044" s="1349"/>
      <c r="H1044" s="1358"/>
      <c r="I1044" s="1360"/>
    </row>
    <row r="1045">
      <c r="A1045" s="1351" t="s">
        <v>277</v>
      </c>
      <c r="B1045" s="1352" t="s">
        <v>1381</v>
      </c>
      <c r="C1045" s="1353" t="s">
        <v>1495</v>
      </c>
      <c r="D1045" s="1353"/>
      <c r="E1045" s="1354"/>
      <c r="F1045" s="1355"/>
      <c r="G1045" s="1356"/>
      <c r="H1045" s="1359"/>
      <c r="I1045" s="1362"/>
    </row>
    <row r="1046">
      <c r="A1046" s="1344" t="s">
        <v>277</v>
      </c>
      <c r="B1046" s="1345" t="s">
        <v>1382</v>
      </c>
      <c r="C1046" s="1346" t="s">
        <v>1495</v>
      </c>
      <c r="D1046" s="1346"/>
      <c r="E1046" s="1346"/>
      <c r="F1046" s="1348"/>
      <c r="G1046" s="1349"/>
      <c r="H1046" s="1358"/>
      <c r="I1046" s="1360"/>
    </row>
    <row r="1047">
      <c r="A1047" s="1351" t="s">
        <v>3132</v>
      </c>
      <c r="B1047" s="1352" t="s">
        <v>1383</v>
      </c>
      <c r="C1047" s="1353" t="s">
        <v>1495</v>
      </c>
      <c r="D1047" s="1353"/>
      <c r="E1047" s="1354"/>
      <c r="F1047" s="1355"/>
      <c r="G1047" s="1356"/>
      <c r="H1047" s="1359"/>
      <c r="I1047" s="1363"/>
    </row>
    <row r="1048">
      <c r="A1048" s="1344" t="s">
        <v>3056</v>
      </c>
      <c r="B1048" s="1345" t="s">
        <v>1384</v>
      </c>
      <c r="C1048" s="1346" t="s">
        <v>1495</v>
      </c>
      <c r="D1048" s="1346">
        <v>0.78</v>
      </c>
      <c r="E1048" s="1346">
        <v>0.9</v>
      </c>
      <c r="F1048" s="1348" t="s">
        <v>3414</v>
      </c>
      <c r="G1048" s="1349"/>
      <c r="H1048" s="1346"/>
      <c r="I1048" s="1360"/>
    </row>
    <row r="1049">
      <c r="A1049" s="1351" t="s">
        <v>3056</v>
      </c>
      <c r="B1049" s="1352" t="s">
        <v>1385</v>
      </c>
      <c r="C1049" s="1353" t="s">
        <v>1495</v>
      </c>
      <c r="D1049" s="1353">
        <v>0.76</v>
      </c>
      <c r="E1049" s="1353">
        <v>0.9</v>
      </c>
      <c r="F1049" s="1355" t="s">
        <v>3415</v>
      </c>
      <c r="G1049" s="1356"/>
      <c r="H1049" s="1359"/>
      <c r="I1049" s="1362"/>
    </row>
    <row r="1050">
      <c r="A1050" s="1344" t="s">
        <v>323</v>
      </c>
      <c r="B1050" s="1345" t="s">
        <v>1386</v>
      </c>
      <c r="C1050" s="1346" t="s">
        <v>1495</v>
      </c>
      <c r="D1050" s="1346"/>
      <c r="E1050" s="1347"/>
      <c r="F1050" s="1348"/>
      <c r="G1050" s="1349"/>
      <c r="H1050" s="1346"/>
      <c r="I1050" s="1360"/>
    </row>
    <row r="1051">
      <c r="A1051" s="1351" t="s">
        <v>3056</v>
      </c>
      <c r="B1051" s="1352" t="s">
        <v>1387</v>
      </c>
      <c r="C1051" s="1353" t="s">
        <v>3162</v>
      </c>
      <c r="D1051" s="1353">
        <v>0.58</v>
      </c>
      <c r="E1051" s="1354">
        <v>0.7</v>
      </c>
      <c r="F1051" s="1355" t="s">
        <v>3416</v>
      </c>
      <c r="G1051" s="1356"/>
      <c r="H1051" s="1353"/>
      <c r="I1051" s="1362"/>
    </row>
    <row r="1052">
      <c r="A1052" s="1344" t="s">
        <v>311</v>
      </c>
      <c r="B1052" s="1345" t="s">
        <v>3417</v>
      </c>
      <c r="C1052" s="1346" t="s">
        <v>1495</v>
      </c>
      <c r="D1052" s="1346">
        <v>0.89</v>
      </c>
      <c r="E1052" s="1347">
        <v>1.05</v>
      </c>
      <c r="F1052" s="1348" t="s">
        <v>3418</v>
      </c>
      <c r="G1052" s="1349"/>
      <c r="H1052" s="1346">
        <v>734.0</v>
      </c>
      <c r="I1052" s="1360"/>
    </row>
    <row r="1053">
      <c r="A1053" s="1351" t="s">
        <v>3132</v>
      </c>
      <c r="B1053" s="1352" t="s">
        <v>1389</v>
      </c>
      <c r="C1053" s="1353" t="s">
        <v>1634</v>
      </c>
      <c r="D1053" s="1353"/>
      <c r="E1053" s="1354"/>
      <c r="F1053" s="1355"/>
      <c r="G1053" s="1356"/>
      <c r="H1053" s="1353"/>
      <c r="I1053" s="1362"/>
    </row>
    <row r="1054">
      <c r="A1054" s="1344" t="s">
        <v>308</v>
      </c>
      <c r="B1054" s="1345" t="s">
        <v>3419</v>
      </c>
      <c r="C1054" s="1346" t="s">
        <v>1495</v>
      </c>
      <c r="D1054" s="1346">
        <v>0.89</v>
      </c>
      <c r="E1054" s="1347">
        <v>1.05</v>
      </c>
      <c r="F1054" s="1348"/>
      <c r="G1054" s="1349"/>
      <c r="H1054" s="1358">
        <v>48.0</v>
      </c>
      <c r="I1054" s="1360"/>
    </row>
    <row r="1055">
      <c r="A1055" s="1351" t="s">
        <v>3284</v>
      </c>
      <c r="B1055" s="1352" t="s">
        <v>3420</v>
      </c>
      <c r="C1055" s="1353" t="s">
        <v>1495</v>
      </c>
      <c r="D1055" s="1353">
        <v>13.45</v>
      </c>
      <c r="E1055" s="1354">
        <v>15.5</v>
      </c>
      <c r="F1055" s="1355"/>
      <c r="G1055" s="1356"/>
      <c r="H1055" s="1359">
        <v>288.0</v>
      </c>
      <c r="I1055" s="1357" t="s">
        <v>3421</v>
      </c>
    </row>
    <row r="1056">
      <c r="A1056" s="1344" t="s">
        <v>3056</v>
      </c>
      <c r="B1056" s="1345" t="s">
        <v>1392</v>
      </c>
      <c r="C1056" s="1346" t="s">
        <v>1495</v>
      </c>
      <c r="D1056" s="1346">
        <v>18.17</v>
      </c>
      <c r="E1056" s="1347">
        <v>20.9</v>
      </c>
      <c r="F1056" s="1348"/>
      <c r="G1056" s="1349"/>
      <c r="H1056" s="1346"/>
      <c r="I1056" s="1360"/>
    </row>
    <row r="1057">
      <c r="A1057" s="1351" t="s">
        <v>309</v>
      </c>
      <c r="B1057" s="1352" t="s">
        <v>3422</v>
      </c>
      <c r="C1057" s="1353" t="s">
        <v>1495</v>
      </c>
      <c r="D1057" s="1353">
        <v>12.8</v>
      </c>
      <c r="E1057" s="1354">
        <v>14.75</v>
      </c>
      <c r="F1057" s="1355" t="s">
        <v>3423</v>
      </c>
      <c r="G1057" s="1356"/>
      <c r="H1057" s="1353">
        <v>772.0</v>
      </c>
      <c r="I1057" s="1362"/>
    </row>
    <row r="1058">
      <c r="A1058" s="1344" t="s">
        <v>308</v>
      </c>
      <c r="B1058" s="1345" t="s">
        <v>1394</v>
      </c>
      <c r="C1058" s="1346" t="s">
        <v>1495</v>
      </c>
      <c r="D1058" s="1346">
        <v>5.77</v>
      </c>
      <c r="E1058" s="1347">
        <v>6.65</v>
      </c>
      <c r="F1058" s="1348"/>
      <c r="G1058" s="1349"/>
      <c r="H1058" s="1358"/>
      <c r="I1058" s="1360"/>
    </row>
    <row r="1059">
      <c r="A1059" s="1351" t="s">
        <v>308</v>
      </c>
      <c r="B1059" s="1352" t="s">
        <v>1395</v>
      </c>
      <c r="C1059" s="1353" t="s">
        <v>1495</v>
      </c>
      <c r="D1059" s="1353">
        <v>7.41</v>
      </c>
      <c r="E1059" s="1354">
        <v>8.55</v>
      </c>
      <c r="F1059" s="1355"/>
      <c r="G1059" s="1356"/>
      <c r="H1059" s="1359"/>
      <c r="I1059" s="1362"/>
    </row>
    <row r="1060">
      <c r="A1060" s="1344" t="s">
        <v>308</v>
      </c>
      <c r="B1060" s="1345" t="s">
        <v>3424</v>
      </c>
      <c r="C1060" s="1346" t="s">
        <v>1495</v>
      </c>
      <c r="D1060" s="1346">
        <v>7.2</v>
      </c>
      <c r="E1060" s="1347">
        <v>8.3</v>
      </c>
      <c r="F1060" s="1348" t="s">
        <v>3425</v>
      </c>
      <c r="G1060" s="1349"/>
      <c r="H1060" s="1358">
        <v>10.0</v>
      </c>
      <c r="I1060" s="1360"/>
    </row>
    <row r="1061">
      <c r="A1061" s="1351" t="s">
        <v>308</v>
      </c>
      <c r="B1061" s="1352" t="s">
        <v>3426</v>
      </c>
      <c r="C1061" s="1353" t="s">
        <v>1495</v>
      </c>
      <c r="D1061" s="1353">
        <v>9.1</v>
      </c>
      <c r="E1061" s="1354">
        <v>10.5</v>
      </c>
      <c r="F1061" s="1355" t="s">
        <v>3427</v>
      </c>
      <c r="G1061" s="1356"/>
      <c r="H1061" s="1359">
        <v>35.0</v>
      </c>
      <c r="I1061" s="1362"/>
    </row>
    <row r="1062">
      <c r="A1062" s="1344" t="s">
        <v>3056</v>
      </c>
      <c r="B1062" s="1345" t="s">
        <v>1398</v>
      </c>
      <c r="C1062" s="1346" t="s">
        <v>1495</v>
      </c>
      <c r="D1062" s="1346">
        <v>1.01</v>
      </c>
      <c r="E1062" s="1347">
        <v>1.2</v>
      </c>
      <c r="F1062" s="1348" t="s">
        <v>3428</v>
      </c>
      <c r="G1062" s="1349"/>
      <c r="H1062" s="1358"/>
      <c r="I1062" s="1360"/>
    </row>
    <row r="1063">
      <c r="A1063" s="1351" t="s">
        <v>2393</v>
      </c>
      <c r="B1063" s="1352" t="s">
        <v>3429</v>
      </c>
      <c r="C1063" s="1353" t="s">
        <v>1495</v>
      </c>
      <c r="D1063" s="1353"/>
      <c r="E1063" s="1353"/>
      <c r="F1063" s="1355"/>
      <c r="G1063" s="1356"/>
      <c r="H1063" s="1359">
        <v>1.0</v>
      </c>
      <c r="I1063" s="1357" t="s">
        <v>3430</v>
      </c>
    </row>
    <row r="1064">
      <c r="A1064" s="1344" t="s">
        <v>3132</v>
      </c>
      <c r="B1064" s="1345" t="s">
        <v>1400</v>
      </c>
      <c r="C1064" s="1346" t="s">
        <v>1634</v>
      </c>
      <c r="D1064" s="1346"/>
      <c r="E1064" s="1347"/>
      <c r="F1064" s="1348"/>
      <c r="G1064" s="1349"/>
      <c r="H1064" s="1346"/>
      <c r="I1064" s="1360"/>
    </row>
    <row r="1065">
      <c r="A1065" s="1351" t="s">
        <v>3132</v>
      </c>
      <c r="B1065" s="1352" t="s">
        <v>1401</v>
      </c>
      <c r="C1065" s="1353" t="s">
        <v>1495</v>
      </c>
      <c r="D1065" s="1353"/>
      <c r="E1065" s="1354"/>
      <c r="F1065" s="1355"/>
      <c r="G1065" s="1356"/>
      <c r="H1065" s="1359"/>
      <c r="I1065" s="1362"/>
    </row>
    <row r="1066">
      <c r="A1066" s="1344" t="s">
        <v>2383</v>
      </c>
      <c r="B1066" s="1345" t="s">
        <v>3431</v>
      </c>
      <c r="C1066" s="1346" t="s">
        <v>1495</v>
      </c>
      <c r="D1066" s="1346">
        <v>2.52</v>
      </c>
      <c r="E1066" s="1347">
        <v>2.9</v>
      </c>
      <c r="F1066" s="1348" t="s">
        <v>3432</v>
      </c>
      <c r="G1066" s="1349"/>
      <c r="H1066" s="1358">
        <v>3.0</v>
      </c>
      <c r="I1066" s="1350" t="s">
        <v>3433</v>
      </c>
    </row>
    <row r="1067">
      <c r="A1067" s="1351" t="s">
        <v>277</v>
      </c>
      <c r="B1067" s="1352" t="s">
        <v>1403</v>
      </c>
      <c r="C1067" s="1353" t="s">
        <v>1495</v>
      </c>
      <c r="D1067" s="1353"/>
      <c r="E1067" s="1354"/>
      <c r="F1067" s="1355"/>
      <c r="G1067" s="1356"/>
      <c r="H1067" s="1359"/>
      <c r="I1067" s="1362"/>
    </row>
    <row r="1068">
      <c r="A1068" s="1344" t="s">
        <v>2170</v>
      </c>
      <c r="B1068" s="1345" t="s">
        <v>1404</v>
      </c>
      <c r="C1068" s="1346" t="s">
        <v>1495</v>
      </c>
      <c r="D1068" s="1346">
        <v>58.0</v>
      </c>
      <c r="E1068" s="1347">
        <v>66.7</v>
      </c>
      <c r="F1068" s="1348" t="s">
        <v>3434</v>
      </c>
      <c r="G1068" s="1349"/>
      <c r="H1068" s="1358"/>
      <c r="I1068" s="1350" t="s">
        <v>3435</v>
      </c>
    </row>
    <row r="1069">
      <c r="A1069" s="1351" t="s">
        <v>2170</v>
      </c>
      <c r="B1069" s="1352" t="s">
        <v>3436</v>
      </c>
      <c r="C1069" s="1353" t="s">
        <v>1495</v>
      </c>
      <c r="D1069" s="1353">
        <v>18.45</v>
      </c>
      <c r="E1069" s="1354">
        <v>21.25</v>
      </c>
      <c r="F1069" s="1355" t="s">
        <v>3437</v>
      </c>
      <c r="G1069" s="1365"/>
      <c r="H1069" s="1353">
        <v>4.0</v>
      </c>
      <c r="I1069" s="1357" t="s">
        <v>3438</v>
      </c>
    </row>
    <row r="1070">
      <c r="A1070" s="1344" t="s">
        <v>2271</v>
      </c>
      <c r="B1070" s="1345" t="s">
        <v>3439</v>
      </c>
      <c r="C1070" s="1346" t="s">
        <v>1495</v>
      </c>
      <c r="D1070" s="1346">
        <v>34.05</v>
      </c>
      <c r="E1070" s="1346">
        <v>39.2</v>
      </c>
      <c r="F1070" s="1348" t="s">
        <v>3440</v>
      </c>
      <c r="G1070" s="1349"/>
      <c r="H1070" s="1358">
        <v>1.0</v>
      </c>
      <c r="I1070" s="1350" t="s">
        <v>3441</v>
      </c>
    </row>
    <row r="1071">
      <c r="A1071" s="1351" t="s">
        <v>2271</v>
      </c>
      <c r="B1071" s="1352" t="s">
        <v>1407</v>
      </c>
      <c r="C1071" s="1353" t="s">
        <v>1495</v>
      </c>
      <c r="D1071" s="1353"/>
      <c r="E1071" s="1353"/>
      <c r="F1071" s="1355" t="s">
        <v>3442</v>
      </c>
      <c r="G1071" s="1356"/>
      <c r="H1071" s="1359"/>
      <c r="I1071" s="1357" t="s">
        <v>3443</v>
      </c>
    </row>
    <row r="1072">
      <c r="A1072" s="1344" t="s">
        <v>3132</v>
      </c>
      <c r="B1072" s="1345" t="s">
        <v>1408</v>
      </c>
      <c r="C1072" s="1346" t="s">
        <v>1495</v>
      </c>
      <c r="D1072" s="1346"/>
      <c r="E1072" s="1346"/>
      <c r="F1072" s="1348"/>
      <c r="G1072" s="1349"/>
      <c r="H1072" s="1346"/>
      <c r="I1072" s="1360"/>
    </row>
    <row r="1073">
      <c r="A1073" s="1351" t="s">
        <v>277</v>
      </c>
      <c r="B1073" s="1352" t="s">
        <v>1409</v>
      </c>
      <c r="C1073" s="1353" t="s">
        <v>1634</v>
      </c>
      <c r="D1073" s="1353"/>
      <c r="E1073" s="1354"/>
      <c r="F1073" s="1355"/>
      <c r="G1073" s="1356"/>
      <c r="H1073" s="1359"/>
      <c r="I1073" s="1363"/>
    </row>
    <row r="1074">
      <c r="A1074" s="1344" t="s">
        <v>277</v>
      </c>
      <c r="B1074" s="1345" t="s">
        <v>1410</v>
      </c>
      <c r="C1074" s="1346" t="s">
        <v>1495</v>
      </c>
      <c r="D1074" s="1346"/>
      <c r="E1074" s="1346"/>
      <c r="F1074" s="1348"/>
      <c r="G1074" s="1349"/>
      <c r="H1074" s="1358"/>
      <c r="I1074" s="1360"/>
    </row>
    <row r="1075">
      <c r="A1075" s="1351" t="s">
        <v>3056</v>
      </c>
      <c r="B1075" s="1352" t="s">
        <v>1411</v>
      </c>
      <c r="C1075" s="1353" t="s">
        <v>1495</v>
      </c>
      <c r="D1075" s="1353">
        <v>9.74</v>
      </c>
      <c r="E1075" s="1354">
        <v>11.25</v>
      </c>
      <c r="F1075" s="1355"/>
      <c r="G1075" s="1356"/>
      <c r="H1075" s="1353"/>
      <c r="I1075" s="1362"/>
    </row>
    <row r="1076">
      <c r="A1076" s="1344" t="s">
        <v>2695</v>
      </c>
      <c r="B1076" s="1345" t="s">
        <v>1412</v>
      </c>
      <c r="C1076" s="1346" t="s">
        <v>1495</v>
      </c>
      <c r="D1076" s="1346"/>
      <c r="E1076" s="1346"/>
      <c r="F1076" s="1348">
        <v>1.049E7</v>
      </c>
      <c r="G1076" s="1349"/>
      <c r="H1076" s="1358"/>
      <c r="I1076" s="1360"/>
    </row>
    <row r="1077">
      <c r="A1077" s="1351" t="s">
        <v>3255</v>
      </c>
      <c r="B1077" s="1352" t="s">
        <v>3444</v>
      </c>
      <c r="C1077" s="1353" t="s">
        <v>1495</v>
      </c>
      <c r="D1077" s="1353">
        <v>9.61</v>
      </c>
      <c r="E1077" s="1353">
        <v>12.5</v>
      </c>
      <c r="F1077" s="1355"/>
      <c r="G1077" s="1356"/>
      <c r="H1077" s="1359">
        <v>3.0</v>
      </c>
      <c r="I1077" s="1362"/>
    </row>
    <row r="1078">
      <c r="A1078" s="1344" t="s">
        <v>3255</v>
      </c>
      <c r="B1078" s="1345" t="s">
        <v>1414</v>
      </c>
      <c r="C1078" s="1346" t="s">
        <v>1495</v>
      </c>
      <c r="D1078" s="1346">
        <v>13.75</v>
      </c>
      <c r="E1078" s="1346">
        <v>17.9</v>
      </c>
      <c r="F1078" s="1348"/>
      <c r="G1078" s="1349"/>
      <c r="H1078" s="1358"/>
      <c r="I1078" s="1360"/>
    </row>
    <row r="1079">
      <c r="A1079" s="1351" t="s">
        <v>328</v>
      </c>
      <c r="B1079" s="1352" t="s">
        <v>1415</v>
      </c>
      <c r="C1079" s="1353" t="s">
        <v>1495</v>
      </c>
      <c r="D1079" s="1353"/>
      <c r="E1079" s="1354"/>
      <c r="F1079" s="1355" t="s">
        <v>3445</v>
      </c>
      <c r="G1079" s="1356"/>
      <c r="H1079" s="1359"/>
      <c r="I1079" s="1357" t="s">
        <v>3446</v>
      </c>
    </row>
    <row r="1080">
      <c r="A1080" s="1344" t="s">
        <v>321</v>
      </c>
      <c r="B1080" s="1345" t="s">
        <v>1416</v>
      </c>
      <c r="C1080" s="1346" t="s">
        <v>1495</v>
      </c>
      <c r="D1080" s="1346">
        <v>800.0</v>
      </c>
      <c r="E1080" s="1347">
        <v>920.0</v>
      </c>
      <c r="F1080" s="1348"/>
      <c r="G1080" s="1349"/>
      <c r="H1080" s="1358"/>
      <c r="I1080" s="1360"/>
    </row>
    <row r="1081">
      <c r="A1081" s="1351" t="s">
        <v>321</v>
      </c>
      <c r="B1081" s="1352" t="s">
        <v>3447</v>
      </c>
      <c r="C1081" s="1353" t="s">
        <v>1495</v>
      </c>
      <c r="D1081" s="1353"/>
      <c r="E1081" s="1354"/>
      <c r="F1081" s="1355"/>
      <c r="G1081" s="1356"/>
      <c r="H1081" s="1359">
        <v>1.0</v>
      </c>
      <c r="I1081" s="1362"/>
    </row>
    <row r="1082">
      <c r="A1082" s="1344" t="s">
        <v>321</v>
      </c>
      <c r="B1082" s="1345" t="s">
        <v>3448</v>
      </c>
      <c r="C1082" s="1346" t="s">
        <v>1495</v>
      </c>
      <c r="D1082" s="1346">
        <v>865.0</v>
      </c>
      <c r="E1082" s="1347">
        <v>1211.0</v>
      </c>
      <c r="F1082" s="1348"/>
      <c r="G1082" s="1349"/>
      <c r="H1082" s="1358">
        <v>2.0</v>
      </c>
      <c r="I1082" s="1360"/>
    </row>
    <row r="1083">
      <c r="A1083" s="1351" t="s">
        <v>323</v>
      </c>
      <c r="B1083" s="1352" t="s">
        <v>1419</v>
      </c>
      <c r="C1083" s="1353" t="s">
        <v>1495</v>
      </c>
      <c r="D1083" s="1353"/>
      <c r="E1083" s="1354"/>
      <c r="F1083" s="1355"/>
      <c r="G1083" s="1356"/>
      <c r="H1083" s="1359"/>
      <c r="I1083" s="1362"/>
    </row>
    <row r="1084">
      <c r="A1084" s="1344" t="s">
        <v>2456</v>
      </c>
      <c r="B1084" s="1345" t="s">
        <v>1420</v>
      </c>
      <c r="C1084" s="1346" t="s">
        <v>1495</v>
      </c>
      <c r="D1084" s="1346">
        <v>0.24</v>
      </c>
      <c r="E1084" s="1347">
        <v>0.3</v>
      </c>
      <c r="F1084" s="1348"/>
      <c r="G1084" s="1349"/>
      <c r="H1084" s="1346"/>
      <c r="I1084" s="1350" t="s">
        <v>3449</v>
      </c>
    </row>
    <row r="1085">
      <c r="A1085" s="1351" t="s">
        <v>277</v>
      </c>
      <c r="B1085" s="1352" t="s">
        <v>1421</v>
      </c>
      <c r="C1085" s="1353" t="s">
        <v>1495</v>
      </c>
      <c r="D1085" s="1353"/>
      <c r="E1085" s="1353"/>
      <c r="F1085" s="1355"/>
      <c r="G1085" s="1356"/>
      <c r="H1085" s="1359"/>
      <c r="I1085" s="1362"/>
    </row>
    <row r="1086">
      <c r="A1086" s="1344" t="s">
        <v>277</v>
      </c>
      <c r="B1086" s="1345" t="s">
        <v>1422</v>
      </c>
      <c r="C1086" s="1346" t="s">
        <v>1495</v>
      </c>
      <c r="D1086" s="1346"/>
      <c r="E1086" s="1347"/>
      <c r="F1086" s="1348"/>
      <c r="G1086" s="1349"/>
      <c r="H1086" s="1358"/>
      <c r="I1086" s="1360"/>
    </row>
    <row r="1087">
      <c r="A1087" s="1351" t="s">
        <v>318</v>
      </c>
      <c r="B1087" s="1352" t="s">
        <v>1423</v>
      </c>
      <c r="C1087" s="1353" t="s">
        <v>1495</v>
      </c>
      <c r="D1087" s="1353"/>
      <c r="E1087" s="1354"/>
      <c r="F1087" s="1355"/>
      <c r="G1087" s="1356"/>
      <c r="H1087" s="1353"/>
      <c r="I1087" s="1362"/>
    </row>
    <row r="1088">
      <c r="A1088" s="1344" t="s">
        <v>318</v>
      </c>
      <c r="B1088" s="1345" t="s">
        <v>1424</v>
      </c>
      <c r="C1088" s="1346" t="s">
        <v>1495</v>
      </c>
      <c r="D1088" s="1346"/>
      <c r="E1088" s="1347"/>
      <c r="F1088" s="1348"/>
      <c r="G1088" s="1349"/>
      <c r="H1088" s="1346"/>
      <c r="I1088" s="1360"/>
    </row>
    <row r="1089">
      <c r="A1089" s="1351" t="s">
        <v>318</v>
      </c>
      <c r="B1089" s="1352" t="s">
        <v>1425</v>
      </c>
      <c r="C1089" s="1353" t="s">
        <v>1495</v>
      </c>
      <c r="D1089" s="1353"/>
      <c r="E1089" s="1353"/>
      <c r="F1089" s="1355"/>
      <c r="G1089" s="1356"/>
      <c r="H1089" s="1359"/>
      <c r="I1089" s="1362"/>
    </row>
    <row r="1090">
      <c r="A1090" s="1344" t="s">
        <v>318</v>
      </c>
      <c r="B1090" s="1345" t="s">
        <v>1426</v>
      </c>
      <c r="C1090" s="1346" t="s">
        <v>1495</v>
      </c>
      <c r="D1090" s="1346"/>
      <c r="E1090" s="1346"/>
      <c r="F1090" s="1348"/>
      <c r="G1090" s="1349"/>
      <c r="H1090" s="1346"/>
      <c r="I1090" s="1360"/>
    </row>
    <row r="1091">
      <c r="A1091" s="1351" t="s">
        <v>318</v>
      </c>
      <c r="B1091" s="1352" t="s">
        <v>1427</v>
      </c>
      <c r="C1091" s="1353" t="s">
        <v>1495</v>
      </c>
      <c r="D1091" s="1353"/>
      <c r="E1091" s="1353"/>
      <c r="F1091" s="1355"/>
      <c r="G1091" s="1356"/>
      <c r="H1091" s="1353"/>
      <c r="I1091" s="1362"/>
    </row>
    <row r="1092">
      <c r="A1092" s="1344" t="s">
        <v>318</v>
      </c>
      <c r="B1092" s="1345" t="s">
        <v>1428</v>
      </c>
      <c r="C1092" s="1346" t="s">
        <v>1495</v>
      </c>
      <c r="D1092" s="1346"/>
      <c r="E1092" s="1346"/>
      <c r="F1092" s="1348"/>
      <c r="G1092" s="1349"/>
      <c r="H1092" s="1358"/>
      <c r="I1092" s="1360"/>
    </row>
    <row r="1093">
      <c r="A1093" s="1351" t="s">
        <v>318</v>
      </c>
      <c r="B1093" s="1352" t="s">
        <v>1429</v>
      </c>
      <c r="C1093" s="1353" t="s">
        <v>1495</v>
      </c>
      <c r="D1093" s="1353"/>
      <c r="E1093" s="1353"/>
      <c r="F1093" s="1355"/>
      <c r="G1093" s="1356"/>
      <c r="H1093" s="1359"/>
      <c r="I1093" s="1362"/>
    </row>
    <row r="1094">
      <c r="A1094" s="1344" t="s">
        <v>318</v>
      </c>
      <c r="B1094" s="1345" t="s">
        <v>1430</v>
      </c>
      <c r="C1094" s="1346" t="s">
        <v>1495</v>
      </c>
      <c r="D1094" s="1346"/>
      <c r="E1094" s="1347"/>
      <c r="F1094" s="1348"/>
      <c r="G1094" s="1349"/>
      <c r="H1094" s="1358"/>
      <c r="I1094" s="1360"/>
    </row>
    <row r="1095">
      <c r="A1095" s="1351" t="s">
        <v>318</v>
      </c>
      <c r="B1095" s="1352" t="s">
        <v>1431</v>
      </c>
      <c r="C1095" s="1353" t="s">
        <v>1495</v>
      </c>
      <c r="D1095" s="1353"/>
      <c r="E1095" s="1353"/>
      <c r="F1095" s="1355"/>
      <c r="G1095" s="1356"/>
      <c r="H1095" s="1353"/>
      <c r="I1095" s="1362"/>
    </row>
    <row r="1096">
      <c r="A1096" s="1344" t="s">
        <v>318</v>
      </c>
      <c r="B1096" s="1345" t="s">
        <v>1432</v>
      </c>
      <c r="C1096" s="1346" t="s">
        <v>1495</v>
      </c>
      <c r="D1096" s="1346"/>
      <c r="E1096" s="1347"/>
      <c r="F1096" s="1348"/>
      <c r="G1096" s="1349"/>
      <c r="H1096" s="1358"/>
      <c r="I1096" s="1360"/>
    </row>
    <row r="1097">
      <c r="A1097" s="1351" t="s">
        <v>318</v>
      </c>
      <c r="B1097" s="1352" t="s">
        <v>1433</v>
      </c>
      <c r="C1097" s="1353" t="s">
        <v>1495</v>
      </c>
      <c r="D1097" s="1353">
        <v>139.0</v>
      </c>
      <c r="E1097" s="1354">
        <v>159.85</v>
      </c>
      <c r="F1097" s="1355"/>
      <c r="G1097" s="1356"/>
      <c r="H1097" s="1359"/>
      <c r="I1097" s="1362"/>
    </row>
    <row r="1098">
      <c r="A1098" s="1344" t="s">
        <v>318</v>
      </c>
      <c r="B1098" s="1345" t="s">
        <v>1434</v>
      </c>
      <c r="C1098" s="1346" t="s">
        <v>1495</v>
      </c>
      <c r="D1098" s="1346">
        <v>99.0</v>
      </c>
      <c r="E1098" s="1347">
        <v>113.85</v>
      </c>
      <c r="F1098" s="1348"/>
      <c r="G1098" s="1349"/>
      <c r="H1098" s="1358"/>
      <c r="I1098" s="1360"/>
    </row>
    <row r="1099">
      <c r="A1099" s="1351" t="s">
        <v>318</v>
      </c>
      <c r="B1099" s="1352" t="s">
        <v>1435</v>
      </c>
      <c r="C1099" s="1353" t="s">
        <v>1495</v>
      </c>
      <c r="D1099" s="1353">
        <v>126.5</v>
      </c>
      <c r="E1099" s="1353">
        <v>145.5</v>
      </c>
      <c r="F1099" s="1355"/>
      <c r="G1099" s="1356"/>
      <c r="H1099" s="1359"/>
      <c r="I1099" s="1362"/>
    </row>
    <row r="1100">
      <c r="A1100" s="1344" t="s">
        <v>318</v>
      </c>
      <c r="B1100" s="1345" t="s">
        <v>1436</v>
      </c>
      <c r="C1100" s="1346" t="s">
        <v>1495</v>
      </c>
      <c r="D1100" s="1346">
        <v>120.05</v>
      </c>
      <c r="E1100" s="1346">
        <v>138.1</v>
      </c>
      <c r="F1100" s="1348"/>
      <c r="G1100" s="1349"/>
      <c r="H1100" s="1358"/>
      <c r="I1100" s="1360"/>
    </row>
    <row r="1101">
      <c r="A1101" s="1351" t="s">
        <v>318</v>
      </c>
      <c r="B1101" s="1352" t="s">
        <v>1437</v>
      </c>
      <c r="C1101" s="1353" t="s">
        <v>1495</v>
      </c>
      <c r="D1101" s="1353"/>
      <c r="E1101" s="1354"/>
      <c r="F1101" s="1355"/>
      <c r="G1101" s="1356"/>
      <c r="H1101" s="1359"/>
      <c r="I1101" s="1362"/>
    </row>
    <row r="1102">
      <c r="A1102" s="1344" t="s">
        <v>318</v>
      </c>
      <c r="B1102" s="1345" t="s">
        <v>1438</v>
      </c>
      <c r="C1102" s="1346" t="s">
        <v>1495</v>
      </c>
      <c r="D1102" s="1346"/>
      <c r="E1102" s="1347"/>
      <c r="F1102" s="1348"/>
      <c r="G1102" s="1349"/>
      <c r="H1102" s="1358"/>
      <c r="I1102" s="1360"/>
    </row>
    <row r="1103">
      <c r="A1103" s="1351" t="s">
        <v>318</v>
      </c>
      <c r="B1103" s="1352" t="s">
        <v>1439</v>
      </c>
      <c r="C1103" s="1353" t="s">
        <v>1495</v>
      </c>
      <c r="D1103" s="1353"/>
      <c r="E1103" s="1353"/>
      <c r="F1103" s="1355"/>
      <c r="G1103" s="1356"/>
      <c r="H1103" s="1359"/>
      <c r="I1103" s="1362"/>
    </row>
    <row r="1104">
      <c r="A1104" s="1344" t="s">
        <v>318</v>
      </c>
      <c r="B1104" s="1345" t="s">
        <v>1440</v>
      </c>
      <c r="C1104" s="1346" t="s">
        <v>1495</v>
      </c>
      <c r="D1104" s="1346">
        <v>490.5</v>
      </c>
      <c r="E1104" s="1346">
        <v>564.1</v>
      </c>
      <c r="F1104" s="1348"/>
      <c r="G1104" s="1349"/>
      <c r="H1104" s="1358"/>
      <c r="I1104" s="1360"/>
    </row>
    <row r="1105">
      <c r="A1105" s="1351" t="s">
        <v>318</v>
      </c>
      <c r="B1105" s="1352" t="s">
        <v>1441</v>
      </c>
      <c r="C1105" s="1353" t="s">
        <v>1495</v>
      </c>
      <c r="D1105" s="1353">
        <v>170.0</v>
      </c>
      <c r="E1105" s="1353">
        <v>195.5</v>
      </c>
      <c r="F1105" s="1355"/>
      <c r="G1105" s="1356"/>
      <c r="H1105" s="1359"/>
      <c r="I1105" s="1362"/>
    </row>
    <row r="1106">
      <c r="A1106" s="1344" t="s">
        <v>318</v>
      </c>
      <c r="B1106" s="1345" t="s">
        <v>1442</v>
      </c>
      <c r="C1106" s="1346" t="s">
        <v>1495</v>
      </c>
      <c r="D1106" s="1346">
        <v>223.5</v>
      </c>
      <c r="E1106" s="1346">
        <v>257.05</v>
      </c>
      <c r="F1106" s="1348"/>
      <c r="G1106" s="1349"/>
      <c r="H1106" s="1358"/>
      <c r="I1106" s="1360"/>
    </row>
    <row r="1107">
      <c r="A1107" s="1351" t="s">
        <v>318</v>
      </c>
      <c r="B1107" s="1352" t="s">
        <v>1443</v>
      </c>
      <c r="C1107" s="1353" t="s">
        <v>1495</v>
      </c>
      <c r="D1107" s="1353">
        <v>178.2</v>
      </c>
      <c r="E1107" s="1354">
        <v>204.95</v>
      </c>
      <c r="F1107" s="1355"/>
      <c r="G1107" s="1356"/>
      <c r="H1107" s="1353"/>
      <c r="I1107" s="1362"/>
    </row>
    <row r="1108">
      <c r="A1108" s="1344" t="s">
        <v>318</v>
      </c>
      <c r="B1108" s="1345" t="s">
        <v>1444</v>
      </c>
      <c r="C1108" s="1346" t="s">
        <v>1495</v>
      </c>
      <c r="D1108" s="1346"/>
      <c r="E1108" s="1346"/>
      <c r="F1108" s="1348"/>
      <c r="G1108" s="1349"/>
      <c r="H1108" s="1358"/>
      <c r="I1108" s="1360"/>
    </row>
    <row r="1109">
      <c r="A1109" s="1351" t="s">
        <v>318</v>
      </c>
      <c r="B1109" s="1352" t="s">
        <v>1445</v>
      </c>
      <c r="C1109" s="1353" t="s">
        <v>1495</v>
      </c>
      <c r="D1109" s="1353">
        <v>145.5</v>
      </c>
      <c r="E1109" s="1354">
        <v>167.35</v>
      </c>
      <c r="F1109" s="1355"/>
      <c r="G1109" s="1356"/>
      <c r="H1109" s="1359"/>
      <c r="I1109" s="1362"/>
    </row>
    <row r="1110">
      <c r="A1110" s="1344" t="s">
        <v>3056</v>
      </c>
      <c r="B1110" s="1345" t="s">
        <v>1446</v>
      </c>
      <c r="C1110" s="1346" t="s">
        <v>1495</v>
      </c>
      <c r="D1110" s="1346">
        <v>3.54</v>
      </c>
      <c r="E1110" s="1346">
        <v>4.1</v>
      </c>
      <c r="F1110" s="1348"/>
      <c r="G1110" s="1349"/>
      <c r="H1110" s="1358"/>
      <c r="I1110" s="1360"/>
    </row>
    <row r="1111">
      <c r="A1111" s="1351" t="s">
        <v>3056</v>
      </c>
      <c r="B1111" s="1352" t="s">
        <v>1447</v>
      </c>
      <c r="C1111" s="1353" t="s">
        <v>1495</v>
      </c>
      <c r="D1111" s="1353">
        <v>2.18</v>
      </c>
      <c r="E1111" s="1353">
        <v>2.55</v>
      </c>
      <c r="F1111" s="1355" t="s">
        <v>3450</v>
      </c>
      <c r="G1111" s="1356"/>
      <c r="H1111" s="1359"/>
      <c r="I1111" s="1362"/>
    </row>
    <row r="1112">
      <c r="A1112" s="1344" t="s">
        <v>3056</v>
      </c>
      <c r="B1112" s="1345" t="s">
        <v>1448</v>
      </c>
      <c r="C1112" s="1346" t="s">
        <v>1495</v>
      </c>
      <c r="D1112" s="1346">
        <v>2.73</v>
      </c>
      <c r="E1112" s="1346">
        <v>3.15</v>
      </c>
      <c r="F1112" s="1348" t="s">
        <v>3451</v>
      </c>
      <c r="G1112" s="1349"/>
      <c r="H1112" s="1358"/>
      <c r="I1112" s="1360"/>
    </row>
    <row r="1113">
      <c r="A1113" s="1351" t="s">
        <v>328</v>
      </c>
      <c r="B1113" s="1352" t="s">
        <v>1449</v>
      </c>
      <c r="C1113" s="1353" t="s">
        <v>1495</v>
      </c>
      <c r="D1113" s="1353">
        <v>413.15</v>
      </c>
      <c r="E1113" s="1353">
        <v>475.15</v>
      </c>
      <c r="F1113" s="1355" t="s">
        <v>3452</v>
      </c>
      <c r="G1113" s="1356"/>
      <c r="H1113" s="1359"/>
      <c r="I1113" s="1357" t="s">
        <v>3453</v>
      </c>
    </row>
    <row r="1114">
      <c r="A1114" s="1344" t="s">
        <v>328</v>
      </c>
      <c r="B1114" s="1345" t="s">
        <v>1450</v>
      </c>
      <c r="C1114" s="1346" t="s">
        <v>1495</v>
      </c>
      <c r="D1114" s="1346">
        <v>380.0</v>
      </c>
      <c r="E1114" s="1347">
        <v>437.0</v>
      </c>
      <c r="F1114" s="1348" t="s">
        <v>3454</v>
      </c>
      <c r="G1114" s="1349"/>
      <c r="H1114" s="1346"/>
      <c r="I1114" s="1350" t="s">
        <v>3455</v>
      </c>
    </row>
    <row r="1115">
      <c r="A1115" s="1351" t="s">
        <v>328</v>
      </c>
      <c r="B1115" s="1352" t="s">
        <v>1451</v>
      </c>
      <c r="C1115" s="1353" t="s">
        <v>1495</v>
      </c>
      <c r="D1115" s="1353"/>
      <c r="E1115" s="1354"/>
      <c r="F1115" s="1355" t="s">
        <v>3456</v>
      </c>
      <c r="G1115" s="1356"/>
      <c r="H1115" s="1359"/>
      <c r="I1115" s="1357" t="s">
        <v>3457</v>
      </c>
    </row>
    <row r="1116">
      <c r="A1116" s="1344" t="s">
        <v>2695</v>
      </c>
      <c r="B1116" s="1345" t="s">
        <v>3458</v>
      </c>
      <c r="C1116" s="1346" t="s">
        <v>1495</v>
      </c>
      <c r="D1116" s="1346">
        <v>1.28</v>
      </c>
      <c r="E1116" s="1346">
        <v>1.5</v>
      </c>
      <c r="F1116" s="1348" t="s">
        <v>3459</v>
      </c>
      <c r="G1116" s="1349"/>
      <c r="H1116" s="1358">
        <v>19.0</v>
      </c>
      <c r="I1116" s="1360"/>
    </row>
    <row r="1117">
      <c r="A1117" s="1351" t="s">
        <v>2456</v>
      </c>
      <c r="B1117" s="1352" t="s">
        <v>1453</v>
      </c>
      <c r="C1117" s="1353" t="s">
        <v>1495</v>
      </c>
      <c r="D1117" s="1353">
        <v>32.08</v>
      </c>
      <c r="E1117" s="1354">
        <v>36.9</v>
      </c>
      <c r="F1117" s="1355"/>
      <c r="G1117" s="1356"/>
      <c r="H1117" s="1359"/>
      <c r="I1117" s="1362"/>
    </row>
    <row r="1118">
      <c r="A1118" s="1344" t="s">
        <v>17</v>
      </c>
      <c r="B1118" s="1345" t="s">
        <v>229</v>
      </c>
      <c r="C1118" s="1346" t="s">
        <v>1642</v>
      </c>
      <c r="D1118" s="1346">
        <v>2.76</v>
      </c>
      <c r="E1118" s="1346">
        <v>3.2</v>
      </c>
      <c r="F1118" s="1348" t="s">
        <v>3460</v>
      </c>
      <c r="G1118" s="1349"/>
      <c r="H1118" s="1346">
        <v>22.0</v>
      </c>
      <c r="I1118" s="1350" t="s">
        <v>3461</v>
      </c>
    </row>
    <row r="1119">
      <c r="A1119" s="1351" t="s">
        <v>3132</v>
      </c>
      <c r="B1119" s="1352" t="s">
        <v>1455</v>
      </c>
      <c r="C1119" s="1353" t="s">
        <v>1495</v>
      </c>
      <c r="D1119" s="1353"/>
      <c r="E1119" s="1353"/>
      <c r="F1119" s="1355"/>
      <c r="G1119" s="1356"/>
      <c r="H1119" s="1353"/>
      <c r="I1119" s="1362"/>
    </row>
    <row r="1120">
      <c r="A1120" s="1344" t="s">
        <v>3130</v>
      </c>
      <c r="B1120" s="1345" t="s">
        <v>1456</v>
      </c>
      <c r="C1120" s="1346" t="s">
        <v>1495</v>
      </c>
      <c r="D1120" s="1346">
        <v>31.5</v>
      </c>
      <c r="E1120" s="1346">
        <v>36.25</v>
      </c>
      <c r="F1120" s="1348"/>
      <c r="G1120" s="1349"/>
      <c r="H1120" s="1346"/>
      <c r="I1120" s="1360"/>
    </row>
    <row r="1121">
      <c r="A1121" s="1351" t="s">
        <v>324</v>
      </c>
      <c r="B1121" s="1352" t="s">
        <v>1457</v>
      </c>
      <c r="C1121" s="1353" t="s">
        <v>1495</v>
      </c>
      <c r="D1121" s="1353"/>
      <c r="E1121" s="1354"/>
      <c r="F1121" s="1355"/>
      <c r="G1121" s="1356"/>
      <c r="H1121" s="1353"/>
      <c r="I1121" s="1362"/>
    </row>
    <row r="1122">
      <c r="A1122" s="1344" t="s">
        <v>324</v>
      </c>
      <c r="B1122" s="1345" t="s">
        <v>1458</v>
      </c>
      <c r="C1122" s="1346" t="s">
        <v>1495</v>
      </c>
      <c r="D1122" s="1346">
        <v>39.3</v>
      </c>
      <c r="E1122" s="1347">
        <v>45.2</v>
      </c>
      <c r="F1122" s="1348" t="s">
        <v>3462</v>
      </c>
      <c r="G1122" s="1349"/>
      <c r="H1122" s="1346"/>
      <c r="I1122" s="1350" t="s">
        <v>3463</v>
      </c>
    </row>
    <row r="1123">
      <c r="A1123" s="1351" t="s">
        <v>324</v>
      </c>
      <c r="B1123" s="1352" t="s">
        <v>1459</v>
      </c>
      <c r="C1123" s="1353" t="s">
        <v>1495</v>
      </c>
      <c r="D1123" s="1353">
        <v>19.33</v>
      </c>
      <c r="E1123" s="1353">
        <v>22.25</v>
      </c>
      <c r="F1123" s="1355" t="s">
        <v>3464</v>
      </c>
      <c r="G1123" s="1356"/>
      <c r="H1123" s="1359"/>
      <c r="I1123" s="1357" t="s">
        <v>3465</v>
      </c>
    </row>
    <row r="1124">
      <c r="A1124" s="1344" t="s">
        <v>324</v>
      </c>
      <c r="B1124" s="1345" t="s">
        <v>1460</v>
      </c>
      <c r="C1124" s="1346" t="s">
        <v>1495</v>
      </c>
      <c r="D1124" s="1346">
        <v>47.1</v>
      </c>
      <c r="E1124" s="1346">
        <v>54.2</v>
      </c>
      <c r="F1124" s="1348" t="s">
        <v>3466</v>
      </c>
      <c r="G1124" s="1349"/>
      <c r="H1124" s="1346"/>
      <c r="I1124" s="1350" t="s">
        <v>3467</v>
      </c>
    </row>
    <row r="1125">
      <c r="A1125" s="1351" t="s">
        <v>324</v>
      </c>
      <c r="B1125" s="1352" t="s">
        <v>1461</v>
      </c>
      <c r="C1125" s="1353" t="s">
        <v>1495</v>
      </c>
      <c r="D1125" s="1353">
        <v>52.35</v>
      </c>
      <c r="E1125" s="1354">
        <v>60.25</v>
      </c>
      <c r="F1125" s="1355" t="s">
        <v>3468</v>
      </c>
      <c r="G1125" s="1356"/>
      <c r="H1125" s="1353"/>
      <c r="I1125" s="1357" t="s">
        <v>3469</v>
      </c>
    </row>
    <row r="1126">
      <c r="A1126" s="1344" t="s">
        <v>324</v>
      </c>
      <c r="B1126" s="1345" t="s">
        <v>1462</v>
      </c>
      <c r="C1126" s="1346" t="s">
        <v>1495</v>
      </c>
      <c r="D1126" s="1346"/>
      <c r="E1126" s="1347"/>
      <c r="F1126" s="1348" t="s">
        <v>3470</v>
      </c>
      <c r="G1126" s="1349"/>
      <c r="H1126" s="1346"/>
      <c r="I1126" s="1350" t="s">
        <v>3471</v>
      </c>
    </row>
    <row r="1127">
      <c r="A1127" s="1351" t="s">
        <v>324</v>
      </c>
      <c r="B1127" s="1352" t="s">
        <v>1463</v>
      </c>
      <c r="C1127" s="1353" t="s">
        <v>1495</v>
      </c>
      <c r="D1127" s="1353">
        <v>65.4</v>
      </c>
      <c r="E1127" s="1354">
        <v>75.25</v>
      </c>
      <c r="F1127" s="1355" t="s">
        <v>3472</v>
      </c>
      <c r="G1127" s="1356"/>
      <c r="H1127" s="1359"/>
      <c r="I1127" s="1357" t="s">
        <v>3473</v>
      </c>
    </row>
    <row r="1128">
      <c r="A1128" s="1344" t="s">
        <v>324</v>
      </c>
      <c r="B1128" s="1345" t="s">
        <v>1464</v>
      </c>
      <c r="C1128" s="1346" t="s">
        <v>1495</v>
      </c>
      <c r="D1128" s="1346">
        <v>74.0</v>
      </c>
      <c r="E1128" s="1346">
        <v>85.1</v>
      </c>
      <c r="F1128" s="1348"/>
      <c r="G1128" s="1349"/>
      <c r="H1128" s="1358"/>
      <c r="I1128" s="1350" t="s">
        <v>3474</v>
      </c>
    </row>
    <row r="1129">
      <c r="A1129" s="1351" t="s">
        <v>2410</v>
      </c>
      <c r="B1129" s="1352" t="s">
        <v>1465</v>
      </c>
      <c r="C1129" s="1353" t="s">
        <v>1642</v>
      </c>
      <c r="D1129" s="1353">
        <v>1.23</v>
      </c>
      <c r="E1129" s="1354">
        <v>1.45</v>
      </c>
      <c r="F1129" s="1355" t="s">
        <v>3475</v>
      </c>
      <c r="G1129" s="1356"/>
      <c r="H1129" s="1359"/>
      <c r="I1129" s="1357" t="s">
        <v>3476</v>
      </c>
    </row>
    <row r="1130">
      <c r="A1130" s="1344" t="s">
        <v>2587</v>
      </c>
      <c r="B1130" s="1345" t="s">
        <v>1466</v>
      </c>
      <c r="C1130" s="1346" t="s">
        <v>1642</v>
      </c>
      <c r="D1130" s="1346"/>
      <c r="E1130" s="1347"/>
      <c r="F1130" s="1348"/>
      <c r="G1130" s="1349"/>
      <c r="H1130" s="1358"/>
      <c r="I1130" s="1350" t="s">
        <v>3477</v>
      </c>
    </row>
    <row r="1131">
      <c r="A1131" s="1351" t="s">
        <v>2410</v>
      </c>
      <c r="B1131" s="1352" t="s">
        <v>1467</v>
      </c>
      <c r="C1131" s="1353" t="s">
        <v>1642</v>
      </c>
      <c r="D1131" s="1353"/>
      <c r="E1131" s="1354"/>
      <c r="F1131" s="1355" t="s">
        <v>3478</v>
      </c>
      <c r="G1131" s="1356"/>
      <c r="H1131" s="1359"/>
      <c r="I1131" s="1357" t="s">
        <v>3479</v>
      </c>
    </row>
    <row r="1132">
      <c r="A1132" s="1344" t="s">
        <v>2410</v>
      </c>
      <c r="B1132" s="1345" t="s">
        <v>3480</v>
      </c>
      <c r="C1132" s="1346" t="s">
        <v>1642</v>
      </c>
      <c r="D1132" s="1346">
        <v>0.5</v>
      </c>
      <c r="E1132" s="1347">
        <v>0.6</v>
      </c>
      <c r="F1132" s="1348">
        <v>91932.0</v>
      </c>
      <c r="G1132" s="1349"/>
      <c r="H1132" s="1358">
        <v>50.0</v>
      </c>
      <c r="I1132" s="1350" t="s">
        <v>3481</v>
      </c>
    </row>
    <row r="1133">
      <c r="A1133" s="1351" t="s">
        <v>2587</v>
      </c>
      <c r="B1133" s="1352" t="s">
        <v>1469</v>
      </c>
      <c r="C1133" s="1353" t="s">
        <v>1642</v>
      </c>
      <c r="D1133" s="1353">
        <v>1.06</v>
      </c>
      <c r="E1133" s="1354">
        <v>1.25</v>
      </c>
      <c r="F1133" s="1355">
        <v>63932.0</v>
      </c>
      <c r="G1133" s="1356"/>
      <c r="H1133" s="1359"/>
      <c r="I1133" s="1357" t="s">
        <v>3482</v>
      </c>
    </row>
    <row r="1134">
      <c r="A1134" s="1344" t="s">
        <v>2383</v>
      </c>
      <c r="B1134" s="1345" t="s">
        <v>1470</v>
      </c>
      <c r="C1134" s="1346" t="s">
        <v>1495</v>
      </c>
      <c r="D1134" s="1346">
        <v>4.3</v>
      </c>
      <c r="E1134" s="1347">
        <v>4.95</v>
      </c>
      <c r="F1134" s="1348" t="s">
        <v>3483</v>
      </c>
      <c r="G1134" s="1349"/>
      <c r="H1134" s="1358"/>
      <c r="I1134" s="1350" t="s">
        <v>3484</v>
      </c>
    </row>
    <row r="1135">
      <c r="A1135" s="1351" t="s">
        <v>2383</v>
      </c>
      <c r="B1135" s="1352" t="s">
        <v>1471</v>
      </c>
      <c r="C1135" s="1353" t="s">
        <v>1495</v>
      </c>
      <c r="D1135" s="1353">
        <v>6.75</v>
      </c>
      <c r="E1135" s="1354">
        <v>7.8</v>
      </c>
      <c r="F1135" s="1355" t="s">
        <v>3485</v>
      </c>
      <c r="G1135" s="1356"/>
      <c r="H1135" s="1359"/>
      <c r="I1135" s="1357" t="s">
        <v>3486</v>
      </c>
    </row>
    <row r="1136">
      <c r="A1136" s="1344" t="s">
        <v>314</v>
      </c>
      <c r="B1136" s="1345" t="s">
        <v>1472</v>
      </c>
      <c r="C1136" s="1346" t="s">
        <v>1495</v>
      </c>
      <c r="D1136" s="1346">
        <v>0.27</v>
      </c>
      <c r="E1136" s="1347">
        <v>0.35</v>
      </c>
      <c r="F1136" s="1348" t="s">
        <v>3487</v>
      </c>
      <c r="G1136" s="1349"/>
      <c r="H1136" s="1358"/>
      <c r="I1136" s="1360"/>
    </row>
    <row r="1137">
      <c r="A1137" s="1351" t="s">
        <v>277</v>
      </c>
      <c r="B1137" s="1352" t="s">
        <v>1473</v>
      </c>
      <c r="C1137" s="1353" t="s">
        <v>1495</v>
      </c>
      <c r="D1137" s="1353"/>
      <c r="E1137" s="1354"/>
      <c r="F1137" s="1355"/>
      <c r="G1137" s="1356"/>
      <c r="H1137" s="1359"/>
      <c r="I1137" s="1362"/>
    </row>
    <row r="1138">
      <c r="A1138" s="1344" t="s">
        <v>314</v>
      </c>
      <c r="B1138" s="1345" t="s">
        <v>3488</v>
      </c>
      <c r="C1138" s="1346" t="s">
        <v>1495</v>
      </c>
      <c r="D1138" s="1346">
        <v>12.68</v>
      </c>
      <c r="E1138" s="1347">
        <v>14.6</v>
      </c>
      <c r="F1138" s="1348"/>
      <c r="G1138" s="1349"/>
      <c r="H1138" s="1358">
        <v>6.0</v>
      </c>
      <c r="I1138" s="1360"/>
    </row>
    <row r="1139">
      <c r="A1139" s="1351" t="s">
        <v>327</v>
      </c>
      <c r="B1139" s="1352" t="s">
        <v>1475</v>
      </c>
      <c r="C1139" s="1353" t="s">
        <v>1495</v>
      </c>
      <c r="D1139" s="1353">
        <v>96.88</v>
      </c>
      <c r="E1139" s="1354">
        <v>111.45</v>
      </c>
      <c r="F1139" s="1355" t="s">
        <v>3489</v>
      </c>
      <c r="G1139" s="1356"/>
      <c r="H1139" s="1359"/>
      <c r="I1139" s="1357" t="s">
        <v>3490</v>
      </c>
    </row>
    <row r="1140">
      <c r="A1140" s="1344" t="s">
        <v>327</v>
      </c>
      <c r="B1140" s="1345" t="s">
        <v>1476</v>
      </c>
      <c r="C1140" s="1346" t="s">
        <v>1495</v>
      </c>
      <c r="D1140" s="1346"/>
      <c r="E1140" s="1347"/>
      <c r="F1140" s="1348" t="s">
        <v>3491</v>
      </c>
      <c r="G1140" s="1349"/>
      <c r="H1140" s="1358"/>
      <c r="I1140" s="1350" t="s">
        <v>3492</v>
      </c>
    </row>
    <row r="1141">
      <c r="A1141" s="1351" t="s">
        <v>327</v>
      </c>
      <c r="B1141" s="1352" t="s">
        <v>1477</v>
      </c>
      <c r="C1141" s="1353" t="s">
        <v>1495</v>
      </c>
      <c r="D1141" s="1353">
        <v>104.13</v>
      </c>
      <c r="E1141" s="1354">
        <v>119.75</v>
      </c>
      <c r="F1141" s="1355" t="s">
        <v>3493</v>
      </c>
      <c r="G1141" s="1356"/>
      <c r="H1141" s="1359"/>
      <c r="I1141" s="1357" t="s">
        <v>3494</v>
      </c>
    </row>
    <row r="1142">
      <c r="A1142" s="1344" t="s">
        <v>317</v>
      </c>
      <c r="B1142" s="1345" t="s">
        <v>1478</v>
      </c>
      <c r="C1142" s="1346" t="s">
        <v>1642</v>
      </c>
      <c r="D1142" s="1346"/>
      <c r="E1142" s="1347"/>
      <c r="F1142" s="1348"/>
      <c r="G1142" s="1349"/>
      <c r="H1142" s="1358"/>
      <c r="I1142" s="1360"/>
    </row>
    <row r="1143">
      <c r="A1143" s="1372" t="s">
        <v>2439</v>
      </c>
      <c r="B1143" s="1373" t="s">
        <v>1479</v>
      </c>
      <c r="C1143" s="1374" t="s">
        <v>1642</v>
      </c>
      <c r="D1143" s="1374"/>
      <c r="E1143" s="1375"/>
      <c r="F1143" s="1376" t="s">
        <v>3495</v>
      </c>
      <c r="G1143" s="1377"/>
      <c r="H1143" s="1378"/>
      <c r="I1143" s="1379" t="s">
        <v>3496</v>
      </c>
    </row>
  </sheetData>
  <customSheetViews>
    <customSheetView guid="{01191DBF-59BC-4F01-AC05-C400FC7D42A4}" filter="1" showAutoFilter="1">
      <autoFilter ref="$A$1:$I$1143">
        <filterColumn colId="0">
          <filters>
            <filter val="Послуги, як запас для собівартості продаж"/>
            <filter val="Захист АC (основне)"/>
            <filter val="Комплектуючі RUDNIK"/>
            <filter val="Кабелі та провода (під замовлення)"/>
            <filter val="Прижими Z та Т (Не зовсім актуальні)"/>
            <filter val="Кріплення для станції в офісі"/>
            <filter val="На продаж"/>
            <filter val="Захист DC (основне)"/>
            <filter val="Лічильники SmartMeter"/>
            <filter val="Нові комплектуючі"/>
            <filter val="Елементи розумного дому"/>
            <filter val="Матеріали для КОШТОРИС (гугл. табл.)"/>
            <filter val="Комплектуючі Pylontech"/>
          </filters>
        </filterColumn>
      </autoFilter>
    </customSheetView>
    <customSheetView guid="{F2BFDCC2-EE39-4355-A7CD-BFBD4D8AA63E}" filter="1" showAutoFilter="1">
      <autoFilter ref="$A$1:$I$1143">
        <filterColumn colId="0">
          <filters>
            <filter val="Послуги, як запас для собівартості продаж"/>
            <filter val="Захист АКБ"/>
            <filter val="Комплектуючі RUDNIK"/>
            <filter val="Кабелі та провода (під замовлення)"/>
            <filter val="Прижими Z та Т (Не зовсім актуальні)"/>
            <filter val="Кріплення для станції в офісі"/>
            <filter val="На продаж"/>
            <filter val="Лічильники SmartMeter"/>
            <filter val="Нові комплектуючі"/>
            <filter val="Елементи розумного дому"/>
            <filter val="Матеріали для КОШТОРИС (гугл. табл.)"/>
            <filter val="Комплектуючі Pylontech"/>
          </filters>
        </filterColumn>
      </autoFilter>
    </customSheetView>
    <customSheetView guid="{C02AF690-BB72-4D47-806D-BBDCE35215FD}" filter="1" showAutoFilter="1">
      <autoFilter ref="$A$1:$I$1143"/>
    </customSheetView>
    <customSheetView guid="{B602EFCD-9D7F-4B53-98A1-566DE9A0FEEC}" filter="1" showAutoFilter="1">
      <autoFilter ref="$A$1:$I$1143">
        <filterColumn colId="0">
          <filters>
            <filter val="Послуги, як запас для собівартості продаж"/>
            <filter val="Комплектуючі RUDNIK"/>
            <filter val="Кабелі та провода (під замовлення)"/>
            <filter val="Прижими Z та Т (Не зовсім актуальні)"/>
            <filter val="Кріплення для станції в офісі"/>
            <filter val="Заземлення"/>
            <filter val="На продаж"/>
            <filter val="Лічильники SmartMeter"/>
            <filter val="Нові комплектуючі"/>
            <filter val="Елементи розумного дому"/>
            <filter val="Матеріали для КОШТОРИС (гугл. табл.)"/>
            <filter val="Комплектуючі Pylontech"/>
          </filters>
        </filterColumn>
      </autoFilter>
    </customSheetView>
  </customSheetViews>
  <dataValidations>
    <dataValidation type="list" allowBlank="1" showDropDown="1" sqref="A2:A1143">
      <formula1>"АВР (автоматичне ввімкнення резерву),Арматура СІП,Захист АC (основне),Захист DC (основне),Заземлення,Захист АКБ,Щити_Розподільчі коробки,Кабелі та провода ,Автоматичні вимикачі,Запобіжники,Елементи керування, сигналізації, індикації,Елементи монтажу (Стяж"&amp;"ки, ізолятори і т.д.),Клеми_Розподільчі блоки,MC4_Конектори,Накінечники_Гільзи,Кабельні короба_Труби_Фурнітура,Гофра_Фурнітура,Перемикачі_Вимикачі навантаження,Реле_Контактори,Шини_Гребінки,Розетки,Ізоляція,Гібридні,Кріплення для АКБ,Кронштейни (для кріпл"&amp;"ення профіля),Трансформатори струму,Різне (Кріплення),Літій-залізо-фосфатні(високовольтні),Літій-залізо-фосфатні(низьковольтні),Профіль та з'єднувач (алюміній),При замовленні у RUDNIK та інших,Односторонні,Лічильники електроенергії,Мережеві,Профіль та з'є"&amp;"днувач (цинк),Прижими Z та Т (кріплення ФЕМ),Моніторинг для інверторів,Лічильники SmartMeter,Послуги,Підсилювач бездротового сигналу,Кабелі та провода (під замовлення),Елементи розумного дому,Комплектуючі RUDNIK"</formula1>
    </dataValidation>
    <dataValidation allowBlank="1" showDropDown="1" sqref="C2:C1143"/>
  </dataValidations>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9"/>
    <hyperlink r:id="rId58" ref="I60"/>
    <hyperlink r:id="rId59" ref="I61"/>
    <hyperlink r:id="rId60" ref="I62"/>
    <hyperlink r:id="rId61" ref="I63"/>
    <hyperlink r:id="rId62" ref="I64"/>
    <hyperlink r:id="rId63" ref="I65"/>
    <hyperlink r:id="rId64" ref="I66"/>
    <hyperlink r:id="rId65" ref="I67"/>
    <hyperlink r:id="rId66" ref="I68"/>
    <hyperlink r:id="rId67" ref="I69"/>
    <hyperlink r:id="rId68" ref="I70"/>
    <hyperlink r:id="rId69" ref="I71"/>
    <hyperlink r:id="rId70" ref="I72"/>
    <hyperlink r:id="rId71" ref="I73"/>
    <hyperlink r:id="rId72" ref="I74"/>
    <hyperlink r:id="rId73" ref="I75"/>
    <hyperlink r:id="rId74" ref="I76"/>
    <hyperlink r:id="rId75" ref="I77"/>
    <hyperlink r:id="rId76" ref="I78"/>
    <hyperlink r:id="rId77" ref="I79"/>
    <hyperlink r:id="rId78" ref="I80"/>
    <hyperlink r:id="rId79" ref="I81"/>
    <hyperlink r:id="rId80" ref="I82"/>
    <hyperlink r:id="rId81" ref="I83"/>
    <hyperlink r:id="rId82" ref="I84"/>
    <hyperlink r:id="rId83" ref="I85"/>
    <hyperlink r:id="rId84" ref="I86"/>
    <hyperlink r:id="rId85" ref="I87"/>
    <hyperlink r:id="rId86" ref="I88"/>
    <hyperlink r:id="rId87" ref="I89"/>
    <hyperlink r:id="rId88" ref="I90"/>
    <hyperlink r:id="rId89" ref="I91"/>
    <hyperlink r:id="rId90" ref="I92"/>
    <hyperlink r:id="rId91" ref="I93"/>
    <hyperlink r:id="rId92" ref="I94"/>
    <hyperlink r:id="rId93" ref="I95"/>
    <hyperlink r:id="rId94" ref="I96"/>
    <hyperlink r:id="rId95" ref="I97"/>
    <hyperlink r:id="rId96" ref="I98"/>
    <hyperlink r:id="rId97" ref="I99"/>
    <hyperlink r:id="rId98" ref="I100"/>
    <hyperlink r:id="rId99" ref="I101"/>
    <hyperlink r:id="rId100" ref="I102"/>
    <hyperlink r:id="rId101" ref="I103"/>
    <hyperlink r:id="rId102" ref="I108"/>
    <hyperlink r:id="rId103" ref="I112"/>
    <hyperlink r:id="rId104" ref="I128"/>
    <hyperlink r:id="rId105" ref="I131"/>
    <hyperlink r:id="rId106" ref="I132"/>
    <hyperlink r:id="rId107" ref="I133"/>
    <hyperlink r:id="rId108" ref="I134"/>
    <hyperlink r:id="rId109" ref="I135"/>
    <hyperlink r:id="rId110" ref="I136"/>
    <hyperlink r:id="rId111" ref="I137"/>
    <hyperlink r:id="rId112" ref="I138"/>
    <hyperlink r:id="rId113" ref="I139"/>
    <hyperlink r:id="rId114" ref="I140"/>
    <hyperlink r:id="rId115" ref="I141"/>
    <hyperlink r:id="rId116" ref="I142"/>
    <hyperlink r:id="rId117" ref="I143"/>
    <hyperlink r:id="rId118" ref="I146"/>
    <hyperlink r:id="rId119" ref="I147"/>
    <hyperlink r:id="rId120" ref="I148"/>
    <hyperlink r:id="rId121" ref="I149"/>
    <hyperlink r:id="rId122" ref="I150"/>
    <hyperlink r:id="rId123" ref="I151"/>
    <hyperlink r:id="rId124" ref="I152"/>
    <hyperlink r:id="rId125" ref="I153"/>
    <hyperlink r:id="rId126" ref="I158"/>
    <hyperlink r:id="rId127" ref="I159"/>
    <hyperlink r:id="rId128" ref="I160"/>
    <hyperlink r:id="rId129" ref="I161"/>
    <hyperlink r:id="rId130" ref="I162"/>
    <hyperlink r:id="rId131" ref="I164"/>
    <hyperlink r:id="rId132" ref="I165"/>
    <hyperlink r:id="rId133" ref="I166"/>
    <hyperlink r:id="rId134" ref="I167"/>
    <hyperlink r:id="rId135" ref="I170"/>
    <hyperlink r:id="rId136" ref="I171"/>
    <hyperlink r:id="rId137" ref="I172"/>
    <hyperlink r:id="rId138" ref="I173"/>
    <hyperlink r:id="rId139" ref="I174"/>
    <hyperlink r:id="rId140" ref="I175"/>
    <hyperlink r:id="rId141" ref="I176"/>
    <hyperlink r:id="rId142" ref="I177"/>
    <hyperlink r:id="rId143" ref="I178"/>
    <hyperlink r:id="rId144" ref="I179"/>
    <hyperlink r:id="rId145" ref="I180"/>
    <hyperlink r:id="rId146" ref="I181"/>
    <hyperlink r:id="rId147" ref="I182"/>
    <hyperlink r:id="rId148" ref="I183"/>
    <hyperlink r:id="rId149" ref="I184"/>
    <hyperlink r:id="rId150" ref="I185"/>
    <hyperlink r:id="rId151" ref="I186"/>
    <hyperlink r:id="rId152" ref="I187"/>
    <hyperlink r:id="rId153" ref="I188"/>
    <hyperlink r:id="rId154" ref="I189"/>
    <hyperlink r:id="rId155" ref="I190"/>
    <hyperlink r:id="rId156" ref="I191"/>
    <hyperlink r:id="rId157" ref="I192"/>
    <hyperlink r:id="rId158" ref="I193"/>
    <hyperlink r:id="rId159" ref="I194"/>
    <hyperlink r:id="rId160" ref="I195"/>
    <hyperlink r:id="rId161" ref="I196"/>
    <hyperlink r:id="rId162" ref="I197"/>
    <hyperlink r:id="rId163" ref="I198"/>
    <hyperlink r:id="rId164" ref="I199"/>
    <hyperlink r:id="rId165" ref="I200"/>
    <hyperlink r:id="rId166" ref="I201"/>
    <hyperlink r:id="rId167" ref="I202"/>
    <hyperlink r:id="rId168" ref="I203"/>
    <hyperlink r:id="rId169" ref="I204"/>
    <hyperlink r:id="rId170" ref="I205"/>
    <hyperlink r:id="rId171" ref="I206"/>
    <hyperlink r:id="rId172" ref="I207"/>
    <hyperlink r:id="rId173" ref="I208"/>
    <hyperlink r:id="rId174" ref="I209"/>
    <hyperlink r:id="rId175" ref="I210"/>
    <hyperlink r:id="rId176" ref="I211"/>
    <hyperlink r:id="rId177" ref="I212"/>
    <hyperlink r:id="rId178" ref="I213"/>
    <hyperlink r:id="rId179" ref="I214"/>
    <hyperlink r:id="rId180" ref="I215"/>
    <hyperlink r:id="rId181" ref="I216"/>
    <hyperlink r:id="rId182" ref="I217"/>
    <hyperlink r:id="rId183" ref="I218"/>
    <hyperlink r:id="rId184" ref="I219"/>
    <hyperlink r:id="rId185" ref="I220"/>
    <hyperlink r:id="rId186" ref="I221"/>
    <hyperlink r:id="rId187" ref="I223"/>
    <hyperlink r:id="rId188" ref="I224"/>
    <hyperlink r:id="rId189" ref="I225"/>
    <hyperlink r:id="rId190" ref="I226"/>
    <hyperlink r:id="rId191" ref="I227"/>
    <hyperlink r:id="rId192" ref="I228"/>
    <hyperlink r:id="rId193" ref="I229"/>
    <hyperlink r:id="rId194" ref="I230"/>
    <hyperlink r:id="rId195" ref="I231"/>
    <hyperlink r:id="rId196" ref="I232"/>
    <hyperlink r:id="rId197" ref="I233"/>
    <hyperlink r:id="rId198" ref="I234"/>
    <hyperlink r:id="rId199" ref="I236"/>
    <hyperlink r:id="rId200" ref="I237"/>
    <hyperlink r:id="rId201" ref="I238"/>
    <hyperlink r:id="rId202" ref="I242"/>
    <hyperlink r:id="rId203" ref="I243"/>
    <hyperlink r:id="rId204" ref="I246"/>
    <hyperlink r:id="rId205" ref="I247"/>
    <hyperlink r:id="rId206" ref="I248"/>
    <hyperlink r:id="rId207" ref="I249"/>
    <hyperlink r:id="rId208" ref="I250"/>
    <hyperlink r:id="rId209" ref="I253"/>
    <hyperlink r:id="rId210" ref="I254"/>
    <hyperlink r:id="rId211" ref="I255"/>
    <hyperlink r:id="rId212" ref="I256"/>
    <hyperlink r:id="rId213" ref="I257"/>
    <hyperlink r:id="rId214" ref="I258"/>
    <hyperlink r:id="rId215" ref="I259"/>
    <hyperlink r:id="rId216" ref="I261"/>
    <hyperlink r:id="rId217" ref="I262"/>
    <hyperlink r:id="rId218" ref="I264"/>
    <hyperlink r:id="rId219" ref="I265"/>
    <hyperlink r:id="rId220" ref="I267"/>
    <hyperlink r:id="rId221" ref="I268"/>
    <hyperlink r:id="rId222" ref="I269"/>
    <hyperlink r:id="rId223" ref="I271"/>
    <hyperlink r:id="rId224" ref="I272"/>
    <hyperlink r:id="rId225" ref="I273"/>
    <hyperlink r:id="rId226" ref="I274"/>
    <hyperlink r:id="rId227" ref="I275"/>
    <hyperlink r:id="rId228" ref="I276"/>
    <hyperlink r:id="rId229" ref="I277"/>
    <hyperlink r:id="rId230" ref="I279"/>
    <hyperlink r:id="rId231" ref="I280"/>
    <hyperlink r:id="rId232" ref="I281"/>
    <hyperlink r:id="rId233" ref="I282"/>
    <hyperlink r:id="rId234" ref="I283"/>
    <hyperlink r:id="rId235" ref="I284"/>
    <hyperlink r:id="rId236" ref="I286"/>
    <hyperlink r:id="rId237" ref="I287"/>
    <hyperlink r:id="rId238" ref="I288"/>
    <hyperlink r:id="rId239" ref="I289"/>
    <hyperlink r:id="rId240" ref="I290"/>
    <hyperlink r:id="rId241" ref="I291"/>
    <hyperlink r:id="rId242" ref="I292"/>
    <hyperlink r:id="rId243" ref="I293"/>
    <hyperlink r:id="rId244" ref="I295"/>
    <hyperlink r:id="rId245" ref="I296"/>
    <hyperlink r:id="rId246" ref="I297"/>
    <hyperlink r:id="rId247" ref="I299"/>
    <hyperlink r:id="rId248" ref="I300"/>
    <hyperlink r:id="rId249" ref="I301"/>
    <hyperlink r:id="rId250" ref="I307"/>
    <hyperlink r:id="rId251" ref="I308"/>
    <hyperlink r:id="rId252" ref="I309"/>
    <hyperlink r:id="rId253" ref="I310"/>
    <hyperlink r:id="rId254" ref="I311"/>
    <hyperlink r:id="rId255" ref="I312"/>
    <hyperlink r:id="rId256" ref="I313"/>
    <hyperlink r:id="rId257" ref="I316"/>
    <hyperlink r:id="rId258" ref="I318"/>
    <hyperlink r:id="rId259" ref="I319"/>
    <hyperlink r:id="rId260" ref="I320"/>
    <hyperlink r:id="rId261" ref="I321"/>
    <hyperlink r:id="rId262" ref="I322"/>
    <hyperlink r:id="rId263" ref="I323"/>
    <hyperlink r:id="rId264" ref="I324"/>
    <hyperlink r:id="rId265" ref="I325"/>
    <hyperlink r:id="rId266" ref="I326"/>
    <hyperlink r:id="rId267" ref="I327"/>
    <hyperlink r:id="rId268" ref="I328"/>
    <hyperlink r:id="rId269" ref="I329"/>
    <hyperlink r:id="rId270" ref="I330"/>
    <hyperlink r:id="rId271" ref="I331"/>
    <hyperlink r:id="rId272" ref="I332"/>
    <hyperlink r:id="rId273" ref="I334"/>
    <hyperlink r:id="rId274" ref="I335"/>
    <hyperlink r:id="rId275" ref="I336"/>
    <hyperlink r:id="rId276" ref="I337"/>
    <hyperlink r:id="rId277" ref="I338"/>
    <hyperlink r:id="rId278" ref="I339"/>
    <hyperlink r:id="rId279" ref="I340"/>
    <hyperlink r:id="rId280" ref="I341"/>
    <hyperlink r:id="rId281" ref="I342"/>
    <hyperlink r:id="rId282" ref="I343"/>
    <hyperlink r:id="rId283" ref="I344"/>
    <hyperlink r:id="rId284" ref="I345"/>
    <hyperlink r:id="rId285" ref="I346"/>
    <hyperlink r:id="rId286" ref="I347"/>
    <hyperlink r:id="rId287" ref="I348"/>
    <hyperlink r:id="rId288" ref="I349"/>
    <hyperlink r:id="rId289" ref="I350"/>
    <hyperlink r:id="rId290" ref="I351"/>
    <hyperlink r:id="rId291" ref="I352"/>
    <hyperlink r:id="rId292" ref="I353"/>
    <hyperlink r:id="rId293" ref="I354"/>
    <hyperlink r:id="rId294" ref="I356"/>
    <hyperlink r:id="rId295" ref="I358"/>
    <hyperlink r:id="rId296" ref="I359"/>
    <hyperlink r:id="rId297" ref="I360"/>
    <hyperlink r:id="rId298" ref="I361"/>
    <hyperlink r:id="rId299" ref="I362"/>
    <hyperlink r:id="rId300" ref="I366"/>
    <hyperlink r:id="rId301" ref="I367"/>
    <hyperlink r:id="rId302" ref="I368"/>
    <hyperlink r:id="rId303" ref="I369"/>
    <hyperlink r:id="rId304" ref="I370"/>
    <hyperlink r:id="rId305" ref="I371"/>
    <hyperlink r:id="rId306" ref="I372"/>
    <hyperlink r:id="rId307" ref="I374"/>
    <hyperlink r:id="rId308" ref="I375"/>
    <hyperlink r:id="rId309" ref="I376"/>
    <hyperlink r:id="rId310" ref="I377"/>
    <hyperlink r:id="rId311" ref="I378"/>
    <hyperlink r:id="rId312" ref="I379"/>
    <hyperlink r:id="rId313" ref="I381"/>
    <hyperlink r:id="rId314" ref="I382"/>
    <hyperlink r:id="rId315" ref="I383"/>
    <hyperlink r:id="rId316" ref="I384"/>
    <hyperlink r:id="rId317" ref="I385"/>
    <hyperlink r:id="rId318" ref="I386"/>
    <hyperlink r:id="rId319" ref="I388"/>
    <hyperlink r:id="rId320" ref="I389"/>
    <hyperlink r:id="rId321" ref="I391"/>
    <hyperlink r:id="rId322" ref="I392"/>
    <hyperlink r:id="rId323" ref="I394"/>
    <hyperlink r:id="rId324" ref="I397"/>
    <hyperlink r:id="rId325" ref="I398"/>
    <hyperlink r:id="rId326" ref="I399"/>
    <hyperlink r:id="rId327" ref="I400"/>
    <hyperlink r:id="rId328" ref="I401"/>
    <hyperlink r:id="rId329" ref="I403"/>
    <hyperlink r:id="rId330" ref="I404"/>
    <hyperlink r:id="rId331" ref="I405"/>
    <hyperlink r:id="rId332" ref="I406"/>
    <hyperlink r:id="rId333" ref="I407"/>
    <hyperlink r:id="rId334" ref="I408"/>
    <hyperlink r:id="rId335" ref="I409"/>
    <hyperlink r:id="rId336" ref="I410"/>
    <hyperlink r:id="rId337" ref="I411"/>
    <hyperlink r:id="rId338" ref="I412"/>
    <hyperlink r:id="rId339" ref="I414"/>
    <hyperlink r:id="rId340" ref="I416"/>
    <hyperlink r:id="rId341" ref="I417"/>
    <hyperlink r:id="rId342" ref="I418"/>
    <hyperlink r:id="rId343" ref="I419"/>
    <hyperlink r:id="rId344" ref="I420"/>
    <hyperlink r:id="rId345" ref="I421"/>
    <hyperlink r:id="rId346" ref="I422"/>
    <hyperlink r:id="rId347" ref="I423"/>
    <hyperlink r:id="rId348" ref="I424"/>
    <hyperlink r:id="rId349" ref="I425"/>
    <hyperlink r:id="rId350" ref="I427"/>
    <hyperlink r:id="rId351" ref="I428"/>
    <hyperlink r:id="rId352" ref="I429"/>
    <hyperlink r:id="rId353" ref="I430"/>
    <hyperlink r:id="rId354" ref="I431"/>
    <hyperlink r:id="rId355" ref="I437"/>
    <hyperlink r:id="rId356" ref="I439"/>
    <hyperlink r:id="rId357" ref="I440"/>
    <hyperlink r:id="rId358" ref="I441"/>
    <hyperlink r:id="rId359" ref="I442"/>
    <hyperlink r:id="rId360" ref="I443"/>
    <hyperlink r:id="rId361" ref="I444"/>
    <hyperlink r:id="rId362" ref="I445"/>
    <hyperlink r:id="rId363" ref="I477"/>
    <hyperlink r:id="rId364" ref="I478"/>
    <hyperlink r:id="rId365" ref="I485"/>
    <hyperlink r:id="rId366" ref="I486"/>
    <hyperlink r:id="rId367" ref="I487"/>
    <hyperlink r:id="rId368" ref="I488"/>
    <hyperlink r:id="rId369" ref="I489"/>
    <hyperlink r:id="rId370" ref="I490"/>
    <hyperlink r:id="rId371" ref="I491"/>
    <hyperlink r:id="rId372" ref="I492"/>
    <hyperlink r:id="rId373" ref="I503"/>
    <hyperlink r:id="rId374" ref="I504"/>
    <hyperlink r:id="rId375" ref="I505"/>
    <hyperlink r:id="rId376" ref="I506"/>
    <hyperlink r:id="rId377" ref="I507"/>
    <hyperlink r:id="rId378" ref="I508"/>
    <hyperlink r:id="rId379" ref="I509"/>
    <hyperlink r:id="rId380" ref="I511"/>
    <hyperlink r:id="rId381" ref="I520"/>
    <hyperlink r:id="rId382" ref="I523"/>
    <hyperlink r:id="rId383" ref="I524"/>
    <hyperlink r:id="rId384" ref="I525"/>
    <hyperlink r:id="rId385" ref="I526"/>
    <hyperlink r:id="rId386" ref="I527"/>
    <hyperlink r:id="rId387" ref="I540"/>
    <hyperlink r:id="rId388" ref="I544"/>
    <hyperlink r:id="rId389" ref="I545"/>
    <hyperlink r:id="rId390" ref="I546"/>
    <hyperlink r:id="rId391" ref="I548"/>
    <hyperlink r:id="rId392" ref="I549"/>
    <hyperlink r:id="rId393" ref="I559"/>
    <hyperlink r:id="rId394" ref="I560"/>
    <hyperlink r:id="rId395" ref="I561"/>
    <hyperlink r:id="rId396" ref="I564"/>
    <hyperlink r:id="rId397" ref="I565"/>
    <hyperlink r:id="rId398" ref="I567"/>
    <hyperlink r:id="rId399" ref="I570"/>
    <hyperlink r:id="rId400" ref="I571"/>
    <hyperlink r:id="rId401" ref="I590"/>
    <hyperlink r:id="rId402" ref="I597"/>
    <hyperlink r:id="rId403" ref="I598"/>
    <hyperlink r:id="rId404" ref="I601"/>
    <hyperlink r:id="rId405" ref="I609"/>
    <hyperlink r:id="rId406" ref="I621"/>
    <hyperlink r:id="rId407" ref="I623"/>
    <hyperlink r:id="rId408" ref="I632"/>
    <hyperlink r:id="rId409" ref="I640"/>
    <hyperlink r:id="rId410" ref="I679"/>
    <hyperlink r:id="rId411" ref="I697"/>
    <hyperlink r:id="rId412" ref="I699"/>
    <hyperlink r:id="rId413" ref="I700"/>
    <hyperlink r:id="rId414" ref="I701"/>
    <hyperlink r:id="rId415" ref="I702"/>
    <hyperlink r:id="rId416" ref="I777"/>
    <hyperlink r:id="rId417" ref="I778"/>
    <hyperlink r:id="rId418" ref="I779"/>
    <hyperlink r:id="rId419" ref="I783"/>
    <hyperlink r:id="rId420" ref="I785"/>
    <hyperlink r:id="rId421" ref="I786"/>
    <hyperlink r:id="rId422" ref="I787"/>
    <hyperlink r:id="rId423" ref="I788"/>
    <hyperlink r:id="rId424" ref="I793"/>
    <hyperlink r:id="rId425" ref="I797"/>
    <hyperlink r:id="rId426" ref="I798"/>
    <hyperlink r:id="rId427" ref="I799"/>
    <hyperlink r:id="rId428" ref="I800"/>
    <hyperlink r:id="rId429" ref="I804"/>
    <hyperlink r:id="rId430" ref="I807"/>
    <hyperlink r:id="rId431" ref="I809"/>
    <hyperlink r:id="rId432" ref="I810"/>
    <hyperlink r:id="rId433" ref="I816"/>
    <hyperlink r:id="rId434" ref="I817"/>
    <hyperlink r:id="rId435" ref="I819"/>
    <hyperlink r:id="rId436" ref="I820"/>
    <hyperlink r:id="rId437" ref="I821"/>
    <hyperlink r:id="rId438" ref="I825"/>
    <hyperlink r:id="rId439" ref="I835"/>
    <hyperlink r:id="rId440" ref="I836"/>
    <hyperlink r:id="rId441" ref="I837"/>
    <hyperlink r:id="rId442" ref="I838"/>
    <hyperlink r:id="rId443" ref="I839"/>
    <hyperlink r:id="rId444" ref="I840"/>
    <hyperlink r:id="rId445" ref="I842"/>
    <hyperlink r:id="rId446" ref="I857"/>
    <hyperlink r:id="rId447" ref="I858"/>
    <hyperlink r:id="rId448" ref="I864"/>
    <hyperlink r:id="rId449" ref="I865"/>
    <hyperlink r:id="rId450" ref="I872"/>
    <hyperlink r:id="rId451" ref="I875"/>
    <hyperlink r:id="rId452" ref="I879"/>
    <hyperlink r:id="rId453" ref="I880"/>
    <hyperlink r:id="rId454" ref="I881"/>
    <hyperlink r:id="rId455" ref="I882"/>
    <hyperlink r:id="rId456" ref="I883"/>
    <hyperlink r:id="rId457" ref="I886"/>
    <hyperlink r:id="rId458" ref="I887"/>
    <hyperlink r:id="rId459" ref="I891"/>
    <hyperlink r:id="rId460" ref="I892"/>
    <hyperlink r:id="rId461" ref="I893"/>
    <hyperlink r:id="rId462" ref="I894"/>
    <hyperlink r:id="rId463" ref="I897"/>
    <hyperlink r:id="rId464" ref="I898"/>
    <hyperlink r:id="rId465" ref="I902"/>
    <hyperlink r:id="rId466" ref="I903"/>
    <hyperlink r:id="rId467" ref="I904"/>
    <hyperlink r:id="rId468" ref="I905"/>
    <hyperlink r:id="rId469" ref="I906"/>
    <hyperlink r:id="rId470" ref="I907"/>
    <hyperlink r:id="rId471" ref="I908"/>
    <hyperlink r:id="rId472" ref="I909"/>
    <hyperlink r:id="rId473" ref="I910"/>
    <hyperlink r:id="rId474" ref="I956"/>
    <hyperlink r:id="rId475" ref="I972"/>
    <hyperlink r:id="rId476" ref="I973"/>
    <hyperlink r:id="rId477" ref="I974"/>
    <hyperlink r:id="rId478" ref="I975"/>
    <hyperlink r:id="rId479" ref="I976"/>
    <hyperlink r:id="rId480" ref="I977"/>
    <hyperlink r:id="rId481" ref="I978"/>
    <hyperlink r:id="rId482" ref="I980"/>
    <hyperlink r:id="rId483" ref="I981"/>
    <hyperlink r:id="rId484" ref="I982"/>
    <hyperlink r:id="rId485" ref="I983"/>
    <hyperlink r:id="rId486" ref="I984"/>
    <hyperlink r:id="rId487" ref="I985"/>
    <hyperlink r:id="rId488" ref="I986"/>
    <hyperlink r:id="rId489" ref="I988"/>
    <hyperlink r:id="rId490" ref="I989"/>
    <hyperlink r:id="rId491" ref="I990"/>
    <hyperlink r:id="rId492" ref="I994"/>
    <hyperlink r:id="rId493" ref="I995"/>
    <hyperlink r:id="rId494" ref="I996"/>
    <hyperlink r:id="rId495" ref="I998"/>
    <hyperlink r:id="rId496" ref="I999"/>
    <hyperlink r:id="rId497" ref="I1003"/>
    <hyperlink r:id="rId498" ref="I1005"/>
    <hyperlink r:id="rId499" ref="I1006"/>
    <hyperlink r:id="rId500" ref="I1007"/>
    <hyperlink r:id="rId501" ref="I1009"/>
    <hyperlink r:id="rId502" ref="I1010"/>
    <hyperlink r:id="rId503" ref="I1011"/>
    <hyperlink r:id="rId504" ref="I1012"/>
    <hyperlink r:id="rId505" ref="I1018"/>
    <hyperlink r:id="rId506" ref="I1019"/>
    <hyperlink r:id="rId507" ref="I1032"/>
    <hyperlink r:id="rId508" ref="I1039"/>
    <hyperlink r:id="rId509" ref="I1041"/>
    <hyperlink r:id="rId510" ref="I1043"/>
    <hyperlink r:id="rId511" ref="I1055"/>
    <hyperlink r:id="rId512" ref="I1063"/>
    <hyperlink r:id="rId513" ref="I1066"/>
    <hyperlink r:id="rId514" ref="I1068"/>
    <hyperlink r:id="rId515" ref="I1069"/>
    <hyperlink r:id="rId516" ref="I1070"/>
    <hyperlink r:id="rId517" ref="I1071"/>
    <hyperlink r:id="rId518" ref="I1079"/>
    <hyperlink r:id="rId519" ref="I1084"/>
    <hyperlink r:id="rId520" ref="I1113"/>
    <hyperlink r:id="rId521" ref="I1114"/>
    <hyperlink r:id="rId522" ref="I1115"/>
    <hyperlink r:id="rId523" ref="I1118"/>
    <hyperlink r:id="rId524" ref="I1122"/>
    <hyperlink r:id="rId525" ref="I1123"/>
    <hyperlink r:id="rId526" ref="I1124"/>
    <hyperlink r:id="rId527" ref="I1125"/>
    <hyperlink r:id="rId528" ref="I1126"/>
    <hyperlink r:id="rId529" ref="I1127"/>
    <hyperlink r:id="rId530" ref="I1128"/>
    <hyperlink r:id="rId531" ref="I1129"/>
    <hyperlink r:id="rId532" ref="I1130"/>
    <hyperlink r:id="rId533" ref="I1131"/>
    <hyperlink r:id="rId534" ref="I1132"/>
    <hyperlink r:id="rId535" ref="I1133"/>
    <hyperlink r:id="rId536" ref="I1134"/>
    <hyperlink r:id="rId537" ref="I1135"/>
    <hyperlink r:id="rId538" ref="I1139"/>
    <hyperlink r:id="rId539" ref="I1140"/>
    <hyperlink r:id="rId540" ref="I1141"/>
    <hyperlink r:id="rId541" ref="I1143"/>
  </hyperlinks>
  <drawing r:id="rId542"/>
  <tableParts count="1">
    <tablePart r:id="rId544"/>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1.57"/>
    <col customWidth="1" min="2" max="2" width="60.43"/>
    <col customWidth="1" min="3" max="3" width="15.43"/>
    <col customWidth="1" min="4" max="4" width="21.86"/>
    <col customWidth="1" min="5" max="5" width="18.57"/>
    <col customWidth="1" min="6" max="6" width="17.29"/>
    <col customWidth="1" min="7" max="7" width="18.0"/>
    <col customWidth="1" min="8" max="8" width="21.43"/>
  </cols>
  <sheetData>
    <row r="1" ht="40.5" customHeight="1">
      <c r="A1" s="1338" t="s">
        <v>2134</v>
      </c>
      <c r="B1" s="1338" t="s">
        <v>1791</v>
      </c>
      <c r="C1" s="1338" t="s">
        <v>2135</v>
      </c>
      <c r="D1" s="1338" t="s">
        <v>2136</v>
      </c>
      <c r="E1" s="1338" t="s">
        <v>2138</v>
      </c>
      <c r="F1" s="1341" t="s">
        <v>2139</v>
      </c>
      <c r="G1" s="1380" t="s">
        <v>85</v>
      </c>
      <c r="H1" s="1340" t="s">
        <v>2137</v>
      </c>
    </row>
    <row r="2">
      <c r="A2" s="1344" t="s">
        <v>2593</v>
      </c>
      <c r="B2" s="1381" t="s">
        <v>1365</v>
      </c>
      <c r="C2" s="1382" t="s">
        <v>1495</v>
      </c>
      <c r="D2" s="1346"/>
      <c r="E2" s="1347"/>
      <c r="F2" s="1349"/>
      <c r="G2" s="1383"/>
      <c r="H2" s="1384"/>
    </row>
    <row r="3">
      <c r="A3" s="1351" t="s">
        <v>2593</v>
      </c>
      <c r="B3" s="1385" t="s">
        <v>1366</v>
      </c>
      <c r="C3" s="1386" t="s">
        <v>1495</v>
      </c>
      <c r="D3" s="1353"/>
      <c r="E3" s="1354"/>
      <c r="F3" s="1356"/>
      <c r="G3" s="1387"/>
      <c r="H3" s="1388"/>
    </row>
    <row r="4">
      <c r="A4" s="1344" t="s">
        <v>2593</v>
      </c>
      <c r="B4" s="1381" t="s">
        <v>256</v>
      </c>
      <c r="C4" s="1382" t="s">
        <v>1495</v>
      </c>
      <c r="D4" s="1346">
        <v>0.55</v>
      </c>
      <c r="E4" s="1347"/>
      <c r="F4" s="1349"/>
      <c r="G4" s="1389" t="s">
        <v>2910</v>
      </c>
      <c r="H4" s="1384">
        <v>0.65</v>
      </c>
    </row>
    <row r="5">
      <c r="A5" s="1351" t="s">
        <v>2593</v>
      </c>
      <c r="B5" s="1385" t="s">
        <v>3230</v>
      </c>
      <c r="C5" s="1386" t="s">
        <v>1495</v>
      </c>
      <c r="D5" s="1353">
        <v>4.51</v>
      </c>
      <c r="E5" s="1354"/>
      <c r="F5" s="1356"/>
      <c r="G5" s="1390" t="s">
        <v>3231</v>
      </c>
      <c r="H5" s="1388">
        <v>5.2</v>
      </c>
    </row>
    <row r="6">
      <c r="A6" s="1344" t="s">
        <v>2593</v>
      </c>
      <c r="B6" s="1381" t="s">
        <v>2594</v>
      </c>
      <c r="C6" s="1382" t="s">
        <v>1495</v>
      </c>
      <c r="D6" s="1346">
        <v>4.0</v>
      </c>
      <c r="E6" s="1346" t="s">
        <v>2595</v>
      </c>
      <c r="F6" s="1349"/>
      <c r="G6" s="1383"/>
      <c r="H6" s="1384">
        <v>4.6</v>
      </c>
    </row>
    <row r="7">
      <c r="A7" s="1351" t="s">
        <v>2593</v>
      </c>
      <c r="B7" s="1385" t="s">
        <v>606</v>
      </c>
      <c r="C7" s="1386" t="s">
        <v>1495</v>
      </c>
      <c r="D7" s="1353">
        <v>0.25</v>
      </c>
      <c r="E7" s="1353" t="s">
        <v>2620</v>
      </c>
      <c r="F7" s="1356"/>
      <c r="G7" s="1387"/>
      <c r="H7" s="1388">
        <v>0.3</v>
      </c>
    </row>
    <row r="8">
      <c r="A8" s="1344" t="s">
        <v>2593</v>
      </c>
      <c r="B8" s="1381" t="s">
        <v>605</v>
      </c>
      <c r="C8" s="1382" t="s">
        <v>1495</v>
      </c>
      <c r="D8" s="1346">
        <v>0.05</v>
      </c>
      <c r="E8" s="1346" t="s">
        <v>2618</v>
      </c>
      <c r="F8" s="1349"/>
      <c r="G8" s="1389" t="s">
        <v>2619</v>
      </c>
      <c r="H8" s="1384">
        <v>0.1</v>
      </c>
    </row>
    <row r="9">
      <c r="A9" s="1351" t="s">
        <v>2593</v>
      </c>
      <c r="B9" s="1385" t="s">
        <v>754</v>
      </c>
      <c r="C9" s="1386" t="s">
        <v>1495</v>
      </c>
      <c r="D9" s="1353">
        <v>0.5</v>
      </c>
      <c r="E9" s="1354"/>
      <c r="F9" s="1356"/>
      <c r="G9" s="1387"/>
      <c r="H9" s="1388">
        <v>0.6</v>
      </c>
    </row>
    <row r="10">
      <c r="A10" s="1344" t="s">
        <v>2593</v>
      </c>
      <c r="B10" s="1381" t="s">
        <v>752</v>
      </c>
      <c r="C10" s="1382" t="s">
        <v>1495</v>
      </c>
      <c r="D10" s="1346">
        <v>4.2</v>
      </c>
      <c r="E10" s="1347"/>
      <c r="F10" s="1349"/>
      <c r="G10" s="1383"/>
      <c r="H10" s="1384">
        <v>4.85</v>
      </c>
    </row>
    <row r="11">
      <c r="A11" s="1351" t="s">
        <v>2593</v>
      </c>
      <c r="B11" s="1385" t="s">
        <v>591</v>
      </c>
      <c r="C11" s="1386" t="s">
        <v>1495</v>
      </c>
      <c r="D11" s="1353"/>
      <c r="E11" s="1354"/>
      <c r="F11" s="1356"/>
      <c r="G11" s="1387"/>
      <c r="H11" s="1388"/>
    </row>
    <row r="12">
      <c r="A12" s="1344" t="s">
        <v>14</v>
      </c>
      <c r="B12" s="1381" t="s">
        <v>345</v>
      </c>
      <c r="C12" s="1382" t="s">
        <v>1495</v>
      </c>
      <c r="D12" s="1346"/>
      <c r="E12" s="1346" t="s">
        <v>3497</v>
      </c>
      <c r="F12" s="1349"/>
      <c r="G12" s="1389" t="s">
        <v>2148</v>
      </c>
      <c r="H12" s="1384"/>
    </row>
    <row r="13">
      <c r="A13" s="1351" t="s">
        <v>14</v>
      </c>
      <c r="B13" s="1385" t="s">
        <v>3232</v>
      </c>
      <c r="C13" s="1386" t="s">
        <v>1495</v>
      </c>
      <c r="D13" s="1353">
        <v>15.05</v>
      </c>
      <c r="E13" s="1353" t="s">
        <v>3498</v>
      </c>
      <c r="F13" s="1356"/>
      <c r="G13" s="1390" t="s">
        <v>3233</v>
      </c>
      <c r="H13" s="1388">
        <v>17.35</v>
      </c>
    </row>
    <row r="14">
      <c r="A14" s="1344" t="s">
        <v>14</v>
      </c>
      <c r="B14" s="1381" t="s">
        <v>2259</v>
      </c>
      <c r="C14" s="1382" t="s">
        <v>1495</v>
      </c>
      <c r="D14" s="1346">
        <v>40.15</v>
      </c>
      <c r="E14" s="1346" t="s">
        <v>3499</v>
      </c>
      <c r="F14" s="1349">
        <v>3.0</v>
      </c>
      <c r="G14" s="1389" t="s">
        <v>2260</v>
      </c>
      <c r="H14" s="1384">
        <v>46.2</v>
      </c>
    </row>
    <row r="15">
      <c r="A15" s="1351" t="s">
        <v>14</v>
      </c>
      <c r="B15" s="1385" t="s">
        <v>2168</v>
      </c>
      <c r="C15" s="1386" t="s">
        <v>1495</v>
      </c>
      <c r="D15" s="1353">
        <v>4.43</v>
      </c>
      <c r="E15" s="1353" t="s">
        <v>3500</v>
      </c>
      <c r="F15" s="1356"/>
      <c r="G15" s="1390" t="s">
        <v>2169</v>
      </c>
      <c r="H15" s="1388">
        <v>5.1</v>
      </c>
    </row>
    <row r="16">
      <c r="A16" s="1344" t="s">
        <v>14</v>
      </c>
      <c r="B16" s="1381" t="s">
        <v>2531</v>
      </c>
      <c r="C16" s="1382" t="s">
        <v>1495</v>
      </c>
      <c r="D16" s="1346">
        <v>3.25</v>
      </c>
      <c r="E16" s="1346" t="s">
        <v>3501</v>
      </c>
      <c r="F16" s="1349">
        <v>1.5</v>
      </c>
      <c r="G16" s="1389" t="s">
        <v>2532</v>
      </c>
      <c r="H16" s="1384">
        <v>3.75</v>
      </c>
    </row>
    <row r="17">
      <c r="A17" s="1351" t="s">
        <v>14</v>
      </c>
      <c r="B17" s="1385" t="s">
        <v>205</v>
      </c>
      <c r="C17" s="1386" t="s">
        <v>1495</v>
      </c>
      <c r="D17" s="1353">
        <v>39.65</v>
      </c>
      <c r="E17" s="1353" t="s">
        <v>3502</v>
      </c>
      <c r="F17" s="1356">
        <v>3.0</v>
      </c>
      <c r="G17" s="1390" t="s">
        <v>2262</v>
      </c>
      <c r="H17" s="1388">
        <v>45.6</v>
      </c>
    </row>
    <row r="18">
      <c r="A18" s="1344" t="s">
        <v>14</v>
      </c>
      <c r="B18" s="1381" t="s">
        <v>195</v>
      </c>
      <c r="C18" s="1382" t="s">
        <v>1495</v>
      </c>
      <c r="D18" s="1346">
        <v>9.47</v>
      </c>
      <c r="E18" s="1346" t="s">
        <v>2451</v>
      </c>
      <c r="F18" s="1349">
        <v>1.0</v>
      </c>
      <c r="G18" s="1389" t="s">
        <v>2452</v>
      </c>
      <c r="H18" s="1384">
        <v>10.9</v>
      </c>
    </row>
    <row r="19">
      <c r="A19" s="1351" t="s">
        <v>14</v>
      </c>
      <c r="B19" s="1385" t="s">
        <v>2621</v>
      </c>
      <c r="C19" s="1386" t="s">
        <v>1495</v>
      </c>
      <c r="D19" s="1353">
        <v>7.9</v>
      </c>
      <c r="E19" s="1353" t="s">
        <v>3503</v>
      </c>
      <c r="F19" s="1356">
        <v>0.5</v>
      </c>
      <c r="G19" s="1390" t="s">
        <v>2623</v>
      </c>
      <c r="H19" s="1388">
        <v>9.1</v>
      </c>
    </row>
    <row r="20">
      <c r="A20" s="1344" t="s">
        <v>14</v>
      </c>
      <c r="B20" s="1381" t="s">
        <v>2453</v>
      </c>
      <c r="C20" s="1382" t="s">
        <v>1495</v>
      </c>
      <c r="D20" s="1346">
        <v>16.27</v>
      </c>
      <c r="E20" s="1346" t="s">
        <v>2454</v>
      </c>
      <c r="F20" s="1349">
        <v>1.0</v>
      </c>
      <c r="G20" s="1389" t="s">
        <v>2455</v>
      </c>
      <c r="H20" s="1384">
        <v>18.75</v>
      </c>
    </row>
    <row r="21">
      <c r="A21" s="1351" t="s">
        <v>14</v>
      </c>
      <c r="B21" s="1385" t="s">
        <v>2166</v>
      </c>
      <c r="C21" s="1386" t="s">
        <v>1495</v>
      </c>
      <c r="D21" s="1353">
        <v>7.6</v>
      </c>
      <c r="E21" s="1353" t="s">
        <v>3504</v>
      </c>
      <c r="F21" s="1356"/>
      <c r="G21" s="1390" t="s">
        <v>2167</v>
      </c>
      <c r="H21" s="1391">
        <v>8.75</v>
      </c>
    </row>
    <row r="22">
      <c r="A22" s="1344" t="s">
        <v>14</v>
      </c>
      <c r="B22" s="1381" t="s">
        <v>2252</v>
      </c>
      <c r="C22" s="1382" t="s">
        <v>1495</v>
      </c>
      <c r="D22" s="1346">
        <v>33.65</v>
      </c>
      <c r="E22" s="1346" t="s">
        <v>3505</v>
      </c>
      <c r="F22" s="1349">
        <v>3.0</v>
      </c>
      <c r="G22" s="1389" t="s">
        <v>2253</v>
      </c>
      <c r="H22" s="1384">
        <v>38.7</v>
      </c>
    </row>
    <row r="23">
      <c r="A23" s="1351" t="s">
        <v>2157</v>
      </c>
      <c r="B23" s="1385" t="s">
        <v>1177</v>
      </c>
      <c r="C23" s="1386" t="s">
        <v>1495</v>
      </c>
      <c r="D23" s="1353"/>
      <c r="E23" s="1353" t="s">
        <v>3506</v>
      </c>
      <c r="F23" s="1356"/>
      <c r="G23" s="1390" t="s">
        <v>3244</v>
      </c>
      <c r="H23" s="1388"/>
    </row>
    <row r="24">
      <c r="A24" s="1344" t="s">
        <v>2157</v>
      </c>
      <c r="B24" s="1381" t="s">
        <v>2174</v>
      </c>
      <c r="C24" s="1382" t="s">
        <v>1495</v>
      </c>
      <c r="D24" s="1346"/>
      <c r="E24" s="1346" t="s">
        <v>3507</v>
      </c>
      <c r="F24" s="1349">
        <v>1.0</v>
      </c>
      <c r="G24" s="1389" t="s">
        <v>2175</v>
      </c>
      <c r="H24" s="1392"/>
    </row>
    <row r="25">
      <c r="A25" s="1351" t="s">
        <v>2157</v>
      </c>
      <c r="B25" s="1385" t="s">
        <v>362</v>
      </c>
      <c r="C25" s="1386" t="s">
        <v>1495</v>
      </c>
      <c r="D25" s="1353"/>
      <c r="E25" s="1353" t="s">
        <v>3508</v>
      </c>
      <c r="F25" s="1356">
        <v>1.0</v>
      </c>
      <c r="G25" s="1390" t="s">
        <v>2177</v>
      </c>
      <c r="H25" s="1388"/>
    </row>
    <row r="26">
      <c r="A26" s="1344" t="s">
        <v>2157</v>
      </c>
      <c r="B26" s="1381" t="s">
        <v>2178</v>
      </c>
      <c r="C26" s="1382" t="s">
        <v>1495</v>
      </c>
      <c r="D26" s="1346"/>
      <c r="E26" s="1346" t="s">
        <v>3509</v>
      </c>
      <c r="F26" s="1349">
        <v>1.0</v>
      </c>
      <c r="G26" s="1389" t="s">
        <v>2179</v>
      </c>
      <c r="H26" s="1384"/>
    </row>
    <row r="27">
      <c r="A27" s="1351" t="s">
        <v>2157</v>
      </c>
      <c r="B27" s="1385" t="s">
        <v>364</v>
      </c>
      <c r="C27" s="1386" t="s">
        <v>1495</v>
      </c>
      <c r="D27" s="1353"/>
      <c r="E27" s="1353" t="s">
        <v>3510</v>
      </c>
      <c r="F27" s="1356">
        <v>1.0</v>
      </c>
      <c r="G27" s="1390" t="s">
        <v>2180</v>
      </c>
      <c r="H27" s="1391"/>
    </row>
    <row r="28">
      <c r="A28" s="1344" t="s">
        <v>2157</v>
      </c>
      <c r="B28" s="1381" t="s">
        <v>365</v>
      </c>
      <c r="C28" s="1382" t="s">
        <v>1495</v>
      </c>
      <c r="D28" s="1346"/>
      <c r="E28" s="1346" t="s">
        <v>3511</v>
      </c>
      <c r="F28" s="1349">
        <v>1.0</v>
      </c>
      <c r="G28" s="1389" t="s">
        <v>2181</v>
      </c>
      <c r="H28" s="1392"/>
    </row>
    <row r="29">
      <c r="A29" s="1351" t="s">
        <v>2157</v>
      </c>
      <c r="B29" s="1385" t="s">
        <v>366</v>
      </c>
      <c r="C29" s="1386" t="s">
        <v>1495</v>
      </c>
      <c r="D29" s="1353"/>
      <c r="E29" s="1353" t="s">
        <v>3512</v>
      </c>
      <c r="F29" s="1356">
        <v>1.0</v>
      </c>
      <c r="G29" s="1390" t="s">
        <v>2182</v>
      </c>
      <c r="H29" s="1388"/>
    </row>
    <row r="30">
      <c r="A30" s="1344" t="s">
        <v>2157</v>
      </c>
      <c r="B30" s="1381" t="s">
        <v>367</v>
      </c>
      <c r="C30" s="1382" t="s">
        <v>1495</v>
      </c>
      <c r="D30" s="1346">
        <v>11.15</v>
      </c>
      <c r="E30" s="1346" t="s">
        <v>3513</v>
      </c>
      <c r="F30" s="1349">
        <v>1.0</v>
      </c>
      <c r="G30" s="1389" t="s">
        <v>2183</v>
      </c>
      <c r="H30" s="1384">
        <v>12.85</v>
      </c>
    </row>
    <row r="31">
      <c r="A31" s="1351" t="s">
        <v>2157</v>
      </c>
      <c r="B31" s="1385" t="s">
        <v>369</v>
      </c>
      <c r="C31" s="1386" t="s">
        <v>1495</v>
      </c>
      <c r="D31" s="1353">
        <v>6.15</v>
      </c>
      <c r="E31" s="1353" t="s">
        <v>3514</v>
      </c>
      <c r="F31" s="1356">
        <v>2.0</v>
      </c>
      <c r="G31" s="1390" t="s">
        <v>2185</v>
      </c>
      <c r="H31" s="1388">
        <v>7.1</v>
      </c>
    </row>
    <row r="32">
      <c r="A32" s="1344" t="s">
        <v>2157</v>
      </c>
      <c r="B32" s="1381" t="s">
        <v>370</v>
      </c>
      <c r="C32" s="1382" t="s">
        <v>1495</v>
      </c>
      <c r="D32" s="1346"/>
      <c r="E32" s="1346" t="s">
        <v>3515</v>
      </c>
      <c r="F32" s="1349">
        <v>2.0</v>
      </c>
      <c r="G32" s="1389" t="s">
        <v>2186</v>
      </c>
      <c r="H32" s="1384"/>
    </row>
    <row r="33">
      <c r="A33" s="1351" t="s">
        <v>2157</v>
      </c>
      <c r="B33" s="1385" t="s">
        <v>378</v>
      </c>
      <c r="C33" s="1386" t="s">
        <v>1495</v>
      </c>
      <c r="D33" s="1353"/>
      <c r="E33" s="1353" t="s">
        <v>3516</v>
      </c>
      <c r="F33" s="1356">
        <v>3.0</v>
      </c>
      <c r="G33" s="1390" t="s">
        <v>2197</v>
      </c>
      <c r="H33" s="1388"/>
    </row>
    <row r="34">
      <c r="A34" s="1344" t="s">
        <v>2157</v>
      </c>
      <c r="B34" s="1381" t="s">
        <v>388</v>
      </c>
      <c r="C34" s="1382" t="s">
        <v>1495</v>
      </c>
      <c r="D34" s="1346"/>
      <c r="E34" s="1346" t="s">
        <v>3517</v>
      </c>
      <c r="F34" s="1349">
        <v>1.0</v>
      </c>
      <c r="G34" s="1389" t="s">
        <v>2213</v>
      </c>
      <c r="H34" s="1384"/>
    </row>
    <row r="35">
      <c r="A35" s="1351" t="s">
        <v>2157</v>
      </c>
      <c r="B35" s="1385" t="s">
        <v>386</v>
      </c>
      <c r="C35" s="1386" t="s">
        <v>1495</v>
      </c>
      <c r="D35" s="1353"/>
      <c r="E35" s="1353" t="s">
        <v>3518</v>
      </c>
      <c r="F35" s="1356">
        <v>2.0</v>
      </c>
      <c r="G35" s="1390" t="s">
        <v>2211</v>
      </c>
      <c r="H35" s="1388"/>
    </row>
    <row r="36">
      <c r="A36" s="1344" t="s">
        <v>2157</v>
      </c>
      <c r="B36" s="1381" t="s">
        <v>387</v>
      </c>
      <c r="C36" s="1382" t="s">
        <v>1495</v>
      </c>
      <c r="D36" s="1346"/>
      <c r="E36" s="1346" t="s">
        <v>3519</v>
      </c>
      <c r="F36" s="1349">
        <v>2.0</v>
      </c>
      <c r="G36" s="1389" t="s">
        <v>2212</v>
      </c>
      <c r="H36" s="1393"/>
    </row>
    <row r="37">
      <c r="A37" s="1351" t="s">
        <v>2157</v>
      </c>
      <c r="B37" s="1385" t="s">
        <v>389</v>
      </c>
      <c r="C37" s="1386" t="s">
        <v>1495</v>
      </c>
      <c r="D37" s="1353"/>
      <c r="E37" s="1353" t="s">
        <v>3520</v>
      </c>
      <c r="F37" s="1356">
        <v>2.0</v>
      </c>
      <c r="G37" s="1390" t="s">
        <v>2214</v>
      </c>
      <c r="H37" s="1391"/>
    </row>
    <row r="38">
      <c r="A38" s="1344" t="s">
        <v>2157</v>
      </c>
      <c r="B38" s="1381" t="s">
        <v>390</v>
      </c>
      <c r="C38" s="1382" t="s">
        <v>1495</v>
      </c>
      <c r="D38" s="1346"/>
      <c r="E38" s="1346" t="s">
        <v>3521</v>
      </c>
      <c r="F38" s="1349">
        <v>2.0</v>
      </c>
      <c r="G38" s="1389" t="s">
        <v>2215</v>
      </c>
      <c r="H38" s="1384"/>
    </row>
    <row r="39">
      <c r="A39" s="1351" t="s">
        <v>2157</v>
      </c>
      <c r="B39" s="1385" t="s">
        <v>392</v>
      </c>
      <c r="C39" s="1386" t="s">
        <v>1495</v>
      </c>
      <c r="D39" s="1353"/>
      <c r="E39" s="1353" t="s">
        <v>3522</v>
      </c>
      <c r="F39" s="1356">
        <v>4.0</v>
      </c>
      <c r="G39" s="1390" t="s">
        <v>2217</v>
      </c>
      <c r="H39" s="1388"/>
    </row>
    <row r="40">
      <c r="A40" s="1344" t="s">
        <v>2157</v>
      </c>
      <c r="B40" s="1381" t="s">
        <v>393</v>
      </c>
      <c r="C40" s="1382" t="s">
        <v>1495</v>
      </c>
      <c r="D40" s="1346"/>
      <c r="E40" s="1346" t="s">
        <v>3523</v>
      </c>
      <c r="F40" s="1349">
        <v>4.0</v>
      </c>
      <c r="G40" s="1389" t="s">
        <v>2218</v>
      </c>
      <c r="H40" s="1384"/>
    </row>
    <row r="41">
      <c r="A41" s="1351" t="s">
        <v>2157</v>
      </c>
      <c r="B41" s="1385" t="s">
        <v>394</v>
      </c>
      <c r="C41" s="1386" t="s">
        <v>1495</v>
      </c>
      <c r="D41" s="1353"/>
      <c r="E41" s="1353" t="s">
        <v>3524</v>
      </c>
      <c r="F41" s="1356">
        <v>4.0</v>
      </c>
      <c r="G41" s="1390" t="s">
        <v>2219</v>
      </c>
      <c r="H41" s="1391"/>
    </row>
    <row r="42">
      <c r="A42" s="1344" t="s">
        <v>2157</v>
      </c>
      <c r="B42" s="1381" t="s">
        <v>391</v>
      </c>
      <c r="C42" s="1382" t="s">
        <v>1495</v>
      </c>
      <c r="D42" s="1346"/>
      <c r="E42" s="1346" t="s">
        <v>3525</v>
      </c>
      <c r="F42" s="1349">
        <v>4.0</v>
      </c>
      <c r="G42" s="1389" t="s">
        <v>2216</v>
      </c>
      <c r="H42" s="1384"/>
    </row>
    <row r="43">
      <c r="A43" s="1351" t="s">
        <v>2157</v>
      </c>
      <c r="B43" s="1385" t="s">
        <v>395</v>
      </c>
      <c r="C43" s="1386" t="s">
        <v>1495</v>
      </c>
      <c r="D43" s="1353"/>
      <c r="E43" s="1353" t="s">
        <v>3526</v>
      </c>
      <c r="F43" s="1356">
        <v>4.0</v>
      </c>
      <c r="G43" s="1390" t="s">
        <v>2220</v>
      </c>
      <c r="H43" s="1391"/>
    </row>
    <row r="44">
      <c r="A44" s="1344" t="s">
        <v>2157</v>
      </c>
      <c r="B44" s="1381" t="s">
        <v>2309</v>
      </c>
      <c r="C44" s="1382" t="s">
        <v>1495</v>
      </c>
      <c r="D44" s="1346">
        <v>10.2</v>
      </c>
      <c r="E44" s="1346" t="s">
        <v>2310</v>
      </c>
      <c r="F44" s="1349">
        <v>3.0</v>
      </c>
      <c r="G44" s="1389" t="s">
        <v>2311</v>
      </c>
      <c r="H44" s="1384">
        <v>11.75</v>
      </c>
    </row>
    <row r="45">
      <c r="A45" s="1351" t="s">
        <v>2157</v>
      </c>
      <c r="B45" s="1385" t="s">
        <v>2194</v>
      </c>
      <c r="C45" s="1386" t="s">
        <v>1495</v>
      </c>
      <c r="D45" s="1353">
        <v>10.2</v>
      </c>
      <c r="E45" s="1353" t="s">
        <v>3527</v>
      </c>
      <c r="F45" s="1356">
        <v>3.0</v>
      </c>
      <c r="G45" s="1390" t="s">
        <v>2195</v>
      </c>
      <c r="H45" s="1391">
        <v>11.75</v>
      </c>
    </row>
    <row r="46">
      <c r="A46" s="1344" t="s">
        <v>2157</v>
      </c>
      <c r="B46" s="1381" t="s">
        <v>421</v>
      </c>
      <c r="C46" s="1382" t="s">
        <v>1495</v>
      </c>
      <c r="D46" s="1346">
        <v>7.35</v>
      </c>
      <c r="E46" s="1346" t="s">
        <v>3528</v>
      </c>
      <c r="F46" s="1349">
        <v>3.0</v>
      </c>
      <c r="G46" s="1389" t="s">
        <v>2269</v>
      </c>
      <c r="H46" s="1392">
        <v>8.5</v>
      </c>
    </row>
    <row r="47">
      <c r="A47" s="1351" t="s">
        <v>2157</v>
      </c>
      <c r="B47" s="1385" t="s">
        <v>2267</v>
      </c>
      <c r="C47" s="1386" t="s">
        <v>1495</v>
      </c>
      <c r="D47" s="1353">
        <v>8.2</v>
      </c>
      <c r="E47" s="1353" t="s">
        <v>3529</v>
      </c>
      <c r="F47" s="1356">
        <v>3.0</v>
      </c>
      <c r="G47" s="1390" t="s">
        <v>2268</v>
      </c>
      <c r="H47" s="1391">
        <v>9.45</v>
      </c>
    </row>
    <row r="48">
      <c r="A48" s="1344" t="s">
        <v>2157</v>
      </c>
      <c r="B48" s="1381" t="s">
        <v>2297</v>
      </c>
      <c r="C48" s="1382" t="s">
        <v>1495</v>
      </c>
      <c r="D48" s="1346">
        <v>1.75</v>
      </c>
      <c r="E48" s="1346" t="s">
        <v>2298</v>
      </c>
      <c r="F48" s="1349">
        <v>1.0</v>
      </c>
      <c r="G48" s="1389" t="s">
        <v>2299</v>
      </c>
      <c r="H48" s="1392">
        <v>2.05</v>
      </c>
    </row>
    <row r="49">
      <c r="A49" s="1351" t="s">
        <v>2157</v>
      </c>
      <c r="B49" s="1385" t="s">
        <v>2292</v>
      </c>
      <c r="C49" s="1386" t="s">
        <v>1495</v>
      </c>
      <c r="D49" s="1353">
        <v>7.25</v>
      </c>
      <c r="E49" s="1353" t="s">
        <v>2293</v>
      </c>
      <c r="F49" s="1356">
        <v>3.0</v>
      </c>
      <c r="G49" s="1390" t="s">
        <v>2294</v>
      </c>
      <c r="H49" s="1391">
        <v>8.35</v>
      </c>
    </row>
    <row r="50">
      <c r="A50" s="1344" t="s">
        <v>2157</v>
      </c>
      <c r="B50" s="1381" t="s">
        <v>2209</v>
      </c>
      <c r="C50" s="1382" t="s">
        <v>1495</v>
      </c>
      <c r="D50" s="1346">
        <v>12.45</v>
      </c>
      <c r="E50" s="1346" t="s">
        <v>3530</v>
      </c>
      <c r="F50" s="1349">
        <v>3.0</v>
      </c>
      <c r="G50" s="1389" t="s">
        <v>2210</v>
      </c>
      <c r="H50" s="1392">
        <v>14.35</v>
      </c>
    </row>
    <row r="51">
      <c r="A51" s="1351" t="s">
        <v>2157</v>
      </c>
      <c r="B51" s="1385" t="s">
        <v>432</v>
      </c>
      <c r="C51" s="1386" t="s">
        <v>1495</v>
      </c>
      <c r="D51" s="1353">
        <v>7.5</v>
      </c>
      <c r="E51" s="1353" t="s">
        <v>2295</v>
      </c>
      <c r="F51" s="1356">
        <v>3.0</v>
      </c>
      <c r="G51" s="1390" t="s">
        <v>2296</v>
      </c>
      <c r="H51" s="1391">
        <v>8.65</v>
      </c>
    </row>
    <row r="52">
      <c r="A52" s="1344" t="s">
        <v>2157</v>
      </c>
      <c r="B52" s="1381" t="s">
        <v>429</v>
      </c>
      <c r="C52" s="1382" t="s">
        <v>1495</v>
      </c>
      <c r="D52" s="1346">
        <v>3.15</v>
      </c>
      <c r="E52" s="1346" t="s">
        <v>2287</v>
      </c>
      <c r="F52" s="1349">
        <v>2.0</v>
      </c>
      <c r="G52" s="1389" t="s">
        <v>2288</v>
      </c>
      <c r="H52" s="1392">
        <v>3.65</v>
      </c>
    </row>
    <row r="53">
      <c r="A53" s="1351" t="s">
        <v>2157</v>
      </c>
      <c r="B53" s="1385" t="s">
        <v>435</v>
      </c>
      <c r="C53" s="1386" t="s">
        <v>1495</v>
      </c>
      <c r="D53" s="1353">
        <v>6.25</v>
      </c>
      <c r="E53" s="1353" t="s">
        <v>2301</v>
      </c>
      <c r="F53" s="1356">
        <v>2.0</v>
      </c>
      <c r="G53" s="1390" t="s">
        <v>2302</v>
      </c>
      <c r="H53" s="1391">
        <v>7.2</v>
      </c>
    </row>
    <row r="54">
      <c r="A54" s="1344" t="s">
        <v>2157</v>
      </c>
      <c r="B54" s="1381" t="s">
        <v>434</v>
      </c>
      <c r="C54" s="1382" t="s">
        <v>1495</v>
      </c>
      <c r="D54" s="1346">
        <v>5.9</v>
      </c>
      <c r="E54" s="1346" t="s">
        <v>2287</v>
      </c>
      <c r="F54" s="1349">
        <v>2.0</v>
      </c>
      <c r="G54" s="1389" t="s">
        <v>2300</v>
      </c>
      <c r="H54" s="1392">
        <v>6.8</v>
      </c>
    </row>
    <row r="55">
      <c r="A55" s="1351" t="s">
        <v>2157</v>
      </c>
      <c r="B55" s="1385" t="s">
        <v>438</v>
      </c>
      <c r="C55" s="1386" t="s">
        <v>1495</v>
      </c>
      <c r="D55" s="1353">
        <v>7.5</v>
      </c>
      <c r="E55" s="1353" t="s">
        <v>2307</v>
      </c>
      <c r="F55" s="1356">
        <v>3.0</v>
      </c>
      <c r="G55" s="1390" t="s">
        <v>2308</v>
      </c>
      <c r="H55" s="1388">
        <v>8.65</v>
      </c>
    </row>
    <row r="56">
      <c r="A56" s="1344" t="s">
        <v>2157</v>
      </c>
      <c r="B56" s="1381" t="s">
        <v>437</v>
      </c>
      <c r="C56" s="1382" t="s">
        <v>1495</v>
      </c>
      <c r="D56" s="1346">
        <v>7.35</v>
      </c>
      <c r="E56" s="1346" t="s">
        <v>2305</v>
      </c>
      <c r="F56" s="1349">
        <v>3.0</v>
      </c>
      <c r="G56" s="1389" t="s">
        <v>2306</v>
      </c>
      <c r="H56" s="1384">
        <v>8.5</v>
      </c>
    </row>
    <row r="57">
      <c r="A57" s="1351" t="s">
        <v>2157</v>
      </c>
      <c r="B57" s="1385" t="s">
        <v>422</v>
      </c>
      <c r="C57" s="1386" t="s">
        <v>1495</v>
      </c>
      <c r="D57" s="1353">
        <v>10.05</v>
      </c>
      <c r="E57" s="1353" t="s">
        <v>3531</v>
      </c>
      <c r="F57" s="1356">
        <v>3.0</v>
      </c>
      <c r="G57" s="1390" t="s">
        <v>2270</v>
      </c>
      <c r="H57" s="1391">
        <v>11.6</v>
      </c>
    </row>
    <row r="58">
      <c r="A58" s="1344" t="s">
        <v>2157</v>
      </c>
      <c r="B58" s="1381" t="s">
        <v>2289</v>
      </c>
      <c r="C58" s="1382" t="s">
        <v>1495</v>
      </c>
      <c r="D58" s="1346">
        <v>3.55</v>
      </c>
      <c r="E58" s="1346" t="s">
        <v>2290</v>
      </c>
      <c r="F58" s="1349">
        <v>2.0</v>
      </c>
      <c r="G58" s="1389" t="s">
        <v>2291</v>
      </c>
      <c r="H58" s="1384">
        <v>4.1</v>
      </c>
    </row>
    <row r="59">
      <c r="A59" s="1351" t="s">
        <v>2157</v>
      </c>
      <c r="B59" s="1385" t="s">
        <v>368</v>
      </c>
      <c r="C59" s="1386" t="s">
        <v>1495</v>
      </c>
      <c r="D59" s="1353">
        <v>5.85</v>
      </c>
      <c r="E59" s="1353" t="s">
        <v>3532</v>
      </c>
      <c r="F59" s="1356">
        <v>2.0</v>
      </c>
      <c r="G59" s="1390" t="s">
        <v>2184</v>
      </c>
      <c r="H59" s="1391">
        <v>6.75</v>
      </c>
    </row>
    <row r="60">
      <c r="A60" s="1344" t="s">
        <v>2157</v>
      </c>
      <c r="B60" s="1381" t="s">
        <v>377</v>
      </c>
      <c r="C60" s="1382" t="s">
        <v>1495</v>
      </c>
      <c r="D60" s="1346">
        <v>9.6</v>
      </c>
      <c r="E60" s="1346" t="s">
        <v>3533</v>
      </c>
      <c r="F60" s="1349">
        <v>3.0</v>
      </c>
      <c r="G60" s="1389" t="s">
        <v>2196</v>
      </c>
      <c r="H60" s="1392">
        <v>11.05</v>
      </c>
    </row>
    <row r="61">
      <c r="A61" s="1351" t="s">
        <v>2157</v>
      </c>
      <c r="B61" s="1385" t="s">
        <v>428</v>
      </c>
      <c r="C61" s="1386" t="s">
        <v>1495</v>
      </c>
      <c r="D61" s="1353">
        <v>4.55</v>
      </c>
      <c r="E61" s="1353" t="s">
        <v>2285</v>
      </c>
      <c r="F61" s="1356">
        <v>2.0</v>
      </c>
      <c r="G61" s="1390" t="s">
        <v>2286</v>
      </c>
      <c r="H61" s="1388">
        <v>5.25</v>
      </c>
    </row>
    <row r="62">
      <c r="A62" s="1344" t="s">
        <v>2157</v>
      </c>
      <c r="B62" s="1381" t="s">
        <v>2278</v>
      </c>
      <c r="C62" s="1382" t="s">
        <v>1495</v>
      </c>
      <c r="D62" s="1346">
        <v>1.8</v>
      </c>
      <c r="E62" s="1346" t="s">
        <v>2279</v>
      </c>
      <c r="F62" s="1349">
        <v>1.0</v>
      </c>
      <c r="G62" s="1389" t="s">
        <v>2280</v>
      </c>
      <c r="H62" s="1392">
        <v>2.1</v>
      </c>
    </row>
    <row r="63">
      <c r="A63" s="1351" t="s">
        <v>2157</v>
      </c>
      <c r="B63" s="1385" t="s">
        <v>426</v>
      </c>
      <c r="C63" s="1386" t="s">
        <v>1495</v>
      </c>
      <c r="D63" s="1353">
        <v>1.5</v>
      </c>
      <c r="E63" s="1353" t="s">
        <v>2281</v>
      </c>
      <c r="F63" s="1356">
        <v>1.0</v>
      </c>
      <c r="G63" s="1390" t="s">
        <v>2282</v>
      </c>
      <c r="H63" s="1388">
        <v>1.75</v>
      </c>
    </row>
    <row r="64">
      <c r="A64" s="1344" t="s">
        <v>2157</v>
      </c>
      <c r="B64" s="1381" t="s">
        <v>436</v>
      </c>
      <c r="C64" s="1382" t="s">
        <v>1495</v>
      </c>
      <c r="D64" s="1346">
        <v>3.55</v>
      </c>
      <c r="E64" s="1346" t="s">
        <v>2303</v>
      </c>
      <c r="F64" s="1349">
        <v>2.0</v>
      </c>
      <c r="G64" s="1389" t="s">
        <v>2304</v>
      </c>
      <c r="H64" s="1384">
        <v>4.1</v>
      </c>
    </row>
    <row r="65">
      <c r="A65" s="1351" t="s">
        <v>2157</v>
      </c>
      <c r="B65" s="1385" t="s">
        <v>427</v>
      </c>
      <c r="C65" s="1386" t="s">
        <v>1495</v>
      </c>
      <c r="D65" s="1353"/>
      <c r="E65" s="1353" t="s">
        <v>2283</v>
      </c>
      <c r="F65" s="1356">
        <v>1.0</v>
      </c>
      <c r="G65" s="1390" t="s">
        <v>2284</v>
      </c>
      <c r="H65" s="1388"/>
    </row>
    <row r="66">
      <c r="A66" s="1344" t="s">
        <v>2157</v>
      </c>
      <c r="B66" s="1381" t="s">
        <v>417</v>
      </c>
      <c r="C66" s="1382" t="s">
        <v>1495</v>
      </c>
      <c r="D66" s="1346">
        <v>8.55</v>
      </c>
      <c r="E66" s="1346" t="s">
        <v>2263</v>
      </c>
      <c r="F66" s="1349">
        <v>2.0</v>
      </c>
      <c r="G66" s="1389" t="s">
        <v>2264</v>
      </c>
      <c r="H66" s="1384">
        <v>9.85</v>
      </c>
    </row>
    <row r="67">
      <c r="A67" s="1351" t="s">
        <v>2157</v>
      </c>
      <c r="B67" s="1385" t="s">
        <v>2221</v>
      </c>
      <c r="C67" s="1386" t="s">
        <v>1495</v>
      </c>
      <c r="D67" s="1353">
        <v>6.95</v>
      </c>
      <c r="E67" s="1353" t="s">
        <v>3534</v>
      </c>
      <c r="F67" s="1356">
        <v>2.0</v>
      </c>
      <c r="G67" s="1390" t="s">
        <v>2222</v>
      </c>
      <c r="H67" s="1388">
        <v>8.0</v>
      </c>
    </row>
    <row r="68">
      <c r="A68" s="1344" t="s">
        <v>2157</v>
      </c>
      <c r="B68" s="1381" t="s">
        <v>2223</v>
      </c>
      <c r="C68" s="1382" t="s">
        <v>1495</v>
      </c>
      <c r="D68" s="1346">
        <v>85.35</v>
      </c>
      <c r="E68" s="1346" t="s">
        <v>2224</v>
      </c>
      <c r="F68" s="1349">
        <v>3.0</v>
      </c>
      <c r="G68" s="1389" t="s">
        <v>2225</v>
      </c>
      <c r="H68" s="1384">
        <v>98.2</v>
      </c>
    </row>
    <row r="69">
      <c r="A69" s="1351" t="s">
        <v>2157</v>
      </c>
      <c r="B69" s="1385" t="s">
        <v>2158</v>
      </c>
      <c r="C69" s="1386" t="s">
        <v>1495</v>
      </c>
      <c r="D69" s="1353">
        <v>1.91</v>
      </c>
      <c r="E69" s="1353" t="s">
        <v>2159</v>
      </c>
      <c r="F69" s="1356">
        <v>1.0</v>
      </c>
      <c r="G69" s="1390" t="s">
        <v>2160</v>
      </c>
      <c r="H69" s="1388">
        <v>2.2</v>
      </c>
    </row>
    <row r="70">
      <c r="A70" s="1344" t="s">
        <v>2157</v>
      </c>
      <c r="B70" s="1381" t="s">
        <v>361</v>
      </c>
      <c r="C70" s="1382" t="s">
        <v>1495</v>
      </c>
      <c r="D70" s="1346">
        <v>8.84</v>
      </c>
      <c r="E70" s="1346" t="s">
        <v>3535</v>
      </c>
      <c r="F70" s="1349">
        <v>1.0</v>
      </c>
      <c r="G70" s="1389" t="s">
        <v>2176</v>
      </c>
      <c r="H70" s="1384">
        <v>10.2</v>
      </c>
    </row>
    <row r="71">
      <c r="A71" s="1351" t="s">
        <v>2157</v>
      </c>
      <c r="B71" s="1385" t="s">
        <v>419</v>
      </c>
      <c r="C71" s="1386" t="s">
        <v>1495</v>
      </c>
      <c r="D71" s="1353">
        <v>4.55</v>
      </c>
      <c r="E71" s="1353" t="s">
        <v>3536</v>
      </c>
      <c r="F71" s="1356">
        <v>1.0</v>
      </c>
      <c r="G71" s="1390" t="s">
        <v>2266</v>
      </c>
      <c r="H71" s="1388">
        <v>5.25</v>
      </c>
    </row>
    <row r="72">
      <c r="A72" s="1344" t="s">
        <v>2456</v>
      </c>
      <c r="B72" s="1381" t="s">
        <v>2700</v>
      </c>
      <c r="C72" s="1382" t="s">
        <v>1642</v>
      </c>
      <c r="D72" s="1346">
        <v>7.65</v>
      </c>
      <c r="E72" s="1346" t="s">
        <v>2701</v>
      </c>
      <c r="F72" s="1349"/>
      <c r="G72" s="1389" t="s">
        <v>2702</v>
      </c>
      <c r="H72" s="1384">
        <v>8.8</v>
      </c>
    </row>
    <row r="73">
      <c r="A73" s="1351" t="s">
        <v>2456</v>
      </c>
      <c r="B73" s="1385" t="s">
        <v>2457</v>
      </c>
      <c r="C73" s="1386" t="s">
        <v>1642</v>
      </c>
      <c r="D73" s="1353">
        <v>1.7</v>
      </c>
      <c r="E73" s="1353" t="s">
        <v>2458</v>
      </c>
      <c r="F73" s="1356"/>
      <c r="G73" s="1390" t="s">
        <v>2459</v>
      </c>
      <c r="H73" s="1391">
        <v>2.0</v>
      </c>
    </row>
    <row r="74">
      <c r="A74" s="1344" t="s">
        <v>2456</v>
      </c>
      <c r="B74" s="1381" t="s">
        <v>656</v>
      </c>
      <c r="C74" s="1382" t="s">
        <v>1642</v>
      </c>
      <c r="D74" s="1346">
        <v>0.1</v>
      </c>
      <c r="E74" s="1346" t="s">
        <v>2717</v>
      </c>
      <c r="F74" s="1349"/>
      <c r="G74" s="1389" t="s">
        <v>2718</v>
      </c>
      <c r="H74" s="1392">
        <v>0.15</v>
      </c>
    </row>
    <row r="75">
      <c r="A75" s="1351" t="s">
        <v>2456</v>
      </c>
      <c r="B75" s="1385" t="s">
        <v>653</v>
      </c>
      <c r="C75" s="1386" t="s">
        <v>1642</v>
      </c>
      <c r="D75" s="1353">
        <v>0.3</v>
      </c>
      <c r="E75" s="1353" t="s">
        <v>2711</v>
      </c>
      <c r="F75" s="1356"/>
      <c r="G75" s="1390" t="s">
        <v>2712</v>
      </c>
      <c r="H75" s="1391">
        <v>0.35</v>
      </c>
    </row>
    <row r="76">
      <c r="A76" s="1344" t="s">
        <v>2456</v>
      </c>
      <c r="B76" s="1381" t="s">
        <v>3273</v>
      </c>
      <c r="C76" s="1382" t="s">
        <v>1495</v>
      </c>
      <c r="D76" s="1346">
        <v>1.53</v>
      </c>
      <c r="E76" s="1346" t="s">
        <v>3274</v>
      </c>
      <c r="F76" s="1349"/>
      <c r="G76" s="1389" t="s">
        <v>3275</v>
      </c>
      <c r="H76" s="1392">
        <v>1.8</v>
      </c>
    </row>
    <row r="77">
      <c r="A77" s="1351" t="s">
        <v>2456</v>
      </c>
      <c r="B77" s="1385" t="s">
        <v>1227</v>
      </c>
      <c r="C77" s="1386" t="s">
        <v>1495</v>
      </c>
      <c r="D77" s="1353">
        <v>2.0</v>
      </c>
      <c r="E77" s="1354"/>
      <c r="F77" s="1356"/>
      <c r="G77" s="1390" t="s">
        <v>3290</v>
      </c>
      <c r="H77" s="1391">
        <v>2.3</v>
      </c>
    </row>
    <row r="78">
      <c r="A78" s="1344" t="s">
        <v>2456</v>
      </c>
      <c r="B78" s="1381" t="s">
        <v>3292</v>
      </c>
      <c r="C78" s="1382" t="s">
        <v>1495</v>
      </c>
      <c r="D78" s="1346">
        <v>1.21</v>
      </c>
      <c r="E78" s="1347"/>
      <c r="F78" s="1349"/>
      <c r="G78" s="1389" t="s">
        <v>3293</v>
      </c>
      <c r="H78" s="1392">
        <v>1.4</v>
      </c>
    </row>
    <row r="79">
      <c r="A79" s="1351" t="s">
        <v>2456</v>
      </c>
      <c r="B79" s="1385" t="s">
        <v>1453</v>
      </c>
      <c r="C79" s="1386" t="s">
        <v>1495</v>
      </c>
      <c r="D79" s="1353">
        <v>32.08</v>
      </c>
      <c r="E79" s="1354"/>
      <c r="F79" s="1356"/>
      <c r="G79" s="1387"/>
      <c r="H79" s="1391">
        <v>36.9</v>
      </c>
    </row>
    <row r="80">
      <c r="A80" s="1344" t="s">
        <v>2456</v>
      </c>
      <c r="B80" s="1381" t="s">
        <v>1420</v>
      </c>
      <c r="C80" s="1382" t="s">
        <v>1495</v>
      </c>
      <c r="D80" s="1346">
        <v>0.24</v>
      </c>
      <c r="E80" s="1347"/>
      <c r="F80" s="1349"/>
      <c r="G80" s="1389" t="s">
        <v>3449</v>
      </c>
      <c r="H80" s="1392">
        <v>0.3</v>
      </c>
    </row>
    <row r="81">
      <c r="A81" s="1351" t="s">
        <v>2456</v>
      </c>
      <c r="B81" s="1385" t="s">
        <v>1228</v>
      </c>
      <c r="C81" s="1386" t="s">
        <v>1495</v>
      </c>
      <c r="D81" s="1353">
        <v>0.47</v>
      </c>
      <c r="E81" s="1354"/>
      <c r="F81" s="1356"/>
      <c r="G81" s="1390" t="s">
        <v>3291</v>
      </c>
      <c r="H81" s="1388">
        <v>0.55</v>
      </c>
    </row>
    <row r="82">
      <c r="A82" s="1344" t="s">
        <v>319</v>
      </c>
      <c r="B82" s="1381" t="s">
        <v>795</v>
      </c>
      <c r="C82" s="1382" t="s">
        <v>1495</v>
      </c>
      <c r="D82" s="1346">
        <v>1800.0</v>
      </c>
      <c r="E82" s="1347"/>
      <c r="F82" s="1349"/>
      <c r="G82" s="1383"/>
      <c r="H82" s="1392">
        <v>2070.0</v>
      </c>
    </row>
    <row r="83">
      <c r="A83" s="1351" t="s">
        <v>319</v>
      </c>
      <c r="B83" s="1385" t="s">
        <v>1254</v>
      </c>
      <c r="C83" s="1386" t="s">
        <v>1495</v>
      </c>
      <c r="D83" s="1353"/>
      <c r="E83" s="1354"/>
      <c r="F83" s="1356"/>
      <c r="G83" s="1387"/>
      <c r="H83" s="1388"/>
    </row>
    <row r="84">
      <c r="A84" s="1344" t="s">
        <v>319</v>
      </c>
      <c r="B84" s="1381" t="s">
        <v>1261</v>
      </c>
      <c r="C84" s="1382" t="s">
        <v>1495</v>
      </c>
      <c r="D84" s="1346"/>
      <c r="E84" s="1347"/>
      <c r="F84" s="1349"/>
      <c r="G84" s="1383"/>
      <c r="H84" s="1384"/>
    </row>
    <row r="85">
      <c r="A85" s="1351" t="s">
        <v>319</v>
      </c>
      <c r="B85" s="1385" t="s">
        <v>1250</v>
      </c>
      <c r="C85" s="1386" t="s">
        <v>1495</v>
      </c>
      <c r="D85" s="1353"/>
      <c r="E85" s="1354"/>
      <c r="F85" s="1356"/>
      <c r="G85" s="1387"/>
      <c r="H85" s="1391"/>
    </row>
    <row r="86">
      <c r="A86" s="1344" t="s">
        <v>319</v>
      </c>
      <c r="B86" s="1381" t="s">
        <v>1251</v>
      </c>
      <c r="C86" s="1382" t="s">
        <v>1495</v>
      </c>
      <c r="D86" s="1346"/>
      <c r="E86" s="1347"/>
      <c r="F86" s="1349"/>
      <c r="G86" s="1383"/>
      <c r="H86" s="1384"/>
    </row>
    <row r="87">
      <c r="A87" s="1351" t="s">
        <v>319</v>
      </c>
      <c r="B87" s="1385" t="s">
        <v>1248</v>
      </c>
      <c r="C87" s="1386" t="s">
        <v>1495</v>
      </c>
      <c r="D87" s="1353"/>
      <c r="E87" s="1354"/>
      <c r="F87" s="1356"/>
      <c r="G87" s="1387"/>
      <c r="H87" s="1391"/>
    </row>
    <row r="88">
      <c r="A88" s="1344" t="s">
        <v>319</v>
      </c>
      <c r="B88" s="1381" t="s">
        <v>1249</v>
      </c>
      <c r="C88" s="1382" t="s">
        <v>1495</v>
      </c>
      <c r="D88" s="1346"/>
      <c r="E88" s="1347"/>
      <c r="F88" s="1349"/>
      <c r="G88" s="1383"/>
      <c r="H88" s="1384"/>
    </row>
    <row r="89">
      <c r="A89" s="1351" t="s">
        <v>319</v>
      </c>
      <c r="B89" s="1385" t="s">
        <v>1252</v>
      </c>
      <c r="C89" s="1386" t="s">
        <v>1495</v>
      </c>
      <c r="D89" s="1353"/>
      <c r="E89" s="1354"/>
      <c r="F89" s="1356"/>
      <c r="G89" s="1387"/>
      <c r="H89" s="1388"/>
    </row>
    <row r="90">
      <c r="A90" s="1344" t="s">
        <v>319</v>
      </c>
      <c r="B90" s="1381" t="s">
        <v>1257</v>
      </c>
      <c r="C90" s="1382" t="s">
        <v>1495</v>
      </c>
      <c r="D90" s="1346"/>
      <c r="E90" s="1347"/>
      <c r="F90" s="1349"/>
      <c r="G90" s="1383"/>
      <c r="H90" s="1384"/>
    </row>
    <row r="91">
      <c r="A91" s="1351" t="s">
        <v>319</v>
      </c>
      <c r="B91" s="1385" t="s">
        <v>1258</v>
      </c>
      <c r="C91" s="1386" t="s">
        <v>1495</v>
      </c>
      <c r="D91" s="1353"/>
      <c r="E91" s="1354"/>
      <c r="F91" s="1356"/>
      <c r="G91" s="1387"/>
      <c r="H91" s="1391"/>
    </row>
    <row r="92">
      <c r="A92" s="1344" t="s">
        <v>319</v>
      </c>
      <c r="B92" s="1381" t="s">
        <v>1259</v>
      </c>
      <c r="C92" s="1382" t="s">
        <v>1495</v>
      </c>
      <c r="D92" s="1346"/>
      <c r="E92" s="1347"/>
      <c r="F92" s="1349"/>
      <c r="G92" s="1383"/>
      <c r="H92" s="1392"/>
    </row>
    <row r="93">
      <c r="A93" s="1351" t="s">
        <v>319</v>
      </c>
      <c r="B93" s="1385" t="s">
        <v>1260</v>
      </c>
      <c r="C93" s="1386" t="s">
        <v>1495</v>
      </c>
      <c r="D93" s="1353"/>
      <c r="E93" s="1354"/>
      <c r="F93" s="1356"/>
      <c r="G93" s="1387"/>
      <c r="H93" s="1388"/>
    </row>
    <row r="94">
      <c r="A94" s="1344" t="s">
        <v>319</v>
      </c>
      <c r="B94" s="1381" t="s">
        <v>1247</v>
      </c>
      <c r="C94" s="1382" t="s">
        <v>1495</v>
      </c>
      <c r="D94" s="1346"/>
      <c r="E94" s="1347"/>
      <c r="F94" s="1349"/>
      <c r="G94" s="1383"/>
      <c r="H94" s="1392"/>
    </row>
    <row r="95">
      <c r="A95" s="1351" t="s">
        <v>319</v>
      </c>
      <c r="B95" s="1385" t="s">
        <v>793</v>
      </c>
      <c r="C95" s="1386" t="s">
        <v>1495</v>
      </c>
      <c r="D95" s="1353"/>
      <c r="E95" s="1354"/>
      <c r="F95" s="1356"/>
      <c r="G95" s="1387"/>
      <c r="H95" s="1391"/>
    </row>
    <row r="96">
      <c r="A96" s="1344" t="s">
        <v>319</v>
      </c>
      <c r="B96" s="1381" t="s">
        <v>792</v>
      </c>
      <c r="C96" s="1382" t="s">
        <v>1495</v>
      </c>
      <c r="D96" s="1346"/>
      <c r="E96" s="1347"/>
      <c r="F96" s="1349"/>
      <c r="G96" s="1383"/>
      <c r="H96" s="1392"/>
    </row>
    <row r="97">
      <c r="A97" s="1351" t="s">
        <v>319</v>
      </c>
      <c r="B97" s="1385" t="s">
        <v>801</v>
      </c>
      <c r="C97" s="1386" t="s">
        <v>1495</v>
      </c>
      <c r="D97" s="1353">
        <v>1200.0</v>
      </c>
      <c r="E97" s="1353" t="s">
        <v>3537</v>
      </c>
      <c r="F97" s="1356"/>
      <c r="G97" s="1387"/>
      <c r="H97" s="1391">
        <v>1380.0</v>
      </c>
    </row>
    <row r="98">
      <c r="A98" s="1344" t="s">
        <v>319</v>
      </c>
      <c r="B98" s="1381" t="s">
        <v>1051</v>
      </c>
      <c r="C98" s="1382" t="s">
        <v>1495</v>
      </c>
      <c r="D98" s="1346"/>
      <c r="E98" s="1346" t="s">
        <v>3538</v>
      </c>
      <c r="F98" s="1349"/>
      <c r="G98" s="1383"/>
      <c r="H98" s="1392"/>
    </row>
    <row r="99">
      <c r="A99" s="1351" t="s">
        <v>319</v>
      </c>
      <c r="B99" s="1385" t="s">
        <v>1042</v>
      </c>
      <c r="C99" s="1386" t="s">
        <v>1495</v>
      </c>
      <c r="D99" s="1353"/>
      <c r="E99" s="1353" t="s">
        <v>3539</v>
      </c>
      <c r="F99" s="1356"/>
      <c r="G99" s="1387"/>
      <c r="H99" s="1391"/>
    </row>
    <row r="100">
      <c r="A100" s="1344" t="s">
        <v>319</v>
      </c>
      <c r="B100" s="1381" t="s">
        <v>1043</v>
      </c>
      <c r="C100" s="1382" t="s">
        <v>1495</v>
      </c>
      <c r="D100" s="1346"/>
      <c r="E100" s="1346" t="s">
        <v>3540</v>
      </c>
      <c r="F100" s="1349"/>
      <c r="G100" s="1383"/>
      <c r="H100" s="1384"/>
    </row>
    <row r="101">
      <c r="A101" s="1351" t="s">
        <v>319</v>
      </c>
      <c r="B101" s="1385" t="s">
        <v>1044</v>
      </c>
      <c r="C101" s="1386" t="s">
        <v>1495</v>
      </c>
      <c r="D101" s="1353"/>
      <c r="E101" s="1353" t="s">
        <v>3541</v>
      </c>
      <c r="F101" s="1356"/>
      <c r="G101" s="1387"/>
      <c r="H101" s="1388"/>
    </row>
    <row r="102">
      <c r="A102" s="1344" t="s">
        <v>319</v>
      </c>
      <c r="B102" s="1381" t="s">
        <v>1045</v>
      </c>
      <c r="C102" s="1382" t="s">
        <v>1495</v>
      </c>
      <c r="D102" s="1346"/>
      <c r="E102" s="1346" t="s">
        <v>3542</v>
      </c>
      <c r="F102" s="1349"/>
      <c r="G102" s="1383"/>
      <c r="H102" s="1392"/>
    </row>
    <row r="103">
      <c r="A103" s="1351" t="s">
        <v>319</v>
      </c>
      <c r="B103" s="1385" t="s">
        <v>1046</v>
      </c>
      <c r="C103" s="1386" t="s">
        <v>1495</v>
      </c>
      <c r="D103" s="1353"/>
      <c r="E103" s="1353" t="s">
        <v>3543</v>
      </c>
      <c r="F103" s="1356"/>
      <c r="G103" s="1387"/>
      <c r="H103" s="1388"/>
    </row>
    <row r="104">
      <c r="A104" s="1344" t="s">
        <v>319</v>
      </c>
      <c r="B104" s="1381" t="s">
        <v>1047</v>
      </c>
      <c r="C104" s="1382" t="s">
        <v>1495</v>
      </c>
      <c r="D104" s="1346"/>
      <c r="E104" s="1346" t="s">
        <v>3544</v>
      </c>
      <c r="F104" s="1349"/>
      <c r="G104" s="1383"/>
      <c r="H104" s="1384"/>
    </row>
    <row r="105">
      <c r="A105" s="1351" t="s">
        <v>319</v>
      </c>
      <c r="B105" s="1385" t="s">
        <v>1050</v>
      </c>
      <c r="C105" s="1386" t="s">
        <v>1495</v>
      </c>
      <c r="D105" s="1353"/>
      <c r="E105" s="1353" t="s">
        <v>3545</v>
      </c>
      <c r="F105" s="1356"/>
      <c r="G105" s="1387"/>
      <c r="H105" s="1388"/>
    </row>
    <row r="106">
      <c r="A106" s="1344" t="s">
        <v>319</v>
      </c>
      <c r="B106" s="1381" t="s">
        <v>1048</v>
      </c>
      <c r="C106" s="1382" t="s">
        <v>1495</v>
      </c>
      <c r="D106" s="1346"/>
      <c r="E106" s="1346" t="s">
        <v>3546</v>
      </c>
      <c r="F106" s="1349"/>
      <c r="G106" s="1383"/>
      <c r="H106" s="1392"/>
    </row>
    <row r="107">
      <c r="A107" s="1351" t="s">
        <v>319</v>
      </c>
      <c r="B107" s="1385" t="s">
        <v>1049</v>
      </c>
      <c r="C107" s="1386" t="s">
        <v>1495</v>
      </c>
      <c r="D107" s="1353"/>
      <c r="E107" s="1353" t="s">
        <v>3547</v>
      </c>
      <c r="F107" s="1356"/>
      <c r="G107" s="1387"/>
      <c r="H107" s="1388"/>
    </row>
    <row r="108">
      <c r="A108" s="1344" t="s">
        <v>319</v>
      </c>
      <c r="B108" s="1381" t="s">
        <v>799</v>
      </c>
      <c r="C108" s="1382" t="s">
        <v>1495</v>
      </c>
      <c r="D108" s="1346"/>
      <c r="E108" s="1346" t="s">
        <v>3548</v>
      </c>
      <c r="F108" s="1349"/>
      <c r="G108" s="1383"/>
      <c r="H108" s="1392"/>
    </row>
    <row r="109">
      <c r="A109" s="1351" t="s">
        <v>319</v>
      </c>
      <c r="B109" s="1385" t="s">
        <v>1263</v>
      </c>
      <c r="C109" s="1386" t="s">
        <v>1495</v>
      </c>
      <c r="D109" s="1353"/>
      <c r="E109" s="1353" t="s">
        <v>3549</v>
      </c>
      <c r="F109" s="1356"/>
      <c r="G109" s="1387"/>
      <c r="H109" s="1391"/>
    </row>
    <row r="110">
      <c r="A110" s="1344" t="s">
        <v>319</v>
      </c>
      <c r="B110" s="1381" t="s">
        <v>803</v>
      </c>
      <c r="C110" s="1382" t="s">
        <v>1495</v>
      </c>
      <c r="D110" s="1346"/>
      <c r="E110" s="1347"/>
      <c r="F110" s="1349"/>
      <c r="G110" s="1383"/>
      <c r="H110" s="1392"/>
    </row>
    <row r="111">
      <c r="A111" s="1351" t="s">
        <v>319</v>
      </c>
      <c r="B111" s="1385" t="s">
        <v>802</v>
      </c>
      <c r="C111" s="1386" t="s">
        <v>1495</v>
      </c>
      <c r="D111" s="1353">
        <v>1200.0</v>
      </c>
      <c r="E111" s="1353" t="s">
        <v>3550</v>
      </c>
      <c r="F111" s="1356"/>
      <c r="G111" s="1387"/>
      <c r="H111" s="1391">
        <v>1320.0</v>
      </c>
    </row>
    <row r="112">
      <c r="A112" s="1344" t="s">
        <v>319</v>
      </c>
      <c r="B112" s="1381" t="s">
        <v>1262</v>
      </c>
      <c r="C112" s="1382" t="s">
        <v>1495</v>
      </c>
      <c r="D112" s="1346">
        <v>650.0</v>
      </c>
      <c r="E112" s="1347"/>
      <c r="F112" s="1349"/>
      <c r="G112" s="1383"/>
      <c r="H112" s="1392">
        <v>747.5</v>
      </c>
    </row>
    <row r="113">
      <c r="A113" s="1351" t="s">
        <v>319</v>
      </c>
      <c r="B113" s="1385" t="s">
        <v>785</v>
      </c>
      <c r="C113" s="1386" t="s">
        <v>1495</v>
      </c>
      <c r="D113" s="1353">
        <v>1696.0</v>
      </c>
      <c r="E113" s="1354"/>
      <c r="F113" s="1356"/>
      <c r="G113" s="1387"/>
      <c r="H113" s="1391">
        <v>1950.4</v>
      </c>
    </row>
    <row r="114">
      <c r="A114" s="1344" t="s">
        <v>319</v>
      </c>
      <c r="B114" s="1381" t="s">
        <v>794</v>
      </c>
      <c r="C114" s="1382" t="s">
        <v>1495</v>
      </c>
      <c r="D114" s="1346">
        <v>1100.0</v>
      </c>
      <c r="E114" s="1347"/>
      <c r="F114" s="1349"/>
      <c r="G114" s="1383"/>
      <c r="H114" s="1392">
        <v>1265.0</v>
      </c>
    </row>
    <row r="115">
      <c r="A115" s="1351" t="s">
        <v>319</v>
      </c>
      <c r="B115" s="1385" t="s">
        <v>2970</v>
      </c>
      <c r="C115" s="1386" t="s">
        <v>1495</v>
      </c>
      <c r="D115" s="1353">
        <v>1122.0</v>
      </c>
      <c r="E115" s="1354"/>
      <c r="F115" s="1356"/>
      <c r="G115" s="1387"/>
      <c r="H115" s="1391">
        <v>1290.3</v>
      </c>
    </row>
    <row r="116">
      <c r="A116" s="1344" t="s">
        <v>319</v>
      </c>
      <c r="B116" s="1381" t="s">
        <v>467</v>
      </c>
      <c r="C116" s="1382" t="s">
        <v>1495</v>
      </c>
      <c r="D116" s="1346">
        <v>750.0</v>
      </c>
      <c r="E116" s="1347"/>
      <c r="F116" s="1349"/>
      <c r="G116" s="1383"/>
      <c r="H116" s="1384">
        <v>862.5</v>
      </c>
    </row>
    <row r="117">
      <c r="A117" s="1351" t="s">
        <v>319</v>
      </c>
      <c r="B117" s="1385" t="s">
        <v>800</v>
      </c>
      <c r="C117" s="1386" t="s">
        <v>1495</v>
      </c>
      <c r="D117" s="1353">
        <v>2177.0</v>
      </c>
      <c r="E117" s="1354"/>
      <c r="F117" s="1356"/>
      <c r="G117" s="1387"/>
      <c r="H117" s="1391">
        <v>2503.55</v>
      </c>
    </row>
    <row r="118">
      <c r="A118" s="1344" t="s">
        <v>319</v>
      </c>
      <c r="B118" s="1381" t="s">
        <v>798</v>
      </c>
      <c r="C118" s="1382" t="s">
        <v>1495</v>
      </c>
      <c r="D118" s="1346">
        <v>1471.72</v>
      </c>
      <c r="E118" s="1347"/>
      <c r="F118" s="1349"/>
      <c r="G118" s="1383"/>
      <c r="H118" s="1392">
        <v>1692.5</v>
      </c>
    </row>
    <row r="119">
      <c r="A119" s="1351" t="s">
        <v>319</v>
      </c>
      <c r="B119" s="1385" t="s">
        <v>2969</v>
      </c>
      <c r="C119" s="1386" t="s">
        <v>1495</v>
      </c>
      <c r="D119" s="1353">
        <v>1798.06</v>
      </c>
      <c r="E119" s="1354"/>
      <c r="F119" s="1356"/>
      <c r="G119" s="1387"/>
      <c r="H119" s="1391">
        <v>2067.8</v>
      </c>
    </row>
    <row r="120">
      <c r="A120" s="1344" t="s">
        <v>319</v>
      </c>
      <c r="B120" s="1381" t="s">
        <v>2968</v>
      </c>
      <c r="C120" s="1382" t="s">
        <v>1495</v>
      </c>
      <c r="D120" s="1346">
        <v>2033.53</v>
      </c>
      <c r="E120" s="1347"/>
      <c r="F120" s="1349"/>
      <c r="G120" s="1383"/>
      <c r="H120" s="1392">
        <v>2338.6</v>
      </c>
    </row>
    <row r="121">
      <c r="A121" s="1394" t="s">
        <v>319</v>
      </c>
      <c r="B121" s="1395" t="s">
        <v>786</v>
      </c>
      <c r="C121" s="1396" t="s">
        <v>1495</v>
      </c>
      <c r="D121" s="1397">
        <v>3170.0</v>
      </c>
      <c r="E121" s="1398"/>
      <c r="F121" s="1399"/>
      <c r="G121" s="1400"/>
      <c r="H121" s="1391">
        <v>3645.5</v>
      </c>
    </row>
    <row r="122">
      <c r="A122" s="1344" t="s">
        <v>319</v>
      </c>
      <c r="B122" s="1381" t="s">
        <v>814</v>
      </c>
      <c r="C122" s="1382" t="s">
        <v>1495</v>
      </c>
      <c r="D122" s="1346">
        <v>5247.0</v>
      </c>
      <c r="E122" s="1347"/>
      <c r="F122" s="1349"/>
      <c r="G122" s="1383"/>
      <c r="H122" s="1392">
        <v>6034.05</v>
      </c>
    </row>
    <row r="123">
      <c r="A123" s="1351" t="s">
        <v>319</v>
      </c>
      <c r="B123" s="1385" t="s">
        <v>2967</v>
      </c>
      <c r="C123" s="1386" t="s">
        <v>1495</v>
      </c>
      <c r="D123" s="1353">
        <v>2198.0</v>
      </c>
      <c r="E123" s="1354"/>
      <c r="F123" s="1356"/>
      <c r="G123" s="1387"/>
      <c r="H123" s="1391">
        <v>2527.7</v>
      </c>
    </row>
    <row r="124">
      <c r="A124" s="1344" t="s">
        <v>319</v>
      </c>
      <c r="B124" s="1381" t="s">
        <v>1255</v>
      </c>
      <c r="C124" s="1382" t="s">
        <v>1495</v>
      </c>
      <c r="D124" s="1346">
        <v>4650.0</v>
      </c>
      <c r="E124" s="1347"/>
      <c r="F124" s="1349"/>
      <c r="G124" s="1383"/>
      <c r="H124" s="1392">
        <v>5347.5</v>
      </c>
    </row>
    <row r="125">
      <c r="A125" s="1351" t="s">
        <v>319</v>
      </c>
      <c r="B125" s="1385" t="s">
        <v>1267</v>
      </c>
      <c r="C125" s="1386" t="s">
        <v>1495</v>
      </c>
      <c r="D125" s="1353">
        <v>1196.0</v>
      </c>
      <c r="E125" s="1354"/>
      <c r="F125" s="1356"/>
      <c r="G125" s="1387"/>
      <c r="H125" s="1391">
        <v>1375.4</v>
      </c>
    </row>
    <row r="126">
      <c r="A126" s="1344" t="s">
        <v>319</v>
      </c>
      <c r="B126" s="1381" t="s">
        <v>1268</v>
      </c>
      <c r="C126" s="1382" t="s">
        <v>1495</v>
      </c>
      <c r="D126" s="1346">
        <v>2654.0</v>
      </c>
      <c r="E126" s="1347"/>
      <c r="F126" s="1349"/>
      <c r="G126" s="1383"/>
      <c r="H126" s="1392">
        <v>3052.1</v>
      </c>
    </row>
    <row r="127">
      <c r="A127" s="1351" t="s">
        <v>319</v>
      </c>
      <c r="B127" s="1385" t="s">
        <v>1265</v>
      </c>
      <c r="C127" s="1386" t="s">
        <v>1495</v>
      </c>
      <c r="D127" s="1353">
        <v>3037.0</v>
      </c>
      <c r="E127" s="1354"/>
      <c r="F127" s="1356"/>
      <c r="G127" s="1387"/>
      <c r="H127" s="1391">
        <v>3492.55</v>
      </c>
    </row>
    <row r="128">
      <c r="A128" s="1344" t="s">
        <v>319</v>
      </c>
      <c r="B128" s="1381" t="s">
        <v>1271</v>
      </c>
      <c r="C128" s="1382" t="s">
        <v>1495</v>
      </c>
      <c r="D128" s="1346">
        <v>2036.0</v>
      </c>
      <c r="E128" s="1347"/>
      <c r="F128" s="1349"/>
      <c r="G128" s="1383"/>
      <c r="H128" s="1392">
        <v>2341.4</v>
      </c>
    </row>
    <row r="129">
      <c r="A129" s="1351" t="s">
        <v>319</v>
      </c>
      <c r="B129" s="1385" t="s">
        <v>1272</v>
      </c>
      <c r="C129" s="1386" t="s">
        <v>1495</v>
      </c>
      <c r="D129" s="1353">
        <v>2703.0</v>
      </c>
      <c r="E129" s="1354"/>
      <c r="F129" s="1356"/>
      <c r="G129" s="1387"/>
      <c r="H129" s="1391">
        <v>3108.45</v>
      </c>
    </row>
    <row r="130">
      <c r="A130" s="1344" t="s">
        <v>319</v>
      </c>
      <c r="B130" s="1381" t="s">
        <v>1269</v>
      </c>
      <c r="C130" s="1382" t="s">
        <v>1495</v>
      </c>
      <c r="D130" s="1346"/>
      <c r="E130" s="1347"/>
      <c r="F130" s="1349"/>
      <c r="G130" s="1383"/>
      <c r="H130" s="1384"/>
    </row>
    <row r="131">
      <c r="A131" s="1351" t="s">
        <v>319</v>
      </c>
      <c r="B131" s="1385" t="s">
        <v>1270</v>
      </c>
      <c r="C131" s="1386" t="s">
        <v>1495</v>
      </c>
      <c r="D131" s="1353">
        <v>4166.0</v>
      </c>
      <c r="E131" s="1354"/>
      <c r="F131" s="1356"/>
      <c r="G131" s="1387"/>
      <c r="H131" s="1391">
        <v>4790.9</v>
      </c>
    </row>
    <row r="132">
      <c r="A132" s="1344" t="s">
        <v>319</v>
      </c>
      <c r="B132" s="1381" t="s">
        <v>1178</v>
      </c>
      <c r="C132" s="1382" t="s">
        <v>1495</v>
      </c>
      <c r="D132" s="1346"/>
      <c r="E132" s="1347"/>
      <c r="F132" s="1349"/>
      <c r="G132" s="1383"/>
      <c r="H132" s="1392"/>
    </row>
    <row r="133">
      <c r="A133" s="1351" t="s">
        <v>319</v>
      </c>
      <c r="B133" s="1385" t="s">
        <v>1253</v>
      </c>
      <c r="C133" s="1386" t="s">
        <v>1495</v>
      </c>
      <c r="D133" s="1353">
        <v>2600.0</v>
      </c>
      <c r="E133" s="1354"/>
      <c r="F133" s="1356"/>
      <c r="G133" s="1387"/>
      <c r="H133" s="1391">
        <v>2990.0</v>
      </c>
    </row>
    <row r="134">
      <c r="A134" s="1344" t="s">
        <v>319</v>
      </c>
      <c r="B134" s="1381" t="s">
        <v>789</v>
      </c>
      <c r="C134" s="1382" t="s">
        <v>1495</v>
      </c>
      <c r="D134" s="1346">
        <v>2000.0</v>
      </c>
      <c r="E134" s="1347"/>
      <c r="F134" s="1349"/>
      <c r="G134" s="1383"/>
      <c r="H134" s="1392">
        <v>2300.0</v>
      </c>
    </row>
    <row r="135">
      <c r="A135" s="1351" t="s">
        <v>319</v>
      </c>
      <c r="B135" s="1385" t="s">
        <v>787</v>
      </c>
      <c r="C135" s="1386" t="s">
        <v>1495</v>
      </c>
      <c r="D135" s="1353">
        <v>1750.0</v>
      </c>
      <c r="E135" s="1354"/>
      <c r="F135" s="1356"/>
      <c r="G135" s="1387"/>
      <c r="H135" s="1391">
        <v>2012.5</v>
      </c>
    </row>
    <row r="136">
      <c r="A136" s="1366" t="s">
        <v>319</v>
      </c>
      <c r="B136" s="1367" t="s">
        <v>1273</v>
      </c>
      <c r="C136" s="1401" t="s">
        <v>1495</v>
      </c>
      <c r="D136" s="1368"/>
      <c r="E136" s="1369"/>
      <c r="F136" s="1402"/>
      <c r="G136" s="1370"/>
      <c r="H136" s="1392"/>
    </row>
    <row r="137">
      <c r="A137" s="1351" t="s">
        <v>319</v>
      </c>
      <c r="B137" s="1385" t="s">
        <v>2971</v>
      </c>
      <c r="C137" s="1386" t="s">
        <v>1495</v>
      </c>
      <c r="D137" s="1353">
        <v>998.21</v>
      </c>
      <c r="E137" s="1354"/>
      <c r="F137" s="1356"/>
      <c r="G137" s="1387"/>
      <c r="H137" s="1391">
        <v>1147.95</v>
      </c>
    </row>
    <row r="138">
      <c r="A138" s="1344" t="s">
        <v>319</v>
      </c>
      <c r="B138" s="1381" t="s">
        <v>1256</v>
      </c>
      <c r="C138" s="1382" t="s">
        <v>1495</v>
      </c>
      <c r="D138" s="1346">
        <v>3917.33</v>
      </c>
      <c r="E138" s="1347"/>
      <c r="F138" s="1349"/>
      <c r="G138" s="1383"/>
      <c r="H138" s="1392">
        <v>4504.95</v>
      </c>
    </row>
    <row r="139">
      <c r="A139" s="1351" t="s">
        <v>319</v>
      </c>
      <c r="B139" s="1385" t="s">
        <v>1266</v>
      </c>
      <c r="C139" s="1386" t="s">
        <v>1495</v>
      </c>
      <c r="D139" s="1353"/>
      <c r="E139" s="1354"/>
      <c r="F139" s="1356"/>
      <c r="G139" s="1387"/>
      <c r="H139" s="1391"/>
    </row>
    <row r="140">
      <c r="A140" s="1344" t="s">
        <v>2410</v>
      </c>
      <c r="B140" s="1381" t="s">
        <v>1467</v>
      </c>
      <c r="C140" s="1382" t="s">
        <v>1642</v>
      </c>
      <c r="D140" s="1346"/>
      <c r="E140" s="1346" t="s">
        <v>3478</v>
      </c>
      <c r="F140" s="1349"/>
      <c r="G140" s="1389" t="s">
        <v>3479</v>
      </c>
      <c r="H140" s="1384"/>
    </row>
    <row r="141">
      <c r="A141" s="1351" t="s">
        <v>2410</v>
      </c>
      <c r="B141" s="1385" t="s">
        <v>258</v>
      </c>
      <c r="C141" s="1386" t="s">
        <v>1642</v>
      </c>
      <c r="D141" s="1353">
        <v>0.44</v>
      </c>
      <c r="E141" s="1353" t="s">
        <v>3551</v>
      </c>
      <c r="F141" s="1356"/>
      <c r="G141" s="1390" t="s">
        <v>2840</v>
      </c>
      <c r="H141" s="1391">
        <v>0.55</v>
      </c>
    </row>
    <row r="142">
      <c r="A142" s="1344" t="s">
        <v>2410</v>
      </c>
      <c r="B142" s="1381" t="s">
        <v>2841</v>
      </c>
      <c r="C142" s="1382" t="s">
        <v>1642</v>
      </c>
      <c r="D142" s="1346">
        <v>0.65</v>
      </c>
      <c r="E142" s="1346" t="s">
        <v>3552</v>
      </c>
      <c r="F142" s="1349"/>
      <c r="G142" s="1389" t="s">
        <v>2842</v>
      </c>
      <c r="H142" s="1384">
        <v>0.75</v>
      </c>
    </row>
    <row r="143">
      <c r="A143" s="1351" t="s">
        <v>2410</v>
      </c>
      <c r="B143" s="1385" t="s">
        <v>2960</v>
      </c>
      <c r="C143" s="1386" t="s">
        <v>1642</v>
      </c>
      <c r="D143" s="1353">
        <v>0.2</v>
      </c>
      <c r="E143" s="1353" t="s">
        <v>3553</v>
      </c>
      <c r="F143" s="1356"/>
      <c r="G143" s="1390" t="s">
        <v>2961</v>
      </c>
      <c r="H143" s="1388">
        <v>0.25</v>
      </c>
    </row>
    <row r="144">
      <c r="A144" s="1344" t="s">
        <v>2410</v>
      </c>
      <c r="B144" s="1381" t="s">
        <v>2835</v>
      </c>
      <c r="C144" s="1382" t="s">
        <v>1642</v>
      </c>
      <c r="D144" s="1346">
        <v>0.1</v>
      </c>
      <c r="E144" s="1346" t="s">
        <v>3554</v>
      </c>
      <c r="F144" s="1349"/>
      <c r="G144" s="1389" t="s">
        <v>2836</v>
      </c>
      <c r="H144" s="1384">
        <v>0.15</v>
      </c>
    </row>
    <row r="145">
      <c r="A145" s="1351" t="s">
        <v>2410</v>
      </c>
      <c r="B145" s="1385" t="s">
        <v>584</v>
      </c>
      <c r="C145" s="1386" t="s">
        <v>1642</v>
      </c>
      <c r="D145" s="1353">
        <v>0.4</v>
      </c>
      <c r="E145" s="1353" t="s">
        <v>3555</v>
      </c>
      <c r="F145" s="1356"/>
      <c r="G145" s="1387"/>
      <c r="H145" s="1391">
        <v>0.5</v>
      </c>
    </row>
    <row r="146">
      <c r="A146" s="1344" t="s">
        <v>2410</v>
      </c>
      <c r="B146" s="1381" t="s">
        <v>716</v>
      </c>
      <c r="C146" s="1382" t="s">
        <v>1642</v>
      </c>
      <c r="D146" s="1346">
        <v>0.18</v>
      </c>
      <c r="E146" s="1346" t="s">
        <v>3556</v>
      </c>
      <c r="F146" s="1349"/>
      <c r="G146" s="1389" t="s">
        <v>2837</v>
      </c>
      <c r="H146" s="1392">
        <v>0.25</v>
      </c>
    </row>
    <row r="147">
      <c r="A147" s="1351" t="s">
        <v>2410</v>
      </c>
      <c r="B147" s="1385" t="s">
        <v>2831</v>
      </c>
      <c r="C147" s="1386" t="s">
        <v>1642</v>
      </c>
      <c r="D147" s="1353">
        <v>0.05</v>
      </c>
      <c r="E147" s="1353" t="s">
        <v>2832</v>
      </c>
      <c r="F147" s="1356"/>
      <c r="G147" s="1387"/>
      <c r="H147" s="1391">
        <v>0.1</v>
      </c>
    </row>
    <row r="148">
      <c r="A148" s="1344" t="s">
        <v>2410</v>
      </c>
      <c r="B148" s="1381" t="s">
        <v>720</v>
      </c>
      <c r="C148" s="1382" t="s">
        <v>1642</v>
      </c>
      <c r="D148" s="1346"/>
      <c r="E148" s="1346" t="s">
        <v>3557</v>
      </c>
      <c r="F148" s="1349"/>
      <c r="G148" s="1383"/>
      <c r="H148" s="1392"/>
    </row>
    <row r="149">
      <c r="A149" s="1351" t="s">
        <v>2410</v>
      </c>
      <c r="B149" s="1385" t="s">
        <v>783</v>
      </c>
      <c r="C149" s="1386" t="s">
        <v>1495</v>
      </c>
      <c r="D149" s="1353"/>
      <c r="E149" s="1353" t="s">
        <v>3558</v>
      </c>
      <c r="F149" s="1356"/>
      <c r="G149" s="1390" t="s">
        <v>2963</v>
      </c>
      <c r="H149" s="1388"/>
    </row>
    <row r="150">
      <c r="A150" s="1344" t="s">
        <v>2410</v>
      </c>
      <c r="B150" s="1381" t="s">
        <v>780</v>
      </c>
      <c r="C150" s="1382" t="s">
        <v>1642</v>
      </c>
      <c r="D150" s="1346">
        <v>0.1</v>
      </c>
      <c r="E150" s="1346" t="s">
        <v>3559</v>
      </c>
      <c r="F150" s="1349"/>
      <c r="G150" s="1389" t="s">
        <v>2959</v>
      </c>
      <c r="H150" s="1392">
        <v>0.15</v>
      </c>
    </row>
    <row r="151">
      <c r="A151" s="1351" t="s">
        <v>2410</v>
      </c>
      <c r="B151" s="1385" t="s">
        <v>782</v>
      </c>
      <c r="C151" s="1386" t="s">
        <v>1642</v>
      </c>
      <c r="D151" s="1353">
        <v>0.15</v>
      </c>
      <c r="E151" s="1353" t="s">
        <v>3560</v>
      </c>
      <c r="F151" s="1356"/>
      <c r="G151" s="1390" t="s">
        <v>2962</v>
      </c>
      <c r="H151" s="1391">
        <v>0.2</v>
      </c>
    </row>
    <row r="152">
      <c r="A152" s="1344" t="s">
        <v>2410</v>
      </c>
      <c r="B152" s="1381" t="s">
        <v>2795</v>
      </c>
      <c r="C152" s="1382" t="s">
        <v>1642</v>
      </c>
      <c r="D152" s="1346">
        <v>1.25</v>
      </c>
      <c r="E152" s="1346" t="s">
        <v>2796</v>
      </c>
      <c r="F152" s="1349"/>
      <c r="G152" s="1383"/>
      <c r="H152" s="1384">
        <v>1.45</v>
      </c>
    </row>
    <row r="153">
      <c r="A153" s="1351" t="s">
        <v>2410</v>
      </c>
      <c r="B153" s="1385" t="s">
        <v>2584</v>
      </c>
      <c r="C153" s="1386" t="s">
        <v>1642</v>
      </c>
      <c r="D153" s="1353">
        <v>0.65</v>
      </c>
      <c r="E153" s="1353" t="s">
        <v>3561</v>
      </c>
      <c r="F153" s="1356"/>
      <c r="G153" s="1387"/>
      <c r="H153" s="1391">
        <v>0.75</v>
      </c>
    </row>
    <row r="154">
      <c r="A154" s="1344" t="s">
        <v>2410</v>
      </c>
      <c r="B154" s="1381" t="s">
        <v>509</v>
      </c>
      <c r="C154" s="1382" t="s">
        <v>1642</v>
      </c>
      <c r="D154" s="1346">
        <v>1.2</v>
      </c>
      <c r="E154" s="1346" t="s">
        <v>2412</v>
      </c>
      <c r="F154" s="1349"/>
      <c r="G154" s="1383"/>
      <c r="H154" s="1392">
        <v>1.4</v>
      </c>
    </row>
    <row r="155">
      <c r="A155" s="1351" t="s">
        <v>2410</v>
      </c>
      <c r="B155" s="1385" t="s">
        <v>2833</v>
      </c>
      <c r="C155" s="1386" t="s">
        <v>1642</v>
      </c>
      <c r="D155" s="1353">
        <v>0.1</v>
      </c>
      <c r="E155" s="1353" t="s">
        <v>3562</v>
      </c>
      <c r="F155" s="1356"/>
      <c r="G155" s="1390" t="s">
        <v>2834</v>
      </c>
      <c r="H155" s="1391">
        <v>0.15</v>
      </c>
    </row>
    <row r="156">
      <c r="A156" s="1344" t="s">
        <v>2410</v>
      </c>
      <c r="B156" s="1381" t="s">
        <v>2838</v>
      </c>
      <c r="C156" s="1382" t="s">
        <v>1642</v>
      </c>
      <c r="D156" s="1346">
        <v>0.32</v>
      </c>
      <c r="E156" s="1346" t="s">
        <v>3563</v>
      </c>
      <c r="F156" s="1349"/>
      <c r="G156" s="1389" t="s">
        <v>2839</v>
      </c>
      <c r="H156" s="1392">
        <v>0.4</v>
      </c>
    </row>
    <row r="157">
      <c r="A157" s="1351" t="s">
        <v>2410</v>
      </c>
      <c r="B157" s="1385" t="s">
        <v>508</v>
      </c>
      <c r="C157" s="1386" t="s">
        <v>1642</v>
      </c>
      <c r="D157" s="1353">
        <v>0.7</v>
      </c>
      <c r="E157" s="1353" t="s">
        <v>2411</v>
      </c>
      <c r="F157" s="1356"/>
      <c r="G157" s="1387"/>
      <c r="H157" s="1388">
        <v>0.85</v>
      </c>
    </row>
    <row r="158">
      <c r="A158" s="1344" t="s">
        <v>2410</v>
      </c>
      <c r="B158" s="1381" t="s">
        <v>779</v>
      </c>
      <c r="C158" s="1382" t="s">
        <v>1642</v>
      </c>
      <c r="D158" s="1346">
        <v>0.1</v>
      </c>
      <c r="E158" s="1346" t="s">
        <v>3564</v>
      </c>
      <c r="F158" s="1349"/>
      <c r="G158" s="1389" t="s">
        <v>2958</v>
      </c>
      <c r="H158" s="1392">
        <v>0.15</v>
      </c>
    </row>
    <row r="159">
      <c r="A159" s="1351" t="s">
        <v>2410</v>
      </c>
      <c r="B159" s="1385" t="s">
        <v>778</v>
      </c>
      <c r="C159" s="1386" t="s">
        <v>1642</v>
      </c>
      <c r="D159" s="1353">
        <v>0.15</v>
      </c>
      <c r="E159" s="1353" t="s">
        <v>3565</v>
      </c>
      <c r="F159" s="1356"/>
      <c r="G159" s="1390" t="s">
        <v>2957</v>
      </c>
      <c r="H159" s="1391">
        <v>0.2</v>
      </c>
    </row>
    <row r="160">
      <c r="A160" s="1344" t="s">
        <v>2410</v>
      </c>
      <c r="B160" s="1381" t="s">
        <v>1465</v>
      </c>
      <c r="C160" s="1382" t="s">
        <v>1642</v>
      </c>
      <c r="D160" s="1346">
        <v>1.23</v>
      </c>
      <c r="E160" s="1346" t="s">
        <v>3475</v>
      </c>
      <c r="F160" s="1349"/>
      <c r="G160" s="1389" t="s">
        <v>3476</v>
      </c>
      <c r="H160" s="1392">
        <v>1.45</v>
      </c>
    </row>
    <row r="161">
      <c r="A161" s="1351" t="s">
        <v>2410</v>
      </c>
      <c r="B161" s="1385" t="s">
        <v>3480</v>
      </c>
      <c r="C161" s="1386" t="s">
        <v>1642</v>
      </c>
      <c r="D161" s="1353">
        <v>0.5</v>
      </c>
      <c r="E161" s="1353" t="s">
        <v>3566</v>
      </c>
      <c r="F161" s="1356"/>
      <c r="G161" s="1390" t="s">
        <v>3481</v>
      </c>
      <c r="H161" s="1391">
        <v>0.6</v>
      </c>
    </row>
    <row r="162">
      <c r="A162" s="1344" t="s">
        <v>2271</v>
      </c>
      <c r="B162" s="1381" t="s">
        <v>1407</v>
      </c>
      <c r="C162" s="1382" t="s">
        <v>1495</v>
      </c>
      <c r="D162" s="1346"/>
      <c r="E162" s="1346" t="s">
        <v>3442</v>
      </c>
      <c r="F162" s="1349"/>
      <c r="G162" s="1389" t="s">
        <v>3443</v>
      </c>
      <c r="H162" s="1392"/>
    </row>
    <row r="163">
      <c r="A163" s="1351" t="s">
        <v>2271</v>
      </c>
      <c r="B163" s="1385" t="s">
        <v>3295</v>
      </c>
      <c r="C163" s="1386" t="s">
        <v>1495</v>
      </c>
      <c r="D163" s="1353">
        <v>8.27</v>
      </c>
      <c r="E163" s="1353" t="s">
        <v>3567</v>
      </c>
      <c r="F163" s="1356"/>
      <c r="G163" s="1390" t="s">
        <v>3296</v>
      </c>
      <c r="H163" s="1391">
        <v>9.55</v>
      </c>
    </row>
    <row r="164">
      <c r="A164" s="1344" t="s">
        <v>2271</v>
      </c>
      <c r="B164" s="1381" t="s">
        <v>3439</v>
      </c>
      <c r="C164" s="1382" t="s">
        <v>1495</v>
      </c>
      <c r="D164" s="1346">
        <v>34.05</v>
      </c>
      <c r="E164" s="1346" t="s">
        <v>3440</v>
      </c>
      <c r="F164" s="1349"/>
      <c r="G164" s="1389" t="s">
        <v>3441</v>
      </c>
      <c r="H164" s="1392">
        <v>39.2</v>
      </c>
    </row>
    <row r="165">
      <c r="A165" s="1351" t="s">
        <v>2271</v>
      </c>
      <c r="B165" s="1385" t="s">
        <v>3568</v>
      </c>
      <c r="C165" s="1386" t="s">
        <v>1495</v>
      </c>
      <c r="D165" s="1353">
        <v>4.15</v>
      </c>
      <c r="E165" s="1353" t="s">
        <v>2940</v>
      </c>
      <c r="F165" s="1356"/>
      <c r="G165" s="1390" t="s">
        <v>2941</v>
      </c>
      <c r="H165" s="1391">
        <v>4.8</v>
      </c>
    </row>
    <row r="166">
      <c r="A166" s="1344" t="s">
        <v>2271</v>
      </c>
      <c r="B166" s="1381" t="s">
        <v>491</v>
      </c>
      <c r="C166" s="1382" t="s">
        <v>1495</v>
      </c>
      <c r="D166" s="1346">
        <v>0.65</v>
      </c>
      <c r="E166" s="1346" t="s">
        <v>2376</v>
      </c>
      <c r="F166" s="1349"/>
      <c r="G166" s="1389" t="s">
        <v>2377</v>
      </c>
      <c r="H166" s="1392">
        <v>0.75</v>
      </c>
    </row>
    <row r="167">
      <c r="A167" s="1351" t="s">
        <v>2271</v>
      </c>
      <c r="B167" s="1385" t="s">
        <v>493</v>
      </c>
      <c r="C167" s="1386" t="s">
        <v>1495</v>
      </c>
      <c r="D167" s="1353">
        <v>0.65</v>
      </c>
      <c r="E167" s="1353" t="s">
        <v>2380</v>
      </c>
      <c r="F167" s="1356"/>
      <c r="G167" s="1390" t="s">
        <v>2381</v>
      </c>
      <c r="H167" s="1391">
        <v>0.75</v>
      </c>
    </row>
    <row r="168">
      <c r="A168" s="1344" t="s">
        <v>2271</v>
      </c>
      <c r="B168" s="1381" t="s">
        <v>492</v>
      </c>
      <c r="C168" s="1382" t="s">
        <v>1495</v>
      </c>
      <c r="D168" s="1346">
        <v>0.65</v>
      </c>
      <c r="E168" s="1346" t="s">
        <v>2378</v>
      </c>
      <c r="F168" s="1349"/>
      <c r="G168" s="1389" t="s">
        <v>2379</v>
      </c>
      <c r="H168" s="1392">
        <v>0.75</v>
      </c>
    </row>
    <row r="169">
      <c r="A169" s="1351" t="s">
        <v>2271</v>
      </c>
      <c r="B169" s="1385" t="s">
        <v>490</v>
      </c>
      <c r="C169" s="1386" t="s">
        <v>1495</v>
      </c>
      <c r="D169" s="1353">
        <v>0.65</v>
      </c>
      <c r="E169" s="1353" t="s">
        <v>2374</v>
      </c>
      <c r="F169" s="1356"/>
      <c r="G169" s="1390" t="s">
        <v>2375</v>
      </c>
      <c r="H169" s="1391">
        <v>0.75</v>
      </c>
    </row>
    <row r="170">
      <c r="A170" s="1344" t="s">
        <v>2271</v>
      </c>
      <c r="B170" s="1381" t="s">
        <v>489</v>
      </c>
      <c r="C170" s="1382" t="s">
        <v>1495</v>
      </c>
      <c r="D170" s="1346">
        <v>0.65</v>
      </c>
      <c r="E170" s="1346" t="s">
        <v>2372</v>
      </c>
      <c r="F170" s="1349"/>
      <c r="G170" s="1389" t="s">
        <v>2373</v>
      </c>
      <c r="H170" s="1392">
        <v>0.75</v>
      </c>
    </row>
    <row r="171">
      <c r="A171" s="1351" t="s">
        <v>2271</v>
      </c>
      <c r="B171" s="1385" t="s">
        <v>2688</v>
      </c>
      <c r="C171" s="1386" t="s">
        <v>1495</v>
      </c>
      <c r="D171" s="1353">
        <v>3.5</v>
      </c>
      <c r="E171" s="1353" t="s">
        <v>2689</v>
      </c>
      <c r="F171" s="1356"/>
      <c r="G171" s="1390" t="s">
        <v>2690</v>
      </c>
      <c r="H171" s="1391">
        <v>4.05</v>
      </c>
    </row>
    <row r="172">
      <c r="A172" s="1344" t="s">
        <v>2271</v>
      </c>
      <c r="B172" s="1381" t="s">
        <v>638</v>
      </c>
      <c r="C172" s="1382" t="s">
        <v>1495</v>
      </c>
      <c r="D172" s="1346">
        <v>1.6</v>
      </c>
      <c r="E172" s="1347"/>
      <c r="F172" s="1349"/>
      <c r="G172" s="1383"/>
      <c r="H172" s="1392">
        <v>1.85</v>
      </c>
    </row>
    <row r="173">
      <c r="A173" s="1351" t="s">
        <v>2271</v>
      </c>
      <c r="B173" s="1385" t="s">
        <v>2683</v>
      </c>
      <c r="C173" s="1386" t="s">
        <v>1495</v>
      </c>
      <c r="D173" s="1353">
        <v>1.6</v>
      </c>
      <c r="E173" s="1353" t="s">
        <v>2684</v>
      </c>
      <c r="F173" s="1356"/>
      <c r="G173" s="1390" t="s">
        <v>2685</v>
      </c>
      <c r="H173" s="1391">
        <v>1.85</v>
      </c>
    </row>
    <row r="174">
      <c r="A174" s="1344" t="s">
        <v>2271</v>
      </c>
      <c r="B174" s="1381" t="s">
        <v>2884</v>
      </c>
      <c r="C174" s="1382" t="s">
        <v>1495</v>
      </c>
      <c r="D174" s="1346">
        <v>0.25</v>
      </c>
      <c r="E174" s="1347"/>
      <c r="F174" s="1349"/>
      <c r="G174" s="1389" t="s">
        <v>2885</v>
      </c>
      <c r="H174" s="1384">
        <v>0.3</v>
      </c>
    </row>
    <row r="175">
      <c r="A175" s="1351" t="s">
        <v>2271</v>
      </c>
      <c r="B175" s="1385" t="s">
        <v>2812</v>
      </c>
      <c r="C175" s="1386" t="s">
        <v>1495</v>
      </c>
      <c r="D175" s="1353">
        <v>0.2</v>
      </c>
      <c r="E175" s="1354"/>
      <c r="F175" s="1356"/>
      <c r="G175" s="1387"/>
      <c r="H175" s="1391">
        <v>0.25</v>
      </c>
    </row>
    <row r="176">
      <c r="A176" s="1344" t="s">
        <v>2271</v>
      </c>
      <c r="B176" s="1381" t="s">
        <v>676</v>
      </c>
      <c r="C176" s="1382" t="s">
        <v>1495</v>
      </c>
      <c r="D176" s="1346">
        <v>3.05</v>
      </c>
      <c r="E176" s="1346" t="s">
        <v>2756</v>
      </c>
      <c r="F176" s="1349"/>
      <c r="G176" s="1389" t="s">
        <v>2757</v>
      </c>
      <c r="H176" s="1392">
        <v>3.55</v>
      </c>
    </row>
    <row r="177">
      <c r="A177" s="1351" t="s">
        <v>2271</v>
      </c>
      <c r="B177" s="1385" t="s">
        <v>2753</v>
      </c>
      <c r="C177" s="1386" t="s">
        <v>1495</v>
      </c>
      <c r="D177" s="1353">
        <v>3.05</v>
      </c>
      <c r="E177" s="1353" t="s">
        <v>2754</v>
      </c>
      <c r="F177" s="1356"/>
      <c r="G177" s="1390" t="s">
        <v>2755</v>
      </c>
      <c r="H177" s="1391">
        <v>3.55</v>
      </c>
    </row>
    <row r="178">
      <c r="A178" s="1344" t="s">
        <v>2271</v>
      </c>
      <c r="B178" s="1381" t="s">
        <v>440</v>
      </c>
      <c r="C178" s="1382" t="s">
        <v>1495</v>
      </c>
      <c r="D178" s="1346">
        <v>12.7</v>
      </c>
      <c r="E178" s="1346" t="s">
        <v>2312</v>
      </c>
      <c r="F178" s="1349"/>
      <c r="G178" s="1389" t="s">
        <v>2313</v>
      </c>
      <c r="H178" s="1392">
        <v>14.65</v>
      </c>
    </row>
    <row r="179">
      <c r="A179" s="1351" t="s">
        <v>2271</v>
      </c>
      <c r="B179" s="1385" t="s">
        <v>2369</v>
      </c>
      <c r="C179" s="1386" t="s">
        <v>1495</v>
      </c>
      <c r="D179" s="1353">
        <v>2.8</v>
      </c>
      <c r="E179" s="1353" t="s">
        <v>2370</v>
      </c>
      <c r="F179" s="1356"/>
      <c r="G179" s="1390" t="s">
        <v>2371</v>
      </c>
      <c r="H179" s="1391">
        <v>3.25</v>
      </c>
    </row>
    <row r="180">
      <c r="A180" s="1344" t="s">
        <v>2271</v>
      </c>
      <c r="B180" s="1381" t="s">
        <v>2931</v>
      </c>
      <c r="C180" s="1382" t="s">
        <v>1495</v>
      </c>
      <c r="D180" s="1346">
        <v>2.2</v>
      </c>
      <c r="E180" s="1346" t="s">
        <v>2932</v>
      </c>
      <c r="F180" s="1349"/>
      <c r="G180" s="1389" t="s">
        <v>2933</v>
      </c>
      <c r="H180" s="1384">
        <v>2.55</v>
      </c>
    </row>
    <row r="181">
      <c r="A181" s="1351" t="s">
        <v>2271</v>
      </c>
      <c r="B181" s="1385" t="s">
        <v>2945</v>
      </c>
      <c r="C181" s="1386" t="s">
        <v>1495</v>
      </c>
      <c r="D181" s="1353">
        <v>6.23</v>
      </c>
      <c r="E181" s="1353" t="s">
        <v>2946</v>
      </c>
      <c r="F181" s="1356"/>
      <c r="G181" s="1390" t="s">
        <v>2947</v>
      </c>
      <c r="H181" s="1391">
        <v>7.2</v>
      </c>
    </row>
    <row r="182">
      <c r="A182" s="1344" t="s">
        <v>2271</v>
      </c>
      <c r="B182" s="1381" t="s">
        <v>2942</v>
      </c>
      <c r="C182" s="1382" t="s">
        <v>1495</v>
      </c>
      <c r="D182" s="1346">
        <v>2.8</v>
      </c>
      <c r="E182" s="1346" t="s">
        <v>2943</v>
      </c>
      <c r="F182" s="1349"/>
      <c r="G182" s="1389" t="s">
        <v>2944</v>
      </c>
      <c r="H182" s="1392">
        <v>3.25</v>
      </c>
    </row>
    <row r="183">
      <c r="A183" s="1351" t="s">
        <v>2271</v>
      </c>
      <c r="B183" s="1385" t="s">
        <v>2275</v>
      </c>
      <c r="C183" s="1386" t="s">
        <v>1495</v>
      </c>
      <c r="D183" s="1353">
        <v>0.65</v>
      </c>
      <c r="E183" s="1353" t="s">
        <v>2276</v>
      </c>
      <c r="F183" s="1356"/>
      <c r="G183" s="1390" t="s">
        <v>2277</v>
      </c>
      <c r="H183" s="1391">
        <v>0.75</v>
      </c>
    </row>
    <row r="184">
      <c r="A184" s="1344" t="s">
        <v>2271</v>
      </c>
      <c r="B184" s="1381" t="s">
        <v>2272</v>
      </c>
      <c r="C184" s="1382" t="s">
        <v>1495</v>
      </c>
      <c r="D184" s="1346">
        <v>0.65</v>
      </c>
      <c r="E184" s="1346" t="s">
        <v>2273</v>
      </c>
      <c r="F184" s="1349"/>
      <c r="G184" s="1389" t="s">
        <v>2274</v>
      </c>
      <c r="H184" s="1392">
        <v>0.75</v>
      </c>
    </row>
    <row r="185">
      <c r="A185" s="1351" t="s">
        <v>2271</v>
      </c>
      <c r="B185" s="1385" t="s">
        <v>2964</v>
      </c>
      <c r="C185" s="1386" t="s">
        <v>1495</v>
      </c>
      <c r="D185" s="1353">
        <v>0.2</v>
      </c>
      <c r="E185" s="1353" t="s">
        <v>2965</v>
      </c>
      <c r="F185" s="1356"/>
      <c r="G185" s="1390" t="s">
        <v>2966</v>
      </c>
      <c r="H185" s="1391">
        <v>0.25</v>
      </c>
    </row>
    <row r="186">
      <c r="A186" s="1344" t="s">
        <v>2271</v>
      </c>
      <c r="B186" s="1381" t="s">
        <v>2460</v>
      </c>
      <c r="C186" s="1382" t="s">
        <v>1495</v>
      </c>
      <c r="D186" s="1346">
        <v>1.3</v>
      </c>
      <c r="E186" s="1346" t="s">
        <v>2461</v>
      </c>
      <c r="F186" s="1349"/>
      <c r="G186" s="1389" t="s">
        <v>2462</v>
      </c>
      <c r="H186" s="1392">
        <v>1.5</v>
      </c>
    </row>
    <row r="187">
      <c r="A187" s="1351" t="s">
        <v>2271</v>
      </c>
      <c r="B187" s="1385" t="s">
        <v>3268</v>
      </c>
      <c r="C187" s="1386" t="s">
        <v>1495</v>
      </c>
      <c r="D187" s="1353">
        <v>4.32</v>
      </c>
      <c r="E187" s="1353" t="s">
        <v>3269</v>
      </c>
      <c r="F187" s="1356"/>
      <c r="G187" s="1390" t="s">
        <v>3270</v>
      </c>
      <c r="H187" s="1391">
        <v>5.0</v>
      </c>
    </row>
    <row r="188">
      <c r="A188" s="1344" t="s">
        <v>2271</v>
      </c>
      <c r="B188" s="1381" t="s">
        <v>1377</v>
      </c>
      <c r="C188" s="1382" t="s">
        <v>1495</v>
      </c>
      <c r="D188" s="1346">
        <v>2.79</v>
      </c>
      <c r="E188" s="1346" t="s">
        <v>3410</v>
      </c>
      <c r="F188" s="1349"/>
      <c r="G188" s="1389" t="s">
        <v>3411</v>
      </c>
      <c r="H188" s="1392">
        <v>3.25</v>
      </c>
    </row>
    <row r="189">
      <c r="A189" s="1351" t="s">
        <v>2393</v>
      </c>
      <c r="B189" s="1385" t="s">
        <v>3225</v>
      </c>
      <c r="C189" s="1386" t="s">
        <v>1495</v>
      </c>
      <c r="D189" s="1353"/>
      <c r="E189" s="1353" t="s">
        <v>3226</v>
      </c>
      <c r="F189" s="1356"/>
      <c r="G189" s="1387"/>
      <c r="H189" s="1391"/>
    </row>
    <row r="190">
      <c r="A190" s="1344" t="s">
        <v>2393</v>
      </c>
      <c r="B190" s="1381" t="s">
        <v>3297</v>
      </c>
      <c r="C190" s="1382" t="s">
        <v>1495</v>
      </c>
      <c r="D190" s="1346"/>
      <c r="E190" s="1346" t="s">
        <v>3298</v>
      </c>
      <c r="F190" s="1349"/>
      <c r="G190" s="1389" t="s">
        <v>3299</v>
      </c>
      <c r="H190" s="1392"/>
    </row>
    <row r="191">
      <c r="A191" s="1351" t="s">
        <v>2393</v>
      </c>
      <c r="B191" s="1385" t="s">
        <v>3429</v>
      </c>
      <c r="C191" s="1386" t="s">
        <v>1495</v>
      </c>
      <c r="D191" s="1353"/>
      <c r="E191" s="1354"/>
      <c r="F191" s="1356"/>
      <c r="G191" s="1390" t="s">
        <v>3430</v>
      </c>
      <c r="H191" s="1391"/>
    </row>
    <row r="192">
      <c r="A192" s="1344" t="s">
        <v>2393</v>
      </c>
      <c r="B192" s="1381" t="s">
        <v>731</v>
      </c>
      <c r="C192" s="1382" t="s">
        <v>1642</v>
      </c>
      <c r="D192" s="1346">
        <v>7.61</v>
      </c>
      <c r="E192" s="1346" t="s">
        <v>3569</v>
      </c>
      <c r="F192" s="1349"/>
      <c r="G192" s="1389" t="s">
        <v>2858</v>
      </c>
      <c r="H192" s="1392">
        <v>8.8</v>
      </c>
    </row>
    <row r="193">
      <c r="A193" s="1351" t="s">
        <v>2393</v>
      </c>
      <c r="B193" s="1385" t="s">
        <v>3227</v>
      </c>
      <c r="C193" s="1386" t="s">
        <v>1642</v>
      </c>
      <c r="D193" s="1353">
        <v>0.6</v>
      </c>
      <c r="E193" s="1353" t="s">
        <v>3228</v>
      </c>
      <c r="F193" s="1356"/>
      <c r="G193" s="1390" t="s">
        <v>3229</v>
      </c>
      <c r="H193" s="1391">
        <v>0.7</v>
      </c>
    </row>
    <row r="194">
      <c r="A194" s="1344" t="s">
        <v>2393</v>
      </c>
      <c r="B194" s="1381" t="s">
        <v>2398</v>
      </c>
      <c r="C194" s="1382" t="s">
        <v>1495</v>
      </c>
      <c r="D194" s="1346">
        <v>1.96</v>
      </c>
      <c r="E194" s="1346" t="s">
        <v>3570</v>
      </c>
      <c r="F194" s="1349"/>
      <c r="G194" s="1389" t="s">
        <v>2399</v>
      </c>
      <c r="H194" s="1392">
        <v>2.3</v>
      </c>
    </row>
    <row r="195">
      <c r="A195" s="1351" t="s">
        <v>2393</v>
      </c>
      <c r="B195" s="1385" t="s">
        <v>503</v>
      </c>
      <c r="C195" s="1386" t="s">
        <v>1495</v>
      </c>
      <c r="D195" s="1353"/>
      <c r="E195" s="1354"/>
      <c r="F195" s="1356"/>
      <c r="G195" s="1387"/>
      <c r="H195" s="1388"/>
    </row>
    <row r="196">
      <c r="A196" s="1344" t="s">
        <v>2393</v>
      </c>
      <c r="B196" s="1381" t="s">
        <v>729</v>
      </c>
      <c r="C196" s="1382" t="s">
        <v>1642</v>
      </c>
      <c r="D196" s="1346">
        <v>1.0</v>
      </c>
      <c r="E196" s="1346" t="s">
        <v>3571</v>
      </c>
      <c r="F196" s="1349"/>
      <c r="G196" s="1389" t="s">
        <v>2857</v>
      </c>
      <c r="H196" s="1392">
        <v>1.15</v>
      </c>
    </row>
    <row r="197">
      <c r="A197" s="1351" t="s">
        <v>2393</v>
      </c>
      <c r="B197" s="1385" t="s">
        <v>3572</v>
      </c>
      <c r="C197" s="1386" t="s">
        <v>1495</v>
      </c>
      <c r="D197" s="1353">
        <v>0.14</v>
      </c>
      <c r="E197" s="1353" t="s">
        <v>3201</v>
      </c>
      <c r="F197" s="1356"/>
      <c r="G197" s="1390" t="s">
        <v>3202</v>
      </c>
      <c r="H197" s="1391">
        <v>0.2</v>
      </c>
    </row>
    <row r="198">
      <c r="A198" s="1344" t="s">
        <v>2393</v>
      </c>
      <c r="B198" s="1381" t="s">
        <v>2663</v>
      </c>
      <c r="C198" s="1382" t="s">
        <v>1642</v>
      </c>
      <c r="D198" s="1346">
        <v>3.7</v>
      </c>
      <c r="E198" s="1346" t="s">
        <v>2664</v>
      </c>
      <c r="F198" s="1349"/>
      <c r="G198" s="1389" t="s">
        <v>2665</v>
      </c>
      <c r="H198" s="1392">
        <v>4.3</v>
      </c>
    </row>
    <row r="199">
      <c r="A199" s="1351" t="s">
        <v>2393</v>
      </c>
      <c r="B199" s="1385" t="s">
        <v>2678</v>
      </c>
      <c r="C199" s="1386" t="s">
        <v>1495</v>
      </c>
      <c r="D199" s="1353">
        <v>0.15</v>
      </c>
      <c r="E199" s="1353" t="s">
        <v>2679</v>
      </c>
      <c r="F199" s="1356"/>
      <c r="G199" s="1390" t="s">
        <v>2680</v>
      </c>
      <c r="H199" s="1391">
        <v>0.2</v>
      </c>
    </row>
    <row r="200">
      <c r="A200" s="1344" t="s">
        <v>2393</v>
      </c>
      <c r="B200" s="1381" t="s">
        <v>2800</v>
      </c>
      <c r="C200" s="1382" t="s">
        <v>2463</v>
      </c>
      <c r="D200" s="1346">
        <v>2.69</v>
      </c>
      <c r="E200" s="1346" t="s">
        <v>2801</v>
      </c>
      <c r="F200" s="1349"/>
      <c r="G200" s="1389" t="s">
        <v>2802</v>
      </c>
      <c r="H200" s="1392">
        <v>3.1</v>
      </c>
    </row>
    <row r="201">
      <c r="A201" s="1351" t="s">
        <v>2393</v>
      </c>
      <c r="B201" s="1385" t="s">
        <v>728</v>
      </c>
      <c r="C201" s="1386" t="s">
        <v>1642</v>
      </c>
      <c r="D201" s="1353">
        <v>0.05</v>
      </c>
      <c r="E201" s="1353" t="s">
        <v>3573</v>
      </c>
      <c r="F201" s="1356"/>
      <c r="G201" s="1390" t="s">
        <v>2856</v>
      </c>
      <c r="H201" s="1391">
        <v>0.1</v>
      </c>
    </row>
    <row r="202">
      <c r="A202" s="1344" t="s">
        <v>2393</v>
      </c>
      <c r="B202" s="1381" t="s">
        <v>883</v>
      </c>
      <c r="C202" s="1382" t="s">
        <v>1642</v>
      </c>
      <c r="D202" s="1346">
        <v>1.6</v>
      </c>
      <c r="E202" s="1346" t="s">
        <v>3029</v>
      </c>
      <c r="F202" s="1349"/>
      <c r="G202" s="1389" t="s">
        <v>3030</v>
      </c>
      <c r="H202" s="1392">
        <v>1.95</v>
      </c>
    </row>
    <row r="203">
      <c r="A203" s="1351" t="s">
        <v>2393</v>
      </c>
      <c r="B203" s="1385" t="s">
        <v>618</v>
      </c>
      <c r="C203" s="1386" t="s">
        <v>1495</v>
      </c>
      <c r="D203" s="1353">
        <v>0.6</v>
      </c>
      <c r="E203" s="1353" t="s">
        <v>2648</v>
      </c>
      <c r="F203" s="1356"/>
      <c r="G203" s="1387"/>
      <c r="H203" s="1391">
        <v>0.7</v>
      </c>
    </row>
    <row r="204">
      <c r="A204" s="1344" t="s">
        <v>2393</v>
      </c>
      <c r="B204" s="1381" t="s">
        <v>2652</v>
      </c>
      <c r="C204" s="1382" t="s">
        <v>1495</v>
      </c>
      <c r="D204" s="1346">
        <v>0.84</v>
      </c>
      <c r="E204" s="1346" t="s">
        <v>2653</v>
      </c>
      <c r="F204" s="1349"/>
      <c r="G204" s="1389" t="s">
        <v>2654</v>
      </c>
      <c r="H204" s="1392">
        <v>1.0</v>
      </c>
    </row>
    <row r="205">
      <c r="A205" s="1351" t="s">
        <v>2393</v>
      </c>
      <c r="B205" s="1385" t="s">
        <v>501</v>
      </c>
      <c r="C205" s="1386" t="s">
        <v>1495</v>
      </c>
      <c r="D205" s="1353">
        <v>1.7</v>
      </c>
      <c r="E205" s="1353" t="s">
        <v>2394</v>
      </c>
      <c r="F205" s="1356"/>
      <c r="G205" s="1390" t="s">
        <v>2395</v>
      </c>
      <c r="H205" s="1391">
        <v>2.0</v>
      </c>
    </row>
    <row r="206">
      <c r="A206" s="1344" t="s">
        <v>2393</v>
      </c>
      <c r="B206" s="1381" t="s">
        <v>502</v>
      </c>
      <c r="C206" s="1382" t="s">
        <v>1495</v>
      </c>
      <c r="D206" s="1346">
        <v>3.75</v>
      </c>
      <c r="E206" s="1346" t="s">
        <v>2396</v>
      </c>
      <c r="F206" s="1349"/>
      <c r="G206" s="1389" t="s">
        <v>2397</v>
      </c>
      <c r="H206" s="1392">
        <v>4.35</v>
      </c>
    </row>
    <row r="207">
      <c r="A207" s="1351" t="s">
        <v>2393</v>
      </c>
      <c r="B207" s="1385" t="s">
        <v>699</v>
      </c>
      <c r="C207" s="1386" t="s">
        <v>1642</v>
      </c>
      <c r="D207" s="1353">
        <v>3.85</v>
      </c>
      <c r="E207" s="1353" t="s">
        <v>2803</v>
      </c>
      <c r="F207" s="1356"/>
      <c r="G207" s="1390" t="s">
        <v>2804</v>
      </c>
      <c r="H207" s="1391">
        <v>4.45</v>
      </c>
    </row>
    <row r="208">
      <c r="A208" s="1344" t="s">
        <v>2393</v>
      </c>
      <c r="B208" s="1381" t="s">
        <v>882</v>
      </c>
      <c r="C208" s="1382" t="s">
        <v>1642</v>
      </c>
      <c r="D208" s="1346">
        <v>1.15</v>
      </c>
      <c r="E208" s="1346" t="s">
        <v>3027</v>
      </c>
      <c r="F208" s="1349"/>
      <c r="G208" s="1389" t="s">
        <v>3028</v>
      </c>
      <c r="H208" s="1392">
        <v>1.4</v>
      </c>
    </row>
    <row r="209">
      <c r="A209" s="1351" t="s">
        <v>2393</v>
      </c>
      <c r="B209" s="1385" t="s">
        <v>2914</v>
      </c>
      <c r="C209" s="1386" t="s">
        <v>1495</v>
      </c>
      <c r="D209" s="1353">
        <v>0.4</v>
      </c>
      <c r="E209" s="1353" t="s">
        <v>2915</v>
      </c>
      <c r="F209" s="1356"/>
      <c r="G209" s="1390" t="s">
        <v>2916</v>
      </c>
      <c r="H209" s="1391">
        <v>0.5</v>
      </c>
    </row>
    <row r="210">
      <c r="A210" s="1344" t="s">
        <v>2393</v>
      </c>
      <c r="B210" s="1381" t="s">
        <v>2911</v>
      </c>
      <c r="C210" s="1382" t="s">
        <v>1642</v>
      </c>
      <c r="D210" s="1346">
        <v>0.3</v>
      </c>
      <c r="E210" s="1346" t="s">
        <v>2912</v>
      </c>
      <c r="F210" s="1349"/>
      <c r="G210" s="1389" t="s">
        <v>2913</v>
      </c>
      <c r="H210" s="1384">
        <v>0.35</v>
      </c>
    </row>
    <row r="211">
      <c r="A211" s="1351" t="s">
        <v>2393</v>
      </c>
      <c r="B211" s="1385" t="s">
        <v>2649</v>
      </c>
      <c r="C211" s="1386" t="s">
        <v>1495</v>
      </c>
      <c r="D211" s="1353">
        <v>0.8</v>
      </c>
      <c r="E211" s="1353" t="s">
        <v>2650</v>
      </c>
      <c r="F211" s="1356"/>
      <c r="G211" s="1390" t="s">
        <v>2651</v>
      </c>
      <c r="H211" s="1391">
        <v>0.95</v>
      </c>
    </row>
    <row r="212">
      <c r="A212" s="1344" t="s">
        <v>2393</v>
      </c>
      <c r="B212" s="1381" t="s">
        <v>3339</v>
      </c>
      <c r="C212" s="1382" t="s">
        <v>1495</v>
      </c>
      <c r="D212" s="1346">
        <v>0.15</v>
      </c>
      <c r="E212" s="1346" t="s">
        <v>3340</v>
      </c>
      <c r="F212" s="1349"/>
      <c r="G212" s="1389" t="s">
        <v>3341</v>
      </c>
      <c r="H212" s="1392">
        <v>0.2</v>
      </c>
    </row>
    <row r="213">
      <c r="A213" s="1351" t="s">
        <v>2393</v>
      </c>
      <c r="B213" s="1385" t="s">
        <v>3336</v>
      </c>
      <c r="C213" s="1386" t="s">
        <v>1495</v>
      </c>
      <c r="D213" s="1353">
        <v>0.65</v>
      </c>
      <c r="E213" s="1353" t="s">
        <v>3337</v>
      </c>
      <c r="F213" s="1356"/>
      <c r="G213" s="1390" t="s">
        <v>3338</v>
      </c>
      <c r="H213" s="1391">
        <v>0.8</v>
      </c>
    </row>
    <row r="214">
      <c r="A214" s="1344" t="s">
        <v>2393</v>
      </c>
      <c r="B214" s="1381" t="s">
        <v>3342</v>
      </c>
      <c r="C214" s="1382" t="s">
        <v>1495</v>
      </c>
      <c r="D214" s="1346">
        <v>0.95</v>
      </c>
      <c r="E214" s="1346" t="s">
        <v>3343</v>
      </c>
      <c r="F214" s="1349"/>
      <c r="G214" s="1389" t="s">
        <v>3344</v>
      </c>
      <c r="H214" s="1392">
        <v>1.15</v>
      </c>
    </row>
    <row r="215">
      <c r="A215" s="1351" t="s">
        <v>2393</v>
      </c>
      <c r="B215" s="1385" t="s">
        <v>3333</v>
      </c>
      <c r="C215" s="1386" t="s">
        <v>1495</v>
      </c>
      <c r="D215" s="1353">
        <v>0.65</v>
      </c>
      <c r="E215" s="1353" t="s">
        <v>3334</v>
      </c>
      <c r="F215" s="1356"/>
      <c r="G215" s="1390" t="s">
        <v>3335</v>
      </c>
      <c r="H215" s="1391">
        <v>0.8</v>
      </c>
    </row>
    <row r="216">
      <c r="A216" s="1344" t="s">
        <v>2393</v>
      </c>
      <c r="B216" s="1381" t="s">
        <v>730</v>
      </c>
      <c r="C216" s="1382" t="s">
        <v>1642</v>
      </c>
      <c r="D216" s="1346">
        <v>6.19</v>
      </c>
      <c r="E216" s="1347"/>
      <c r="F216" s="1349"/>
      <c r="G216" s="1383"/>
      <c r="H216" s="1392">
        <v>7.15</v>
      </c>
    </row>
    <row r="217">
      <c r="A217" s="1351" t="s">
        <v>2393</v>
      </c>
      <c r="B217" s="1385" t="s">
        <v>721</v>
      </c>
      <c r="C217" s="1386" t="s">
        <v>1495</v>
      </c>
      <c r="D217" s="1353">
        <v>0.72</v>
      </c>
      <c r="E217" s="1353" t="s">
        <v>3574</v>
      </c>
      <c r="F217" s="1356"/>
      <c r="G217" s="1390" t="s">
        <v>2843</v>
      </c>
      <c r="H217" s="1391">
        <v>0.85</v>
      </c>
    </row>
    <row r="218">
      <c r="A218" s="1344" t="s">
        <v>2393</v>
      </c>
      <c r="B218" s="1381" t="s">
        <v>254</v>
      </c>
      <c r="C218" s="1382" t="s">
        <v>1642</v>
      </c>
      <c r="D218" s="1346">
        <v>3.34</v>
      </c>
      <c r="E218" s="1346" t="s">
        <v>3031</v>
      </c>
      <c r="F218" s="1349"/>
      <c r="G218" s="1389" t="s">
        <v>3032</v>
      </c>
      <c r="H218" s="1392">
        <v>4.05</v>
      </c>
    </row>
    <row r="219">
      <c r="A219" s="1351" t="s">
        <v>2393</v>
      </c>
      <c r="B219" s="1385" t="s">
        <v>2805</v>
      </c>
      <c r="C219" s="1386" t="s">
        <v>1642</v>
      </c>
      <c r="D219" s="1353">
        <v>2.54</v>
      </c>
      <c r="E219" s="1353" t="s">
        <v>2806</v>
      </c>
      <c r="F219" s="1356"/>
      <c r="G219" s="1390" t="s">
        <v>2807</v>
      </c>
      <c r="H219" s="1388">
        <v>2.95</v>
      </c>
    </row>
    <row r="220">
      <c r="A220" s="1344" t="s">
        <v>3255</v>
      </c>
      <c r="B220" s="1381" t="s">
        <v>1188</v>
      </c>
      <c r="C220" s="1382" t="s">
        <v>1495</v>
      </c>
      <c r="D220" s="1346">
        <v>13.75</v>
      </c>
      <c r="E220" s="1347"/>
      <c r="F220" s="1349"/>
      <c r="G220" s="1383"/>
      <c r="H220" s="1392">
        <v>17.9</v>
      </c>
    </row>
    <row r="221">
      <c r="A221" s="1351" t="s">
        <v>3255</v>
      </c>
      <c r="B221" s="1385" t="s">
        <v>3575</v>
      </c>
      <c r="C221" s="1386" t="s">
        <v>1495</v>
      </c>
      <c r="D221" s="1353">
        <v>9.61</v>
      </c>
      <c r="E221" s="1354"/>
      <c r="F221" s="1356"/>
      <c r="G221" s="1387"/>
      <c r="H221" s="1391">
        <v>12.5</v>
      </c>
    </row>
    <row r="222">
      <c r="A222" s="1344" t="s">
        <v>3255</v>
      </c>
      <c r="B222" s="1381" t="s">
        <v>1414</v>
      </c>
      <c r="C222" s="1382" t="s">
        <v>1495</v>
      </c>
      <c r="D222" s="1346">
        <v>13.75</v>
      </c>
      <c r="E222" s="1347"/>
      <c r="F222" s="1349"/>
      <c r="G222" s="1383"/>
      <c r="H222" s="1392">
        <v>17.9</v>
      </c>
    </row>
    <row r="223">
      <c r="A223" s="1351" t="s">
        <v>17</v>
      </c>
      <c r="B223" s="1385" t="s">
        <v>229</v>
      </c>
      <c r="C223" s="1386" t="s">
        <v>1642</v>
      </c>
      <c r="D223" s="1353">
        <v>2.76</v>
      </c>
      <c r="E223" s="1353" t="s">
        <v>3460</v>
      </c>
      <c r="F223" s="1356"/>
      <c r="G223" s="1390" t="s">
        <v>3461</v>
      </c>
      <c r="H223" s="1391">
        <v>3.2</v>
      </c>
    </row>
    <row r="224">
      <c r="A224" s="1344" t="s">
        <v>17</v>
      </c>
      <c r="B224" s="1381" t="s">
        <v>223</v>
      </c>
      <c r="C224" s="1382" t="s">
        <v>1495</v>
      </c>
      <c r="D224" s="1346">
        <v>4.71</v>
      </c>
      <c r="E224" s="1346" t="s">
        <v>2698</v>
      </c>
      <c r="F224" s="1349"/>
      <c r="G224" s="1389" t="s">
        <v>2699</v>
      </c>
      <c r="H224" s="1392">
        <v>5.45</v>
      </c>
    </row>
    <row r="225">
      <c r="A225" s="1351" t="s">
        <v>17</v>
      </c>
      <c r="B225" s="1385" t="s">
        <v>225</v>
      </c>
      <c r="C225" s="1386" t="s">
        <v>1495</v>
      </c>
      <c r="D225" s="1353">
        <v>15.72</v>
      </c>
      <c r="E225" s="1353" t="s">
        <v>2808</v>
      </c>
      <c r="F225" s="1356"/>
      <c r="G225" s="1390" t="s">
        <v>2809</v>
      </c>
      <c r="H225" s="1391">
        <v>18.1</v>
      </c>
    </row>
    <row r="226">
      <c r="A226" s="1344" t="s">
        <v>17</v>
      </c>
      <c r="B226" s="1381" t="s">
        <v>227</v>
      </c>
      <c r="C226" s="1382" t="s">
        <v>1495</v>
      </c>
      <c r="D226" s="1346">
        <v>15.72</v>
      </c>
      <c r="E226" s="1346" t="s">
        <v>2810</v>
      </c>
      <c r="F226" s="1349"/>
      <c r="G226" s="1389" t="s">
        <v>2811</v>
      </c>
      <c r="H226" s="1384">
        <v>18.1</v>
      </c>
    </row>
    <row r="227">
      <c r="A227" s="1351" t="s">
        <v>2341</v>
      </c>
      <c r="B227" s="1385" t="s">
        <v>2382</v>
      </c>
      <c r="C227" s="1386" t="s">
        <v>1495</v>
      </c>
      <c r="D227" s="1353">
        <v>24.0</v>
      </c>
      <c r="E227" s="1354"/>
      <c r="F227" s="1356"/>
      <c r="G227" s="1387"/>
      <c r="H227" s="1388">
        <v>27.6</v>
      </c>
    </row>
    <row r="228">
      <c r="A228" s="1344" t="s">
        <v>2341</v>
      </c>
      <c r="B228" s="1381" t="s">
        <v>2347</v>
      </c>
      <c r="C228" s="1382" t="s">
        <v>1495</v>
      </c>
      <c r="D228" s="1346">
        <v>2.2</v>
      </c>
      <c r="E228" s="1346" t="s">
        <v>3576</v>
      </c>
      <c r="F228" s="1349"/>
      <c r="G228" s="1389" t="s">
        <v>2348</v>
      </c>
      <c r="H228" s="1384">
        <v>2.55</v>
      </c>
    </row>
    <row r="229">
      <c r="A229" s="1351" t="s">
        <v>2341</v>
      </c>
      <c r="B229" s="1385" t="s">
        <v>2342</v>
      </c>
      <c r="C229" s="1386" t="s">
        <v>1495</v>
      </c>
      <c r="D229" s="1353">
        <v>2.0</v>
      </c>
      <c r="E229" s="1353" t="s">
        <v>3577</v>
      </c>
      <c r="F229" s="1356"/>
      <c r="G229" s="1390" t="s">
        <v>2343</v>
      </c>
      <c r="H229" s="1388">
        <v>2.3</v>
      </c>
    </row>
    <row r="230">
      <c r="A230" s="1344" t="s">
        <v>2341</v>
      </c>
      <c r="B230" s="1381" t="s">
        <v>757</v>
      </c>
      <c r="C230" s="1382" t="s">
        <v>1495</v>
      </c>
      <c r="D230" s="1346"/>
      <c r="E230" s="1346" t="s">
        <v>3578</v>
      </c>
      <c r="F230" s="1349"/>
      <c r="G230" s="1389" t="s">
        <v>2917</v>
      </c>
      <c r="H230" s="1384"/>
    </row>
    <row r="231">
      <c r="A231" s="1351" t="s">
        <v>2341</v>
      </c>
      <c r="B231" s="1385" t="s">
        <v>766</v>
      </c>
      <c r="C231" s="1386" t="s">
        <v>1495</v>
      </c>
      <c r="D231" s="1353"/>
      <c r="E231" s="1353" t="s">
        <v>2935</v>
      </c>
      <c r="F231" s="1356"/>
      <c r="G231" s="1390" t="s">
        <v>2936</v>
      </c>
      <c r="H231" s="1391"/>
    </row>
    <row r="232">
      <c r="A232" s="1344" t="s">
        <v>2341</v>
      </c>
      <c r="B232" s="1381" t="s">
        <v>586</v>
      </c>
      <c r="C232" s="1382" t="s">
        <v>1495</v>
      </c>
      <c r="D232" s="1346">
        <v>43.05</v>
      </c>
      <c r="E232" s="1346" t="s">
        <v>3579</v>
      </c>
      <c r="F232" s="1349"/>
      <c r="G232" s="1389" t="s">
        <v>2585</v>
      </c>
      <c r="H232" s="1384">
        <v>49.55</v>
      </c>
    </row>
    <row r="233">
      <c r="A233" s="1351" t="s">
        <v>2341</v>
      </c>
      <c r="B233" s="1385" t="s">
        <v>2609</v>
      </c>
      <c r="C233" s="1386" t="s">
        <v>1495</v>
      </c>
      <c r="D233" s="1353">
        <v>5.55</v>
      </c>
      <c r="E233" s="1353" t="s">
        <v>2610</v>
      </c>
      <c r="F233" s="1356"/>
      <c r="G233" s="1390" t="s">
        <v>2611</v>
      </c>
      <c r="H233" s="1391">
        <v>6.4</v>
      </c>
    </row>
    <row r="234">
      <c r="A234" s="1344" t="s">
        <v>2341</v>
      </c>
      <c r="B234" s="1381" t="s">
        <v>767</v>
      </c>
      <c r="C234" s="1382" t="s">
        <v>1495</v>
      </c>
      <c r="D234" s="1346">
        <v>4.75</v>
      </c>
      <c r="E234" s="1346" t="s">
        <v>2937</v>
      </c>
      <c r="F234" s="1349"/>
      <c r="G234" s="1389" t="s">
        <v>2938</v>
      </c>
      <c r="H234" s="1384">
        <v>5.5</v>
      </c>
    </row>
    <row r="235">
      <c r="A235" s="1351" t="s">
        <v>2341</v>
      </c>
      <c r="B235" s="1385" t="s">
        <v>758</v>
      </c>
      <c r="C235" s="1386" t="s">
        <v>1495</v>
      </c>
      <c r="D235" s="1353"/>
      <c r="E235" s="1353" t="s">
        <v>3580</v>
      </c>
      <c r="F235" s="1356"/>
      <c r="G235" s="1390" t="s">
        <v>2918</v>
      </c>
      <c r="H235" s="1391"/>
    </row>
    <row r="236">
      <c r="A236" s="1344" t="s">
        <v>2341</v>
      </c>
      <c r="B236" s="1381" t="s">
        <v>494</v>
      </c>
      <c r="C236" s="1382" t="s">
        <v>1495</v>
      </c>
      <c r="D236" s="1346"/>
      <c r="E236" s="1347"/>
      <c r="F236" s="1349"/>
      <c r="G236" s="1383"/>
      <c r="H236" s="1392"/>
    </row>
    <row r="237">
      <c r="A237" s="1351" t="s">
        <v>146</v>
      </c>
      <c r="B237" s="1385" t="s">
        <v>3166</v>
      </c>
      <c r="C237" s="1386" t="s">
        <v>1495</v>
      </c>
      <c r="D237" s="1353">
        <v>11.33</v>
      </c>
      <c r="E237" s="1353" t="s">
        <v>2146</v>
      </c>
      <c r="F237" s="1356"/>
      <c r="G237" s="1390" t="s">
        <v>3167</v>
      </c>
      <c r="H237" s="1391">
        <v>13.05</v>
      </c>
    </row>
    <row r="238">
      <c r="A238" s="1344" t="s">
        <v>146</v>
      </c>
      <c r="B238" s="1381" t="s">
        <v>3160</v>
      </c>
      <c r="C238" s="1382" t="s">
        <v>1495</v>
      </c>
      <c r="D238" s="1346">
        <v>7.0</v>
      </c>
      <c r="E238" s="1346" t="s">
        <v>3161</v>
      </c>
      <c r="F238" s="1349"/>
      <c r="G238" s="1389" t="s">
        <v>2145</v>
      </c>
      <c r="H238" s="1392">
        <v>10.5</v>
      </c>
    </row>
    <row r="239">
      <c r="A239" s="1351" t="s">
        <v>146</v>
      </c>
      <c r="B239" s="1385" t="s">
        <v>2362</v>
      </c>
      <c r="C239" s="1386" t="s">
        <v>1495</v>
      </c>
      <c r="D239" s="1353">
        <v>0.67</v>
      </c>
      <c r="E239" s="1354"/>
      <c r="F239" s="1356"/>
      <c r="G239" s="1387"/>
      <c r="H239" s="1388">
        <v>0.8</v>
      </c>
    </row>
    <row r="240">
      <c r="A240" s="1344" t="s">
        <v>146</v>
      </c>
      <c r="B240" s="1381" t="s">
        <v>2363</v>
      </c>
      <c r="C240" s="1382" t="s">
        <v>1495</v>
      </c>
      <c r="D240" s="1346">
        <v>0.67</v>
      </c>
      <c r="E240" s="1347"/>
      <c r="F240" s="1349"/>
      <c r="G240" s="1383"/>
      <c r="H240" s="1384">
        <v>0.8</v>
      </c>
    </row>
    <row r="241">
      <c r="A241" s="1351" t="s">
        <v>146</v>
      </c>
      <c r="B241" s="1385" t="s">
        <v>3157</v>
      </c>
      <c r="C241" s="1386" t="s">
        <v>1495</v>
      </c>
      <c r="D241" s="1353">
        <v>6.57</v>
      </c>
      <c r="E241" s="1353" t="s">
        <v>3158</v>
      </c>
      <c r="F241" s="1356">
        <v>2.0</v>
      </c>
      <c r="G241" s="1390" t="s">
        <v>2143</v>
      </c>
      <c r="H241" s="1391">
        <v>9.9</v>
      </c>
    </row>
    <row r="242">
      <c r="A242" s="1344" t="s">
        <v>146</v>
      </c>
      <c r="B242" s="1381" t="s">
        <v>402</v>
      </c>
      <c r="C242" s="1382" t="s">
        <v>1495</v>
      </c>
      <c r="D242" s="1346">
        <v>33.45</v>
      </c>
      <c r="E242" s="1346" t="s">
        <v>3581</v>
      </c>
      <c r="F242" s="1349">
        <v>4.0</v>
      </c>
      <c r="G242" s="1389" t="s">
        <v>2231</v>
      </c>
      <c r="H242" s="1384">
        <v>38.5</v>
      </c>
    </row>
    <row r="243">
      <c r="A243" s="1351" t="s">
        <v>146</v>
      </c>
      <c r="B243" s="1385" t="s">
        <v>2232</v>
      </c>
      <c r="C243" s="1386" t="s">
        <v>1495</v>
      </c>
      <c r="D243" s="1353">
        <v>50.22</v>
      </c>
      <c r="E243" s="1353" t="s">
        <v>3582</v>
      </c>
      <c r="F243" s="1356">
        <v>4.0</v>
      </c>
      <c r="G243" s="1390" t="s">
        <v>2233</v>
      </c>
      <c r="H243" s="1388">
        <v>57.8</v>
      </c>
    </row>
    <row r="244">
      <c r="A244" s="1344" t="s">
        <v>146</v>
      </c>
      <c r="B244" s="1381" t="s">
        <v>2353</v>
      </c>
      <c r="C244" s="1382" t="s">
        <v>1495</v>
      </c>
      <c r="D244" s="1346">
        <v>2.75</v>
      </c>
      <c r="E244" s="1346" t="s">
        <v>3583</v>
      </c>
      <c r="F244" s="1349">
        <v>1.0</v>
      </c>
      <c r="G244" s="1389" t="s">
        <v>2354</v>
      </c>
      <c r="H244" s="1384">
        <v>3.2</v>
      </c>
    </row>
    <row r="245">
      <c r="A245" s="1351" t="s">
        <v>146</v>
      </c>
      <c r="B245" s="1385" t="s">
        <v>2349</v>
      </c>
      <c r="C245" s="1386" t="s">
        <v>1495</v>
      </c>
      <c r="D245" s="1353">
        <v>2.22</v>
      </c>
      <c r="E245" s="1353" t="s">
        <v>3584</v>
      </c>
      <c r="F245" s="1356"/>
      <c r="G245" s="1390" t="s">
        <v>2350</v>
      </c>
      <c r="H245" s="1388">
        <v>2.6</v>
      </c>
    </row>
    <row r="246">
      <c r="A246" s="1344" t="s">
        <v>146</v>
      </c>
      <c r="B246" s="1381" t="s">
        <v>2360</v>
      </c>
      <c r="C246" s="1382" t="s">
        <v>1495</v>
      </c>
      <c r="D246" s="1346">
        <v>62.61</v>
      </c>
      <c r="E246" s="1346" t="s">
        <v>3585</v>
      </c>
      <c r="F246" s="1349">
        <v>3.0</v>
      </c>
      <c r="G246" s="1389" t="s">
        <v>2361</v>
      </c>
      <c r="H246" s="1384">
        <v>72.05</v>
      </c>
    </row>
    <row r="247">
      <c r="A247" s="1351" t="s">
        <v>146</v>
      </c>
      <c r="B247" s="1385" t="s">
        <v>479</v>
      </c>
      <c r="C247" s="1386" t="s">
        <v>1495</v>
      </c>
      <c r="D247" s="1353">
        <v>5.25</v>
      </c>
      <c r="E247" s="1353" t="s">
        <v>3586</v>
      </c>
      <c r="F247" s="1356">
        <v>2.0</v>
      </c>
      <c r="G247" s="1390" t="s">
        <v>2354</v>
      </c>
      <c r="H247" s="1388">
        <v>6.05</v>
      </c>
    </row>
    <row r="248">
      <c r="A248" s="1344" t="s">
        <v>146</v>
      </c>
      <c r="B248" s="1381" t="s">
        <v>150</v>
      </c>
      <c r="C248" s="1382" t="s">
        <v>1495</v>
      </c>
      <c r="D248" s="1346">
        <v>14.63</v>
      </c>
      <c r="E248" s="1346" t="s">
        <v>2875</v>
      </c>
      <c r="F248" s="1349">
        <v>3.0</v>
      </c>
      <c r="G248" s="1389" t="s">
        <v>2876</v>
      </c>
      <c r="H248" s="1384">
        <v>21.95</v>
      </c>
    </row>
    <row r="249">
      <c r="A249" s="1351" t="s">
        <v>146</v>
      </c>
      <c r="B249" s="1385" t="s">
        <v>344</v>
      </c>
      <c r="C249" s="1386" t="s">
        <v>1495</v>
      </c>
      <c r="D249" s="1353">
        <v>10.35</v>
      </c>
      <c r="E249" s="1353" t="s">
        <v>2146</v>
      </c>
      <c r="F249" s="1356">
        <v>4.0</v>
      </c>
      <c r="G249" s="1390" t="s">
        <v>2147</v>
      </c>
      <c r="H249" s="1388">
        <v>15.55</v>
      </c>
    </row>
    <row r="250">
      <c r="A250" s="1344" t="s">
        <v>146</v>
      </c>
      <c r="B250" s="1381" t="s">
        <v>2877</v>
      </c>
      <c r="C250" s="1382" t="s">
        <v>1495</v>
      </c>
      <c r="D250" s="1346">
        <v>14.88</v>
      </c>
      <c r="E250" s="1346" t="s">
        <v>2878</v>
      </c>
      <c r="F250" s="1349">
        <v>1.0</v>
      </c>
      <c r="G250" s="1389" t="s">
        <v>2879</v>
      </c>
      <c r="H250" s="1384">
        <v>17.15</v>
      </c>
    </row>
    <row r="251">
      <c r="A251" s="1351" t="s">
        <v>146</v>
      </c>
      <c r="B251" s="1385" t="s">
        <v>2344</v>
      </c>
      <c r="C251" s="1386" t="s">
        <v>1495</v>
      </c>
      <c r="D251" s="1353">
        <v>2.0</v>
      </c>
      <c r="E251" s="1353" t="s">
        <v>3587</v>
      </c>
      <c r="F251" s="1356"/>
      <c r="G251" s="1390" t="s">
        <v>2345</v>
      </c>
      <c r="H251" s="1388">
        <v>2.3</v>
      </c>
    </row>
    <row r="252">
      <c r="A252" s="1344" t="s">
        <v>146</v>
      </c>
      <c r="B252" s="1381" t="s">
        <v>154</v>
      </c>
      <c r="C252" s="1382" t="s">
        <v>1495</v>
      </c>
      <c r="D252" s="1346">
        <v>1.77</v>
      </c>
      <c r="E252" s="1346" t="s">
        <v>2339</v>
      </c>
      <c r="F252" s="1349">
        <v>1.0</v>
      </c>
      <c r="G252" s="1389" t="s">
        <v>2340</v>
      </c>
      <c r="H252" s="1384">
        <v>2.7</v>
      </c>
    </row>
    <row r="253">
      <c r="A253" s="1351" t="s">
        <v>146</v>
      </c>
      <c r="B253" s="1385" t="s">
        <v>2351</v>
      </c>
      <c r="C253" s="1386" t="s">
        <v>1495</v>
      </c>
      <c r="D253" s="1353">
        <v>3.0</v>
      </c>
      <c r="E253" s="1353" t="s">
        <v>3588</v>
      </c>
      <c r="F253" s="1356"/>
      <c r="G253" s="1390" t="s">
        <v>2352</v>
      </c>
      <c r="H253" s="1388">
        <v>3.45</v>
      </c>
    </row>
    <row r="254">
      <c r="A254" s="1344" t="s">
        <v>146</v>
      </c>
      <c r="B254" s="1381" t="s">
        <v>741</v>
      </c>
      <c r="C254" s="1382" t="s">
        <v>1495</v>
      </c>
      <c r="D254" s="1346">
        <v>9.3</v>
      </c>
      <c r="E254" s="1346" t="s">
        <v>2880</v>
      </c>
      <c r="F254" s="1349">
        <v>1.0</v>
      </c>
      <c r="G254" s="1389" t="s">
        <v>2881</v>
      </c>
      <c r="H254" s="1384">
        <v>10.7</v>
      </c>
    </row>
    <row r="255">
      <c r="A255" s="1351" t="s">
        <v>146</v>
      </c>
      <c r="B255" s="1385" t="s">
        <v>152</v>
      </c>
      <c r="C255" s="1386" t="s">
        <v>1495</v>
      </c>
      <c r="D255" s="1353">
        <v>2.35</v>
      </c>
      <c r="E255" s="1353" t="s">
        <v>3589</v>
      </c>
      <c r="F255" s="1356"/>
      <c r="G255" s="1390" t="s">
        <v>2346</v>
      </c>
      <c r="H255" s="1388">
        <v>2.75</v>
      </c>
    </row>
    <row r="256">
      <c r="A256" s="1344" t="s">
        <v>146</v>
      </c>
      <c r="B256" s="1381" t="s">
        <v>2872</v>
      </c>
      <c r="C256" s="1382" t="s">
        <v>1495</v>
      </c>
      <c r="D256" s="1346">
        <v>13.31</v>
      </c>
      <c r="E256" s="1346" t="s">
        <v>2873</v>
      </c>
      <c r="F256" s="1349">
        <v>2.0</v>
      </c>
      <c r="G256" s="1389" t="s">
        <v>2874</v>
      </c>
      <c r="H256" s="1384">
        <v>20.0</v>
      </c>
    </row>
    <row r="257">
      <c r="A257" s="1351" t="s">
        <v>146</v>
      </c>
      <c r="B257" s="1385" t="s">
        <v>2141</v>
      </c>
      <c r="C257" s="1386" t="s">
        <v>1495</v>
      </c>
      <c r="D257" s="1353">
        <v>6.9</v>
      </c>
      <c r="E257" s="1353" t="s">
        <v>2142</v>
      </c>
      <c r="F257" s="1356">
        <v>2.0</v>
      </c>
      <c r="G257" s="1390" t="s">
        <v>2143</v>
      </c>
      <c r="H257" s="1388">
        <v>10.35</v>
      </c>
    </row>
    <row r="258">
      <c r="A258" s="1344" t="s">
        <v>146</v>
      </c>
      <c r="B258" s="1381" t="s">
        <v>148</v>
      </c>
      <c r="C258" s="1382" t="s">
        <v>1495</v>
      </c>
      <c r="D258" s="1346">
        <v>13.5</v>
      </c>
      <c r="E258" s="1346" t="s">
        <v>2144</v>
      </c>
      <c r="F258" s="1349">
        <v>4.0</v>
      </c>
      <c r="G258" s="1389" t="s">
        <v>2145</v>
      </c>
      <c r="H258" s="1384">
        <v>20.25</v>
      </c>
    </row>
    <row r="259">
      <c r="A259" s="1351" t="s">
        <v>146</v>
      </c>
      <c r="B259" s="1385" t="s">
        <v>1115</v>
      </c>
      <c r="C259" s="1386" t="s">
        <v>1495</v>
      </c>
      <c r="D259" s="1353">
        <v>8.69</v>
      </c>
      <c r="E259" s="1353" t="s">
        <v>3159</v>
      </c>
      <c r="F259" s="1356">
        <v>2.0</v>
      </c>
      <c r="G259" s="1390" t="s">
        <v>2143</v>
      </c>
      <c r="H259" s="1391">
        <v>13.05</v>
      </c>
    </row>
    <row r="260">
      <c r="A260" s="1344" t="s">
        <v>146</v>
      </c>
      <c r="B260" s="1381" t="s">
        <v>3590</v>
      </c>
      <c r="C260" s="1382" t="s">
        <v>1495</v>
      </c>
      <c r="D260" s="1346">
        <v>1.7</v>
      </c>
      <c r="E260" s="1346" t="s">
        <v>3223</v>
      </c>
      <c r="F260" s="1349"/>
      <c r="G260" s="1389" t="s">
        <v>3224</v>
      </c>
      <c r="H260" s="1392">
        <v>2.0</v>
      </c>
    </row>
    <row r="261">
      <c r="A261" s="1351" t="s">
        <v>146</v>
      </c>
      <c r="B261" s="1385" t="s">
        <v>649</v>
      </c>
      <c r="C261" s="1386" t="s">
        <v>1495</v>
      </c>
      <c r="D261" s="1353"/>
      <c r="E261" s="1353" t="s">
        <v>2703</v>
      </c>
      <c r="F261" s="1356"/>
      <c r="G261" s="1390" t="s">
        <v>2704</v>
      </c>
      <c r="H261" s="1388"/>
    </row>
    <row r="262">
      <c r="A262" s="1344" t="s">
        <v>326</v>
      </c>
      <c r="B262" s="1381" t="s">
        <v>1162</v>
      </c>
      <c r="C262" s="1382" t="s">
        <v>3162</v>
      </c>
      <c r="D262" s="1346">
        <v>10.97</v>
      </c>
      <c r="E262" s="1346" t="s">
        <v>3591</v>
      </c>
      <c r="F262" s="1349"/>
      <c r="G262" s="1389" t="s">
        <v>3235</v>
      </c>
      <c r="H262" s="1392">
        <v>12.65</v>
      </c>
    </row>
    <row r="263">
      <c r="A263" s="1351" t="s">
        <v>326</v>
      </c>
      <c r="B263" s="1385" t="s">
        <v>1173</v>
      </c>
      <c r="C263" s="1386" t="s">
        <v>1495</v>
      </c>
      <c r="D263" s="1353"/>
      <c r="E263" s="1353" t="s">
        <v>3592</v>
      </c>
      <c r="F263" s="1356"/>
      <c r="G263" s="1390" t="s">
        <v>3238</v>
      </c>
      <c r="H263" s="1388"/>
    </row>
    <row r="264">
      <c r="A264" s="1344" t="s">
        <v>326</v>
      </c>
      <c r="B264" s="1381" t="s">
        <v>3236</v>
      </c>
      <c r="C264" s="1382" t="s">
        <v>1495</v>
      </c>
      <c r="D264" s="1346">
        <v>54.7</v>
      </c>
      <c r="E264" s="1346" t="s">
        <v>3593</v>
      </c>
      <c r="F264" s="1349"/>
      <c r="G264" s="1389" t="s">
        <v>3237</v>
      </c>
      <c r="H264" s="1392">
        <v>62.95</v>
      </c>
    </row>
    <row r="265">
      <c r="A265" s="1351" t="s">
        <v>326</v>
      </c>
      <c r="B265" s="1385" t="s">
        <v>3193</v>
      </c>
      <c r="C265" s="1386" t="s">
        <v>1495</v>
      </c>
      <c r="D265" s="1353">
        <v>7.85</v>
      </c>
      <c r="E265" s="1353" t="s">
        <v>3194</v>
      </c>
      <c r="F265" s="1356"/>
      <c r="G265" s="1390" t="s">
        <v>3195</v>
      </c>
      <c r="H265" s="1388">
        <v>9.05</v>
      </c>
    </row>
    <row r="266">
      <c r="A266" s="1344" t="s">
        <v>326</v>
      </c>
      <c r="B266" s="1381" t="s">
        <v>184</v>
      </c>
      <c r="C266" s="1382" t="s">
        <v>1495</v>
      </c>
      <c r="D266" s="1346">
        <v>7.36</v>
      </c>
      <c r="E266" s="1346" t="s">
        <v>3594</v>
      </c>
      <c r="F266" s="1349">
        <v>2.0</v>
      </c>
      <c r="G266" s="1389" t="s">
        <v>2187</v>
      </c>
      <c r="H266" s="1384">
        <v>8.5</v>
      </c>
    </row>
    <row r="267">
      <c r="A267" s="1351" t="s">
        <v>326</v>
      </c>
      <c r="B267" s="1385" t="s">
        <v>2188</v>
      </c>
      <c r="C267" s="1386" t="s">
        <v>1495</v>
      </c>
      <c r="D267" s="1353">
        <v>8.67</v>
      </c>
      <c r="E267" s="1353" t="s">
        <v>3595</v>
      </c>
      <c r="F267" s="1356">
        <v>2.0</v>
      </c>
      <c r="G267" s="1390" t="s">
        <v>2189</v>
      </c>
      <c r="H267" s="1388">
        <v>10.0</v>
      </c>
    </row>
    <row r="268">
      <c r="A268" s="1344" t="s">
        <v>326</v>
      </c>
      <c r="B268" s="1381" t="s">
        <v>2190</v>
      </c>
      <c r="C268" s="1382" t="s">
        <v>1495</v>
      </c>
      <c r="D268" s="1346">
        <v>9.38</v>
      </c>
      <c r="E268" s="1346" t="s">
        <v>3596</v>
      </c>
      <c r="F268" s="1349">
        <v>2.0</v>
      </c>
      <c r="G268" s="1389" t="s">
        <v>2191</v>
      </c>
      <c r="H268" s="1384">
        <v>10.8</v>
      </c>
    </row>
    <row r="269">
      <c r="A269" s="1351" t="s">
        <v>326</v>
      </c>
      <c r="B269" s="1385" t="s">
        <v>374</v>
      </c>
      <c r="C269" s="1386" t="s">
        <v>1495</v>
      </c>
      <c r="D269" s="1353">
        <v>15.06</v>
      </c>
      <c r="E269" s="1353" t="s">
        <v>3597</v>
      </c>
      <c r="F269" s="1356">
        <v>2.0</v>
      </c>
      <c r="G269" s="1390" t="s">
        <v>2192</v>
      </c>
      <c r="H269" s="1388">
        <v>17.35</v>
      </c>
    </row>
    <row r="270">
      <c r="A270" s="1344" t="s">
        <v>326</v>
      </c>
      <c r="B270" s="1381" t="s">
        <v>375</v>
      </c>
      <c r="C270" s="1382" t="s">
        <v>1495</v>
      </c>
      <c r="D270" s="1346">
        <v>14.35</v>
      </c>
      <c r="E270" s="1346" t="s">
        <v>3598</v>
      </c>
      <c r="F270" s="1349">
        <v>2.0</v>
      </c>
      <c r="G270" s="1389" t="s">
        <v>2193</v>
      </c>
      <c r="H270" s="1384">
        <v>16.55</v>
      </c>
    </row>
    <row r="271">
      <c r="A271" s="1351" t="s">
        <v>326</v>
      </c>
      <c r="B271" s="1385" t="s">
        <v>2198</v>
      </c>
      <c r="C271" s="1386" t="s">
        <v>1495</v>
      </c>
      <c r="D271" s="1353">
        <v>10.62</v>
      </c>
      <c r="E271" s="1353" t="s">
        <v>3599</v>
      </c>
      <c r="F271" s="1356">
        <v>3.0</v>
      </c>
      <c r="G271" s="1390" t="s">
        <v>2199</v>
      </c>
      <c r="H271" s="1388">
        <v>12.25</v>
      </c>
    </row>
    <row r="272">
      <c r="A272" s="1344" t="s">
        <v>326</v>
      </c>
      <c r="B272" s="1381" t="s">
        <v>2200</v>
      </c>
      <c r="C272" s="1382" t="s">
        <v>1495</v>
      </c>
      <c r="D272" s="1346">
        <v>11.13</v>
      </c>
      <c r="E272" s="1346" t="s">
        <v>3600</v>
      </c>
      <c r="F272" s="1349">
        <v>3.0</v>
      </c>
      <c r="G272" s="1389" t="s">
        <v>2201</v>
      </c>
      <c r="H272" s="1392">
        <v>12.8</v>
      </c>
    </row>
    <row r="273">
      <c r="A273" s="1351" t="s">
        <v>326</v>
      </c>
      <c r="B273" s="1385" t="s">
        <v>2202</v>
      </c>
      <c r="C273" s="1386" t="s">
        <v>1495</v>
      </c>
      <c r="D273" s="1353">
        <v>12.44</v>
      </c>
      <c r="E273" s="1353" t="s">
        <v>3601</v>
      </c>
      <c r="F273" s="1356">
        <v>3.0</v>
      </c>
      <c r="G273" s="1390" t="s">
        <v>2203</v>
      </c>
      <c r="H273" s="1388">
        <v>14.35</v>
      </c>
    </row>
    <row r="274">
      <c r="A274" s="1344" t="s">
        <v>326</v>
      </c>
      <c r="B274" s="1381" t="s">
        <v>2204</v>
      </c>
      <c r="C274" s="1382" t="s">
        <v>1495</v>
      </c>
      <c r="D274" s="1346">
        <v>13.4</v>
      </c>
      <c r="E274" s="1346" t="s">
        <v>3602</v>
      </c>
      <c r="F274" s="1349">
        <v>3.0</v>
      </c>
      <c r="G274" s="1389" t="s">
        <v>2205</v>
      </c>
      <c r="H274" s="1384">
        <v>15.45</v>
      </c>
    </row>
    <row r="275">
      <c r="A275" s="1351" t="s">
        <v>326</v>
      </c>
      <c r="B275" s="1385" t="s">
        <v>2206</v>
      </c>
      <c r="C275" s="1386" t="s">
        <v>1495</v>
      </c>
      <c r="D275" s="1353">
        <v>20.71</v>
      </c>
      <c r="E275" s="1353" t="s">
        <v>3603</v>
      </c>
      <c r="F275" s="1356">
        <v>3.0</v>
      </c>
      <c r="G275" s="1390" t="s">
        <v>2207</v>
      </c>
      <c r="H275" s="1388">
        <v>23.85</v>
      </c>
    </row>
    <row r="276">
      <c r="A276" s="1344" t="s">
        <v>326</v>
      </c>
      <c r="B276" s="1381" t="s">
        <v>172</v>
      </c>
      <c r="C276" s="1382" t="s">
        <v>1495</v>
      </c>
      <c r="D276" s="1346">
        <v>21.37</v>
      </c>
      <c r="E276" s="1346" t="s">
        <v>3604</v>
      </c>
      <c r="F276" s="1349">
        <v>3.0</v>
      </c>
      <c r="G276" s="1389" t="s">
        <v>2208</v>
      </c>
      <c r="H276" s="1384">
        <v>24.6</v>
      </c>
    </row>
    <row r="277">
      <c r="A277" s="1351" t="s">
        <v>326</v>
      </c>
      <c r="B277" s="1385" t="s">
        <v>2355</v>
      </c>
      <c r="C277" s="1386" t="s">
        <v>1495</v>
      </c>
      <c r="D277" s="1353">
        <v>15.62</v>
      </c>
      <c r="E277" s="1353" t="s">
        <v>3605</v>
      </c>
      <c r="F277" s="1356">
        <v>1.0</v>
      </c>
      <c r="G277" s="1390" t="s">
        <v>2356</v>
      </c>
      <c r="H277" s="1388">
        <v>18.0</v>
      </c>
    </row>
    <row r="278">
      <c r="A278" s="1344" t="s">
        <v>326</v>
      </c>
      <c r="B278" s="1381" t="s">
        <v>2357</v>
      </c>
      <c r="C278" s="1382" t="s">
        <v>1495</v>
      </c>
      <c r="D278" s="1346">
        <v>47.02</v>
      </c>
      <c r="E278" s="1346" t="s">
        <v>3606</v>
      </c>
      <c r="F278" s="1349">
        <v>3.0</v>
      </c>
      <c r="G278" s="1389" t="s">
        <v>2358</v>
      </c>
      <c r="H278" s="1384">
        <v>54.1</v>
      </c>
    </row>
    <row r="279">
      <c r="A279" s="1351" t="s">
        <v>326</v>
      </c>
      <c r="B279" s="1385" t="s">
        <v>174</v>
      </c>
      <c r="C279" s="1386" t="s">
        <v>1495</v>
      </c>
      <c r="D279" s="1353">
        <v>67.2</v>
      </c>
      <c r="E279" s="1353" t="s">
        <v>3607</v>
      </c>
      <c r="F279" s="1356">
        <v>4.0</v>
      </c>
      <c r="G279" s="1390" t="s">
        <v>2359</v>
      </c>
      <c r="H279" s="1388">
        <v>77.3</v>
      </c>
    </row>
    <row r="280">
      <c r="A280" s="1344" t="s">
        <v>326</v>
      </c>
      <c r="B280" s="1381" t="s">
        <v>486</v>
      </c>
      <c r="C280" s="1382" t="s">
        <v>1495</v>
      </c>
      <c r="D280" s="1346">
        <v>4.4</v>
      </c>
      <c r="E280" s="1346" t="s">
        <v>2364</v>
      </c>
      <c r="F280" s="1349">
        <v>1.0</v>
      </c>
      <c r="G280" s="1389" t="s">
        <v>2365</v>
      </c>
      <c r="H280" s="1384">
        <v>5.1</v>
      </c>
    </row>
    <row r="281">
      <c r="A281" s="1351" t="s">
        <v>326</v>
      </c>
      <c r="B281" s="1385" t="s">
        <v>448</v>
      </c>
      <c r="C281" s="1386" t="s">
        <v>1495</v>
      </c>
      <c r="D281" s="1353">
        <v>31.0</v>
      </c>
      <c r="E281" s="1353" t="s">
        <v>2324</v>
      </c>
      <c r="F281" s="1356">
        <v>3.0</v>
      </c>
      <c r="G281" s="1390" t="s">
        <v>2325</v>
      </c>
      <c r="H281" s="1391">
        <v>35.65</v>
      </c>
    </row>
    <row r="282">
      <c r="A282" s="1344" t="s">
        <v>326</v>
      </c>
      <c r="B282" s="1381" t="s">
        <v>353</v>
      </c>
      <c r="C282" s="1382" t="s">
        <v>1495</v>
      </c>
      <c r="D282" s="1346">
        <v>130.17</v>
      </c>
      <c r="E282" s="1346" t="s">
        <v>3608</v>
      </c>
      <c r="F282" s="1349"/>
      <c r="G282" s="1389" t="s">
        <v>2163</v>
      </c>
      <c r="H282" s="1384">
        <v>149.7</v>
      </c>
    </row>
    <row r="283">
      <c r="A283" s="1351" t="s">
        <v>326</v>
      </c>
      <c r="B283" s="1385" t="s">
        <v>3609</v>
      </c>
      <c r="C283" s="1386" t="s">
        <v>1495</v>
      </c>
      <c r="D283" s="1353">
        <v>9.9</v>
      </c>
      <c r="E283" s="1353" t="s">
        <v>2235</v>
      </c>
      <c r="F283" s="1356">
        <v>2.0</v>
      </c>
      <c r="G283" s="1390" t="s">
        <v>2236</v>
      </c>
      <c r="H283" s="1388">
        <v>11.4</v>
      </c>
    </row>
    <row r="284">
      <c r="A284" s="1344" t="s">
        <v>326</v>
      </c>
      <c r="B284" s="1381" t="s">
        <v>3610</v>
      </c>
      <c r="C284" s="1382" t="s">
        <v>1495</v>
      </c>
      <c r="D284" s="1346">
        <v>18.4</v>
      </c>
      <c r="E284" s="1346" t="s">
        <v>2250</v>
      </c>
      <c r="F284" s="1349">
        <v>3.0</v>
      </c>
      <c r="G284" s="1389" t="s">
        <v>2251</v>
      </c>
      <c r="H284" s="1392">
        <v>21.2</v>
      </c>
    </row>
    <row r="285">
      <c r="A285" s="1351" t="s">
        <v>326</v>
      </c>
      <c r="B285" s="1385" t="s">
        <v>3611</v>
      </c>
      <c r="C285" s="1386" t="s">
        <v>1495</v>
      </c>
      <c r="D285" s="1353">
        <v>17.6</v>
      </c>
      <c r="E285" s="1353" t="s">
        <v>2247</v>
      </c>
      <c r="F285" s="1356">
        <v>3.0</v>
      </c>
      <c r="G285" s="1390" t="s">
        <v>2248</v>
      </c>
      <c r="H285" s="1388">
        <v>20.25</v>
      </c>
    </row>
    <row r="286">
      <c r="A286" s="1344" t="s">
        <v>326</v>
      </c>
      <c r="B286" s="1381" t="s">
        <v>3612</v>
      </c>
      <c r="C286" s="1382" t="s">
        <v>1495</v>
      </c>
      <c r="D286" s="1346">
        <v>15.45</v>
      </c>
      <c r="E286" s="1346" t="s">
        <v>2241</v>
      </c>
      <c r="F286" s="1349">
        <v>3.0</v>
      </c>
      <c r="G286" s="1389" t="s">
        <v>2242</v>
      </c>
      <c r="H286" s="1384">
        <v>17.8</v>
      </c>
    </row>
    <row r="287">
      <c r="A287" s="1351" t="s">
        <v>326</v>
      </c>
      <c r="B287" s="1385" t="s">
        <v>3613</v>
      </c>
      <c r="C287" s="1386" t="s">
        <v>1495</v>
      </c>
      <c r="D287" s="1353">
        <v>14.15</v>
      </c>
      <c r="E287" s="1353" t="s">
        <v>2238</v>
      </c>
      <c r="F287" s="1356">
        <v>3.0</v>
      </c>
      <c r="G287" s="1390" t="s">
        <v>2239</v>
      </c>
      <c r="H287" s="1388">
        <v>16.3</v>
      </c>
    </row>
    <row r="288">
      <c r="A288" s="1344" t="s">
        <v>326</v>
      </c>
      <c r="B288" s="1381" t="s">
        <v>3614</v>
      </c>
      <c r="C288" s="1382" t="s">
        <v>1495</v>
      </c>
      <c r="D288" s="1346">
        <v>14.95</v>
      </c>
      <c r="E288" s="1346" t="s">
        <v>2244</v>
      </c>
      <c r="F288" s="1349">
        <v>3.0</v>
      </c>
      <c r="G288" s="1389" t="s">
        <v>2245</v>
      </c>
      <c r="H288" s="1384">
        <v>17.2</v>
      </c>
    </row>
    <row r="289">
      <c r="A289" s="1351" t="s">
        <v>326</v>
      </c>
      <c r="B289" s="1385" t="s">
        <v>354</v>
      </c>
      <c r="C289" s="1386" t="s">
        <v>1495</v>
      </c>
      <c r="D289" s="1353">
        <v>153.84</v>
      </c>
      <c r="E289" s="1353" t="s">
        <v>3615</v>
      </c>
      <c r="F289" s="1356"/>
      <c r="G289" s="1390" t="s">
        <v>2164</v>
      </c>
      <c r="H289" s="1391">
        <v>176.95</v>
      </c>
    </row>
    <row r="290">
      <c r="A290" s="1344" t="s">
        <v>326</v>
      </c>
      <c r="B290" s="1381" t="s">
        <v>355</v>
      </c>
      <c r="C290" s="1382" t="s">
        <v>1495</v>
      </c>
      <c r="D290" s="1346">
        <v>89.29</v>
      </c>
      <c r="E290" s="1346" t="s">
        <v>3616</v>
      </c>
      <c r="F290" s="1349"/>
      <c r="G290" s="1389" t="s">
        <v>2165</v>
      </c>
      <c r="H290" s="1384">
        <v>102.7</v>
      </c>
    </row>
    <row r="291">
      <c r="A291" s="1351" t="s">
        <v>326</v>
      </c>
      <c r="B291" s="1385" t="s">
        <v>351</v>
      </c>
      <c r="C291" s="1386" t="s">
        <v>1495</v>
      </c>
      <c r="D291" s="1353">
        <v>234.52</v>
      </c>
      <c r="E291" s="1353" t="s">
        <v>3617</v>
      </c>
      <c r="F291" s="1356"/>
      <c r="G291" s="1390" t="s">
        <v>2161</v>
      </c>
      <c r="H291" s="1388">
        <v>269.7</v>
      </c>
    </row>
    <row r="292">
      <c r="A292" s="1344" t="s">
        <v>326</v>
      </c>
      <c r="B292" s="1381" t="s">
        <v>563</v>
      </c>
      <c r="C292" s="1382" t="s">
        <v>1495</v>
      </c>
      <c r="D292" s="1346">
        <v>22.47</v>
      </c>
      <c r="E292" s="1346" t="s">
        <v>2534</v>
      </c>
      <c r="F292" s="1349">
        <v>2.0</v>
      </c>
      <c r="G292" s="1389" t="s">
        <v>2535</v>
      </c>
      <c r="H292" s="1384">
        <v>25.85</v>
      </c>
    </row>
    <row r="293">
      <c r="A293" s="1351" t="s">
        <v>326</v>
      </c>
      <c r="B293" s="1385" t="s">
        <v>352</v>
      </c>
      <c r="C293" s="1386" t="s">
        <v>1495</v>
      </c>
      <c r="D293" s="1353">
        <v>175.73</v>
      </c>
      <c r="E293" s="1353" t="s">
        <v>3618</v>
      </c>
      <c r="F293" s="1356"/>
      <c r="G293" s="1390" t="s">
        <v>2162</v>
      </c>
      <c r="H293" s="1388">
        <v>202.1</v>
      </c>
    </row>
    <row r="294">
      <c r="A294" s="1344" t="s">
        <v>326</v>
      </c>
      <c r="B294" s="1381" t="s">
        <v>3240</v>
      </c>
      <c r="C294" s="1382" t="s">
        <v>1495</v>
      </c>
      <c r="D294" s="1346">
        <v>72.2</v>
      </c>
      <c r="E294" s="1346" t="s">
        <v>3619</v>
      </c>
      <c r="F294" s="1349"/>
      <c r="G294" s="1389" t="s">
        <v>3241</v>
      </c>
      <c r="H294" s="1392">
        <v>83.05</v>
      </c>
    </row>
    <row r="295">
      <c r="A295" s="1351" t="s">
        <v>326</v>
      </c>
      <c r="B295" s="1385" t="s">
        <v>176</v>
      </c>
      <c r="C295" s="1386" t="s">
        <v>1495</v>
      </c>
      <c r="D295" s="1353">
        <v>5.35</v>
      </c>
      <c r="E295" s="1353" t="s">
        <v>3620</v>
      </c>
      <c r="F295" s="1356">
        <v>1.0</v>
      </c>
      <c r="G295" s="1390" t="s">
        <v>2328</v>
      </c>
      <c r="H295" s="1388">
        <v>6.2</v>
      </c>
    </row>
    <row r="296">
      <c r="A296" s="1344" t="s">
        <v>326</v>
      </c>
      <c r="B296" s="1381" t="s">
        <v>3242</v>
      </c>
      <c r="C296" s="1382" t="s">
        <v>1495</v>
      </c>
      <c r="D296" s="1346">
        <v>58.86</v>
      </c>
      <c r="E296" s="1346" t="s">
        <v>3621</v>
      </c>
      <c r="F296" s="1349"/>
      <c r="G296" s="1389" t="s">
        <v>3243</v>
      </c>
      <c r="H296" s="1392">
        <v>67.7</v>
      </c>
    </row>
    <row r="297">
      <c r="A297" s="1351" t="s">
        <v>326</v>
      </c>
      <c r="B297" s="1385" t="s">
        <v>1174</v>
      </c>
      <c r="C297" s="1386" t="s">
        <v>1495</v>
      </c>
      <c r="D297" s="1353">
        <v>63.33</v>
      </c>
      <c r="E297" s="1353" t="s">
        <v>3622</v>
      </c>
      <c r="F297" s="1356"/>
      <c r="G297" s="1390" t="s">
        <v>3239</v>
      </c>
      <c r="H297" s="1391">
        <v>72.85</v>
      </c>
    </row>
    <row r="298">
      <c r="A298" s="1344" t="s">
        <v>326</v>
      </c>
      <c r="B298" s="1381" t="s">
        <v>3403</v>
      </c>
      <c r="C298" s="1382" t="s">
        <v>1495</v>
      </c>
      <c r="D298" s="1346">
        <v>8.71</v>
      </c>
      <c r="E298" s="1346" t="s">
        <v>3404</v>
      </c>
      <c r="F298" s="1349">
        <v>1.0</v>
      </c>
      <c r="G298" s="1389" t="s">
        <v>3405</v>
      </c>
      <c r="H298" s="1392">
        <v>10.05</v>
      </c>
    </row>
    <row r="299">
      <c r="A299" s="1351" t="s">
        <v>326</v>
      </c>
      <c r="B299" s="1385" t="s">
        <v>359</v>
      </c>
      <c r="C299" s="1386" t="s">
        <v>1495</v>
      </c>
      <c r="D299" s="1353"/>
      <c r="E299" s="1353" t="s">
        <v>3623</v>
      </c>
      <c r="F299" s="1356">
        <v>3.0</v>
      </c>
      <c r="G299" s="1390" t="s">
        <v>2173</v>
      </c>
      <c r="H299" s="1391"/>
    </row>
    <row r="300">
      <c r="A300" s="1344" t="s">
        <v>16</v>
      </c>
      <c r="B300" s="1381" t="s">
        <v>2737</v>
      </c>
      <c r="C300" s="1382" t="s">
        <v>1495</v>
      </c>
      <c r="D300" s="1346">
        <v>28.62</v>
      </c>
      <c r="E300" s="1346" t="s">
        <v>3624</v>
      </c>
      <c r="F300" s="1349"/>
      <c r="G300" s="1389" t="s">
        <v>2738</v>
      </c>
      <c r="H300" s="1392">
        <v>32.95</v>
      </c>
    </row>
    <row r="301">
      <c r="A301" s="1351" t="s">
        <v>16</v>
      </c>
      <c r="B301" s="1385" t="s">
        <v>3625</v>
      </c>
      <c r="C301" s="1386" t="s">
        <v>1495</v>
      </c>
      <c r="D301" s="1353">
        <v>6.19</v>
      </c>
      <c r="E301" s="1353" t="s">
        <v>3626</v>
      </c>
      <c r="F301" s="1356"/>
      <c r="G301" s="1390" t="s">
        <v>2708</v>
      </c>
      <c r="H301" s="1391">
        <v>7.15</v>
      </c>
    </row>
    <row r="302">
      <c r="A302" s="1344" t="s">
        <v>16</v>
      </c>
      <c r="B302" s="1381" t="s">
        <v>2741</v>
      </c>
      <c r="C302" s="1382" t="s">
        <v>1495</v>
      </c>
      <c r="D302" s="1346">
        <v>41.54</v>
      </c>
      <c r="E302" s="1346" t="s">
        <v>3627</v>
      </c>
      <c r="F302" s="1349"/>
      <c r="G302" s="1389" t="s">
        <v>2742</v>
      </c>
      <c r="H302" s="1392">
        <v>47.8</v>
      </c>
    </row>
    <row r="303">
      <c r="A303" s="1351" t="s">
        <v>16</v>
      </c>
      <c r="B303" s="1385" t="s">
        <v>2919</v>
      </c>
      <c r="C303" s="1386" t="s">
        <v>1495</v>
      </c>
      <c r="D303" s="1353">
        <v>11.21</v>
      </c>
      <c r="E303" s="1353" t="s">
        <v>3628</v>
      </c>
      <c r="F303" s="1356">
        <v>3.5</v>
      </c>
      <c r="G303" s="1390" t="s">
        <v>2920</v>
      </c>
      <c r="H303" s="1391">
        <v>12.9</v>
      </c>
    </row>
    <row r="304">
      <c r="A304" s="1344" t="s">
        <v>16</v>
      </c>
      <c r="B304" s="1381" t="s">
        <v>2599</v>
      </c>
      <c r="C304" s="1382" t="s">
        <v>1495</v>
      </c>
      <c r="D304" s="1346">
        <v>5.94</v>
      </c>
      <c r="E304" s="1346" t="s">
        <v>3629</v>
      </c>
      <c r="F304" s="1349"/>
      <c r="G304" s="1389" t="s">
        <v>2600</v>
      </c>
      <c r="H304" s="1392">
        <v>6.85</v>
      </c>
    </row>
    <row r="305">
      <c r="A305" s="1351" t="s">
        <v>16</v>
      </c>
      <c r="B305" s="1385" t="s">
        <v>2921</v>
      </c>
      <c r="C305" s="1386" t="s">
        <v>1495</v>
      </c>
      <c r="D305" s="1353">
        <v>12.46</v>
      </c>
      <c r="E305" s="1353" t="s">
        <v>3630</v>
      </c>
      <c r="F305" s="1356">
        <v>3.5</v>
      </c>
      <c r="G305" s="1390" t="s">
        <v>2922</v>
      </c>
      <c r="H305" s="1388">
        <v>14.35</v>
      </c>
    </row>
    <row r="306">
      <c r="A306" s="1344" t="s">
        <v>16</v>
      </c>
      <c r="B306" s="1381" t="s">
        <v>3631</v>
      </c>
      <c r="C306" s="1382" t="s">
        <v>1495</v>
      </c>
      <c r="D306" s="1346">
        <v>9.11</v>
      </c>
      <c r="E306" s="1346" t="s">
        <v>3632</v>
      </c>
      <c r="F306" s="1349"/>
      <c r="G306" s="1389" t="s">
        <v>2710</v>
      </c>
      <c r="H306" s="1384">
        <v>10.5</v>
      </c>
    </row>
    <row r="307">
      <c r="A307" s="1351" t="s">
        <v>16</v>
      </c>
      <c r="B307" s="1385" t="s">
        <v>3633</v>
      </c>
      <c r="C307" s="1386" t="s">
        <v>1495</v>
      </c>
      <c r="D307" s="1353">
        <v>9.1</v>
      </c>
      <c r="E307" s="1353" t="s">
        <v>3634</v>
      </c>
      <c r="F307" s="1356"/>
      <c r="G307" s="1390" t="s">
        <v>2603</v>
      </c>
      <c r="H307" s="1388">
        <v>10.5</v>
      </c>
    </row>
    <row r="308">
      <c r="A308" s="1344" t="s">
        <v>16</v>
      </c>
      <c r="B308" s="1381" t="s">
        <v>3635</v>
      </c>
      <c r="C308" s="1382" t="s">
        <v>1495</v>
      </c>
      <c r="D308" s="1346">
        <v>7.16</v>
      </c>
      <c r="E308" s="1346" t="s">
        <v>3636</v>
      </c>
      <c r="F308" s="1349"/>
      <c r="G308" s="1389" t="s">
        <v>2706</v>
      </c>
      <c r="H308" s="1384">
        <v>8.25</v>
      </c>
    </row>
    <row r="309">
      <c r="A309" s="1351" t="s">
        <v>16</v>
      </c>
      <c r="B309" s="1385" t="s">
        <v>2739</v>
      </c>
      <c r="C309" s="1386" t="s">
        <v>1495</v>
      </c>
      <c r="D309" s="1353">
        <v>24.71</v>
      </c>
      <c r="E309" s="1353" t="s">
        <v>3637</v>
      </c>
      <c r="F309" s="1356"/>
      <c r="G309" s="1390" t="s">
        <v>2740</v>
      </c>
      <c r="H309" s="1388">
        <v>28.45</v>
      </c>
    </row>
    <row r="310">
      <c r="A310" s="1344" t="s">
        <v>16</v>
      </c>
      <c r="B310" s="1381" t="s">
        <v>597</v>
      </c>
      <c r="C310" s="1382" t="s">
        <v>1495</v>
      </c>
      <c r="D310" s="1346">
        <v>7.92</v>
      </c>
      <c r="E310" s="1346" t="s">
        <v>3638</v>
      </c>
      <c r="F310" s="1349"/>
      <c r="G310" s="1389" t="s">
        <v>2604</v>
      </c>
      <c r="H310" s="1384">
        <v>9.15</v>
      </c>
    </row>
    <row r="311">
      <c r="A311" s="1351" t="s">
        <v>16</v>
      </c>
      <c r="B311" s="1385" t="s">
        <v>3639</v>
      </c>
      <c r="C311" s="1386" t="s">
        <v>1495</v>
      </c>
      <c r="D311" s="1353">
        <v>8.18</v>
      </c>
      <c r="E311" s="1353" t="s">
        <v>3640</v>
      </c>
      <c r="F311" s="1356"/>
      <c r="G311" s="1390" t="s">
        <v>2602</v>
      </c>
      <c r="H311" s="1388">
        <v>9.45</v>
      </c>
    </row>
    <row r="312">
      <c r="A312" s="1344" t="s">
        <v>3641</v>
      </c>
      <c r="B312" s="1381" t="s">
        <v>3642</v>
      </c>
      <c r="C312" s="1382" t="s">
        <v>1495</v>
      </c>
      <c r="D312" s="1346"/>
      <c r="E312" s="1346" t="s">
        <v>3643</v>
      </c>
      <c r="F312" s="1349"/>
      <c r="G312" s="1383" t="s">
        <v>3644</v>
      </c>
      <c r="H312" s="1384"/>
    </row>
    <row r="313">
      <c r="A313" s="1351" t="s">
        <v>3641</v>
      </c>
      <c r="B313" s="1385" t="s">
        <v>3645</v>
      </c>
      <c r="C313" s="1386" t="s">
        <v>1495</v>
      </c>
      <c r="D313" s="1353"/>
      <c r="E313" s="1353" t="s">
        <v>3646</v>
      </c>
      <c r="F313" s="1356"/>
      <c r="G313" s="1387" t="s">
        <v>3644</v>
      </c>
      <c r="H313" s="1388"/>
    </row>
    <row r="314">
      <c r="A314" s="1344" t="s">
        <v>3641</v>
      </c>
      <c r="B314" s="1381" t="s">
        <v>3647</v>
      </c>
      <c r="C314" s="1382" t="s">
        <v>1495</v>
      </c>
      <c r="D314" s="1346"/>
      <c r="E314" s="1346" t="s">
        <v>3648</v>
      </c>
      <c r="F314" s="1349"/>
      <c r="G314" s="1383" t="s">
        <v>3644</v>
      </c>
      <c r="H314" s="1384"/>
    </row>
    <row r="315">
      <c r="A315" s="1351" t="s">
        <v>3641</v>
      </c>
      <c r="B315" s="1385" t="s">
        <v>3649</v>
      </c>
      <c r="C315" s="1386" t="s">
        <v>1495</v>
      </c>
      <c r="D315" s="1353"/>
      <c r="E315" s="1353" t="s">
        <v>3646</v>
      </c>
      <c r="F315" s="1356"/>
      <c r="G315" s="1387" t="s">
        <v>3644</v>
      </c>
      <c r="H315" s="1391"/>
    </row>
    <row r="316">
      <c r="A316" s="1344" t="s">
        <v>3641</v>
      </c>
      <c r="B316" s="1381" t="s">
        <v>3650</v>
      </c>
      <c r="C316" s="1382" t="s">
        <v>1495</v>
      </c>
      <c r="D316" s="1346"/>
      <c r="E316" s="1346" t="s">
        <v>3646</v>
      </c>
      <c r="F316" s="1349"/>
      <c r="G316" s="1383" t="s">
        <v>3644</v>
      </c>
      <c r="H316" s="1384"/>
    </row>
    <row r="317">
      <c r="A317" s="1351" t="s">
        <v>3641</v>
      </c>
      <c r="B317" s="1385" t="s">
        <v>3651</v>
      </c>
      <c r="C317" s="1386" t="s">
        <v>1495</v>
      </c>
      <c r="D317" s="1353"/>
      <c r="E317" s="1353" t="s">
        <v>3652</v>
      </c>
      <c r="F317" s="1356"/>
      <c r="G317" s="1387" t="s">
        <v>3644</v>
      </c>
      <c r="H317" s="1391"/>
    </row>
    <row r="318">
      <c r="A318" s="1344" t="s">
        <v>3641</v>
      </c>
      <c r="B318" s="1381" t="s">
        <v>3653</v>
      </c>
      <c r="C318" s="1382" t="s">
        <v>1495</v>
      </c>
      <c r="D318" s="1346"/>
      <c r="E318" s="1346" t="s">
        <v>3652</v>
      </c>
      <c r="F318" s="1349"/>
      <c r="G318" s="1383" t="s">
        <v>3644</v>
      </c>
      <c r="H318" s="1392"/>
    </row>
    <row r="319">
      <c r="A319" s="1351" t="s">
        <v>3641</v>
      </c>
      <c r="B319" s="1385" t="s">
        <v>3654</v>
      </c>
      <c r="C319" s="1386" t="s">
        <v>1495</v>
      </c>
      <c r="D319" s="1353"/>
      <c r="E319" s="1354"/>
      <c r="F319" s="1356"/>
      <c r="G319" s="1387" t="s">
        <v>3644</v>
      </c>
      <c r="H319" s="1388"/>
    </row>
    <row r="320">
      <c r="A320" s="1344" t="s">
        <v>2366</v>
      </c>
      <c r="B320" s="1381" t="s">
        <v>3305</v>
      </c>
      <c r="C320" s="1382" t="s">
        <v>1495</v>
      </c>
      <c r="D320" s="1346">
        <v>0.82</v>
      </c>
      <c r="E320" s="1346" t="s">
        <v>3306</v>
      </c>
      <c r="F320" s="1349"/>
      <c r="G320" s="1389" t="s">
        <v>3307</v>
      </c>
      <c r="H320" s="1384">
        <v>0.95</v>
      </c>
    </row>
    <row r="321">
      <c r="A321" s="1351" t="s">
        <v>2366</v>
      </c>
      <c r="B321" s="1385" t="s">
        <v>3318</v>
      </c>
      <c r="C321" s="1386" t="s">
        <v>1495</v>
      </c>
      <c r="D321" s="1353">
        <v>0.82</v>
      </c>
      <c r="E321" s="1353" t="s">
        <v>3319</v>
      </c>
      <c r="F321" s="1356"/>
      <c r="G321" s="1390" t="s">
        <v>3320</v>
      </c>
      <c r="H321" s="1391">
        <v>0.95</v>
      </c>
    </row>
    <row r="322">
      <c r="A322" s="1344" t="s">
        <v>2366</v>
      </c>
      <c r="B322" s="1381" t="s">
        <v>657</v>
      </c>
      <c r="C322" s="1382" t="s">
        <v>1495</v>
      </c>
      <c r="D322" s="1346">
        <v>1.2</v>
      </c>
      <c r="E322" s="1346" t="s">
        <v>3655</v>
      </c>
      <c r="F322" s="1349"/>
      <c r="G322" s="1383"/>
      <c r="H322" s="1384">
        <v>1.4</v>
      </c>
    </row>
    <row r="323">
      <c r="A323" s="1351" t="s">
        <v>2366</v>
      </c>
      <c r="B323" s="1385" t="s">
        <v>725</v>
      </c>
      <c r="C323" s="1386" t="s">
        <v>1495</v>
      </c>
      <c r="D323" s="1353">
        <v>0.05</v>
      </c>
      <c r="E323" s="1353" t="s">
        <v>2852</v>
      </c>
      <c r="F323" s="1356"/>
      <c r="G323" s="1390" t="s">
        <v>2853</v>
      </c>
      <c r="H323" s="1388">
        <v>0.1</v>
      </c>
    </row>
    <row r="324">
      <c r="A324" s="1344" t="s">
        <v>2366</v>
      </c>
      <c r="B324" s="1381" t="s">
        <v>1237</v>
      </c>
      <c r="C324" s="1382" t="s">
        <v>1495</v>
      </c>
      <c r="D324" s="1346">
        <v>0.8</v>
      </c>
      <c r="E324" s="1346" t="s">
        <v>3302</v>
      </c>
      <c r="F324" s="1349"/>
      <c r="G324" s="1383"/>
      <c r="H324" s="1384">
        <v>0.95</v>
      </c>
    </row>
    <row r="325">
      <c r="A325" s="1351" t="s">
        <v>2366</v>
      </c>
      <c r="B325" s="1385" t="s">
        <v>487</v>
      </c>
      <c r="C325" s="1386" t="s">
        <v>1495</v>
      </c>
      <c r="D325" s="1353">
        <v>0.5</v>
      </c>
      <c r="E325" s="1353" t="s">
        <v>2367</v>
      </c>
      <c r="F325" s="1356"/>
      <c r="G325" s="1390" t="s">
        <v>2368</v>
      </c>
      <c r="H325" s="1388">
        <v>0.6</v>
      </c>
    </row>
    <row r="326">
      <c r="A326" s="1344" t="s">
        <v>2366</v>
      </c>
      <c r="B326" s="1381" t="s">
        <v>722</v>
      </c>
      <c r="C326" s="1382" t="s">
        <v>1495</v>
      </c>
      <c r="D326" s="1346">
        <v>0.95</v>
      </c>
      <c r="E326" s="1346" t="s">
        <v>2844</v>
      </c>
      <c r="F326" s="1349"/>
      <c r="G326" s="1389" t="s">
        <v>2845</v>
      </c>
      <c r="H326" s="1392">
        <v>1.1</v>
      </c>
    </row>
    <row r="327">
      <c r="A327" s="1351" t="s">
        <v>2366</v>
      </c>
      <c r="B327" s="1385" t="s">
        <v>1235</v>
      </c>
      <c r="C327" s="1386" t="s">
        <v>1495</v>
      </c>
      <c r="D327" s="1353">
        <v>0.75</v>
      </c>
      <c r="E327" s="1353" t="s">
        <v>3300</v>
      </c>
      <c r="F327" s="1356"/>
      <c r="G327" s="1387"/>
      <c r="H327" s="1391">
        <v>0.9</v>
      </c>
    </row>
    <row r="328">
      <c r="A328" s="1344" t="s">
        <v>2366</v>
      </c>
      <c r="B328" s="1381" t="s">
        <v>1236</v>
      </c>
      <c r="C328" s="1382" t="s">
        <v>1495</v>
      </c>
      <c r="D328" s="1346">
        <v>0.75</v>
      </c>
      <c r="E328" s="1346" t="s">
        <v>3301</v>
      </c>
      <c r="F328" s="1349"/>
      <c r="G328" s="1383"/>
      <c r="H328" s="1392">
        <v>0.9</v>
      </c>
    </row>
    <row r="329">
      <c r="A329" s="1351" t="s">
        <v>2366</v>
      </c>
      <c r="B329" s="1385" t="s">
        <v>726</v>
      </c>
      <c r="C329" s="1386" t="s">
        <v>1495</v>
      </c>
      <c r="D329" s="1353">
        <v>3.85</v>
      </c>
      <c r="E329" s="1353" t="s">
        <v>2854</v>
      </c>
      <c r="F329" s="1356"/>
      <c r="G329" s="1390" t="s">
        <v>2855</v>
      </c>
      <c r="H329" s="1388">
        <v>4.45</v>
      </c>
    </row>
    <row r="330">
      <c r="A330" s="1344" t="s">
        <v>2366</v>
      </c>
      <c r="B330" s="1381" t="s">
        <v>2726</v>
      </c>
      <c r="C330" s="1382" t="s">
        <v>1495</v>
      </c>
      <c r="D330" s="1346">
        <v>0.86</v>
      </c>
      <c r="E330" s="1346" t="s">
        <v>2727</v>
      </c>
      <c r="F330" s="1349"/>
      <c r="G330" s="1389" t="s">
        <v>2728</v>
      </c>
      <c r="H330" s="1384">
        <v>1.0</v>
      </c>
    </row>
    <row r="331">
      <c r="A331" s="1351" t="s">
        <v>2366</v>
      </c>
      <c r="B331" s="1385" t="s">
        <v>2846</v>
      </c>
      <c r="C331" s="1386" t="s">
        <v>1495</v>
      </c>
      <c r="D331" s="1353">
        <v>1.54</v>
      </c>
      <c r="E331" s="1353" t="s">
        <v>2847</v>
      </c>
      <c r="F331" s="1356"/>
      <c r="G331" s="1390" t="s">
        <v>2848</v>
      </c>
      <c r="H331" s="1391">
        <v>1.8</v>
      </c>
    </row>
    <row r="332">
      <c r="A332" s="1344" t="s">
        <v>2366</v>
      </c>
      <c r="B332" s="1381" t="s">
        <v>2849</v>
      </c>
      <c r="C332" s="1382" t="s">
        <v>1495</v>
      </c>
      <c r="D332" s="1346">
        <v>1.4</v>
      </c>
      <c r="E332" s="1346" t="s">
        <v>2850</v>
      </c>
      <c r="F332" s="1349"/>
      <c r="G332" s="1389" t="s">
        <v>2851</v>
      </c>
      <c r="H332" s="1384">
        <v>1.65</v>
      </c>
    </row>
    <row r="333">
      <c r="A333" s="1351" t="s">
        <v>2366</v>
      </c>
      <c r="B333" s="1385" t="s">
        <v>660</v>
      </c>
      <c r="C333" s="1386" t="s">
        <v>1495</v>
      </c>
      <c r="D333" s="1353">
        <v>0.6</v>
      </c>
      <c r="E333" s="1353" t="s">
        <v>2724</v>
      </c>
      <c r="F333" s="1356"/>
      <c r="G333" s="1390" t="s">
        <v>2725</v>
      </c>
      <c r="H333" s="1388">
        <v>0.7</v>
      </c>
    </row>
    <row r="334">
      <c r="A334" s="1344" t="s">
        <v>2366</v>
      </c>
      <c r="B334" s="1381" t="s">
        <v>658</v>
      </c>
      <c r="C334" s="1382" t="s">
        <v>1495</v>
      </c>
      <c r="D334" s="1346">
        <v>0.6</v>
      </c>
      <c r="E334" s="1346" t="s">
        <v>2719</v>
      </c>
      <c r="F334" s="1349"/>
      <c r="G334" s="1389" t="s">
        <v>2720</v>
      </c>
      <c r="H334" s="1392">
        <v>0.7</v>
      </c>
    </row>
    <row r="335">
      <c r="A335" s="1351" t="s">
        <v>2366</v>
      </c>
      <c r="B335" s="1385" t="s">
        <v>2721</v>
      </c>
      <c r="C335" s="1386" t="s">
        <v>1495</v>
      </c>
      <c r="D335" s="1353">
        <v>0.44</v>
      </c>
      <c r="E335" s="1353" t="s">
        <v>2722</v>
      </c>
      <c r="F335" s="1356"/>
      <c r="G335" s="1390" t="s">
        <v>2723</v>
      </c>
      <c r="H335" s="1388">
        <v>0.55</v>
      </c>
    </row>
    <row r="336">
      <c r="A336" s="1344" t="s">
        <v>2366</v>
      </c>
      <c r="B336" s="1381" t="s">
        <v>610</v>
      </c>
      <c r="C336" s="1382" t="s">
        <v>1495</v>
      </c>
      <c r="D336" s="1346">
        <v>0.25</v>
      </c>
      <c r="E336" s="1347"/>
      <c r="F336" s="1349"/>
      <c r="G336" s="1383"/>
      <c r="H336" s="1384">
        <v>0.3</v>
      </c>
    </row>
    <row r="337">
      <c r="A337" s="1351" t="s">
        <v>2366</v>
      </c>
      <c r="B337" s="1385" t="s">
        <v>2732</v>
      </c>
      <c r="C337" s="1386" t="s">
        <v>1495</v>
      </c>
      <c r="D337" s="1353">
        <v>0.85</v>
      </c>
      <c r="E337" s="1353" t="s">
        <v>2733</v>
      </c>
      <c r="F337" s="1356"/>
      <c r="G337" s="1390" t="s">
        <v>2734</v>
      </c>
      <c r="H337" s="1391">
        <v>1.0</v>
      </c>
    </row>
    <row r="338">
      <c r="A338" s="1344" t="s">
        <v>2366</v>
      </c>
      <c r="B338" s="1381" t="s">
        <v>2729</v>
      </c>
      <c r="C338" s="1382" t="s">
        <v>1495</v>
      </c>
      <c r="D338" s="1346">
        <v>0.85</v>
      </c>
      <c r="E338" s="1346" t="s">
        <v>2730</v>
      </c>
      <c r="F338" s="1349"/>
      <c r="G338" s="1389" t="s">
        <v>2731</v>
      </c>
      <c r="H338" s="1384">
        <v>1.0</v>
      </c>
    </row>
    <row r="339">
      <c r="A339" s="1351" t="s">
        <v>2366</v>
      </c>
      <c r="B339" s="1385" t="s">
        <v>3313</v>
      </c>
      <c r="C339" s="1386" t="s">
        <v>1495</v>
      </c>
      <c r="D339" s="1353">
        <v>0.91</v>
      </c>
      <c r="E339" s="1353" t="s">
        <v>3314</v>
      </c>
      <c r="F339" s="1356"/>
      <c r="G339" s="1390" t="s">
        <v>3315</v>
      </c>
      <c r="H339" s="1388">
        <v>1.05</v>
      </c>
    </row>
    <row r="340">
      <c r="A340" s="1344" t="s">
        <v>2366</v>
      </c>
      <c r="B340" s="1381" t="s">
        <v>3308</v>
      </c>
      <c r="C340" s="1382" t="s">
        <v>1495</v>
      </c>
      <c r="D340" s="1346">
        <v>0.91</v>
      </c>
      <c r="E340" s="1346" t="s">
        <v>3309</v>
      </c>
      <c r="F340" s="1349"/>
      <c r="G340" s="1389" t="s">
        <v>3310</v>
      </c>
      <c r="H340" s="1384">
        <v>1.05</v>
      </c>
    </row>
    <row r="341">
      <c r="A341" s="1351" t="s">
        <v>2366</v>
      </c>
      <c r="B341" s="1385" t="s">
        <v>1238</v>
      </c>
      <c r="C341" s="1386" t="s">
        <v>1495</v>
      </c>
      <c r="D341" s="1353"/>
      <c r="E341" s="1353" t="s">
        <v>3303</v>
      </c>
      <c r="F341" s="1356"/>
      <c r="G341" s="1390" t="s">
        <v>3304</v>
      </c>
      <c r="H341" s="1388"/>
    </row>
    <row r="342">
      <c r="A342" s="1344" t="s">
        <v>2366</v>
      </c>
      <c r="B342" s="1381" t="s">
        <v>1243</v>
      </c>
      <c r="C342" s="1382" t="s">
        <v>1495</v>
      </c>
      <c r="D342" s="1346"/>
      <c r="E342" s="1346" t="s">
        <v>3316</v>
      </c>
      <c r="F342" s="1349"/>
      <c r="G342" s="1389" t="s">
        <v>3317</v>
      </c>
      <c r="H342" s="1384"/>
    </row>
    <row r="343">
      <c r="A343" s="1351" t="s">
        <v>2366</v>
      </c>
      <c r="B343" s="1385" t="s">
        <v>1241</v>
      </c>
      <c r="C343" s="1386" t="s">
        <v>1495</v>
      </c>
      <c r="D343" s="1353"/>
      <c r="E343" s="1353" t="s">
        <v>3311</v>
      </c>
      <c r="F343" s="1356"/>
      <c r="G343" s="1390" t="s">
        <v>3312</v>
      </c>
      <c r="H343" s="1388"/>
    </row>
    <row r="344">
      <c r="A344" s="1344" t="s">
        <v>2366</v>
      </c>
      <c r="B344" s="1381" t="s">
        <v>1246</v>
      </c>
      <c r="C344" s="1382" t="s">
        <v>1495</v>
      </c>
      <c r="D344" s="1346"/>
      <c r="E344" s="1346" t="s">
        <v>3324</v>
      </c>
      <c r="F344" s="1349"/>
      <c r="G344" s="1389" t="s">
        <v>3325</v>
      </c>
      <c r="H344" s="1384"/>
    </row>
    <row r="345">
      <c r="A345" s="1351" t="s">
        <v>2366</v>
      </c>
      <c r="B345" s="1385" t="s">
        <v>3321</v>
      </c>
      <c r="C345" s="1386" t="s">
        <v>1495</v>
      </c>
      <c r="D345" s="1353">
        <v>0.82</v>
      </c>
      <c r="E345" s="1353" t="s">
        <v>3322</v>
      </c>
      <c r="F345" s="1356"/>
      <c r="G345" s="1390" t="s">
        <v>3323</v>
      </c>
      <c r="H345" s="1388">
        <v>0.95</v>
      </c>
    </row>
    <row r="346">
      <c r="A346" s="1344" t="s">
        <v>329</v>
      </c>
      <c r="B346" s="1381" t="s">
        <v>815</v>
      </c>
      <c r="C346" s="1382" t="s">
        <v>1642</v>
      </c>
      <c r="D346" s="1346"/>
      <c r="E346" s="1347"/>
      <c r="F346" s="1349"/>
      <c r="G346" s="1389" t="s">
        <v>2973</v>
      </c>
      <c r="H346" s="1384"/>
    </row>
    <row r="347">
      <c r="A347" s="1351" t="s">
        <v>329</v>
      </c>
      <c r="B347" s="1385" t="s">
        <v>2991</v>
      </c>
      <c r="C347" s="1386" t="s">
        <v>1642</v>
      </c>
      <c r="D347" s="1353">
        <v>0.87</v>
      </c>
      <c r="E347" s="1354"/>
      <c r="F347" s="1356"/>
      <c r="G347" s="1387"/>
      <c r="H347" s="1388">
        <v>1.05</v>
      </c>
    </row>
    <row r="348">
      <c r="A348" s="1344" t="s">
        <v>329</v>
      </c>
      <c r="B348" s="1381" t="s">
        <v>2990</v>
      </c>
      <c r="C348" s="1382" t="s">
        <v>1642</v>
      </c>
      <c r="D348" s="1346">
        <v>0.87</v>
      </c>
      <c r="E348" s="1347"/>
      <c r="F348" s="1349"/>
      <c r="G348" s="1383"/>
      <c r="H348" s="1384">
        <v>1.05</v>
      </c>
    </row>
    <row r="349">
      <c r="A349" s="1351" t="s">
        <v>329</v>
      </c>
      <c r="B349" s="1385" t="s">
        <v>3367</v>
      </c>
      <c r="C349" s="1386" t="s">
        <v>1642</v>
      </c>
      <c r="D349" s="1353"/>
      <c r="E349" s="1354"/>
      <c r="F349" s="1356"/>
      <c r="G349" s="1387"/>
      <c r="H349" s="1391"/>
    </row>
    <row r="350">
      <c r="A350" s="1344" t="s">
        <v>329</v>
      </c>
      <c r="B350" s="1381" t="s">
        <v>2988</v>
      </c>
      <c r="C350" s="1382" t="s">
        <v>1642</v>
      </c>
      <c r="D350" s="1346">
        <v>0.63</v>
      </c>
      <c r="E350" s="1347"/>
      <c r="F350" s="1349"/>
      <c r="G350" s="1383"/>
      <c r="H350" s="1384">
        <v>0.75</v>
      </c>
    </row>
    <row r="351">
      <c r="A351" s="1351" t="s">
        <v>329</v>
      </c>
      <c r="B351" s="1385" t="s">
        <v>2989</v>
      </c>
      <c r="C351" s="1386" t="s">
        <v>1642</v>
      </c>
      <c r="D351" s="1353">
        <v>0.63</v>
      </c>
      <c r="E351" s="1354"/>
      <c r="F351" s="1356"/>
      <c r="G351" s="1387"/>
      <c r="H351" s="1388">
        <v>0.75</v>
      </c>
    </row>
    <row r="352">
      <c r="A352" s="1344" t="s">
        <v>329</v>
      </c>
      <c r="B352" s="1381" t="s">
        <v>3022</v>
      </c>
      <c r="C352" s="1382" t="s">
        <v>1642</v>
      </c>
      <c r="D352" s="1346">
        <v>2.28</v>
      </c>
      <c r="E352" s="1346" t="s">
        <v>3656</v>
      </c>
      <c r="F352" s="1349"/>
      <c r="G352" s="1383"/>
      <c r="H352" s="1384">
        <v>2.75</v>
      </c>
    </row>
    <row r="353">
      <c r="A353" s="1351" t="s">
        <v>329</v>
      </c>
      <c r="B353" s="1385" t="s">
        <v>2975</v>
      </c>
      <c r="C353" s="1386" t="s">
        <v>1642</v>
      </c>
      <c r="D353" s="1353">
        <v>1.1</v>
      </c>
      <c r="E353" s="1354"/>
      <c r="F353" s="1356"/>
      <c r="G353" s="1387"/>
      <c r="H353" s="1388">
        <v>1.35</v>
      </c>
    </row>
    <row r="354">
      <c r="A354" s="1344" t="s">
        <v>329</v>
      </c>
      <c r="B354" s="1381" t="s">
        <v>2996</v>
      </c>
      <c r="C354" s="1382" t="s">
        <v>1642</v>
      </c>
      <c r="D354" s="1346">
        <v>1.2</v>
      </c>
      <c r="E354" s="1346" t="s">
        <v>3657</v>
      </c>
      <c r="F354" s="1349"/>
      <c r="G354" s="1389" t="s">
        <v>2997</v>
      </c>
      <c r="H354" s="1384">
        <v>1.45</v>
      </c>
    </row>
    <row r="355">
      <c r="A355" s="1351" t="s">
        <v>329</v>
      </c>
      <c r="B355" s="1385" t="s">
        <v>233</v>
      </c>
      <c r="C355" s="1386" t="s">
        <v>1642</v>
      </c>
      <c r="D355" s="1353">
        <v>0.85</v>
      </c>
      <c r="E355" s="1354"/>
      <c r="F355" s="1356"/>
      <c r="G355" s="1387"/>
      <c r="H355" s="1388">
        <v>1.0</v>
      </c>
    </row>
    <row r="356">
      <c r="A356" s="1344" t="s">
        <v>329</v>
      </c>
      <c r="B356" s="1381" t="s">
        <v>2323</v>
      </c>
      <c r="C356" s="1382" t="s">
        <v>1495</v>
      </c>
      <c r="D356" s="1346">
        <v>12.25</v>
      </c>
      <c r="E356" s="1346" t="s">
        <v>3658</v>
      </c>
      <c r="F356" s="1349"/>
      <c r="G356" s="1383"/>
      <c r="H356" s="1384">
        <v>17.15</v>
      </c>
    </row>
    <row r="357">
      <c r="A357" s="1351" t="s">
        <v>329</v>
      </c>
      <c r="B357" s="1385" t="s">
        <v>871</v>
      </c>
      <c r="C357" s="1386" t="s">
        <v>1642</v>
      </c>
      <c r="D357" s="1353">
        <v>0.85</v>
      </c>
      <c r="E357" s="1353" t="s">
        <v>3659</v>
      </c>
      <c r="F357" s="1356"/>
      <c r="G357" s="1387"/>
      <c r="H357" s="1388">
        <v>1.05</v>
      </c>
    </row>
    <row r="358">
      <c r="A358" s="1344" t="s">
        <v>329</v>
      </c>
      <c r="B358" s="1381" t="s">
        <v>2984</v>
      </c>
      <c r="C358" s="1382" t="s">
        <v>1642</v>
      </c>
      <c r="D358" s="1346">
        <v>11.05</v>
      </c>
      <c r="E358" s="1346" t="s">
        <v>3660</v>
      </c>
      <c r="F358" s="1349"/>
      <c r="G358" s="1389" t="s">
        <v>2985</v>
      </c>
      <c r="H358" s="1384">
        <v>13.3</v>
      </c>
    </row>
    <row r="359">
      <c r="A359" s="1351" t="s">
        <v>329</v>
      </c>
      <c r="B359" s="1385" t="s">
        <v>239</v>
      </c>
      <c r="C359" s="1386" t="s">
        <v>1642</v>
      </c>
      <c r="D359" s="1353">
        <v>0.27</v>
      </c>
      <c r="E359" s="1353" t="s">
        <v>3661</v>
      </c>
      <c r="F359" s="1356"/>
      <c r="G359" s="1390" t="s">
        <v>2999</v>
      </c>
      <c r="H359" s="1388">
        <v>0.35</v>
      </c>
    </row>
    <row r="360">
      <c r="A360" s="1344" t="s">
        <v>329</v>
      </c>
      <c r="B360" s="1381" t="s">
        <v>3002</v>
      </c>
      <c r="C360" s="1382" t="s">
        <v>1642</v>
      </c>
      <c r="D360" s="1346">
        <v>4.17</v>
      </c>
      <c r="E360" s="1346" t="s">
        <v>3662</v>
      </c>
      <c r="F360" s="1349"/>
      <c r="G360" s="1389" t="s">
        <v>3003</v>
      </c>
      <c r="H360" s="1384">
        <v>5.05</v>
      </c>
    </row>
    <row r="361">
      <c r="A361" s="1351" t="s">
        <v>329</v>
      </c>
      <c r="B361" s="1385" t="s">
        <v>241</v>
      </c>
      <c r="C361" s="1386" t="s">
        <v>1642</v>
      </c>
      <c r="D361" s="1353">
        <v>0.77</v>
      </c>
      <c r="E361" s="1353" t="s">
        <v>3663</v>
      </c>
      <c r="F361" s="1356"/>
      <c r="G361" s="1390" t="s">
        <v>3005</v>
      </c>
      <c r="H361" s="1388">
        <v>0.95</v>
      </c>
    </row>
    <row r="362">
      <c r="A362" s="1344" t="s">
        <v>329</v>
      </c>
      <c r="B362" s="1381" t="s">
        <v>3017</v>
      </c>
      <c r="C362" s="1382" t="s">
        <v>1642</v>
      </c>
      <c r="D362" s="1346">
        <v>3.9</v>
      </c>
      <c r="E362" s="1346" t="s">
        <v>3664</v>
      </c>
      <c r="F362" s="1349"/>
      <c r="G362" s="1389" t="s">
        <v>3018</v>
      </c>
      <c r="H362" s="1384">
        <v>4.7</v>
      </c>
    </row>
    <row r="363">
      <c r="A363" s="1351" t="s">
        <v>329</v>
      </c>
      <c r="B363" s="1385" t="s">
        <v>3021</v>
      </c>
      <c r="C363" s="1386" t="s">
        <v>1642</v>
      </c>
      <c r="D363" s="1353">
        <v>1.37</v>
      </c>
      <c r="E363" s="1353" t="s">
        <v>3665</v>
      </c>
      <c r="F363" s="1356"/>
      <c r="G363" s="1387"/>
      <c r="H363" s="1388">
        <v>1.65</v>
      </c>
    </row>
    <row r="364">
      <c r="A364" s="1344" t="s">
        <v>329</v>
      </c>
      <c r="B364" s="1381" t="s">
        <v>3019</v>
      </c>
      <c r="C364" s="1382" t="s">
        <v>1642</v>
      </c>
      <c r="D364" s="1346">
        <v>0.95</v>
      </c>
      <c r="E364" s="1347"/>
      <c r="F364" s="1349"/>
      <c r="G364" s="1383"/>
      <c r="H364" s="1384">
        <v>1.15</v>
      </c>
    </row>
    <row r="365">
      <c r="A365" s="1351" t="s">
        <v>329</v>
      </c>
      <c r="B365" s="1385" t="s">
        <v>3000</v>
      </c>
      <c r="C365" s="1386" t="s">
        <v>1642</v>
      </c>
      <c r="D365" s="1353">
        <v>2.72</v>
      </c>
      <c r="E365" s="1353" t="s">
        <v>3666</v>
      </c>
      <c r="F365" s="1356"/>
      <c r="G365" s="1390" t="s">
        <v>3001</v>
      </c>
      <c r="H365" s="1388">
        <v>3.3</v>
      </c>
    </row>
    <row r="366">
      <c r="A366" s="1344" t="s">
        <v>329</v>
      </c>
      <c r="B366" s="1381" t="s">
        <v>3020</v>
      </c>
      <c r="C366" s="1382" t="s">
        <v>1642</v>
      </c>
      <c r="D366" s="1346">
        <v>0.3</v>
      </c>
      <c r="E366" s="1347"/>
      <c r="F366" s="1349"/>
      <c r="G366" s="1383"/>
      <c r="H366" s="1392">
        <v>0.4</v>
      </c>
    </row>
    <row r="367">
      <c r="A367" s="1351" t="s">
        <v>329</v>
      </c>
      <c r="B367" s="1385" t="s">
        <v>235</v>
      </c>
      <c r="C367" s="1386" t="s">
        <v>1642</v>
      </c>
      <c r="D367" s="1353">
        <v>1.74</v>
      </c>
      <c r="E367" s="1353" t="s">
        <v>3667</v>
      </c>
      <c r="F367" s="1356"/>
      <c r="G367" s="1390" t="s">
        <v>2998</v>
      </c>
      <c r="H367" s="1388">
        <v>2.1</v>
      </c>
    </row>
    <row r="368">
      <c r="A368" s="1344" t="s">
        <v>329</v>
      </c>
      <c r="B368" s="1381" t="s">
        <v>3013</v>
      </c>
      <c r="C368" s="1382" t="s">
        <v>1642</v>
      </c>
      <c r="D368" s="1346">
        <v>1.99</v>
      </c>
      <c r="E368" s="1346" t="s">
        <v>3668</v>
      </c>
      <c r="F368" s="1349"/>
      <c r="G368" s="1389" t="s">
        <v>3014</v>
      </c>
      <c r="H368" s="1392">
        <v>2.4</v>
      </c>
    </row>
    <row r="369">
      <c r="A369" s="1351" t="s">
        <v>329</v>
      </c>
      <c r="B369" s="1385" t="s">
        <v>237</v>
      </c>
      <c r="C369" s="1386" t="s">
        <v>1642</v>
      </c>
      <c r="D369" s="1353">
        <v>0.5</v>
      </c>
      <c r="E369" s="1354"/>
      <c r="F369" s="1356"/>
      <c r="G369" s="1387"/>
      <c r="H369" s="1388">
        <v>0.6</v>
      </c>
    </row>
    <row r="370">
      <c r="A370" s="1344" t="s">
        <v>329</v>
      </c>
      <c r="B370" s="1381" t="s">
        <v>2992</v>
      </c>
      <c r="C370" s="1382" t="s">
        <v>1642</v>
      </c>
      <c r="D370" s="1346">
        <v>0.14</v>
      </c>
      <c r="E370" s="1347"/>
      <c r="F370" s="1349"/>
      <c r="G370" s="1383"/>
      <c r="H370" s="1384">
        <v>0.2</v>
      </c>
    </row>
    <row r="371">
      <c r="A371" s="1351" t="s">
        <v>329</v>
      </c>
      <c r="B371" s="1385" t="s">
        <v>3010</v>
      </c>
      <c r="C371" s="1386" t="s">
        <v>1642</v>
      </c>
      <c r="D371" s="1353">
        <v>1.5</v>
      </c>
      <c r="E371" s="1354"/>
      <c r="F371" s="1356"/>
      <c r="G371" s="1390" t="s">
        <v>3011</v>
      </c>
      <c r="H371" s="1391">
        <v>1.8</v>
      </c>
    </row>
    <row r="372">
      <c r="A372" s="1344" t="s">
        <v>329</v>
      </c>
      <c r="B372" s="1381" t="s">
        <v>3023</v>
      </c>
      <c r="C372" s="1382" t="s">
        <v>1495</v>
      </c>
      <c r="D372" s="1346">
        <v>0.2</v>
      </c>
      <c r="E372" s="1347"/>
      <c r="F372" s="1349"/>
      <c r="G372" s="1383"/>
      <c r="H372" s="1392">
        <v>0.25</v>
      </c>
    </row>
    <row r="373">
      <c r="A373" s="1351" t="s">
        <v>329</v>
      </c>
      <c r="B373" s="1385" t="s">
        <v>445</v>
      </c>
      <c r="C373" s="1386" t="s">
        <v>1495</v>
      </c>
      <c r="D373" s="1353"/>
      <c r="E373" s="1353" t="s">
        <v>3669</v>
      </c>
      <c r="F373" s="1356"/>
      <c r="G373" s="1387"/>
      <c r="H373" s="1388"/>
    </row>
    <row r="374">
      <c r="A374" s="1344" t="s">
        <v>329</v>
      </c>
      <c r="B374" s="1381" t="s">
        <v>2994</v>
      </c>
      <c r="C374" s="1382" t="s">
        <v>1642</v>
      </c>
      <c r="D374" s="1346">
        <v>0.12</v>
      </c>
      <c r="E374" s="1346" t="s">
        <v>3670</v>
      </c>
      <c r="F374" s="1349"/>
      <c r="G374" s="1389" t="s">
        <v>2995</v>
      </c>
      <c r="H374" s="1384">
        <v>0.15</v>
      </c>
    </row>
    <row r="375">
      <c r="A375" s="1351" t="s">
        <v>329</v>
      </c>
      <c r="B375" s="1385" t="s">
        <v>772</v>
      </c>
      <c r="C375" s="1386" t="s">
        <v>1642</v>
      </c>
      <c r="D375" s="1353">
        <v>0.35</v>
      </c>
      <c r="E375" s="1354"/>
      <c r="F375" s="1356"/>
      <c r="G375" s="1387"/>
      <c r="H375" s="1388">
        <v>0.45</v>
      </c>
    </row>
    <row r="376">
      <c r="A376" s="1344" t="s">
        <v>329</v>
      </c>
      <c r="B376" s="1381" t="s">
        <v>2950</v>
      </c>
      <c r="C376" s="1382" t="s">
        <v>1642</v>
      </c>
      <c r="D376" s="1346">
        <v>0.45</v>
      </c>
      <c r="E376" s="1347"/>
      <c r="F376" s="1349"/>
      <c r="G376" s="1383"/>
      <c r="H376" s="1384">
        <v>0.55</v>
      </c>
    </row>
    <row r="377">
      <c r="A377" s="1351" t="s">
        <v>329</v>
      </c>
      <c r="B377" s="1385" t="s">
        <v>2951</v>
      </c>
      <c r="C377" s="1386" t="s">
        <v>1642</v>
      </c>
      <c r="D377" s="1353">
        <v>0.95</v>
      </c>
      <c r="E377" s="1354"/>
      <c r="F377" s="1356"/>
      <c r="G377" s="1387"/>
      <c r="H377" s="1391">
        <v>1.1</v>
      </c>
    </row>
    <row r="378">
      <c r="A378" s="1344" t="s">
        <v>329</v>
      </c>
      <c r="B378" s="1381" t="s">
        <v>2568</v>
      </c>
      <c r="C378" s="1382" t="s">
        <v>1495</v>
      </c>
      <c r="D378" s="1346">
        <v>2.05</v>
      </c>
      <c r="E378" s="1346" t="s">
        <v>2569</v>
      </c>
      <c r="F378" s="1349"/>
      <c r="G378" s="1383"/>
      <c r="H378" s="1384">
        <v>2.4</v>
      </c>
    </row>
    <row r="379">
      <c r="A379" s="1351" t="s">
        <v>329</v>
      </c>
      <c r="B379" s="1385" t="s">
        <v>2987</v>
      </c>
      <c r="C379" s="1386" t="s">
        <v>1642</v>
      </c>
      <c r="D379" s="1353"/>
      <c r="E379" s="1354"/>
      <c r="F379" s="1356"/>
      <c r="G379" s="1387"/>
      <c r="H379" s="1391"/>
    </row>
    <row r="380">
      <c r="A380" s="1344" t="s">
        <v>317</v>
      </c>
      <c r="B380" s="1381" t="s">
        <v>1168</v>
      </c>
      <c r="C380" s="1382" t="s">
        <v>1642</v>
      </c>
      <c r="D380" s="1346"/>
      <c r="E380" s="1347"/>
      <c r="F380" s="1349"/>
      <c r="G380" s="1383"/>
      <c r="H380" s="1392"/>
    </row>
    <row r="381">
      <c r="A381" s="1351" t="s">
        <v>317</v>
      </c>
      <c r="B381" s="1385" t="s">
        <v>1167</v>
      </c>
      <c r="C381" s="1386" t="s">
        <v>1642</v>
      </c>
      <c r="D381" s="1353"/>
      <c r="E381" s="1354"/>
      <c r="F381" s="1356"/>
      <c r="G381" s="1387"/>
      <c r="H381" s="1388"/>
    </row>
    <row r="382">
      <c r="A382" s="1344" t="s">
        <v>317</v>
      </c>
      <c r="B382" s="1381" t="s">
        <v>1169</v>
      </c>
      <c r="C382" s="1382" t="s">
        <v>1642</v>
      </c>
      <c r="D382" s="1346"/>
      <c r="E382" s="1347"/>
      <c r="F382" s="1349"/>
      <c r="G382" s="1383"/>
      <c r="H382" s="1384"/>
    </row>
    <row r="383">
      <c r="A383" s="1351" t="s">
        <v>317</v>
      </c>
      <c r="B383" s="1385" t="s">
        <v>1171</v>
      </c>
      <c r="C383" s="1386" t="s">
        <v>1642</v>
      </c>
      <c r="D383" s="1353"/>
      <c r="E383" s="1354"/>
      <c r="F383" s="1356"/>
      <c r="G383" s="1387"/>
      <c r="H383" s="1388"/>
    </row>
    <row r="384">
      <c r="A384" s="1344" t="s">
        <v>317</v>
      </c>
      <c r="B384" s="1381" t="s">
        <v>1170</v>
      </c>
      <c r="C384" s="1382" t="s">
        <v>1495</v>
      </c>
      <c r="D384" s="1346"/>
      <c r="E384" s="1347"/>
      <c r="F384" s="1349"/>
      <c r="G384" s="1383"/>
      <c r="H384" s="1384"/>
    </row>
    <row r="385">
      <c r="A385" s="1351" t="s">
        <v>317</v>
      </c>
      <c r="B385" s="1385" t="s">
        <v>3004</v>
      </c>
      <c r="C385" s="1386" t="s">
        <v>1642</v>
      </c>
      <c r="D385" s="1353"/>
      <c r="E385" s="1354"/>
      <c r="F385" s="1356"/>
      <c r="G385" s="1387"/>
      <c r="H385" s="1388"/>
    </row>
    <row r="386">
      <c r="A386" s="1344" t="s">
        <v>317</v>
      </c>
      <c r="B386" s="1381" t="s">
        <v>3366</v>
      </c>
      <c r="C386" s="1382" t="s">
        <v>1642</v>
      </c>
      <c r="D386" s="1346">
        <v>0.36</v>
      </c>
      <c r="E386" s="1347"/>
      <c r="F386" s="1349"/>
      <c r="G386" s="1383"/>
      <c r="H386" s="1384">
        <v>0.45</v>
      </c>
    </row>
    <row r="387">
      <c r="A387" s="1351" t="s">
        <v>317</v>
      </c>
      <c r="B387" s="1385" t="s">
        <v>3266</v>
      </c>
      <c r="C387" s="1386" t="s">
        <v>1642</v>
      </c>
      <c r="D387" s="1353">
        <v>0.74</v>
      </c>
      <c r="E387" s="1354"/>
      <c r="F387" s="1356"/>
      <c r="G387" s="1387"/>
      <c r="H387" s="1388">
        <v>0.9</v>
      </c>
    </row>
    <row r="388">
      <c r="A388" s="1344" t="s">
        <v>317</v>
      </c>
      <c r="B388" s="1381" t="s">
        <v>1199</v>
      </c>
      <c r="C388" s="1382" t="s">
        <v>1642</v>
      </c>
      <c r="D388" s="1346">
        <v>1.16</v>
      </c>
      <c r="E388" s="1347"/>
      <c r="F388" s="1349"/>
      <c r="G388" s="1383"/>
      <c r="H388" s="1384">
        <v>1.35</v>
      </c>
    </row>
    <row r="389">
      <c r="A389" s="1351" t="s">
        <v>317</v>
      </c>
      <c r="B389" s="1385" t="s">
        <v>1376</v>
      </c>
      <c r="C389" s="1386" t="s">
        <v>1642</v>
      </c>
      <c r="D389" s="1353">
        <v>1.66</v>
      </c>
      <c r="E389" s="1354"/>
      <c r="F389" s="1356"/>
      <c r="G389" s="1387"/>
      <c r="H389" s="1391">
        <v>1.95</v>
      </c>
    </row>
    <row r="390">
      <c r="A390" s="1344" t="s">
        <v>317</v>
      </c>
      <c r="B390" s="1381" t="s">
        <v>819</v>
      </c>
      <c r="C390" s="1382" t="s">
        <v>1642</v>
      </c>
      <c r="D390" s="1346">
        <v>2.45</v>
      </c>
      <c r="E390" s="1346" t="s">
        <v>3671</v>
      </c>
      <c r="F390" s="1349"/>
      <c r="G390" s="1383"/>
      <c r="H390" s="1384">
        <v>2.95</v>
      </c>
    </row>
    <row r="391">
      <c r="A391" s="1351" t="s">
        <v>317</v>
      </c>
      <c r="B391" s="1385" t="s">
        <v>832</v>
      </c>
      <c r="C391" s="1386" t="s">
        <v>1642</v>
      </c>
      <c r="D391" s="1353">
        <v>4.2</v>
      </c>
      <c r="E391" s="1353" t="s">
        <v>3672</v>
      </c>
      <c r="F391" s="1356"/>
      <c r="G391" s="1387"/>
      <c r="H391" s="1388">
        <v>5.05</v>
      </c>
    </row>
    <row r="392">
      <c r="A392" s="1344" t="s">
        <v>317</v>
      </c>
      <c r="B392" s="1381" t="s">
        <v>816</v>
      </c>
      <c r="C392" s="1382" t="s">
        <v>1642</v>
      </c>
      <c r="D392" s="1346"/>
      <c r="E392" s="1346" t="s">
        <v>3673</v>
      </c>
      <c r="F392" s="1349"/>
      <c r="G392" s="1389" t="s">
        <v>2974</v>
      </c>
      <c r="H392" s="1384"/>
    </row>
    <row r="393">
      <c r="A393" s="1351" t="s">
        <v>317</v>
      </c>
      <c r="B393" s="1385" t="s">
        <v>2976</v>
      </c>
      <c r="C393" s="1386" t="s">
        <v>1642</v>
      </c>
      <c r="D393" s="1353">
        <v>1.85</v>
      </c>
      <c r="E393" s="1353" t="s">
        <v>3674</v>
      </c>
      <c r="F393" s="1356"/>
      <c r="G393" s="1387"/>
      <c r="H393" s="1391">
        <v>2.25</v>
      </c>
    </row>
    <row r="394">
      <c r="A394" s="1344" t="s">
        <v>317</v>
      </c>
      <c r="B394" s="1381" t="s">
        <v>820</v>
      </c>
      <c r="C394" s="1382" t="s">
        <v>1642</v>
      </c>
      <c r="D394" s="1346"/>
      <c r="E394" s="1346" t="s">
        <v>3675</v>
      </c>
      <c r="F394" s="1349"/>
      <c r="G394" s="1383"/>
      <c r="H394" s="1384"/>
    </row>
    <row r="395">
      <c r="A395" s="1351" t="s">
        <v>317</v>
      </c>
      <c r="B395" s="1385" t="s">
        <v>821</v>
      </c>
      <c r="C395" s="1386" t="s">
        <v>1642</v>
      </c>
      <c r="D395" s="1353">
        <v>5.65</v>
      </c>
      <c r="E395" s="1353" t="s">
        <v>2977</v>
      </c>
      <c r="F395" s="1356"/>
      <c r="G395" s="1387"/>
      <c r="H395" s="1388">
        <v>6.8</v>
      </c>
    </row>
    <row r="396">
      <c r="A396" s="1344" t="s">
        <v>317</v>
      </c>
      <c r="B396" s="1381" t="s">
        <v>828</v>
      </c>
      <c r="C396" s="1382" t="s">
        <v>1642</v>
      </c>
      <c r="D396" s="1346"/>
      <c r="E396" s="1346" t="s">
        <v>3676</v>
      </c>
      <c r="F396" s="1349"/>
      <c r="G396" s="1389" t="s">
        <v>2983</v>
      </c>
      <c r="H396" s="1384"/>
    </row>
    <row r="397">
      <c r="A397" s="1351" t="s">
        <v>317</v>
      </c>
      <c r="B397" s="1385" t="s">
        <v>830</v>
      </c>
      <c r="C397" s="1386" t="s">
        <v>1642</v>
      </c>
      <c r="D397" s="1353"/>
      <c r="E397" s="1353" t="s">
        <v>3677</v>
      </c>
      <c r="F397" s="1356"/>
      <c r="G397" s="1390" t="s">
        <v>2986</v>
      </c>
      <c r="H397" s="1388"/>
    </row>
    <row r="398">
      <c r="A398" s="1344" t="s">
        <v>317</v>
      </c>
      <c r="B398" s="1381" t="s">
        <v>3006</v>
      </c>
      <c r="C398" s="1382" t="s">
        <v>1642</v>
      </c>
      <c r="D398" s="1346">
        <v>9.27</v>
      </c>
      <c r="E398" s="1346" t="s">
        <v>3678</v>
      </c>
      <c r="F398" s="1349"/>
      <c r="G398" s="1383"/>
      <c r="H398" s="1384">
        <v>11.15</v>
      </c>
    </row>
    <row r="399">
      <c r="A399" s="1351" t="s">
        <v>317</v>
      </c>
      <c r="B399" s="1385" t="s">
        <v>851</v>
      </c>
      <c r="C399" s="1386" t="s">
        <v>1642</v>
      </c>
      <c r="D399" s="1353"/>
      <c r="E399" s="1353" t="s">
        <v>3679</v>
      </c>
      <c r="F399" s="1356"/>
      <c r="G399" s="1387"/>
      <c r="H399" s="1388"/>
    </row>
    <row r="400">
      <c r="A400" s="1344" t="s">
        <v>317</v>
      </c>
      <c r="B400" s="1381" t="s">
        <v>864</v>
      </c>
      <c r="C400" s="1382" t="s">
        <v>1642</v>
      </c>
      <c r="D400" s="1346"/>
      <c r="E400" s="1346" t="s">
        <v>3680</v>
      </c>
      <c r="F400" s="1349"/>
      <c r="G400" s="1389" t="s">
        <v>3016</v>
      </c>
      <c r="H400" s="1392"/>
    </row>
    <row r="401">
      <c r="A401" s="1351" t="s">
        <v>317</v>
      </c>
      <c r="B401" s="1385" t="s">
        <v>874</v>
      </c>
      <c r="C401" s="1386" t="s">
        <v>1495</v>
      </c>
      <c r="D401" s="1353">
        <v>2.62</v>
      </c>
      <c r="E401" s="1353" t="s">
        <v>3681</v>
      </c>
      <c r="F401" s="1356"/>
      <c r="G401" s="1387"/>
      <c r="H401" s="1388">
        <v>3.15</v>
      </c>
    </row>
    <row r="402">
      <c r="A402" s="1344" t="s">
        <v>317</v>
      </c>
      <c r="B402" s="1381" t="s">
        <v>875</v>
      </c>
      <c r="C402" s="1382" t="s">
        <v>1495</v>
      </c>
      <c r="D402" s="1346">
        <v>4.57</v>
      </c>
      <c r="E402" s="1346" t="s">
        <v>3682</v>
      </c>
      <c r="F402" s="1349"/>
      <c r="G402" s="1383"/>
      <c r="H402" s="1384">
        <v>5.5</v>
      </c>
    </row>
    <row r="403">
      <c r="A403" s="1351" t="s">
        <v>317</v>
      </c>
      <c r="B403" s="1385" t="s">
        <v>860</v>
      </c>
      <c r="C403" s="1386" t="s">
        <v>1642</v>
      </c>
      <c r="D403" s="1353"/>
      <c r="E403" s="1354"/>
      <c r="F403" s="1356"/>
      <c r="G403" s="1387"/>
      <c r="H403" s="1388"/>
    </row>
    <row r="404">
      <c r="A404" s="1344" t="s">
        <v>317</v>
      </c>
      <c r="B404" s="1381" t="s">
        <v>863</v>
      </c>
      <c r="C404" s="1382" t="s">
        <v>1642</v>
      </c>
      <c r="D404" s="1346"/>
      <c r="E404" s="1347"/>
      <c r="F404" s="1349"/>
      <c r="G404" s="1389" t="s">
        <v>3015</v>
      </c>
      <c r="H404" s="1384"/>
    </row>
    <row r="405">
      <c r="A405" s="1351" t="s">
        <v>317</v>
      </c>
      <c r="B405" s="1385" t="s">
        <v>825</v>
      </c>
      <c r="C405" s="1386" t="s">
        <v>1642</v>
      </c>
      <c r="D405" s="1353">
        <v>13.35</v>
      </c>
      <c r="E405" s="1353" t="s">
        <v>3683</v>
      </c>
      <c r="F405" s="1356"/>
      <c r="G405" s="1390" t="s">
        <v>2980</v>
      </c>
      <c r="H405" s="1388">
        <v>16.05</v>
      </c>
    </row>
    <row r="406">
      <c r="A406" s="1344" t="s">
        <v>317</v>
      </c>
      <c r="B406" s="1381" t="s">
        <v>824</v>
      </c>
      <c r="C406" s="1382" t="s">
        <v>1642</v>
      </c>
      <c r="D406" s="1346">
        <v>4.85</v>
      </c>
      <c r="E406" s="1346" t="s">
        <v>3684</v>
      </c>
      <c r="F406" s="1349"/>
      <c r="G406" s="1389" t="s">
        <v>2979</v>
      </c>
      <c r="H406" s="1384">
        <v>5.85</v>
      </c>
    </row>
    <row r="407">
      <c r="A407" s="1351" t="s">
        <v>317</v>
      </c>
      <c r="B407" s="1385" t="s">
        <v>827</v>
      </c>
      <c r="C407" s="1386" t="s">
        <v>1642</v>
      </c>
      <c r="D407" s="1353">
        <v>2.1</v>
      </c>
      <c r="E407" s="1353" t="s">
        <v>3685</v>
      </c>
      <c r="F407" s="1356"/>
      <c r="G407" s="1390" t="s">
        <v>2982</v>
      </c>
      <c r="H407" s="1388">
        <v>2.55</v>
      </c>
    </row>
    <row r="408">
      <c r="A408" s="1344" t="s">
        <v>317</v>
      </c>
      <c r="B408" s="1381" t="s">
        <v>841</v>
      </c>
      <c r="C408" s="1382" t="s">
        <v>1642</v>
      </c>
      <c r="D408" s="1346">
        <v>0.05</v>
      </c>
      <c r="E408" s="1346" t="s">
        <v>3686</v>
      </c>
      <c r="F408" s="1349"/>
      <c r="G408" s="1389" t="s">
        <v>2993</v>
      </c>
      <c r="H408" s="1384">
        <v>0.1</v>
      </c>
    </row>
    <row r="409">
      <c r="A409" s="1351" t="s">
        <v>317</v>
      </c>
      <c r="B409" s="1385" t="s">
        <v>852</v>
      </c>
      <c r="C409" s="1386" t="s">
        <v>1495</v>
      </c>
      <c r="D409" s="1353">
        <v>98.8</v>
      </c>
      <c r="E409" s="1354"/>
      <c r="F409" s="1356"/>
      <c r="G409" s="1387"/>
      <c r="H409" s="1388">
        <v>118.6</v>
      </c>
    </row>
    <row r="410">
      <c r="A410" s="1344" t="s">
        <v>317</v>
      </c>
      <c r="B410" s="1381" t="s">
        <v>823</v>
      </c>
      <c r="C410" s="1382" t="s">
        <v>1642</v>
      </c>
      <c r="D410" s="1346"/>
      <c r="E410" s="1346" t="s">
        <v>3687</v>
      </c>
      <c r="F410" s="1349"/>
      <c r="G410" s="1389" t="s">
        <v>2978</v>
      </c>
      <c r="H410" s="1384"/>
    </row>
    <row r="411">
      <c r="A411" s="1351" t="s">
        <v>317</v>
      </c>
      <c r="B411" s="1385" t="s">
        <v>859</v>
      </c>
      <c r="C411" s="1386" t="s">
        <v>1642</v>
      </c>
      <c r="D411" s="1353">
        <v>0.55</v>
      </c>
      <c r="E411" s="1353" t="s">
        <v>3688</v>
      </c>
      <c r="F411" s="1356"/>
      <c r="G411" s="1387"/>
      <c r="H411" s="1388">
        <v>0.7</v>
      </c>
    </row>
    <row r="412">
      <c r="A412" s="1344" t="s">
        <v>317</v>
      </c>
      <c r="B412" s="1381" t="s">
        <v>826</v>
      </c>
      <c r="C412" s="1382" t="s">
        <v>1642</v>
      </c>
      <c r="D412" s="1346"/>
      <c r="E412" s="1346" t="s">
        <v>3689</v>
      </c>
      <c r="F412" s="1349"/>
      <c r="G412" s="1389" t="s">
        <v>2981</v>
      </c>
      <c r="H412" s="1384"/>
    </row>
    <row r="413">
      <c r="A413" s="1351" t="s">
        <v>317</v>
      </c>
      <c r="B413" s="1385" t="s">
        <v>861</v>
      </c>
      <c r="C413" s="1386" t="s">
        <v>1642</v>
      </c>
      <c r="D413" s="1353"/>
      <c r="E413" s="1353" t="s">
        <v>3690</v>
      </c>
      <c r="F413" s="1356"/>
      <c r="G413" s="1390" t="s">
        <v>3012</v>
      </c>
      <c r="H413" s="1388"/>
    </row>
    <row r="414">
      <c r="A414" s="1344" t="s">
        <v>317</v>
      </c>
      <c r="B414" s="1381" t="s">
        <v>878</v>
      </c>
      <c r="C414" s="1382" t="s">
        <v>1642</v>
      </c>
      <c r="D414" s="1346"/>
      <c r="E414" s="1347"/>
      <c r="F414" s="1349"/>
      <c r="G414" s="1389" t="s">
        <v>3024</v>
      </c>
      <c r="H414" s="1384"/>
    </row>
    <row r="415">
      <c r="A415" s="1351" t="s">
        <v>317</v>
      </c>
      <c r="B415" s="1385" t="s">
        <v>1200</v>
      </c>
      <c r="C415" s="1386" t="s">
        <v>1642</v>
      </c>
      <c r="D415" s="1353"/>
      <c r="E415" s="1354"/>
      <c r="F415" s="1356"/>
      <c r="G415" s="1390" t="s">
        <v>3267</v>
      </c>
      <c r="H415" s="1388"/>
    </row>
    <row r="416">
      <c r="A416" s="1344" t="s">
        <v>317</v>
      </c>
      <c r="B416" s="1381" t="s">
        <v>822</v>
      </c>
      <c r="C416" s="1382" t="s">
        <v>1495</v>
      </c>
      <c r="D416" s="1346">
        <v>1.0</v>
      </c>
      <c r="E416" s="1347"/>
      <c r="F416" s="1349"/>
      <c r="G416" s="1383"/>
      <c r="H416" s="1384">
        <v>1.2</v>
      </c>
    </row>
    <row r="417">
      <c r="A417" s="1351" t="s">
        <v>317</v>
      </c>
      <c r="B417" s="1385" t="s">
        <v>857</v>
      </c>
      <c r="C417" s="1386" t="s">
        <v>1642</v>
      </c>
      <c r="D417" s="1353"/>
      <c r="E417" s="1354"/>
      <c r="F417" s="1356"/>
      <c r="G417" s="1387"/>
      <c r="H417" s="1391"/>
    </row>
    <row r="418">
      <c r="A418" s="1344" t="s">
        <v>317</v>
      </c>
      <c r="B418" s="1381" t="s">
        <v>775</v>
      </c>
      <c r="C418" s="1382" t="s">
        <v>1642</v>
      </c>
      <c r="D418" s="1346">
        <v>0.95</v>
      </c>
      <c r="E418" s="1347"/>
      <c r="F418" s="1349"/>
      <c r="G418" s="1383"/>
      <c r="H418" s="1392">
        <v>1.1</v>
      </c>
    </row>
    <row r="419">
      <c r="A419" s="1351" t="s">
        <v>317</v>
      </c>
      <c r="B419" s="1385" t="s">
        <v>1165</v>
      </c>
      <c r="C419" s="1386" t="s">
        <v>1642</v>
      </c>
      <c r="D419" s="1353">
        <v>11.3</v>
      </c>
      <c r="E419" s="1354"/>
      <c r="F419" s="1356"/>
      <c r="G419" s="1387"/>
      <c r="H419" s="1391">
        <v>13.0</v>
      </c>
    </row>
    <row r="420">
      <c r="A420" s="1344" t="s">
        <v>317</v>
      </c>
      <c r="B420" s="1381" t="s">
        <v>1166</v>
      </c>
      <c r="C420" s="1382" t="s">
        <v>1642</v>
      </c>
      <c r="D420" s="1346">
        <v>12.63</v>
      </c>
      <c r="E420" s="1347"/>
      <c r="F420" s="1349"/>
      <c r="G420" s="1383"/>
      <c r="H420" s="1384">
        <v>14.55</v>
      </c>
    </row>
    <row r="421">
      <c r="A421" s="1351" t="s">
        <v>317</v>
      </c>
      <c r="B421" s="1385" t="s">
        <v>831</v>
      </c>
      <c r="C421" s="1386" t="s">
        <v>1642</v>
      </c>
      <c r="D421" s="1353">
        <v>5.52</v>
      </c>
      <c r="E421" s="1353" t="s">
        <v>3691</v>
      </c>
      <c r="F421" s="1356"/>
      <c r="G421" s="1387"/>
      <c r="H421" s="1388">
        <v>6.65</v>
      </c>
    </row>
    <row r="422">
      <c r="A422" s="1344" t="s">
        <v>317</v>
      </c>
      <c r="B422" s="1381" t="s">
        <v>876</v>
      </c>
      <c r="C422" s="1382" t="s">
        <v>1495</v>
      </c>
      <c r="D422" s="1346">
        <v>5.37</v>
      </c>
      <c r="E422" s="1347"/>
      <c r="F422" s="1349"/>
      <c r="G422" s="1383"/>
      <c r="H422" s="1392">
        <v>6.45</v>
      </c>
    </row>
    <row r="423">
      <c r="A423" s="1351" t="s">
        <v>317</v>
      </c>
      <c r="B423" s="1385" t="s">
        <v>869</v>
      </c>
      <c r="C423" s="1386" t="s">
        <v>1495</v>
      </c>
      <c r="D423" s="1353">
        <v>7.35</v>
      </c>
      <c r="E423" s="1354"/>
      <c r="F423" s="1356"/>
      <c r="G423" s="1387"/>
      <c r="H423" s="1388">
        <v>8.85</v>
      </c>
    </row>
    <row r="424">
      <c r="A424" s="1344" t="s">
        <v>317</v>
      </c>
      <c r="B424" s="1381" t="s">
        <v>1164</v>
      </c>
      <c r="C424" s="1382" t="s">
        <v>1642</v>
      </c>
      <c r="D424" s="1346">
        <v>7.68</v>
      </c>
      <c r="E424" s="1347"/>
      <c r="F424" s="1349"/>
      <c r="G424" s="1383"/>
      <c r="H424" s="1384">
        <v>8.85</v>
      </c>
    </row>
    <row r="425">
      <c r="A425" s="1351" t="s">
        <v>317</v>
      </c>
      <c r="B425" s="1385" t="s">
        <v>1306</v>
      </c>
      <c r="C425" s="1386" t="s">
        <v>1495</v>
      </c>
      <c r="D425" s="1353">
        <v>0.39</v>
      </c>
      <c r="E425" s="1354"/>
      <c r="F425" s="1356"/>
      <c r="G425" s="1387"/>
      <c r="H425" s="1391">
        <v>0.45</v>
      </c>
    </row>
    <row r="426">
      <c r="A426" s="1344" t="s">
        <v>317</v>
      </c>
      <c r="B426" s="1381" t="s">
        <v>868</v>
      </c>
      <c r="C426" s="1382" t="s">
        <v>1642</v>
      </c>
      <c r="D426" s="1346"/>
      <c r="E426" s="1347"/>
      <c r="F426" s="1349"/>
      <c r="G426" s="1383"/>
      <c r="H426" s="1384"/>
    </row>
    <row r="427">
      <c r="A427" s="1351" t="s">
        <v>317</v>
      </c>
      <c r="B427" s="1385" t="s">
        <v>1478</v>
      </c>
      <c r="C427" s="1386" t="s">
        <v>1642</v>
      </c>
      <c r="D427" s="1353"/>
      <c r="E427" s="1354"/>
      <c r="F427" s="1356"/>
      <c r="G427" s="1387"/>
      <c r="H427" s="1388"/>
    </row>
    <row r="428">
      <c r="A428" s="1344" t="s">
        <v>317</v>
      </c>
      <c r="B428" s="1381" t="s">
        <v>870</v>
      </c>
      <c r="C428" s="1382" t="s">
        <v>1642</v>
      </c>
      <c r="D428" s="1346"/>
      <c r="E428" s="1347"/>
      <c r="F428" s="1349"/>
      <c r="G428" s="1383"/>
      <c r="H428" s="1384"/>
    </row>
    <row r="429">
      <c r="A429" s="1351" t="s">
        <v>2587</v>
      </c>
      <c r="B429" s="1385" t="s">
        <v>1139</v>
      </c>
      <c r="C429" s="1386" t="s">
        <v>1642</v>
      </c>
      <c r="D429" s="1353"/>
      <c r="E429" s="1353" t="s">
        <v>3197</v>
      </c>
      <c r="F429" s="1356"/>
      <c r="G429" s="1387"/>
      <c r="H429" s="1388"/>
    </row>
    <row r="430">
      <c r="A430" s="1344" t="s">
        <v>2587</v>
      </c>
      <c r="B430" s="1381" t="s">
        <v>1356</v>
      </c>
      <c r="C430" s="1382" t="s">
        <v>1642</v>
      </c>
      <c r="D430" s="1346"/>
      <c r="E430" s="1346" t="s">
        <v>3692</v>
      </c>
      <c r="F430" s="1349"/>
      <c r="G430" s="1383"/>
      <c r="H430" s="1384"/>
    </row>
    <row r="431">
      <c r="A431" s="1351" t="s">
        <v>2587</v>
      </c>
      <c r="B431" s="1385" t="s">
        <v>1336</v>
      </c>
      <c r="C431" s="1386" t="s">
        <v>1642</v>
      </c>
      <c r="D431" s="1353"/>
      <c r="E431" s="1353" t="s">
        <v>3693</v>
      </c>
      <c r="F431" s="1356"/>
      <c r="G431" s="1387"/>
      <c r="H431" s="1388"/>
    </row>
    <row r="432">
      <c r="A432" s="1344" t="s">
        <v>2587</v>
      </c>
      <c r="B432" s="1381" t="s">
        <v>1353</v>
      </c>
      <c r="C432" s="1382" t="s">
        <v>1642</v>
      </c>
      <c r="D432" s="1346"/>
      <c r="E432" s="1346" t="s">
        <v>3694</v>
      </c>
      <c r="F432" s="1349"/>
      <c r="G432" s="1383"/>
      <c r="H432" s="1384"/>
    </row>
    <row r="433">
      <c r="A433" s="1351" t="s">
        <v>2587</v>
      </c>
      <c r="B433" s="1385" t="s">
        <v>1349</v>
      </c>
      <c r="C433" s="1386" t="s">
        <v>1642</v>
      </c>
      <c r="D433" s="1353"/>
      <c r="E433" s="1353" t="s">
        <v>3695</v>
      </c>
      <c r="F433" s="1356"/>
      <c r="G433" s="1387"/>
      <c r="H433" s="1388"/>
    </row>
    <row r="434">
      <c r="A434" s="1344" t="s">
        <v>2587</v>
      </c>
      <c r="B434" s="1381" t="s">
        <v>1333</v>
      </c>
      <c r="C434" s="1382" t="s">
        <v>1642</v>
      </c>
      <c r="D434" s="1346"/>
      <c r="E434" s="1346" t="s">
        <v>3696</v>
      </c>
      <c r="F434" s="1349"/>
      <c r="G434" s="1383"/>
      <c r="H434" s="1384"/>
    </row>
    <row r="435">
      <c r="A435" s="1351" t="s">
        <v>2587</v>
      </c>
      <c r="B435" s="1385" t="s">
        <v>1352</v>
      </c>
      <c r="C435" s="1386" t="s">
        <v>1642</v>
      </c>
      <c r="D435" s="1353"/>
      <c r="E435" s="1353" t="s">
        <v>3395</v>
      </c>
      <c r="F435" s="1356"/>
      <c r="G435" s="1387"/>
      <c r="H435" s="1388"/>
    </row>
    <row r="436">
      <c r="A436" s="1344" t="s">
        <v>2587</v>
      </c>
      <c r="B436" s="1381" t="s">
        <v>1351</v>
      </c>
      <c r="C436" s="1382" t="s">
        <v>1642</v>
      </c>
      <c r="D436" s="1346"/>
      <c r="E436" s="1346" t="s">
        <v>3394</v>
      </c>
      <c r="F436" s="1349"/>
      <c r="G436" s="1383"/>
      <c r="H436" s="1384"/>
    </row>
    <row r="437">
      <c r="A437" s="1351" t="s">
        <v>2587</v>
      </c>
      <c r="B437" s="1385" t="s">
        <v>1350</v>
      </c>
      <c r="C437" s="1386" t="s">
        <v>1642</v>
      </c>
      <c r="D437" s="1353"/>
      <c r="E437" s="1353" t="s">
        <v>3393</v>
      </c>
      <c r="F437" s="1356"/>
      <c r="G437" s="1387"/>
      <c r="H437" s="1388"/>
    </row>
    <row r="438">
      <c r="A438" s="1344" t="s">
        <v>2587</v>
      </c>
      <c r="B438" s="1381" t="s">
        <v>1357</v>
      </c>
      <c r="C438" s="1382" t="s">
        <v>1642</v>
      </c>
      <c r="D438" s="1346"/>
      <c r="E438" s="1346" t="s">
        <v>3400</v>
      </c>
      <c r="F438" s="1349"/>
      <c r="G438" s="1383"/>
      <c r="H438" s="1384"/>
    </row>
    <row r="439">
      <c r="A439" s="1351" t="s">
        <v>2587</v>
      </c>
      <c r="B439" s="1385" t="s">
        <v>1358</v>
      </c>
      <c r="C439" s="1386" t="s">
        <v>1642</v>
      </c>
      <c r="D439" s="1353"/>
      <c r="E439" s="1353" t="s">
        <v>3401</v>
      </c>
      <c r="F439" s="1356"/>
      <c r="G439" s="1387"/>
      <c r="H439" s="1388"/>
    </row>
    <row r="440">
      <c r="A440" s="1344" t="s">
        <v>2587</v>
      </c>
      <c r="B440" s="1381" t="s">
        <v>1323</v>
      </c>
      <c r="C440" s="1382" t="s">
        <v>1495</v>
      </c>
      <c r="D440" s="1346"/>
      <c r="E440" s="1346" t="s">
        <v>3359</v>
      </c>
      <c r="F440" s="1349"/>
      <c r="G440" s="1383"/>
      <c r="H440" s="1384"/>
    </row>
    <row r="441">
      <c r="A441" s="1351" t="s">
        <v>2587</v>
      </c>
      <c r="B441" s="1385" t="s">
        <v>3697</v>
      </c>
      <c r="C441" s="1386" t="s">
        <v>1495</v>
      </c>
      <c r="D441" s="1353">
        <v>0.85</v>
      </c>
      <c r="E441" s="1353" t="s">
        <v>3211</v>
      </c>
      <c r="F441" s="1356"/>
      <c r="G441" s="1387"/>
      <c r="H441" s="1388">
        <v>1.0</v>
      </c>
    </row>
    <row r="442">
      <c r="A442" s="1344" t="s">
        <v>2587</v>
      </c>
      <c r="B442" s="1381" t="s">
        <v>3698</v>
      </c>
      <c r="C442" s="1382" t="s">
        <v>1495</v>
      </c>
      <c r="D442" s="1346">
        <v>1.11</v>
      </c>
      <c r="E442" s="1346" t="s">
        <v>3217</v>
      </c>
      <c r="F442" s="1349"/>
      <c r="G442" s="1383"/>
      <c r="H442" s="1384">
        <v>1.3</v>
      </c>
    </row>
    <row r="443">
      <c r="A443" s="1351" t="s">
        <v>2587</v>
      </c>
      <c r="B443" s="1385" t="s">
        <v>3699</v>
      </c>
      <c r="C443" s="1386" t="s">
        <v>1495</v>
      </c>
      <c r="D443" s="1353">
        <v>1.2</v>
      </c>
      <c r="E443" s="1353" t="s">
        <v>3213</v>
      </c>
      <c r="F443" s="1356"/>
      <c r="G443" s="1387"/>
      <c r="H443" s="1388">
        <v>1.4</v>
      </c>
    </row>
    <row r="444">
      <c r="A444" s="1344" t="s">
        <v>2587</v>
      </c>
      <c r="B444" s="1381" t="s">
        <v>3700</v>
      </c>
      <c r="C444" s="1382" t="s">
        <v>1495</v>
      </c>
      <c r="D444" s="1346">
        <v>1.3</v>
      </c>
      <c r="E444" s="1346" t="s">
        <v>3215</v>
      </c>
      <c r="F444" s="1349"/>
      <c r="G444" s="1383"/>
      <c r="H444" s="1384">
        <v>1.5</v>
      </c>
    </row>
    <row r="445">
      <c r="A445" s="1351" t="s">
        <v>2587</v>
      </c>
      <c r="B445" s="1385" t="s">
        <v>3701</v>
      </c>
      <c r="C445" s="1386" t="s">
        <v>1495</v>
      </c>
      <c r="D445" s="1353">
        <v>1.4</v>
      </c>
      <c r="E445" s="1353" t="s">
        <v>3219</v>
      </c>
      <c r="F445" s="1356"/>
      <c r="G445" s="1387"/>
      <c r="H445" s="1388">
        <v>1.65</v>
      </c>
    </row>
    <row r="446">
      <c r="A446" s="1344" t="s">
        <v>2587</v>
      </c>
      <c r="B446" s="1381" t="s">
        <v>1466</v>
      </c>
      <c r="C446" s="1382" t="s">
        <v>1642</v>
      </c>
      <c r="D446" s="1346"/>
      <c r="E446" s="1347"/>
      <c r="F446" s="1349"/>
      <c r="G446" s="1389" t="s">
        <v>3477</v>
      </c>
      <c r="H446" s="1384"/>
    </row>
    <row r="447">
      <c r="A447" s="1351" t="s">
        <v>2587</v>
      </c>
      <c r="B447" s="1385" t="s">
        <v>3398</v>
      </c>
      <c r="C447" s="1386" t="s">
        <v>3702</v>
      </c>
      <c r="D447" s="1353">
        <v>91.18</v>
      </c>
      <c r="E447" s="1353" t="s">
        <v>3703</v>
      </c>
      <c r="F447" s="1356"/>
      <c r="G447" s="1390" t="s">
        <v>3399</v>
      </c>
      <c r="H447" s="1391">
        <v>104.9</v>
      </c>
    </row>
    <row r="448">
      <c r="A448" s="1344" t="s">
        <v>2587</v>
      </c>
      <c r="B448" s="1381" t="s">
        <v>3375</v>
      </c>
      <c r="C448" s="1382" t="s">
        <v>3702</v>
      </c>
      <c r="D448" s="1346">
        <v>49.18</v>
      </c>
      <c r="E448" s="1346" t="s">
        <v>3704</v>
      </c>
      <c r="F448" s="1349"/>
      <c r="G448" s="1389" t="s">
        <v>3376</v>
      </c>
      <c r="H448" s="1384">
        <v>56.6</v>
      </c>
    </row>
    <row r="449">
      <c r="A449" s="1351" t="s">
        <v>2587</v>
      </c>
      <c r="B449" s="1385" t="s">
        <v>3386</v>
      </c>
      <c r="C449" s="1386" t="s">
        <v>1495</v>
      </c>
      <c r="D449" s="1353">
        <v>14.86</v>
      </c>
      <c r="E449" s="1353" t="s">
        <v>3705</v>
      </c>
      <c r="F449" s="1356"/>
      <c r="G449" s="1390" t="s">
        <v>3387</v>
      </c>
      <c r="H449" s="1388">
        <v>17.1</v>
      </c>
    </row>
    <row r="450">
      <c r="A450" s="1344" t="s">
        <v>2587</v>
      </c>
      <c r="B450" s="1381" t="s">
        <v>3371</v>
      </c>
      <c r="C450" s="1382" t="s">
        <v>1495</v>
      </c>
      <c r="D450" s="1346">
        <v>8.25</v>
      </c>
      <c r="E450" s="1346" t="s">
        <v>3706</v>
      </c>
      <c r="F450" s="1349"/>
      <c r="G450" s="1389" t="s">
        <v>3372</v>
      </c>
      <c r="H450" s="1384">
        <v>9.5</v>
      </c>
    </row>
    <row r="451">
      <c r="A451" s="1351" t="s">
        <v>2587</v>
      </c>
      <c r="B451" s="1385" t="s">
        <v>3383</v>
      </c>
      <c r="C451" s="1386" t="s">
        <v>1495</v>
      </c>
      <c r="D451" s="1353">
        <v>12.99</v>
      </c>
      <c r="E451" s="1353" t="s">
        <v>3707</v>
      </c>
      <c r="F451" s="1356"/>
      <c r="G451" s="1390" t="s">
        <v>3384</v>
      </c>
      <c r="H451" s="1391">
        <v>14.95</v>
      </c>
    </row>
    <row r="452">
      <c r="A452" s="1344" t="s">
        <v>2587</v>
      </c>
      <c r="B452" s="1381" t="s">
        <v>3368</v>
      </c>
      <c r="C452" s="1382" t="s">
        <v>1495</v>
      </c>
      <c r="D452" s="1346">
        <v>7.93</v>
      </c>
      <c r="E452" s="1346" t="s">
        <v>3708</v>
      </c>
      <c r="F452" s="1349"/>
      <c r="G452" s="1389" t="s">
        <v>3369</v>
      </c>
      <c r="H452" s="1392">
        <v>9.15</v>
      </c>
    </row>
    <row r="453">
      <c r="A453" s="1351" t="s">
        <v>2587</v>
      </c>
      <c r="B453" s="1385" t="s">
        <v>1309</v>
      </c>
      <c r="C453" s="1386" t="s">
        <v>1495</v>
      </c>
      <c r="D453" s="1353">
        <v>0.32</v>
      </c>
      <c r="E453" s="1353" t="s">
        <v>3709</v>
      </c>
      <c r="F453" s="1356"/>
      <c r="G453" s="1390" t="s">
        <v>3330</v>
      </c>
      <c r="H453" s="1388">
        <v>0.4</v>
      </c>
    </row>
    <row r="454">
      <c r="A454" s="1344" t="s">
        <v>2587</v>
      </c>
      <c r="B454" s="1381" t="s">
        <v>3331</v>
      </c>
      <c r="C454" s="1382" t="s">
        <v>1495</v>
      </c>
      <c r="D454" s="1346">
        <v>0.37</v>
      </c>
      <c r="E454" s="1346" t="s">
        <v>3710</v>
      </c>
      <c r="F454" s="1349"/>
      <c r="G454" s="1389" t="s">
        <v>3332</v>
      </c>
      <c r="H454" s="1384">
        <v>0.45</v>
      </c>
    </row>
    <row r="455">
      <c r="A455" s="1351" t="s">
        <v>2587</v>
      </c>
      <c r="B455" s="1385" t="s">
        <v>3328</v>
      </c>
      <c r="C455" s="1386" t="s">
        <v>1495</v>
      </c>
      <c r="D455" s="1353">
        <v>0.07</v>
      </c>
      <c r="E455" s="1353" t="s">
        <v>3711</v>
      </c>
      <c r="F455" s="1356"/>
      <c r="G455" s="1390" t="s">
        <v>3329</v>
      </c>
      <c r="H455" s="1388">
        <v>0.1</v>
      </c>
    </row>
    <row r="456">
      <c r="A456" s="1344" t="s">
        <v>2587</v>
      </c>
      <c r="B456" s="1381" t="s">
        <v>2762</v>
      </c>
      <c r="C456" s="1382" t="s">
        <v>1642</v>
      </c>
      <c r="D456" s="1346">
        <v>2.65</v>
      </c>
      <c r="E456" s="1346" t="s">
        <v>3712</v>
      </c>
      <c r="F456" s="1349"/>
      <c r="G456" s="1389" t="s">
        <v>2763</v>
      </c>
      <c r="H456" s="1384">
        <v>3.05</v>
      </c>
    </row>
    <row r="457">
      <c r="A457" s="1351" t="s">
        <v>2587</v>
      </c>
      <c r="B457" s="1385" t="s">
        <v>674</v>
      </c>
      <c r="C457" s="1386" t="s">
        <v>1642</v>
      </c>
      <c r="D457" s="1353">
        <v>3.55</v>
      </c>
      <c r="E457" s="1353" t="s">
        <v>3713</v>
      </c>
      <c r="F457" s="1356"/>
      <c r="G457" s="1390" t="s">
        <v>2752</v>
      </c>
      <c r="H457" s="1391">
        <v>4.1</v>
      </c>
    </row>
    <row r="458">
      <c r="A458" s="1344" t="s">
        <v>2587</v>
      </c>
      <c r="B458" s="1381" t="s">
        <v>673</v>
      </c>
      <c r="C458" s="1382" t="s">
        <v>1642</v>
      </c>
      <c r="D458" s="1346">
        <v>1.15</v>
      </c>
      <c r="E458" s="1346" t="s">
        <v>3714</v>
      </c>
      <c r="F458" s="1349"/>
      <c r="G458" s="1383"/>
      <c r="H458" s="1384">
        <v>1.35</v>
      </c>
    </row>
    <row r="459">
      <c r="A459" s="1351" t="s">
        <v>2587</v>
      </c>
      <c r="B459" s="1385" t="s">
        <v>627</v>
      </c>
      <c r="C459" s="1386" t="s">
        <v>1642</v>
      </c>
      <c r="D459" s="1353">
        <v>2.16</v>
      </c>
      <c r="E459" s="1353" t="s">
        <v>3715</v>
      </c>
      <c r="F459" s="1356"/>
      <c r="G459" s="1390" t="s">
        <v>2666</v>
      </c>
      <c r="H459" s="1388">
        <v>2.5</v>
      </c>
    </row>
    <row r="460">
      <c r="A460" s="1344" t="s">
        <v>2587</v>
      </c>
      <c r="B460" s="1381" t="s">
        <v>630</v>
      </c>
      <c r="C460" s="1382" t="s">
        <v>1642</v>
      </c>
      <c r="D460" s="1346">
        <v>6.5</v>
      </c>
      <c r="E460" s="1346" t="s">
        <v>3716</v>
      </c>
      <c r="F460" s="1349"/>
      <c r="G460" s="1389" t="s">
        <v>2670</v>
      </c>
      <c r="H460" s="1384">
        <v>7.5</v>
      </c>
    </row>
    <row r="461">
      <c r="A461" s="1351" t="s">
        <v>2587</v>
      </c>
      <c r="B461" s="1385" t="s">
        <v>2588</v>
      </c>
      <c r="C461" s="1386" t="s">
        <v>1642</v>
      </c>
      <c r="D461" s="1353">
        <v>2.15</v>
      </c>
      <c r="E461" s="1353" t="s">
        <v>3717</v>
      </c>
      <c r="F461" s="1356"/>
      <c r="G461" s="1390" t="s">
        <v>2589</v>
      </c>
      <c r="H461" s="1388">
        <v>2.6</v>
      </c>
    </row>
    <row r="462">
      <c r="A462" s="1344" t="s">
        <v>2587</v>
      </c>
      <c r="B462" s="1381" t="s">
        <v>2667</v>
      </c>
      <c r="C462" s="1382" t="s">
        <v>1642</v>
      </c>
      <c r="D462" s="1346">
        <v>7.85</v>
      </c>
      <c r="E462" s="1346" t="s">
        <v>3718</v>
      </c>
      <c r="F462" s="1349"/>
      <c r="G462" s="1389" t="s">
        <v>2668</v>
      </c>
      <c r="H462" s="1384">
        <v>9.05</v>
      </c>
    </row>
    <row r="463">
      <c r="A463" s="1351" t="s">
        <v>2587</v>
      </c>
      <c r="B463" s="1385" t="s">
        <v>2890</v>
      </c>
      <c r="C463" s="1386" t="s">
        <v>1642</v>
      </c>
      <c r="D463" s="1353">
        <v>6.71</v>
      </c>
      <c r="E463" s="1353" t="s">
        <v>2891</v>
      </c>
      <c r="F463" s="1356"/>
      <c r="G463" s="1390" t="s">
        <v>2892</v>
      </c>
      <c r="H463" s="1388">
        <v>8.1</v>
      </c>
    </row>
    <row r="464">
      <c r="A464" s="1344" t="s">
        <v>2587</v>
      </c>
      <c r="B464" s="1381" t="s">
        <v>2893</v>
      </c>
      <c r="C464" s="1382" t="s">
        <v>1495</v>
      </c>
      <c r="D464" s="1346">
        <v>2.0</v>
      </c>
      <c r="E464" s="1346" t="s">
        <v>2894</v>
      </c>
      <c r="F464" s="1349"/>
      <c r="G464" s="1389" t="s">
        <v>2895</v>
      </c>
      <c r="H464" s="1384">
        <v>2.3</v>
      </c>
    </row>
    <row r="465">
      <c r="A465" s="1351" t="s">
        <v>2587</v>
      </c>
      <c r="B465" s="1385" t="s">
        <v>3719</v>
      </c>
      <c r="C465" s="1386" t="s">
        <v>1495</v>
      </c>
      <c r="D465" s="1353">
        <v>4.5</v>
      </c>
      <c r="E465" s="1353" t="s">
        <v>2903</v>
      </c>
      <c r="F465" s="1356"/>
      <c r="G465" s="1390" t="s">
        <v>2904</v>
      </c>
      <c r="H465" s="1391">
        <v>5.4</v>
      </c>
    </row>
    <row r="466">
      <c r="A466" s="1344" t="s">
        <v>2587</v>
      </c>
      <c r="B466" s="1381" t="s">
        <v>2896</v>
      </c>
      <c r="C466" s="1382" t="s">
        <v>1495</v>
      </c>
      <c r="D466" s="1346">
        <v>3.55</v>
      </c>
      <c r="E466" s="1346" t="s">
        <v>2897</v>
      </c>
      <c r="F466" s="1349"/>
      <c r="G466" s="1389" t="s">
        <v>2898</v>
      </c>
      <c r="H466" s="1384">
        <v>4.3</v>
      </c>
    </row>
    <row r="467">
      <c r="A467" s="1351" t="s">
        <v>2587</v>
      </c>
      <c r="B467" s="1385" t="s">
        <v>3720</v>
      </c>
      <c r="C467" s="1386" t="s">
        <v>1495</v>
      </c>
      <c r="D467" s="1353">
        <v>4.1</v>
      </c>
      <c r="E467" s="1353" t="s">
        <v>2900</v>
      </c>
      <c r="F467" s="1356"/>
      <c r="G467" s="1390" t="s">
        <v>2901</v>
      </c>
      <c r="H467" s="1388">
        <v>4.95</v>
      </c>
    </row>
    <row r="468">
      <c r="A468" s="1344" t="s">
        <v>2587</v>
      </c>
      <c r="B468" s="1381" t="s">
        <v>3721</v>
      </c>
      <c r="C468" s="1382" t="s">
        <v>1642</v>
      </c>
      <c r="D468" s="1346">
        <v>2.1</v>
      </c>
      <c r="E468" s="1346" t="s">
        <v>2906</v>
      </c>
      <c r="F468" s="1349"/>
      <c r="G468" s="1389" t="s">
        <v>2907</v>
      </c>
      <c r="H468" s="1384">
        <v>2.55</v>
      </c>
    </row>
    <row r="469">
      <c r="A469" s="1351" t="s">
        <v>2587</v>
      </c>
      <c r="B469" s="1385" t="s">
        <v>629</v>
      </c>
      <c r="C469" s="1386" t="s">
        <v>1642</v>
      </c>
      <c r="D469" s="1353">
        <v>6.44</v>
      </c>
      <c r="E469" s="1353" t="s">
        <v>3722</v>
      </c>
      <c r="F469" s="1356"/>
      <c r="G469" s="1390" t="s">
        <v>2669</v>
      </c>
      <c r="H469" s="1388">
        <v>7.45</v>
      </c>
    </row>
    <row r="470">
      <c r="A470" s="1344" t="s">
        <v>2587</v>
      </c>
      <c r="B470" s="1381" t="s">
        <v>1469</v>
      </c>
      <c r="C470" s="1382" t="s">
        <v>1642</v>
      </c>
      <c r="D470" s="1346">
        <v>1.06</v>
      </c>
      <c r="E470" s="1346" t="s">
        <v>3723</v>
      </c>
      <c r="F470" s="1349"/>
      <c r="G470" s="1389" t="s">
        <v>3482</v>
      </c>
      <c r="H470" s="1384">
        <v>1.25</v>
      </c>
    </row>
    <row r="471">
      <c r="A471" s="1351" t="s">
        <v>2587</v>
      </c>
      <c r="B471" s="1385" t="s">
        <v>678</v>
      </c>
      <c r="C471" s="1386" t="s">
        <v>1642</v>
      </c>
      <c r="D471" s="1353">
        <v>0.99</v>
      </c>
      <c r="E471" s="1353" t="s">
        <v>3724</v>
      </c>
      <c r="F471" s="1356"/>
      <c r="G471" s="1390" t="s">
        <v>2759</v>
      </c>
      <c r="H471" s="1388">
        <v>1.15</v>
      </c>
    </row>
    <row r="472">
      <c r="A472" s="1344" t="s">
        <v>2587</v>
      </c>
      <c r="B472" s="1381" t="s">
        <v>680</v>
      </c>
      <c r="C472" s="1382" t="s">
        <v>1642</v>
      </c>
      <c r="D472" s="1346">
        <v>1.27</v>
      </c>
      <c r="E472" s="1346" t="s">
        <v>3725</v>
      </c>
      <c r="F472" s="1349"/>
      <c r="G472" s="1389" t="s">
        <v>2761</v>
      </c>
      <c r="H472" s="1384">
        <v>1.5</v>
      </c>
    </row>
    <row r="473">
      <c r="A473" s="1351" t="s">
        <v>2587</v>
      </c>
      <c r="B473" s="1385" t="s">
        <v>679</v>
      </c>
      <c r="C473" s="1386" t="s">
        <v>1642</v>
      </c>
      <c r="D473" s="1353">
        <v>0.29</v>
      </c>
      <c r="E473" s="1353" t="s">
        <v>3726</v>
      </c>
      <c r="F473" s="1356"/>
      <c r="G473" s="1390" t="s">
        <v>2760</v>
      </c>
      <c r="H473" s="1388">
        <v>0.35</v>
      </c>
    </row>
    <row r="474">
      <c r="A474" s="1344" t="s">
        <v>2587</v>
      </c>
      <c r="B474" s="1381" t="s">
        <v>3396</v>
      </c>
      <c r="C474" s="1382" t="s">
        <v>1642</v>
      </c>
      <c r="D474" s="1346">
        <v>5.26</v>
      </c>
      <c r="E474" s="1346" t="s">
        <v>3727</v>
      </c>
      <c r="F474" s="1349"/>
      <c r="G474" s="1389" t="s">
        <v>3397</v>
      </c>
      <c r="H474" s="1384">
        <v>6.05</v>
      </c>
    </row>
    <row r="475">
      <c r="A475" s="1351" t="s">
        <v>2587</v>
      </c>
      <c r="B475" s="1385" t="s">
        <v>3378</v>
      </c>
      <c r="C475" s="1386" t="s">
        <v>1495</v>
      </c>
      <c r="D475" s="1353">
        <v>4.46</v>
      </c>
      <c r="E475" s="1353" t="s">
        <v>3379</v>
      </c>
      <c r="F475" s="1356"/>
      <c r="G475" s="1387"/>
      <c r="H475" s="1388">
        <v>5.15</v>
      </c>
    </row>
    <row r="476">
      <c r="A476" s="1344" t="s">
        <v>2587</v>
      </c>
      <c r="B476" s="1381" t="s">
        <v>3373</v>
      </c>
      <c r="C476" s="1382" t="s">
        <v>1642</v>
      </c>
      <c r="D476" s="1346">
        <v>4.34</v>
      </c>
      <c r="E476" s="1346" t="s">
        <v>3728</v>
      </c>
      <c r="F476" s="1349"/>
      <c r="G476" s="1389" t="s">
        <v>3374</v>
      </c>
      <c r="H476" s="1384">
        <v>5.0</v>
      </c>
    </row>
    <row r="477">
      <c r="A477" s="1351" t="s">
        <v>2587</v>
      </c>
      <c r="B477" s="1385" t="s">
        <v>1342</v>
      </c>
      <c r="C477" s="1386" t="s">
        <v>1495</v>
      </c>
      <c r="D477" s="1353"/>
      <c r="E477" s="1353" t="s">
        <v>3729</v>
      </c>
      <c r="F477" s="1356"/>
      <c r="G477" s="1390" t="s">
        <v>3385</v>
      </c>
      <c r="H477" s="1388"/>
    </row>
    <row r="478">
      <c r="A478" s="1344" t="s">
        <v>2587</v>
      </c>
      <c r="B478" s="1381" t="s">
        <v>1331</v>
      </c>
      <c r="C478" s="1382" t="s">
        <v>1495</v>
      </c>
      <c r="D478" s="1346"/>
      <c r="E478" s="1346" t="s">
        <v>3730</v>
      </c>
      <c r="F478" s="1349"/>
      <c r="G478" s="1389" t="s">
        <v>3370</v>
      </c>
      <c r="H478" s="1384"/>
    </row>
    <row r="479">
      <c r="A479" s="1351" t="s">
        <v>2587</v>
      </c>
      <c r="B479" s="1385" t="s">
        <v>3207</v>
      </c>
      <c r="C479" s="1386" t="s">
        <v>1642</v>
      </c>
      <c r="D479" s="1353">
        <v>2.16</v>
      </c>
      <c r="E479" s="1353" t="s">
        <v>3208</v>
      </c>
      <c r="F479" s="1356"/>
      <c r="G479" s="1390" t="s">
        <v>3209</v>
      </c>
      <c r="H479" s="1388">
        <v>2.5</v>
      </c>
    </row>
    <row r="480">
      <c r="A480" s="1344" t="s">
        <v>2383</v>
      </c>
      <c r="B480" s="1381" t="s">
        <v>2797</v>
      </c>
      <c r="C480" s="1382" t="s">
        <v>1495</v>
      </c>
      <c r="D480" s="1346">
        <v>2.58</v>
      </c>
      <c r="E480" s="1346" t="s">
        <v>2798</v>
      </c>
      <c r="F480" s="1349"/>
      <c r="G480" s="1389" t="s">
        <v>2799</v>
      </c>
      <c r="H480" s="1384">
        <v>3.0</v>
      </c>
    </row>
    <row r="481">
      <c r="A481" s="1351" t="s">
        <v>2383</v>
      </c>
      <c r="B481" s="1385" t="s">
        <v>3431</v>
      </c>
      <c r="C481" s="1386" t="s">
        <v>1495</v>
      </c>
      <c r="D481" s="1353">
        <v>2.52</v>
      </c>
      <c r="E481" s="1353" t="s">
        <v>3432</v>
      </c>
      <c r="F481" s="1356"/>
      <c r="G481" s="1390" t="s">
        <v>3433</v>
      </c>
      <c r="H481" s="1388">
        <v>2.9</v>
      </c>
    </row>
    <row r="482">
      <c r="A482" s="1344" t="s">
        <v>2383</v>
      </c>
      <c r="B482" s="1381" t="s">
        <v>3262</v>
      </c>
      <c r="C482" s="1382" t="s">
        <v>1495</v>
      </c>
      <c r="D482" s="1346"/>
      <c r="E482" s="1346" t="s">
        <v>3263</v>
      </c>
      <c r="F482" s="1349"/>
      <c r="G482" s="1389" t="s">
        <v>3264</v>
      </c>
      <c r="H482" s="1384"/>
    </row>
    <row r="483">
      <c r="A483" s="1351" t="s">
        <v>2383</v>
      </c>
      <c r="B483" s="1385" t="s">
        <v>1193</v>
      </c>
      <c r="C483" s="1386" t="s">
        <v>1495</v>
      </c>
      <c r="D483" s="1353"/>
      <c r="E483" s="1353" t="s">
        <v>3260</v>
      </c>
      <c r="F483" s="1356"/>
      <c r="G483" s="1390" t="s">
        <v>3261</v>
      </c>
      <c r="H483" s="1388"/>
    </row>
    <row r="484">
      <c r="A484" s="1344" t="s">
        <v>2383</v>
      </c>
      <c r="B484" s="1381" t="s">
        <v>556</v>
      </c>
      <c r="C484" s="1382" t="s">
        <v>1495</v>
      </c>
      <c r="D484" s="1346"/>
      <c r="E484" s="1346" t="s">
        <v>3731</v>
      </c>
      <c r="F484" s="1349">
        <v>2.0</v>
      </c>
      <c r="G484" s="1389" t="s">
        <v>2523</v>
      </c>
      <c r="H484" s="1384"/>
    </row>
    <row r="485">
      <c r="A485" s="1351" t="s">
        <v>2383</v>
      </c>
      <c r="B485" s="1385" t="s">
        <v>2529</v>
      </c>
      <c r="C485" s="1386" t="s">
        <v>1495</v>
      </c>
      <c r="D485" s="1353">
        <v>2.05</v>
      </c>
      <c r="E485" s="1353" t="s">
        <v>3732</v>
      </c>
      <c r="F485" s="1356"/>
      <c r="G485" s="1390" t="s">
        <v>2530</v>
      </c>
      <c r="H485" s="1388">
        <v>2.4</v>
      </c>
    </row>
    <row r="486">
      <c r="A486" s="1344" t="s">
        <v>2383</v>
      </c>
      <c r="B486" s="1381" t="s">
        <v>1471</v>
      </c>
      <c r="C486" s="1382" t="s">
        <v>1495</v>
      </c>
      <c r="D486" s="1346">
        <v>6.75</v>
      </c>
      <c r="E486" s="1346" t="s">
        <v>3485</v>
      </c>
      <c r="F486" s="1349"/>
      <c r="G486" s="1389" t="s">
        <v>3486</v>
      </c>
      <c r="H486" s="1384">
        <v>7.8</v>
      </c>
    </row>
    <row r="487">
      <c r="A487" s="1351" t="s">
        <v>2383</v>
      </c>
      <c r="B487" s="1385" t="s">
        <v>1470</v>
      </c>
      <c r="C487" s="1386" t="s">
        <v>1495</v>
      </c>
      <c r="D487" s="1353">
        <v>4.3</v>
      </c>
      <c r="E487" s="1353" t="s">
        <v>3483</v>
      </c>
      <c r="F487" s="1356"/>
      <c r="G487" s="1390" t="s">
        <v>3484</v>
      </c>
      <c r="H487" s="1388">
        <v>4.95</v>
      </c>
    </row>
    <row r="488">
      <c r="A488" s="1344" t="s">
        <v>2383</v>
      </c>
      <c r="B488" s="1381" t="s">
        <v>559</v>
      </c>
      <c r="C488" s="1382" t="s">
        <v>1495</v>
      </c>
      <c r="D488" s="1346">
        <v>1.9</v>
      </c>
      <c r="E488" s="1346" t="s">
        <v>3733</v>
      </c>
      <c r="F488" s="1349">
        <v>1.0</v>
      </c>
      <c r="G488" s="1389" t="s">
        <v>2528</v>
      </c>
      <c r="H488" s="1384">
        <v>2.2</v>
      </c>
    </row>
    <row r="489">
      <c r="A489" s="1351" t="s">
        <v>2383</v>
      </c>
      <c r="B489" s="1385" t="s">
        <v>2526</v>
      </c>
      <c r="C489" s="1386" t="s">
        <v>1495</v>
      </c>
      <c r="D489" s="1353">
        <v>2.59</v>
      </c>
      <c r="E489" s="1353" t="s">
        <v>3734</v>
      </c>
      <c r="F489" s="1356">
        <v>1.0</v>
      </c>
      <c r="G489" s="1390" t="s">
        <v>2527</v>
      </c>
      <c r="H489" s="1388">
        <v>3.0</v>
      </c>
    </row>
    <row r="490">
      <c r="A490" s="1344" t="s">
        <v>2383</v>
      </c>
      <c r="B490" s="1381" t="s">
        <v>2524</v>
      </c>
      <c r="C490" s="1382" t="s">
        <v>1495</v>
      </c>
      <c r="D490" s="1346">
        <v>2.59</v>
      </c>
      <c r="E490" s="1346" t="s">
        <v>3735</v>
      </c>
      <c r="F490" s="1349">
        <v>1.0</v>
      </c>
      <c r="G490" s="1389" t="s">
        <v>2525</v>
      </c>
      <c r="H490" s="1384">
        <v>3.0</v>
      </c>
    </row>
    <row r="491">
      <c r="A491" s="1351" t="s">
        <v>2383</v>
      </c>
      <c r="B491" s="1385" t="s">
        <v>2662</v>
      </c>
      <c r="C491" s="1386" t="s">
        <v>1495</v>
      </c>
      <c r="D491" s="1353">
        <v>3.8</v>
      </c>
      <c r="E491" s="1354"/>
      <c r="F491" s="1356"/>
      <c r="G491" s="1387"/>
      <c r="H491" s="1388">
        <v>4.4</v>
      </c>
    </row>
    <row r="492">
      <c r="A492" s="1344" t="s">
        <v>2383</v>
      </c>
      <c r="B492" s="1381" t="s">
        <v>1159</v>
      </c>
      <c r="C492" s="1382" t="s">
        <v>1495</v>
      </c>
      <c r="D492" s="1346">
        <v>3.55</v>
      </c>
      <c r="E492" s="1347"/>
      <c r="F492" s="1349"/>
      <c r="G492" s="1383"/>
      <c r="H492" s="1384">
        <v>4.1</v>
      </c>
    </row>
    <row r="493">
      <c r="A493" s="1351" t="s">
        <v>2383</v>
      </c>
      <c r="B493" s="1385" t="s">
        <v>268</v>
      </c>
      <c r="C493" s="1386" t="s">
        <v>1495</v>
      </c>
      <c r="D493" s="1353">
        <v>2.5</v>
      </c>
      <c r="E493" s="1353" t="s">
        <v>2908</v>
      </c>
      <c r="F493" s="1356"/>
      <c r="G493" s="1390" t="s">
        <v>2909</v>
      </c>
      <c r="H493" s="1388">
        <v>2.9</v>
      </c>
    </row>
    <row r="494">
      <c r="A494" s="1344" t="s">
        <v>2383</v>
      </c>
      <c r="B494" s="1381" t="s">
        <v>582</v>
      </c>
      <c r="C494" s="1382" t="s">
        <v>1495</v>
      </c>
      <c r="D494" s="1346">
        <v>0.3</v>
      </c>
      <c r="E494" s="1346" t="s">
        <v>2579</v>
      </c>
      <c r="F494" s="1349"/>
      <c r="G494" s="1389" t="s">
        <v>2580</v>
      </c>
      <c r="H494" s="1384">
        <v>0.35</v>
      </c>
    </row>
    <row r="495">
      <c r="A495" s="1351" t="s">
        <v>2383</v>
      </c>
      <c r="B495" s="1385" t="s">
        <v>2581</v>
      </c>
      <c r="C495" s="1386" t="s">
        <v>1495</v>
      </c>
      <c r="D495" s="1353">
        <v>0.2</v>
      </c>
      <c r="E495" s="1353" t="s">
        <v>2582</v>
      </c>
      <c r="F495" s="1356"/>
      <c r="G495" s="1390" t="s">
        <v>2583</v>
      </c>
      <c r="H495" s="1388">
        <v>0.25</v>
      </c>
    </row>
    <row r="496">
      <c r="A496" s="1344" t="s">
        <v>2383</v>
      </c>
      <c r="B496" s="1381" t="s">
        <v>2750</v>
      </c>
      <c r="C496" s="1382" t="s">
        <v>1495</v>
      </c>
      <c r="D496" s="1346">
        <v>0.1</v>
      </c>
      <c r="E496" s="1346" t="s">
        <v>3736</v>
      </c>
      <c r="F496" s="1349"/>
      <c r="G496" s="1389" t="s">
        <v>2751</v>
      </c>
      <c r="H496" s="1384">
        <v>0.15</v>
      </c>
    </row>
    <row r="497">
      <c r="A497" s="1351" t="s">
        <v>2383</v>
      </c>
      <c r="B497" s="1385" t="s">
        <v>496</v>
      </c>
      <c r="C497" s="1386" t="s">
        <v>1495</v>
      </c>
      <c r="D497" s="1353">
        <v>0.65</v>
      </c>
      <c r="E497" s="1353" t="s">
        <v>2384</v>
      </c>
      <c r="F497" s="1356"/>
      <c r="G497" s="1387"/>
      <c r="H497" s="1388">
        <v>0.75</v>
      </c>
    </row>
    <row r="498">
      <c r="A498" s="1344" t="s">
        <v>2383</v>
      </c>
      <c r="B498" s="1381" t="s">
        <v>2882</v>
      </c>
      <c r="C498" s="1382" t="s">
        <v>1495</v>
      </c>
      <c r="D498" s="1346">
        <v>0.5</v>
      </c>
      <c r="E498" s="1346" t="s">
        <v>2883</v>
      </c>
      <c r="F498" s="1349"/>
      <c r="G498" s="1383"/>
      <c r="H498" s="1384">
        <v>0.6</v>
      </c>
    </row>
    <row r="499">
      <c r="A499" s="1351" t="s">
        <v>2383</v>
      </c>
      <c r="B499" s="1385" t="s">
        <v>2385</v>
      </c>
      <c r="C499" s="1386" t="s">
        <v>1495</v>
      </c>
      <c r="D499" s="1353">
        <v>0.3</v>
      </c>
      <c r="E499" s="1353" t="s">
        <v>2386</v>
      </c>
      <c r="F499" s="1356"/>
      <c r="G499" s="1387"/>
      <c r="H499" s="1391">
        <v>0.35</v>
      </c>
    </row>
    <row r="500">
      <c r="A500" s="1344" t="s">
        <v>2383</v>
      </c>
      <c r="B500" s="1381" t="s">
        <v>2607</v>
      </c>
      <c r="C500" s="1382" t="s">
        <v>1495</v>
      </c>
      <c r="D500" s="1346">
        <v>0.15</v>
      </c>
      <c r="E500" s="1346" t="s">
        <v>2608</v>
      </c>
      <c r="F500" s="1349"/>
      <c r="G500" s="1383"/>
      <c r="H500" s="1384">
        <v>0.2</v>
      </c>
    </row>
    <row r="501">
      <c r="A501" s="1351" t="s">
        <v>2383</v>
      </c>
      <c r="B501" s="1385" t="s">
        <v>260</v>
      </c>
      <c r="C501" s="1386" t="s">
        <v>1495</v>
      </c>
      <c r="D501" s="1353">
        <v>2.37</v>
      </c>
      <c r="E501" s="1353" t="s">
        <v>3737</v>
      </c>
      <c r="F501" s="1356">
        <v>1.0</v>
      </c>
      <c r="G501" s="1390" t="s">
        <v>2513</v>
      </c>
      <c r="H501" s="1388">
        <v>2.75</v>
      </c>
    </row>
    <row r="502">
      <c r="A502" s="1344" t="s">
        <v>2383</v>
      </c>
      <c r="B502" s="1381" t="s">
        <v>262</v>
      </c>
      <c r="C502" s="1382" t="s">
        <v>1495</v>
      </c>
      <c r="D502" s="1346">
        <v>2.37</v>
      </c>
      <c r="E502" s="1346" t="s">
        <v>3738</v>
      </c>
      <c r="F502" s="1349">
        <v>1.0</v>
      </c>
      <c r="G502" s="1389" t="s">
        <v>2515</v>
      </c>
      <c r="H502" s="1392">
        <v>2.75</v>
      </c>
    </row>
    <row r="503">
      <c r="A503" s="1351" t="s">
        <v>2383</v>
      </c>
      <c r="B503" s="1385" t="s">
        <v>2715</v>
      </c>
      <c r="C503" s="1386" t="s">
        <v>1495</v>
      </c>
      <c r="D503" s="1353">
        <v>0.4</v>
      </c>
      <c r="E503" s="1353" t="s">
        <v>2716</v>
      </c>
      <c r="F503" s="1356"/>
      <c r="G503" s="1387"/>
      <c r="H503" s="1388">
        <v>0.5</v>
      </c>
    </row>
    <row r="504">
      <c r="A504" s="1344" t="s">
        <v>2383</v>
      </c>
      <c r="B504" s="1381" t="s">
        <v>2713</v>
      </c>
      <c r="C504" s="1382" t="s">
        <v>1495</v>
      </c>
      <c r="D504" s="1346">
        <v>0.15</v>
      </c>
      <c r="E504" s="1346" t="s">
        <v>2714</v>
      </c>
      <c r="F504" s="1349"/>
      <c r="G504" s="1383"/>
      <c r="H504" s="1384">
        <v>0.2</v>
      </c>
    </row>
    <row r="505">
      <c r="A505" s="1351" t="s">
        <v>2383</v>
      </c>
      <c r="B505" s="1385" t="s">
        <v>549</v>
      </c>
      <c r="C505" s="1386" t="s">
        <v>1495</v>
      </c>
      <c r="D505" s="1353">
        <v>2.75</v>
      </c>
      <c r="E505" s="1353" t="s">
        <v>3739</v>
      </c>
      <c r="F505" s="1356">
        <v>1.0</v>
      </c>
      <c r="G505" s="1390" t="s">
        <v>2514</v>
      </c>
      <c r="H505" s="1388">
        <v>3.2</v>
      </c>
    </row>
    <row r="506">
      <c r="A506" s="1344" t="s">
        <v>2383</v>
      </c>
      <c r="B506" s="1381" t="s">
        <v>551</v>
      </c>
      <c r="C506" s="1382" t="s">
        <v>1495</v>
      </c>
      <c r="D506" s="1346">
        <v>2.45</v>
      </c>
      <c r="E506" s="1346" t="s">
        <v>3740</v>
      </c>
      <c r="F506" s="1349">
        <v>1.0</v>
      </c>
      <c r="G506" s="1389" t="s">
        <v>2516</v>
      </c>
      <c r="H506" s="1384">
        <v>2.85</v>
      </c>
    </row>
    <row r="507">
      <c r="A507" s="1351" t="s">
        <v>2383</v>
      </c>
      <c r="B507" s="1385" t="s">
        <v>2864</v>
      </c>
      <c r="C507" s="1386" t="s">
        <v>1495</v>
      </c>
      <c r="D507" s="1353">
        <v>4.05</v>
      </c>
      <c r="E507" s="1353" t="s">
        <v>3741</v>
      </c>
      <c r="F507" s="1356"/>
      <c r="G507" s="1390" t="s">
        <v>2865</v>
      </c>
      <c r="H507" s="1388">
        <v>4.7</v>
      </c>
    </row>
    <row r="508">
      <c r="A508" s="1344" t="s">
        <v>2383</v>
      </c>
      <c r="B508" s="1381" t="s">
        <v>2859</v>
      </c>
      <c r="C508" s="1382" t="s">
        <v>1495</v>
      </c>
      <c r="D508" s="1346">
        <v>2.96</v>
      </c>
      <c r="E508" s="1346" t="s">
        <v>2860</v>
      </c>
      <c r="F508" s="1349"/>
      <c r="G508" s="1389" t="s">
        <v>2861</v>
      </c>
      <c r="H508" s="1384">
        <v>3.45</v>
      </c>
    </row>
    <row r="509">
      <c r="A509" s="1351" t="s">
        <v>2383</v>
      </c>
      <c r="B509" s="1385" t="s">
        <v>2862</v>
      </c>
      <c r="C509" s="1386" t="s">
        <v>1495</v>
      </c>
      <c r="D509" s="1353">
        <v>5.0</v>
      </c>
      <c r="E509" s="1353" t="s">
        <v>2863</v>
      </c>
      <c r="F509" s="1356"/>
      <c r="G509" s="1387"/>
      <c r="H509" s="1388">
        <v>5.75</v>
      </c>
    </row>
    <row r="510">
      <c r="A510" s="1344" t="s">
        <v>2383</v>
      </c>
      <c r="B510" s="1381" t="s">
        <v>2521</v>
      </c>
      <c r="C510" s="1382" t="s">
        <v>1495</v>
      </c>
      <c r="D510" s="1346">
        <v>12.0</v>
      </c>
      <c r="E510" s="1346" t="s">
        <v>3742</v>
      </c>
      <c r="F510" s="1349">
        <v>2.0</v>
      </c>
      <c r="G510" s="1389" t="s">
        <v>2522</v>
      </c>
      <c r="H510" s="1384">
        <v>13.8</v>
      </c>
    </row>
    <row r="511">
      <c r="A511" s="1351" t="s">
        <v>2383</v>
      </c>
      <c r="B511" s="1385" t="s">
        <v>2518</v>
      </c>
      <c r="C511" s="1386" t="s">
        <v>1495</v>
      </c>
      <c r="D511" s="1353">
        <v>8.45</v>
      </c>
      <c r="E511" s="1353" t="s">
        <v>3743</v>
      </c>
      <c r="F511" s="1356">
        <v>1.0</v>
      </c>
      <c r="G511" s="1390" t="s">
        <v>2519</v>
      </c>
      <c r="H511" s="1391">
        <v>9.75</v>
      </c>
    </row>
    <row r="512">
      <c r="A512" s="1344" t="s">
        <v>2383</v>
      </c>
      <c r="B512" s="1381" t="s">
        <v>554</v>
      </c>
      <c r="C512" s="1382" t="s">
        <v>1495</v>
      </c>
      <c r="D512" s="1346">
        <v>8.45</v>
      </c>
      <c r="E512" s="1346" t="s">
        <v>3744</v>
      </c>
      <c r="F512" s="1349">
        <v>1.0</v>
      </c>
      <c r="G512" s="1389" t="s">
        <v>2520</v>
      </c>
      <c r="H512" s="1384">
        <v>9.75</v>
      </c>
    </row>
    <row r="513">
      <c r="A513" s="1351" t="s">
        <v>2383</v>
      </c>
      <c r="B513" s="1385" t="s">
        <v>2673</v>
      </c>
      <c r="C513" s="1386" t="s">
        <v>1495</v>
      </c>
      <c r="D513" s="1353">
        <v>4.9</v>
      </c>
      <c r="E513" s="1353" t="s">
        <v>3745</v>
      </c>
      <c r="F513" s="1356"/>
      <c r="G513" s="1390" t="s">
        <v>2674</v>
      </c>
      <c r="H513" s="1388">
        <v>5.65</v>
      </c>
    </row>
    <row r="514">
      <c r="A514" s="1344" t="s">
        <v>2383</v>
      </c>
      <c r="B514" s="1381" t="s">
        <v>1318</v>
      </c>
      <c r="C514" s="1382" t="s">
        <v>1495</v>
      </c>
      <c r="D514" s="1346">
        <v>0.65</v>
      </c>
      <c r="E514" s="1346" t="s">
        <v>3349</v>
      </c>
      <c r="F514" s="1349"/>
      <c r="G514" s="1389" t="s">
        <v>3350</v>
      </c>
      <c r="H514" s="1384">
        <v>0.75</v>
      </c>
    </row>
    <row r="515">
      <c r="A515" s="1351" t="s">
        <v>2383</v>
      </c>
      <c r="B515" s="1385" t="s">
        <v>552</v>
      </c>
      <c r="C515" s="1386" t="s">
        <v>1495</v>
      </c>
      <c r="D515" s="1353"/>
      <c r="E515" s="1353" t="s">
        <v>3746</v>
      </c>
      <c r="F515" s="1356">
        <v>1.0</v>
      </c>
      <c r="G515" s="1390" t="s">
        <v>2517</v>
      </c>
      <c r="H515" s="1391"/>
    </row>
    <row r="516">
      <c r="A516" s="1344" t="s">
        <v>2383</v>
      </c>
      <c r="B516" s="1381" t="s">
        <v>2675</v>
      </c>
      <c r="C516" s="1382" t="s">
        <v>1495</v>
      </c>
      <c r="D516" s="1346">
        <v>5.79</v>
      </c>
      <c r="E516" s="1346" t="s">
        <v>3747</v>
      </c>
      <c r="F516" s="1349"/>
      <c r="G516" s="1389" t="s">
        <v>2676</v>
      </c>
      <c r="H516" s="1384">
        <v>6.7</v>
      </c>
    </row>
    <row r="517">
      <c r="A517" s="1351" t="s">
        <v>2383</v>
      </c>
      <c r="B517" s="1385" t="s">
        <v>3351</v>
      </c>
      <c r="C517" s="1386" t="s">
        <v>1495</v>
      </c>
      <c r="D517" s="1353">
        <v>1.01</v>
      </c>
      <c r="E517" s="1353" t="s">
        <v>3352</v>
      </c>
      <c r="F517" s="1356"/>
      <c r="G517" s="1390" t="s">
        <v>3353</v>
      </c>
      <c r="H517" s="1388">
        <v>1.2</v>
      </c>
    </row>
    <row r="518">
      <c r="A518" s="1344" t="s">
        <v>2383</v>
      </c>
      <c r="B518" s="1381" t="s">
        <v>3347</v>
      </c>
      <c r="C518" s="1382" t="s">
        <v>1495</v>
      </c>
      <c r="D518" s="1346">
        <v>6.13</v>
      </c>
      <c r="E518" s="1346" t="s">
        <v>3748</v>
      </c>
      <c r="F518" s="1349"/>
      <c r="G518" s="1389" t="s">
        <v>3348</v>
      </c>
      <c r="H518" s="1384">
        <v>7.05</v>
      </c>
    </row>
    <row r="519">
      <c r="A519" s="1351" t="s">
        <v>2383</v>
      </c>
      <c r="B519" s="1385" t="s">
        <v>1230</v>
      </c>
      <c r="C519" s="1386" t="s">
        <v>1495</v>
      </c>
      <c r="D519" s="1353">
        <v>1.65</v>
      </c>
      <c r="E519" s="1353" t="s">
        <v>3749</v>
      </c>
      <c r="F519" s="1356"/>
      <c r="G519" s="1390" t="s">
        <v>3294</v>
      </c>
      <c r="H519" s="1391">
        <v>1.9</v>
      </c>
    </row>
    <row r="520">
      <c r="A520" s="1344" t="s">
        <v>2383</v>
      </c>
      <c r="B520" s="1381" t="s">
        <v>2671</v>
      </c>
      <c r="C520" s="1382" t="s">
        <v>1495</v>
      </c>
      <c r="D520" s="1346">
        <v>8.85</v>
      </c>
      <c r="E520" s="1346" t="s">
        <v>3750</v>
      </c>
      <c r="F520" s="1349"/>
      <c r="G520" s="1389" t="s">
        <v>2672</v>
      </c>
      <c r="H520" s="1384">
        <v>10.2</v>
      </c>
    </row>
    <row r="521">
      <c r="A521" s="1351" t="s">
        <v>3056</v>
      </c>
      <c r="B521" s="1385" t="s">
        <v>1185</v>
      </c>
      <c r="C521" s="1386" t="s">
        <v>1495</v>
      </c>
      <c r="D521" s="1353">
        <v>12.6</v>
      </c>
      <c r="E521" s="1353" t="s">
        <v>3252</v>
      </c>
      <c r="F521" s="1356"/>
      <c r="G521" s="1387"/>
      <c r="H521" s="1391">
        <v>14.5</v>
      </c>
    </row>
    <row r="522">
      <c r="A522" s="1344" t="s">
        <v>3056</v>
      </c>
      <c r="B522" s="1381" t="s">
        <v>1186</v>
      </c>
      <c r="C522" s="1382" t="s">
        <v>1495</v>
      </c>
      <c r="D522" s="1346">
        <v>15.08</v>
      </c>
      <c r="E522" s="1346" t="s">
        <v>3253</v>
      </c>
      <c r="F522" s="1349"/>
      <c r="G522" s="1383"/>
      <c r="H522" s="1384">
        <v>17.35</v>
      </c>
    </row>
    <row r="523">
      <c r="A523" s="1351" t="s">
        <v>3056</v>
      </c>
      <c r="B523" s="1385" t="s">
        <v>1447</v>
      </c>
      <c r="C523" s="1386" t="s">
        <v>1495</v>
      </c>
      <c r="D523" s="1353">
        <v>2.18</v>
      </c>
      <c r="E523" s="1353" t="s">
        <v>3450</v>
      </c>
      <c r="F523" s="1356"/>
      <c r="G523" s="1387"/>
      <c r="H523" s="1388">
        <v>2.55</v>
      </c>
    </row>
    <row r="524">
      <c r="A524" s="1344" t="s">
        <v>3056</v>
      </c>
      <c r="B524" s="1381" t="s">
        <v>1448</v>
      </c>
      <c r="C524" s="1382" t="s">
        <v>1495</v>
      </c>
      <c r="D524" s="1346">
        <v>2.73</v>
      </c>
      <c r="E524" s="1346" t="s">
        <v>3451</v>
      </c>
      <c r="F524" s="1349"/>
      <c r="G524" s="1383"/>
      <c r="H524" s="1384">
        <v>3.15</v>
      </c>
    </row>
    <row r="525">
      <c r="A525" s="1351" t="s">
        <v>3056</v>
      </c>
      <c r="B525" s="1385" t="s">
        <v>1204</v>
      </c>
      <c r="C525" s="1386" t="s">
        <v>1495</v>
      </c>
      <c r="D525" s="1353">
        <v>4.84</v>
      </c>
      <c r="E525" s="1354"/>
      <c r="F525" s="1356"/>
      <c r="G525" s="1387"/>
      <c r="H525" s="1388">
        <v>5.6</v>
      </c>
    </row>
    <row r="526">
      <c r="A526" s="1344" t="s">
        <v>3056</v>
      </c>
      <c r="B526" s="1381" t="s">
        <v>1387</v>
      </c>
      <c r="C526" s="1382" t="s">
        <v>3162</v>
      </c>
      <c r="D526" s="1346">
        <v>0.58</v>
      </c>
      <c r="E526" s="1346" t="s">
        <v>3416</v>
      </c>
      <c r="F526" s="1349"/>
      <c r="G526" s="1383"/>
      <c r="H526" s="1384">
        <v>0.7</v>
      </c>
    </row>
    <row r="527">
      <c r="A527" s="1351" t="s">
        <v>3056</v>
      </c>
      <c r="B527" s="1385" t="s">
        <v>1192</v>
      </c>
      <c r="C527" s="1386" t="s">
        <v>1495</v>
      </c>
      <c r="D527" s="1353"/>
      <c r="E527" s="1353" t="s">
        <v>3259</v>
      </c>
      <c r="F527" s="1356"/>
      <c r="G527" s="1387"/>
      <c r="H527" s="1388"/>
    </row>
    <row r="528">
      <c r="A528" s="1344" t="s">
        <v>3056</v>
      </c>
      <c r="B528" s="1381" t="s">
        <v>1191</v>
      </c>
      <c r="C528" s="1382" t="s">
        <v>3162</v>
      </c>
      <c r="D528" s="1346">
        <v>145.0</v>
      </c>
      <c r="E528" s="1346" t="s">
        <v>3258</v>
      </c>
      <c r="F528" s="1349"/>
      <c r="G528" s="1383"/>
      <c r="H528" s="1384">
        <v>166.75</v>
      </c>
    </row>
    <row r="529">
      <c r="A529" s="1351" t="s">
        <v>3056</v>
      </c>
      <c r="B529" s="1385" t="s">
        <v>1190</v>
      </c>
      <c r="C529" s="1386" t="s">
        <v>3162</v>
      </c>
      <c r="D529" s="1353">
        <v>53.0</v>
      </c>
      <c r="E529" s="1353" t="s">
        <v>3257</v>
      </c>
      <c r="F529" s="1356"/>
      <c r="G529" s="1387"/>
      <c r="H529" s="1388">
        <v>60.95</v>
      </c>
    </row>
    <row r="530">
      <c r="A530" s="1344" t="s">
        <v>3056</v>
      </c>
      <c r="B530" s="1381" t="s">
        <v>910</v>
      </c>
      <c r="C530" s="1382" t="s">
        <v>1495</v>
      </c>
      <c r="D530" s="1346">
        <v>0.74</v>
      </c>
      <c r="E530" s="1346" t="s">
        <v>3057</v>
      </c>
      <c r="F530" s="1349"/>
      <c r="G530" s="1383"/>
      <c r="H530" s="1384">
        <v>0.9</v>
      </c>
    </row>
    <row r="531">
      <c r="A531" s="1351" t="s">
        <v>3056</v>
      </c>
      <c r="B531" s="1385" t="s">
        <v>915</v>
      </c>
      <c r="C531" s="1386" t="s">
        <v>1495</v>
      </c>
      <c r="D531" s="1353">
        <v>15.23</v>
      </c>
      <c r="E531" s="1353" t="s">
        <v>3064</v>
      </c>
      <c r="F531" s="1356"/>
      <c r="G531" s="1387"/>
      <c r="H531" s="1388">
        <v>18.3</v>
      </c>
    </row>
    <row r="532">
      <c r="A532" s="1344" t="s">
        <v>3056</v>
      </c>
      <c r="B532" s="1381" t="s">
        <v>1337</v>
      </c>
      <c r="C532" s="1382" t="s">
        <v>1495</v>
      </c>
      <c r="D532" s="1346">
        <v>1.34</v>
      </c>
      <c r="E532" s="1346" t="s">
        <v>3377</v>
      </c>
      <c r="F532" s="1349"/>
      <c r="G532" s="1383"/>
      <c r="H532" s="1384">
        <v>1.55</v>
      </c>
    </row>
    <row r="533">
      <c r="A533" s="1351" t="s">
        <v>3056</v>
      </c>
      <c r="B533" s="1385" t="s">
        <v>1226</v>
      </c>
      <c r="C533" s="1386" t="s">
        <v>1495</v>
      </c>
      <c r="D533" s="1353">
        <v>0.16</v>
      </c>
      <c r="E533" s="1353" t="s">
        <v>3751</v>
      </c>
      <c r="F533" s="1356"/>
      <c r="G533" s="1387"/>
      <c r="H533" s="1388">
        <v>0.2</v>
      </c>
    </row>
    <row r="534">
      <c r="A534" s="1344" t="s">
        <v>3056</v>
      </c>
      <c r="B534" s="1381" t="s">
        <v>1205</v>
      </c>
      <c r="C534" s="1382" t="s">
        <v>1495</v>
      </c>
      <c r="D534" s="1346">
        <v>6.17</v>
      </c>
      <c r="E534" s="1346" t="s">
        <v>3752</v>
      </c>
      <c r="F534" s="1349"/>
      <c r="G534" s="1383"/>
      <c r="H534" s="1384">
        <v>7.1</v>
      </c>
    </row>
    <row r="535">
      <c r="A535" s="1351" t="s">
        <v>3056</v>
      </c>
      <c r="B535" s="1385" t="s">
        <v>1446</v>
      </c>
      <c r="C535" s="1386" t="s">
        <v>1495</v>
      </c>
      <c r="D535" s="1353">
        <v>3.54</v>
      </c>
      <c r="E535" s="1354"/>
      <c r="F535" s="1356"/>
      <c r="G535" s="1387"/>
      <c r="H535" s="1388">
        <v>4.1</v>
      </c>
    </row>
    <row r="536">
      <c r="A536" s="1344" t="s">
        <v>3056</v>
      </c>
      <c r="B536" s="1381" t="s">
        <v>918</v>
      </c>
      <c r="C536" s="1382" t="s">
        <v>1495</v>
      </c>
      <c r="D536" s="1346">
        <v>3.32</v>
      </c>
      <c r="E536" s="1346" t="s">
        <v>3068</v>
      </c>
      <c r="F536" s="1349"/>
      <c r="G536" s="1383"/>
      <c r="H536" s="1384">
        <v>3.85</v>
      </c>
    </row>
    <row r="537">
      <c r="A537" s="1351" t="s">
        <v>3056</v>
      </c>
      <c r="B537" s="1385" t="s">
        <v>917</v>
      </c>
      <c r="C537" s="1386" t="s">
        <v>1495</v>
      </c>
      <c r="D537" s="1353">
        <v>3.3</v>
      </c>
      <c r="E537" s="1353" t="s">
        <v>3067</v>
      </c>
      <c r="F537" s="1356"/>
      <c r="G537" s="1387"/>
      <c r="H537" s="1388">
        <v>3.8</v>
      </c>
    </row>
    <row r="538">
      <c r="A538" s="1344" t="s">
        <v>3056</v>
      </c>
      <c r="B538" s="1381" t="s">
        <v>962</v>
      </c>
      <c r="C538" s="1382" t="s">
        <v>1495</v>
      </c>
      <c r="D538" s="1346">
        <v>0.66</v>
      </c>
      <c r="E538" s="1346" t="s">
        <v>3105</v>
      </c>
      <c r="F538" s="1349"/>
      <c r="G538" s="1383"/>
      <c r="H538" s="1392">
        <v>0.8</v>
      </c>
    </row>
    <row r="539">
      <c r="A539" s="1351" t="s">
        <v>3056</v>
      </c>
      <c r="B539" s="1385" t="s">
        <v>1392</v>
      </c>
      <c r="C539" s="1386" t="s">
        <v>1495</v>
      </c>
      <c r="D539" s="1353">
        <v>18.17</v>
      </c>
      <c r="E539" s="1354"/>
      <c r="F539" s="1356"/>
      <c r="G539" s="1387"/>
      <c r="H539" s="1388">
        <v>20.9</v>
      </c>
    </row>
    <row r="540">
      <c r="A540" s="1344" t="s">
        <v>3056</v>
      </c>
      <c r="B540" s="1381" t="s">
        <v>1411</v>
      </c>
      <c r="C540" s="1382" t="s">
        <v>1495</v>
      </c>
      <c r="D540" s="1346">
        <v>9.74</v>
      </c>
      <c r="E540" s="1347"/>
      <c r="F540" s="1349"/>
      <c r="G540" s="1383"/>
      <c r="H540" s="1384">
        <v>11.25</v>
      </c>
    </row>
    <row r="541">
      <c r="A541" s="1351" t="s">
        <v>3056</v>
      </c>
      <c r="B541" s="1385" t="s">
        <v>1315</v>
      </c>
      <c r="C541" s="1386" t="s">
        <v>1495</v>
      </c>
      <c r="D541" s="1353">
        <v>69.89</v>
      </c>
      <c r="E541" s="1354"/>
      <c r="F541" s="1356"/>
      <c r="G541" s="1387"/>
      <c r="H541" s="1388">
        <v>80.4</v>
      </c>
    </row>
    <row r="542">
      <c r="A542" s="1344" t="s">
        <v>3056</v>
      </c>
      <c r="B542" s="1381" t="s">
        <v>1224</v>
      </c>
      <c r="C542" s="1382" t="s">
        <v>1495</v>
      </c>
      <c r="D542" s="1346">
        <v>12.11</v>
      </c>
      <c r="E542" s="1347"/>
      <c r="F542" s="1349"/>
      <c r="G542" s="1383"/>
      <c r="H542" s="1384">
        <v>13.95</v>
      </c>
    </row>
    <row r="543">
      <c r="A543" s="1351" t="s">
        <v>3056</v>
      </c>
      <c r="B543" s="1385" t="s">
        <v>1187</v>
      </c>
      <c r="C543" s="1386" t="s">
        <v>1495</v>
      </c>
      <c r="D543" s="1353">
        <v>20.06</v>
      </c>
      <c r="E543" s="1353" t="s">
        <v>3254</v>
      </c>
      <c r="F543" s="1356"/>
      <c r="G543" s="1387"/>
      <c r="H543" s="1388">
        <v>23.1</v>
      </c>
    </row>
    <row r="544">
      <c r="A544" s="1344" t="s">
        <v>3056</v>
      </c>
      <c r="B544" s="1381" t="s">
        <v>1385</v>
      </c>
      <c r="C544" s="1382" t="s">
        <v>1495</v>
      </c>
      <c r="D544" s="1346">
        <v>0.76</v>
      </c>
      <c r="E544" s="1346" t="s">
        <v>3415</v>
      </c>
      <c r="F544" s="1349"/>
      <c r="G544" s="1383"/>
      <c r="H544" s="1384">
        <v>0.9</v>
      </c>
    </row>
    <row r="545">
      <c r="A545" s="1351" t="s">
        <v>3056</v>
      </c>
      <c r="B545" s="1385" t="s">
        <v>1384</v>
      </c>
      <c r="C545" s="1386" t="s">
        <v>1495</v>
      </c>
      <c r="D545" s="1353">
        <v>0.78</v>
      </c>
      <c r="E545" s="1353" t="s">
        <v>3414</v>
      </c>
      <c r="F545" s="1356"/>
      <c r="G545" s="1387"/>
      <c r="H545" s="1388">
        <v>0.9</v>
      </c>
    </row>
    <row r="546">
      <c r="A546" s="1344" t="s">
        <v>3056</v>
      </c>
      <c r="B546" s="1381" t="s">
        <v>1398</v>
      </c>
      <c r="C546" s="1382" t="s">
        <v>1495</v>
      </c>
      <c r="D546" s="1346">
        <v>1.01</v>
      </c>
      <c r="E546" s="1346" t="s">
        <v>3428</v>
      </c>
      <c r="F546" s="1349"/>
      <c r="G546" s="1383"/>
      <c r="H546" s="1384">
        <v>1.2</v>
      </c>
    </row>
    <row r="547">
      <c r="A547" s="1351" t="s">
        <v>3056</v>
      </c>
      <c r="B547" s="1385" t="s">
        <v>1378</v>
      </c>
      <c r="C547" s="1386" t="s">
        <v>1495</v>
      </c>
      <c r="D547" s="1353">
        <v>0.11</v>
      </c>
      <c r="E547" s="1353" t="s">
        <v>3753</v>
      </c>
      <c r="F547" s="1356"/>
      <c r="G547" s="1387"/>
      <c r="H547" s="1388">
        <v>0.15</v>
      </c>
    </row>
    <row r="548">
      <c r="A548" s="1344" t="s">
        <v>3056</v>
      </c>
      <c r="B548" s="1381" t="s">
        <v>1195</v>
      </c>
      <c r="C548" s="1382" t="s">
        <v>1495</v>
      </c>
      <c r="D548" s="1346"/>
      <c r="E548" s="1346" t="s">
        <v>3265</v>
      </c>
      <c r="F548" s="1349"/>
      <c r="G548" s="1383"/>
      <c r="H548" s="1392"/>
    </row>
    <row r="549">
      <c r="A549" s="1351" t="s">
        <v>3056</v>
      </c>
      <c r="B549" s="1385" t="s">
        <v>1160</v>
      </c>
      <c r="C549" s="1386" t="s">
        <v>1495</v>
      </c>
      <c r="D549" s="1353"/>
      <c r="E549" s="1353" t="s">
        <v>3234</v>
      </c>
      <c r="F549" s="1356"/>
      <c r="G549" s="1387"/>
      <c r="H549" s="1388"/>
    </row>
    <row r="550">
      <c r="A550" s="1344" t="s">
        <v>328</v>
      </c>
      <c r="B550" s="1381" t="s">
        <v>1451</v>
      </c>
      <c r="C550" s="1382" t="s">
        <v>1495</v>
      </c>
      <c r="D550" s="1346"/>
      <c r="E550" s="1346" t="s">
        <v>3456</v>
      </c>
      <c r="F550" s="1349"/>
      <c r="G550" s="1389" t="s">
        <v>3457</v>
      </c>
      <c r="H550" s="1392"/>
    </row>
    <row r="551">
      <c r="A551" s="1351" t="s">
        <v>328</v>
      </c>
      <c r="B551" s="1385" t="s">
        <v>1379</v>
      </c>
      <c r="C551" s="1386" t="s">
        <v>1495</v>
      </c>
      <c r="D551" s="1353"/>
      <c r="E551" s="1353" t="s">
        <v>3412</v>
      </c>
      <c r="F551" s="1356"/>
      <c r="G551" s="1390" t="s">
        <v>3413</v>
      </c>
      <c r="H551" s="1391"/>
    </row>
    <row r="552">
      <c r="A552" s="1344" t="s">
        <v>328</v>
      </c>
      <c r="B552" s="1381" t="s">
        <v>1375</v>
      </c>
      <c r="C552" s="1382" t="s">
        <v>1495</v>
      </c>
      <c r="D552" s="1346"/>
      <c r="E552" s="1346" t="s">
        <v>3408</v>
      </c>
      <c r="F552" s="1349"/>
      <c r="G552" s="1389" t="s">
        <v>3409</v>
      </c>
      <c r="H552" s="1392"/>
    </row>
    <row r="553">
      <c r="A553" s="1351" t="s">
        <v>328</v>
      </c>
      <c r="B553" s="1385" t="s">
        <v>3355</v>
      </c>
      <c r="C553" s="1386" t="s">
        <v>1495</v>
      </c>
      <c r="D553" s="1353"/>
      <c r="E553" s="1353" t="s">
        <v>3356</v>
      </c>
      <c r="F553" s="1356"/>
      <c r="G553" s="1390" t="s">
        <v>3357</v>
      </c>
      <c r="H553" s="1391"/>
    </row>
    <row r="554">
      <c r="A554" s="1344" t="s">
        <v>328</v>
      </c>
      <c r="B554" s="1381" t="s">
        <v>1450</v>
      </c>
      <c r="C554" s="1382" t="s">
        <v>1495</v>
      </c>
      <c r="D554" s="1346">
        <v>380.0</v>
      </c>
      <c r="E554" s="1346" t="s">
        <v>3454</v>
      </c>
      <c r="F554" s="1349"/>
      <c r="G554" s="1389" t="s">
        <v>3455</v>
      </c>
      <c r="H554" s="1392">
        <v>437.0</v>
      </c>
    </row>
    <row r="555">
      <c r="A555" s="1351" t="s">
        <v>328</v>
      </c>
      <c r="B555" s="1385" t="s">
        <v>1449</v>
      </c>
      <c r="C555" s="1386" t="s">
        <v>1495</v>
      </c>
      <c r="D555" s="1353">
        <v>413.15</v>
      </c>
      <c r="E555" s="1353" t="s">
        <v>3452</v>
      </c>
      <c r="F555" s="1356"/>
      <c r="G555" s="1390" t="s">
        <v>3453</v>
      </c>
      <c r="H555" s="1391">
        <v>475.15</v>
      </c>
    </row>
    <row r="556">
      <c r="A556" s="1344" t="s">
        <v>328</v>
      </c>
      <c r="B556" s="1381" t="s">
        <v>210</v>
      </c>
      <c r="C556" s="1382" t="s">
        <v>1495</v>
      </c>
      <c r="D556" s="1346">
        <v>4.1</v>
      </c>
      <c r="E556" s="1347"/>
      <c r="F556" s="1349"/>
      <c r="G556" s="1389" t="s">
        <v>3354</v>
      </c>
      <c r="H556" s="1392">
        <v>4.75</v>
      </c>
    </row>
    <row r="557">
      <c r="A557" s="1351" t="s">
        <v>328</v>
      </c>
      <c r="B557" s="1385" t="s">
        <v>1415</v>
      </c>
      <c r="C557" s="1386" t="s">
        <v>1495</v>
      </c>
      <c r="D557" s="1353"/>
      <c r="E557" s="1353" t="s">
        <v>3445</v>
      </c>
      <c r="F557" s="1356"/>
      <c r="G557" s="1390" t="s">
        <v>3446</v>
      </c>
      <c r="H557" s="1388"/>
    </row>
    <row r="558">
      <c r="A558" s="1344" t="s">
        <v>328</v>
      </c>
      <c r="B558" s="1381" t="s">
        <v>1322</v>
      </c>
      <c r="C558" s="1382" t="s">
        <v>1495</v>
      </c>
      <c r="D558" s="1346"/>
      <c r="E558" s="1346" t="s">
        <v>3754</v>
      </c>
      <c r="F558" s="1349"/>
      <c r="G558" s="1389" t="s">
        <v>3358</v>
      </c>
      <c r="H558" s="1384"/>
    </row>
    <row r="559">
      <c r="A559" s="1351" t="s">
        <v>328</v>
      </c>
      <c r="B559" s="1385" t="s">
        <v>3053</v>
      </c>
      <c r="C559" s="1386" t="s">
        <v>1495</v>
      </c>
      <c r="D559" s="1353">
        <v>105.0</v>
      </c>
      <c r="E559" s="1353" t="s">
        <v>3054</v>
      </c>
      <c r="F559" s="1356"/>
      <c r="G559" s="1390" t="s">
        <v>3055</v>
      </c>
      <c r="H559" s="1391">
        <v>120.75</v>
      </c>
    </row>
    <row r="560">
      <c r="A560" s="1344" t="s">
        <v>328</v>
      </c>
      <c r="B560" s="1381" t="s">
        <v>212</v>
      </c>
      <c r="C560" s="1382" t="s">
        <v>1495</v>
      </c>
      <c r="D560" s="1346">
        <v>12.0</v>
      </c>
      <c r="E560" s="1346" t="s">
        <v>3755</v>
      </c>
      <c r="F560" s="1349"/>
      <c r="G560" s="1389" t="s">
        <v>3100</v>
      </c>
      <c r="H560" s="1392">
        <v>13.8</v>
      </c>
    </row>
    <row r="561">
      <c r="A561" s="1351" t="s">
        <v>328</v>
      </c>
      <c r="B561" s="1385" t="s">
        <v>961</v>
      </c>
      <c r="C561" s="1386" t="s">
        <v>1495</v>
      </c>
      <c r="D561" s="1353">
        <v>17.95</v>
      </c>
      <c r="E561" s="1353" t="s">
        <v>3103</v>
      </c>
      <c r="F561" s="1356"/>
      <c r="G561" s="1390" t="s">
        <v>3104</v>
      </c>
      <c r="H561" s="1391">
        <v>20.65</v>
      </c>
    </row>
    <row r="562">
      <c r="A562" s="1344" t="s">
        <v>328</v>
      </c>
      <c r="B562" s="1381" t="s">
        <v>953</v>
      </c>
      <c r="C562" s="1382" t="s">
        <v>1495</v>
      </c>
      <c r="D562" s="1346">
        <v>0.12</v>
      </c>
      <c r="E562" s="1347"/>
      <c r="F562" s="1349"/>
      <c r="G562" s="1383"/>
      <c r="H562" s="1384">
        <v>0.15</v>
      </c>
    </row>
    <row r="563">
      <c r="A563" s="1351" t="s">
        <v>328</v>
      </c>
      <c r="B563" s="1385" t="s">
        <v>208</v>
      </c>
      <c r="C563" s="1386" t="s">
        <v>1495</v>
      </c>
      <c r="D563" s="1353">
        <v>88.0</v>
      </c>
      <c r="E563" s="1353" t="s">
        <v>3051</v>
      </c>
      <c r="F563" s="1356"/>
      <c r="G563" s="1390" t="s">
        <v>3052</v>
      </c>
      <c r="H563" s="1391">
        <v>101.2</v>
      </c>
    </row>
    <row r="564">
      <c r="A564" s="1344" t="s">
        <v>328</v>
      </c>
      <c r="B564" s="1381" t="s">
        <v>3114</v>
      </c>
      <c r="C564" s="1382" t="s">
        <v>1495</v>
      </c>
      <c r="D564" s="1346">
        <v>17.64</v>
      </c>
      <c r="E564" s="1346" t="s">
        <v>3115</v>
      </c>
      <c r="F564" s="1349"/>
      <c r="G564" s="1389" t="s">
        <v>3116</v>
      </c>
      <c r="H564" s="1384">
        <v>20.3</v>
      </c>
    </row>
    <row r="565">
      <c r="A565" s="1351" t="s">
        <v>328</v>
      </c>
      <c r="B565" s="1385" t="s">
        <v>214</v>
      </c>
      <c r="C565" s="1386" t="s">
        <v>1495</v>
      </c>
      <c r="D565" s="1353">
        <v>0.13</v>
      </c>
      <c r="E565" s="1353" t="s">
        <v>3091</v>
      </c>
      <c r="F565" s="1356"/>
      <c r="G565" s="1387"/>
      <c r="H565" s="1388">
        <v>0.15</v>
      </c>
    </row>
    <row r="566">
      <c r="A566" s="1344" t="s">
        <v>310</v>
      </c>
      <c r="B566" s="1381" t="s">
        <v>1340</v>
      </c>
      <c r="C566" s="1382" t="s">
        <v>1495</v>
      </c>
      <c r="D566" s="1346"/>
      <c r="E566" s="1346" t="s">
        <v>3382</v>
      </c>
      <c r="F566" s="1349"/>
      <c r="G566" s="1383"/>
      <c r="H566" s="1384"/>
    </row>
    <row r="567">
      <c r="A567" s="1351" t="s">
        <v>310</v>
      </c>
      <c r="B567" s="1385" t="s">
        <v>3096</v>
      </c>
      <c r="C567" s="1386" t="s">
        <v>1495</v>
      </c>
      <c r="D567" s="1353">
        <v>2.34</v>
      </c>
      <c r="E567" s="1353" t="s">
        <v>3097</v>
      </c>
      <c r="F567" s="1356"/>
      <c r="G567" s="1387"/>
      <c r="H567" s="1391">
        <v>2.85</v>
      </c>
    </row>
    <row r="568">
      <c r="A568" s="1344" t="s">
        <v>310</v>
      </c>
      <c r="B568" s="1381" t="s">
        <v>3098</v>
      </c>
      <c r="C568" s="1382" t="s">
        <v>1495</v>
      </c>
      <c r="D568" s="1346">
        <v>1.57</v>
      </c>
      <c r="E568" s="1346" t="s">
        <v>3099</v>
      </c>
      <c r="F568" s="1349"/>
      <c r="G568" s="1383"/>
      <c r="H568" s="1384">
        <v>1.9</v>
      </c>
    </row>
    <row r="569">
      <c r="A569" s="1351" t="s">
        <v>321</v>
      </c>
      <c r="B569" s="1385" t="s">
        <v>1119</v>
      </c>
      <c r="C569" s="1386" t="s">
        <v>1495</v>
      </c>
      <c r="D569" s="1353"/>
      <c r="E569" s="1353" t="s">
        <v>3165</v>
      </c>
      <c r="F569" s="1356"/>
      <c r="G569" s="1387"/>
      <c r="H569" s="1391"/>
    </row>
    <row r="570">
      <c r="A570" s="1344" t="s">
        <v>321</v>
      </c>
      <c r="B570" s="1381" t="s">
        <v>1182</v>
      </c>
      <c r="C570" s="1382" t="s">
        <v>1495</v>
      </c>
      <c r="D570" s="1346"/>
      <c r="E570" s="1346" t="s">
        <v>3250</v>
      </c>
      <c r="F570" s="1349"/>
      <c r="G570" s="1383"/>
      <c r="H570" s="1384"/>
    </row>
    <row r="571">
      <c r="A571" s="1351" t="s">
        <v>321</v>
      </c>
      <c r="B571" s="1385" t="s">
        <v>1041</v>
      </c>
      <c r="C571" s="1386" t="s">
        <v>1495</v>
      </c>
      <c r="D571" s="1353"/>
      <c r="E571" s="1353" t="s">
        <v>3756</v>
      </c>
      <c r="F571" s="1356"/>
      <c r="G571" s="1387"/>
      <c r="H571" s="1388"/>
    </row>
    <row r="572">
      <c r="A572" s="1344" t="s">
        <v>321</v>
      </c>
      <c r="B572" s="1381" t="s">
        <v>1040</v>
      </c>
      <c r="C572" s="1382" t="s">
        <v>1495</v>
      </c>
      <c r="D572" s="1346"/>
      <c r="E572" s="1346" t="s">
        <v>3757</v>
      </c>
      <c r="F572" s="1349"/>
      <c r="G572" s="1383"/>
      <c r="H572" s="1392"/>
    </row>
    <row r="573">
      <c r="A573" s="1351" t="s">
        <v>321</v>
      </c>
      <c r="B573" s="1385" t="s">
        <v>469</v>
      </c>
      <c r="C573" s="1386" t="s">
        <v>1495</v>
      </c>
      <c r="D573" s="1353"/>
      <c r="E573" s="1354"/>
      <c r="F573" s="1356"/>
      <c r="G573" s="1387"/>
      <c r="H573" s="1391"/>
    </row>
    <row r="574">
      <c r="A574" s="1344" t="s">
        <v>321</v>
      </c>
      <c r="B574" s="1381" t="s">
        <v>466</v>
      </c>
      <c r="C574" s="1382" t="s">
        <v>1495</v>
      </c>
      <c r="D574" s="1346"/>
      <c r="E574" s="1347"/>
      <c r="F574" s="1349"/>
      <c r="G574" s="1383"/>
      <c r="H574" s="1384"/>
    </row>
    <row r="575">
      <c r="A575" s="1351" t="s">
        <v>321</v>
      </c>
      <c r="B575" s="1385" t="s">
        <v>3447</v>
      </c>
      <c r="C575" s="1386" t="s">
        <v>1495</v>
      </c>
      <c r="D575" s="1353"/>
      <c r="E575" s="1354"/>
      <c r="F575" s="1356"/>
      <c r="G575" s="1387"/>
      <c r="H575" s="1388"/>
    </row>
    <row r="576">
      <c r="A576" s="1344" t="s">
        <v>321</v>
      </c>
      <c r="B576" s="1381" t="s">
        <v>2335</v>
      </c>
      <c r="C576" s="1382" t="s">
        <v>1495</v>
      </c>
      <c r="D576" s="1346">
        <v>1095.0</v>
      </c>
      <c r="E576" s="1347"/>
      <c r="F576" s="1349"/>
      <c r="G576" s="1383"/>
      <c r="H576" s="1392">
        <v>1533.0</v>
      </c>
    </row>
    <row r="577">
      <c r="A577" s="1351" t="s">
        <v>321</v>
      </c>
      <c r="B577" s="1385" t="s">
        <v>2329</v>
      </c>
      <c r="C577" s="1386" t="s">
        <v>1495</v>
      </c>
      <c r="D577" s="1353">
        <v>985.41</v>
      </c>
      <c r="E577" s="1353" t="s">
        <v>2330</v>
      </c>
      <c r="F577" s="1356"/>
      <c r="G577" s="1387"/>
      <c r="H577" s="1391">
        <v>1133.25</v>
      </c>
    </row>
    <row r="578">
      <c r="A578" s="1344" t="s">
        <v>321</v>
      </c>
      <c r="B578" s="1381" t="s">
        <v>465</v>
      </c>
      <c r="C578" s="1382" t="s">
        <v>1495</v>
      </c>
      <c r="D578" s="1346">
        <v>772.97</v>
      </c>
      <c r="E578" s="1346" t="s">
        <v>2336</v>
      </c>
      <c r="F578" s="1349"/>
      <c r="G578" s="1383"/>
      <c r="H578" s="1392">
        <v>888.95</v>
      </c>
    </row>
    <row r="579">
      <c r="A579" s="1351" t="s">
        <v>321</v>
      </c>
      <c r="B579" s="1385" t="s">
        <v>1416</v>
      </c>
      <c r="C579" s="1386" t="s">
        <v>1495</v>
      </c>
      <c r="D579" s="1353">
        <v>800.0</v>
      </c>
      <c r="E579" s="1354"/>
      <c r="F579" s="1356"/>
      <c r="G579" s="1387"/>
      <c r="H579" s="1391">
        <v>920.0</v>
      </c>
    </row>
    <row r="580">
      <c r="A580" s="1344" t="s">
        <v>321</v>
      </c>
      <c r="B580" s="1381" t="s">
        <v>1184</v>
      </c>
      <c r="C580" s="1382" t="s">
        <v>1495</v>
      </c>
      <c r="D580" s="1346">
        <v>1210.0</v>
      </c>
      <c r="E580" s="1347"/>
      <c r="F580" s="1349"/>
      <c r="G580" s="1383"/>
      <c r="H580" s="1392">
        <v>1391.5</v>
      </c>
    </row>
    <row r="581">
      <c r="A581" s="1351" t="s">
        <v>321</v>
      </c>
      <c r="B581" s="1385" t="s">
        <v>444</v>
      </c>
      <c r="C581" s="1386" t="s">
        <v>1495</v>
      </c>
      <c r="D581" s="1353">
        <v>95.0</v>
      </c>
      <c r="E581" s="1353" t="s">
        <v>3658</v>
      </c>
      <c r="F581" s="1356"/>
      <c r="G581" s="1387"/>
      <c r="H581" s="1388">
        <v>114.0</v>
      </c>
    </row>
    <row r="582">
      <c r="A582" s="1344" t="s">
        <v>321</v>
      </c>
      <c r="B582" s="1381" t="s">
        <v>3448</v>
      </c>
      <c r="C582" s="1382" t="s">
        <v>1495</v>
      </c>
      <c r="D582" s="1346">
        <v>865.0</v>
      </c>
      <c r="E582" s="1347"/>
      <c r="F582" s="1349"/>
      <c r="G582" s="1383"/>
      <c r="H582" s="1392">
        <v>1211.0</v>
      </c>
    </row>
    <row r="583">
      <c r="A583" s="1351" t="s">
        <v>321</v>
      </c>
      <c r="B583" s="1385" t="s">
        <v>2322</v>
      </c>
      <c r="C583" s="1386" t="s">
        <v>1495</v>
      </c>
      <c r="D583" s="1353">
        <v>60.0</v>
      </c>
      <c r="E583" s="1354"/>
      <c r="F583" s="1356"/>
      <c r="G583" s="1387"/>
      <c r="H583" s="1388">
        <v>84.0</v>
      </c>
    </row>
    <row r="584">
      <c r="A584" s="1344" t="s">
        <v>321</v>
      </c>
      <c r="B584" s="1381" t="s">
        <v>2948</v>
      </c>
      <c r="C584" s="1382" t="s">
        <v>1495</v>
      </c>
      <c r="D584" s="1346">
        <v>16.41</v>
      </c>
      <c r="E584" s="1346" t="s">
        <v>2949</v>
      </c>
      <c r="F584" s="1349"/>
      <c r="G584" s="1383"/>
      <c r="H584" s="1392">
        <v>18.9</v>
      </c>
    </row>
    <row r="585">
      <c r="A585" s="1351" t="s">
        <v>321</v>
      </c>
      <c r="B585" s="1385" t="s">
        <v>1362</v>
      </c>
      <c r="C585" s="1386" t="s">
        <v>1495</v>
      </c>
      <c r="D585" s="1353"/>
      <c r="E585" s="1354"/>
      <c r="F585" s="1356"/>
      <c r="G585" s="1387"/>
      <c r="H585" s="1388"/>
    </row>
    <row r="586">
      <c r="A586" s="1344" t="s">
        <v>320</v>
      </c>
      <c r="B586" s="1381" t="s">
        <v>2331</v>
      </c>
      <c r="C586" s="1382" t="s">
        <v>1495</v>
      </c>
      <c r="D586" s="1346"/>
      <c r="E586" s="1346" t="s">
        <v>2332</v>
      </c>
      <c r="F586" s="1349"/>
      <c r="G586" s="1383"/>
      <c r="H586" s="1384"/>
    </row>
    <row r="587">
      <c r="A587" s="1351" t="s">
        <v>320</v>
      </c>
      <c r="B587" s="1385" t="s">
        <v>1183</v>
      </c>
      <c r="C587" s="1386" t="s">
        <v>1495</v>
      </c>
      <c r="D587" s="1353">
        <v>2263.0</v>
      </c>
      <c r="E587" s="1353" t="s">
        <v>3251</v>
      </c>
      <c r="F587" s="1356"/>
      <c r="G587" s="1387"/>
      <c r="H587" s="1391">
        <v>2602.45</v>
      </c>
    </row>
    <row r="588">
      <c r="A588" s="1344" t="s">
        <v>320</v>
      </c>
      <c r="B588" s="1381" t="s">
        <v>2333</v>
      </c>
      <c r="C588" s="1382" t="s">
        <v>1495</v>
      </c>
      <c r="D588" s="1346">
        <v>950.0</v>
      </c>
      <c r="E588" s="1346" t="s">
        <v>3758</v>
      </c>
      <c r="F588" s="1349"/>
      <c r="G588" s="1383"/>
      <c r="H588" s="1392">
        <v>1330.0</v>
      </c>
    </row>
    <row r="589">
      <c r="A589" s="1351" t="s">
        <v>320</v>
      </c>
      <c r="B589" s="1385" t="s">
        <v>2334</v>
      </c>
      <c r="C589" s="1386" t="s">
        <v>1495</v>
      </c>
      <c r="D589" s="1353">
        <v>883.0</v>
      </c>
      <c r="E589" s="1353" t="s">
        <v>3759</v>
      </c>
      <c r="F589" s="1356"/>
      <c r="G589" s="1387"/>
      <c r="H589" s="1391">
        <v>1236.2</v>
      </c>
    </row>
    <row r="590">
      <c r="A590" s="1344" t="s">
        <v>320</v>
      </c>
      <c r="B590" s="1381" t="s">
        <v>1181</v>
      </c>
      <c r="C590" s="1382" t="s">
        <v>1495</v>
      </c>
      <c r="D590" s="1346"/>
      <c r="E590" s="1347"/>
      <c r="F590" s="1349"/>
      <c r="G590" s="1383"/>
      <c r="H590" s="1384"/>
    </row>
    <row r="591">
      <c r="A591" s="1351" t="s">
        <v>320</v>
      </c>
      <c r="B591" s="1385" t="s">
        <v>454</v>
      </c>
      <c r="C591" s="1386" t="s">
        <v>1495</v>
      </c>
      <c r="D591" s="1353"/>
      <c r="E591" s="1354"/>
      <c r="F591" s="1356"/>
      <c r="G591" s="1387"/>
      <c r="H591" s="1388"/>
    </row>
    <row r="592">
      <c r="A592" s="1344" t="s">
        <v>320</v>
      </c>
      <c r="B592" s="1381" t="s">
        <v>470</v>
      </c>
      <c r="C592" s="1382" t="s">
        <v>1495</v>
      </c>
      <c r="D592" s="1346"/>
      <c r="E592" s="1347"/>
      <c r="F592" s="1349"/>
      <c r="G592" s="1383"/>
      <c r="H592" s="1384"/>
    </row>
    <row r="593">
      <c r="A593" s="1351" t="s">
        <v>320</v>
      </c>
      <c r="B593" s="1385" t="s">
        <v>459</v>
      </c>
      <c r="C593" s="1386" t="s">
        <v>1495</v>
      </c>
      <c r="D593" s="1353"/>
      <c r="E593" s="1353" t="s">
        <v>3760</v>
      </c>
      <c r="F593" s="1356"/>
      <c r="G593" s="1387"/>
      <c r="H593" s="1388"/>
    </row>
    <row r="594">
      <c r="A594" s="1344" t="s">
        <v>320</v>
      </c>
      <c r="B594" s="1381" t="s">
        <v>458</v>
      </c>
      <c r="C594" s="1382" t="s">
        <v>1495</v>
      </c>
      <c r="D594" s="1346"/>
      <c r="E594" s="1346" t="s">
        <v>3760</v>
      </c>
      <c r="F594" s="1349"/>
      <c r="G594" s="1383"/>
      <c r="H594" s="1384"/>
    </row>
    <row r="595">
      <c r="A595" s="1351" t="s">
        <v>320</v>
      </c>
      <c r="B595" s="1385" t="s">
        <v>460</v>
      </c>
      <c r="C595" s="1386" t="s">
        <v>1495</v>
      </c>
      <c r="D595" s="1353"/>
      <c r="E595" s="1354"/>
      <c r="F595" s="1356"/>
      <c r="G595" s="1387"/>
      <c r="H595" s="1388"/>
    </row>
    <row r="596">
      <c r="A596" s="1344" t="s">
        <v>320</v>
      </c>
      <c r="B596" s="1381" t="s">
        <v>2337</v>
      </c>
      <c r="C596" s="1382" t="s">
        <v>1495</v>
      </c>
      <c r="D596" s="1346">
        <v>500.0</v>
      </c>
      <c r="E596" s="1347"/>
      <c r="F596" s="1349"/>
      <c r="G596" s="1389" t="s">
        <v>2338</v>
      </c>
      <c r="H596" s="1384">
        <v>575.0</v>
      </c>
    </row>
    <row r="597">
      <c r="A597" s="1351" t="s">
        <v>320</v>
      </c>
      <c r="B597" s="1385" t="s">
        <v>463</v>
      </c>
      <c r="C597" s="1386" t="s">
        <v>1495</v>
      </c>
      <c r="D597" s="1353">
        <v>1045.0</v>
      </c>
      <c r="E597" s="1353" t="s">
        <v>3761</v>
      </c>
      <c r="F597" s="1356"/>
      <c r="G597" s="1387"/>
      <c r="H597" s="1391">
        <v>1463.0</v>
      </c>
    </row>
    <row r="598">
      <c r="A598" s="1344" t="s">
        <v>320</v>
      </c>
      <c r="B598" s="1381" t="s">
        <v>453</v>
      </c>
      <c r="C598" s="1382" t="s">
        <v>1495</v>
      </c>
      <c r="D598" s="1346">
        <v>1750.0</v>
      </c>
      <c r="E598" s="1347"/>
      <c r="F598" s="1349"/>
      <c r="G598" s="1383"/>
      <c r="H598" s="1392">
        <v>2012.5</v>
      </c>
    </row>
    <row r="599">
      <c r="A599" s="1351" t="s">
        <v>320</v>
      </c>
      <c r="B599" s="1385" t="s">
        <v>456</v>
      </c>
      <c r="C599" s="1386" t="s">
        <v>1495</v>
      </c>
      <c r="D599" s="1353">
        <v>1000.0</v>
      </c>
      <c r="E599" s="1354"/>
      <c r="F599" s="1356"/>
      <c r="G599" s="1387"/>
      <c r="H599" s="1391">
        <v>1150.0</v>
      </c>
    </row>
    <row r="600">
      <c r="A600" s="1344" t="s">
        <v>322</v>
      </c>
      <c r="B600" s="1381" t="s">
        <v>1348</v>
      </c>
      <c r="C600" s="1382" t="s">
        <v>1495</v>
      </c>
      <c r="D600" s="1346"/>
      <c r="E600" s="1347"/>
      <c r="F600" s="1349"/>
      <c r="G600" s="1389" t="s">
        <v>3392</v>
      </c>
      <c r="H600" s="1392"/>
    </row>
    <row r="601">
      <c r="A601" s="1351" t="s">
        <v>322</v>
      </c>
      <c r="B601" s="1385" t="s">
        <v>1345</v>
      </c>
      <c r="C601" s="1386" t="s">
        <v>1495</v>
      </c>
      <c r="D601" s="1353"/>
      <c r="E601" s="1354"/>
      <c r="F601" s="1356"/>
      <c r="G601" s="1390" t="s">
        <v>3388</v>
      </c>
      <c r="H601" s="1391"/>
    </row>
    <row r="602">
      <c r="A602" s="1344" t="s">
        <v>322</v>
      </c>
      <c r="B602" s="1381" t="s">
        <v>1347</v>
      </c>
      <c r="C602" s="1382" t="s">
        <v>1495</v>
      </c>
      <c r="D602" s="1346"/>
      <c r="E602" s="1347"/>
      <c r="F602" s="1349"/>
      <c r="G602" s="1389" t="s">
        <v>3391</v>
      </c>
      <c r="H602" s="1384"/>
    </row>
    <row r="603">
      <c r="A603" s="1351" t="s">
        <v>322</v>
      </c>
      <c r="B603" s="1385" t="s">
        <v>3389</v>
      </c>
      <c r="C603" s="1386" t="s">
        <v>1495</v>
      </c>
      <c r="D603" s="1353"/>
      <c r="E603" s="1354"/>
      <c r="F603" s="1356"/>
      <c r="G603" s="1390" t="s">
        <v>3390</v>
      </c>
      <c r="H603" s="1388"/>
    </row>
    <row r="604">
      <c r="A604" s="1344" t="s">
        <v>322</v>
      </c>
      <c r="B604" s="1381" t="s">
        <v>897</v>
      </c>
      <c r="C604" s="1382" t="s">
        <v>1495</v>
      </c>
      <c r="D604" s="1346"/>
      <c r="E604" s="1347"/>
      <c r="F604" s="1349"/>
      <c r="G604" s="1389" t="s">
        <v>3041</v>
      </c>
      <c r="H604" s="1384"/>
    </row>
    <row r="605">
      <c r="A605" s="1351" t="s">
        <v>322</v>
      </c>
      <c r="B605" s="1385" t="s">
        <v>903</v>
      </c>
      <c r="C605" s="1386" t="s">
        <v>1495</v>
      </c>
      <c r="D605" s="1353"/>
      <c r="E605" s="1354"/>
      <c r="F605" s="1356">
        <v>3.0</v>
      </c>
      <c r="G605" s="1390" t="s">
        <v>3047</v>
      </c>
      <c r="H605" s="1388"/>
    </row>
    <row r="606">
      <c r="A606" s="1344" t="s">
        <v>322</v>
      </c>
      <c r="B606" s="1381" t="s">
        <v>904</v>
      </c>
      <c r="C606" s="1382" t="s">
        <v>1495</v>
      </c>
      <c r="D606" s="1346">
        <v>583.0</v>
      </c>
      <c r="E606" s="1347"/>
      <c r="F606" s="1349"/>
      <c r="G606" s="1383"/>
      <c r="H606" s="1384">
        <v>670.45</v>
      </c>
    </row>
    <row r="607">
      <c r="A607" s="1351" t="s">
        <v>322</v>
      </c>
      <c r="B607" s="1385" t="s">
        <v>899</v>
      </c>
      <c r="C607" s="1386" t="s">
        <v>1495</v>
      </c>
      <c r="D607" s="1353">
        <v>142.91</v>
      </c>
      <c r="E607" s="1353" t="s">
        <v>3762</v>
      </c>
      <c r="F607" s="1356">
        <v>6.0</v>
      </c>
      <c r="G607" s="1390" t="s">
        <v>3044</v>
      </c>
      <c r="H607" s="1391">
        <v>164.35</v>
      </c>
    </row>
    <row r="608">
      <c r="A608" s="1344" t="s">
        <v>322</v>
      </c>
      <c r="B608" s="1381" t="s">
        <v>895</v>
      </c>
      <c r="C608" s="1382" t="s">
        <v>1495</v>
      </c>
      <c r="D608" s="1346"/>
      <c r="E608" s="1347"/>
      <c r="F608" s="1349"/>
      <c r="G608" s="1383"/>
      <c r="H608" s="1384"/>
    </row>
    <row r="609">
      <c r="A609" s="1351" t="s">
        <v>322</v>
      </c>
      <c r="B609" s="1385" t="s">
        <v>902</v>
      </c>
      <c r="C609" s="1386" t="s">
        <v>1495</v>
      </c>
      <c r="D609" s="1353">
        <v>265.0</v>
      </c>
      <c r="E609" s="1354"/>
      <c r="F609" s="1356">
        <v>5.0</v>
      </c>
      <c r="G609" s="1390" t="s">
        <v>3046</v>
      </c>
      <c r="H609" s="1391">
        <v>304.75</v>
      </c>
    </row>
    <row r="610">
      <c r="A610" s="1344" t="s">
        <v>322</v>
      </c>
      <c r="B610" s="1381" t="s">
        <v>901</v>
      </c>
      <c r="C610" s="1382" t="s">
        <v>1495</v>
      </c>
      <c r="D610" s="1346"/>
      <c r="E610" s="1347"/>
      <c r="F610" s="1349"/>
      <c r="G610" s="1383"/>
      <c r="H610" s="1392"/>
    </row>
    <row r="611">
      <c r="A611" s="1351" t="s">
        <v>322</v>
      </c>
      <c r="B611" s="1385" t="s">
        <v>896</v>
      </c>
      <c r="C611" s="1386" t="s">
        <v>1495</v>
      </c>
      <c r="D611" s="1353">
        <v>170.0</v>
      </c>
      <c r="E611" s="1354"/>
      <c r="F611" s="1356"/>
      <c r="G611" s="1387"/>
      <c r="H611" s="1388">
        <v>195.5</v>
      </c>
    </row>
    <row r="612">
      <c r="A612" s="1344" t="s">
        <v>322</v>
      </c>
      <c r="B612" s="1381" t="s">
        <v>3045</v>
      </c>
      <c r="C612" s="1382" t="s">
        <v>1495</v>
      </c>
      <c r="D612" s="1346">
        <v>220.1</v>
      </c>
      <c r="E612" s="1347"/>
      <c r="F612" s="1349">
        <v>6.0</v>
      </c>
      <c r="G612" s="1383"/>
      <c r="H612" s="1392">
        <v>253.15</v>
      </c>
    </row>
    <row r="613">
      <c r="A613" s="1351" t="s">
        <v>322</v>
      </c>
      <c r="B613" s="1385" t="s">
        <v>1344</v>
      </c>
      <c r="C613" s="1386" t="s">
        <v>1495</v>
      </c>
      <c r="D613" s="1353"/>
      <c r="E613" s="1354"/>
      <c r="F613" s="1356"/>
      <c r="G613" s="1387"/>
      <c r="H613" s="1388"/>
    </row>
    <row r="614">
      <c r="A614" s="1344" t="s">
        <v>322</v>
      </c>
      <c r="B614" s="1381" t="s">
        <v>898</v>
      </c>
      <c r="C614" s="1382" t="s">
        <v>1495</v>
      </c>
      <c r="D614" s="1346">
        <v>150.0</v>
      </c>
      <c r="E614" s="1346" t="s">
        <v>3042</v>
      </c>
      <c r="F614" s="1349"/>
      <c r="G614" s="1389" t="s">
        <v>3043</v>
      </c>
      <c r="H614" s="1392">
        <v>172.5</v>
      </c>
    </row>
    <row r="615">
      <c r="A615" s="1351" t="s">
        <v>3025</v>
      </c>
      <c r="B615" s="1385" t="s">
        <v>880</v>
      </c>
      <c r="C615" s="1386" t="s">
        <v>1495</v>
      </c>
      <c r="D615" s="1353">
        <v>155.08</v>
      </c>
      <c r="E615" s="1354"/>
      <c r="F615" s="1356"/>
      <c r="G615" s="1387"/>
      <c r="H615" s="1388">
        <v>178.35</v>
      </c>
    </row>
    <row r="616">
      <c r="A616" s="1344" t="s">
        <v>3025</v>
      </c>
      <c r="B616" s="1381" t="s">
        <v>3026</v>
      </c>
      <c r="C616" s="1382" t="s">
        <v>1495</v>
      </c>
      <c r="D616" s="1346">
        <v>131.02</v>
      </c>
      <c r="E616" s="1347"/>
      <c r="F616" s="1349"/>
      <c r="G616" s="1383"/>
      <c r="H616" s="1392">
        <v>150.7</v>
      </c>
    </row>
    <row r="617">
      <c r="A617" s="1351" t="s">
        <v>3025</v>
      </c>
      <c r="B617" s="1385" t="s">
        <v>3050</v>
      </c>
      <c r="C617" s="1386" t="s">
        <v>1495</v>
      </c>
      <c r="D617" s="1353">
        <v>65.8</v>
      </c>
      <c r="E617" s="1354"/>
      <c r="F617" s="1356"/>
      <c r="G617" s="1387"/>
      <c r="H617" s="1391">
        <v>75.7</v>
      </c>
    </row>
    <row r="618">
      <c r="A618" s="1344" t="s">
        <v>314</v>
      </c>
      <c r="B618" s="1381" t="s">
        <v>3402</v>
      </c>
      <c r="C618" s="1382" t="s">
        <v>1495</v>
      </c>
      <c r="D618" s="1346">
        <v>1.04</v>
      </c>
      <c r="E618" s="1347"/>
      <c r="F618" s="1349"/>
      <c r="G618" s="1383"/>
      <c r="H618" s="1392">
        <v>1.2</v>
      </c>
    </row>
    <row r="619">
      <c r="A619" s="1351" t="s">
        <v>314</v>
      </c>
      <c r="B619" s="1385" t="s">
        <v>1472</v>
      </c>
      <c r="C619" s="1386" t="s">
        <v>1495</v>
      </c>
      <c r="D619" s="1353">
        <v>0.27</v>
      </c>
      <c r="E619" s="1353" t="s">
        <v>3487</v>
      </c>
      <c r="F619" s="1356"/>
      <c r="G619" s="1387"/>
      <c r="H619" s="1388">
        <v>0.35</v>
      </c>
    </row>
    <row r="620">
      <c r="A620" s="1344" t="s">
        <v>314</v>
      </c>
      <c r="B620" s="1381" t="s">
        <v>1211</v>
      </c>
      <c r="C620" s="1382" t="s">
        <v>1495</v>
      </c>
      <c r="D620" s="1346"/>
      <c r="E620" s="1347"/>
      <c r="F620" s="1349"/>
      <c r="G620" s="1389" t="s">
        <v>3277</v>
      </c>
      <c r="H620" s="1392"/>
    </row>
    <row r="621">
      <c r="A621" s="1351" t="s">
        <v>314</v>
      </c>
      <c r="B621" s="1385" t="s">
        <v>3065</v>
      </c>
      <c r="C621" s="1386" t="s">
        <v>1495</v>
      </c>
      <c r="D621" s="1353">
        <v>9.81</v>
      </c>
      <c r="E621" s="1353" t="s">
        <v>3066</v>
      </c>
      <c r="F621" s="1356"/>
      <c r="G621" s="1387"/>
      <c r="H621" s="1391">
        <v>11.3</v>
      </c>
    </row>
    <row r="622">
      <c r="A622" s="1344" t="s">
        <v>314</v>
      </c>
      <c r="B622" s="1381" t="s">
        <v>3763</v>
      </c>
      <c r="C622" s="1382" t="s">
        <v>1495</v>
      </c>
      <c r="D622" s="1346">
        <v>0.1</v>
      </c>
      <c r="E622" s="1346" t="s">
        <v>3102</v>
      </c>
      <c r="F622" s="1349"/>
      <c r="G622" s="1383"/>
      <c r="H622" s="1392">
        <v>0.15</v>
      </c>
    </row>
    <row r="623">
      <c r="A623" s="1351" t="s">
        <v>314</v>
      </c>
      <c r="B623" s="1385" t="s">
        <v>727</v>
      </c>
      <c r="C623" s="1386" t="s">
        <v>1495</v>
      </c>
      <c r="D623" s="1353">
        <v>6.3</v>
      </c>
      <c r="E623" s="1353" t="s">
        <v>3764</v>
      </c>
      <c r="F623" s="1356"/>
      <c r="G623" s="1387"/>
      <c r="H623" s="1388">
        <v>7.25</v>
      </c>
    </row>
    <row r="624">
      <c r="A624" s="1344" t="s">
        <v>314</v>
      </c>
      <c r="B624" s="1381" t="s">
        <v>2934</v>
      </c>
      <c r="C624" s="1382" t="s">
        <v>1495</v>
      </c>
      <c r="D624" s="1346">
        <v>7.44</v>
      </c>
      <c r="E624" s="1347"/>
      <c r="F624" s="1349"/>
      <c r="G624" s="1383"/>
      <c r="H624" s="1392">
        <v>8.6</v>
      </c>
    </row>
    <row r="625">
      <c r="A625" s="1351" t="s">
        <v>314</v>
      </c>
      <c r="B625" s="1385" t="s">
        <v>3488</v>
      </c>
      <c r="C625" s="1386" t="s">
        <v>1495</v>
      </c>
      <c r="D625" s="1353">
        <v>12.68</v>
      </c>
      <c r="E625" s="1354"/>
      <c r="F625" s="1356"/>
      <c r="G625" s="1387"/>
      <c r="H625" s="1391">
        <v>14.6</v>
      </c>
    </row>
    <row r="626">
      <c r="A626" s="1344" t="s">
        <v>314</v>
      </c>
      <c r="B626" s="1381" t="s">
        <v>1163</v>
      </c>
      <c r="C626" s="1382" t="s">
        <v>1495</v>
      </c>
      <c r="D626" s="1346">
        <v>11.25</v>
      </c>
      <c r="E626" s="1347"/>
      <c r="F626" s="1349"/>
      <c r="G626" s="1383"/>
      <c r="H626" s="1392">
        <v>12.95</v>
      </c>
    </row>
    <row r="627">
      <c r="A627" s="1351" t="s">
        <v>314</v>
      </c>
      <c r="B627" s="1385" t="s">
        <v>131</v>
      </c>
      <c r="C627" s="1386" t="s">
        <v>3131</v>
      </c>
      <c r="D627" s="1353">
        <v>11.0</v>
      </c>
      <c r="E627" s="1354"/>
      <c r="F627" s="1356"/>
      <c r="G627" s="1390" t="s">
        <v>3156</v>
      </c>
      <c r="H627" s="1391">
        <v>12.65</v>
      </c>
    </row>
    <row r="628">
      <c r="A628" s="1344" t="s">
        <v>313</v>
      </c>
      <c r="B628" s="1381" t="s">
        <v>1280</v>
      </c>
      <c r="C628" s="1382" t="s">
        <v>1495</v>
      </c>
      <c r="D628" s="1346"/>
      <c r="E628" s="1347"/>
      <c r="F628" s="1349"/>
      <c r="G628" s="1383"/>
      <c r="H628" s="1392"/>
    </row>
    <row r="629">
      <c r="A629" s="1351" t="s">
        <v>313</v>
      </c>
      <c r="B629" s="1385" t="s">
        <v>1277</v>
      </c>
      <c r="C629" s="1386" t="s">
        <v>1495</v>
      </c>
      <c r="D629" s="1353"/>
      <c r="E629" s="1354"/>
      <c r="F629" s="1356"/>
      <c r="G629" s="1387"/>
      <c r="H629" s="1391"/>
    </row>
    <row r="630">
      <c r="A630" s="1344" t="s">
        <v>313</v>
      </c>
      <c r="B630" s="1381" t="s">
        <v>1294</v>
      </c>
      <c r="C630" s="1382" t="s">
        <v>1495</v>
      </c>
      <c r="D630" s="1346"/>
      <c r="E630" s="1347"/>
      <c r="F630" s="1349"/>
      <c r="G630" s="1383"/>
      <c r="H630" s="1392"/>
    </row>
    <row r="631">
      <c r="A631" s="1351" t="s">
        <v>313</v>
      </c>
      <c r="B631" s="1385" t="s">
        <v>1305</v>
      </c>
      <c r="C631" s="1386" t="s">
        <v>1495</v>
      </c>
      <c r="D631" s="1353"/>
      <c r="E631" s="1354"/>
      <c r="F631" s="1356"/>
      <c r="G631" s="1387"/>
      <c r="H631" s="1388"/>
    </row>
    <row r="632">
      <c r="A632" s="1344" t="s">
        <v>313</v>
      </c>
      <c r="B632" s="1381" t="s">
        <v>1276</v>
      </c>
      <c r="C632" s="1382" t="s">
        <v>1495</v>
      </c>
      <c r="D632" s="1346"/>
      <c r="E632" s="1347"/>
      <c r="F632" s="1349"/>
      <c r="G632" s="1383"/>
      <c r="H632" s="1392"/>
    </row>
    <row r="633">
      <c r="A633" s="1351" t="s">
        <v>313</v>
      </c>
      <c r="B633" s="1385" t="s">
        <v>1279</v>
      </c>
      <c r="C633" s="1386" t="s">
        <v>1495</v>
      </c>
      <c r="D633" s="1353"/>
      <c r="E633" s="1354"/>
      <c r="F633" s="1356"/>
      <c r="G633" s="1387"/>
      <c r="H633" s="1391"/>
    </row>
    <row r="634">
      <c r="A634" s="1344" t="s">
        <v>313</v>
      </c>
      <c r="B634" s="1381" t="s">
        <v>1281</v>
      </c>
      <c r="C634" s="1382" t="s">
        <v>1495</v>
      </c>
      <c r="D634" s="1346"/>
      <c r="E634" s="1347"/>
      <c r="F634" s="1349"/>
      <c r="G634" s="1383"/>
      <c r="H634" s="1392"/>
    </row>
    <row r="635">
      <c r="A635" s="1351" t="s">
        <v>313</v>
      </c>
      <c r="B635" s="1385" t="s">
        <v>1284</v>
      </c>
      <c r="C635" s="1386" t="s">
        <v>1495</v>
      </c>
      <c r="D635" s="1353"/>
      <c r="E635" s="1354"/>
      <c r="F635" s="1356"/>
      <c r="G635" s="1387"/>
      <c r="H635" s="1391"/>
    </row>
    <row r="636">
      <c r="A636" s="1344" t="s">
        <v>313</v>
      </c>
      <c r="B636" s="1381" t="s">
        <v>1286</v>
      </c>
      <c r="C636" s="1382" t="s">
        <v>1495</v>
      </c>
      <c r="D636" s="1346"/>
      <c r="E636" s="1347"/>
      <c r="F636" s="1349"/>
      <c r="G636" s="1383"/>
      <c r="H636" s="1392"/>
    </row>
    <row r="637">
      <c r="A637" s="1351" t="s">
        <v>313</v>
      </c>
      <c r="B637" s="1385" t="s">
        <v>1287</v>
      </c>
      <c r="C637" s="1386" t="s">
        <v>1495</v>
      </c>
      <c r="D637" s="1353"/>
      <c r="E637" s="1354"/>
      <c r="F637" s="1356"/>
      <c r="G637" s="1387"/>
      <c r="H637" s="1388"/>
    </row>
    <row r="638">
      <c r="A638" s="1344" t="s">
        <v>313</v>
      </c>
      <c r="B638" s="1381" t="s">
        <v>1289</v>
      </c>
      <c r="C638" s="1382" t="s">
        <v>1495</v>
      </c>
      <c r="D638" s="1346"/>
      <c r="E638" s="1347"/>
      <c r="F638" s="1349"/>
      <c r="G638" s="1383"/>
      <c r="H638" s="1392"/>
    </row>
    <row r="639">
      <c r="A639" s="1351" t="s">
        <v>313</v>
      </c>
      <c r="B639" s="1385" t="s">
        <v>1290</v>
      </c>
      <c r="C639" s="1386" t="s">
        <v>1495</v>
      </c>
      <c r="D639" s="1353"/>
      <c r="E639" s="1354"/>
      <c r="F639" s="1356"/>
      <c r="G639" s="1387"/>
      <c r="H639" s="1391"/>
    </row>
    <row r="640">
      <c r="A640" s="1344" t="s">
        <v>313</v>
      </c>
      <c r="B640" s="1381" t="s">
        <v>1291</v>
      </c>
      <c r="C640" s="1382" t="s">
        <v>1495</v>
      </c>
      <c r="D640" s="1346"/>
      <c r="E640" s="1347"/>
      <c r="F640" s="1349"/>
      <c r="G640" s="1383"/>
      <c r="H640" s="1392"/>
    </row>
    <row r="641">
      <c r="A641" s="1351" t="s">
        <v>313</v>
      </c>
      <c r="B641" s="1385" t="s">
        <v>1274</v>
      </c>
      <c r="C641" s="1386" t="s">
        <v>1495</v>
      </c>
      <c r="D641" s="1353"/>
      <c r="E641" s="1354"/>
      <c r="F641" s="1356"/>
      <c r="G641" s="1387"/>
      <c r="H641" s="1391"/>
    </row>
    <row r="642">
      <c r="A642" s="1344" t="s">
        <v>313</v>
      </c>
      <c r="B642" s="1381" t="s">
        <v>1293</v>
      </c>
      <c r="C642" s="1382" t="s">
        <v>1495</v>
      </c>
      <c r="D642" s="1346"/>
      <c r="E642" s="1347"/>
      <c r="F642" s="1349"/>
      <c r="G642" s="1383"/>
      <c r="H642" s="1392"/>
    </row>
    <row r="643">
      <c r="A643" s="1351" t="s">
        <v>313</v>
      </c>
      <c r="B643" s="1385" t="s">
        <v>1295</v>
      </c>
      <c r="C643" s="1386" t="s">
        <v>1495</v>
      </c>
      <c r="D643" s="1353"/>
      <c r="E643" s="1354"/>
      <c r="F643" s="1356"/>
      <c r="G643" s="1387"/>
      <c r="H643" s="1391"/>
    </row>
    <row r="644">
      <c r="A644" s="1344" t="s">
        <v>313</v>
      </c>
      <c r="B644" s="1381" t="s">
        <v>1296</v>
      </c>
      <c r="C644" s="1382" t="s">
        <v>1495</v>
      </c>
      <c r="D644" s="1346"/>
      <c r="E644" s="1347"/>
      <c r="F644" s="1349"/>
      <c r="G644" s="1383"/>
      <c r="H644" s="1384"/>
    </row>
    <row r="645">
      <c r="A645" s="1351" t="s">
        <v>313</v>
      </c>
      <c r="B645" s="1385" t="s">
        <v>1297</v>
      </c>
      <c r="C645" s="1386" t="s">
        <v>1495</v>
      </c>
      <c r="D645" s="1353"/>
      <c r="E645" s="1354"/>
      <c r="F645" s="1356"/>
      <c r="G645" s="1387"/>
      <c r="H645" s="1391"/>
    </row>
    <row r="646">
      <c r="A646" s="1344" t="s">
        <v>313</v>
      </c>
      <c r="B646" s="1381" t="s">
        <v>1298</v>
      </c>
      <c r="C646" s="1382" t="s">
        <v>1495</v>
      </c>
      <c r="D646" s="1346"/>
      <c r="E646" s="1347"/>
      <c r="F646" s="1349"/>
      <c r="G646" s="1383"/>
      <c r="H646" s="1392"/>
    </row>
    <row r="647">
      <c r="A647" s="1351" t="s">
        <v>313</v>
      </c>
      <c r="B647" s="1385" t="s">
        <v>1304</v>
      </c>
      <c r="C647" s="1386" t="s">
        <v>1495</v>
      </c>
      <c r="D647" s="1353"/>
      <c r="E647" s="1354"/>
      <c r="F647" s="1356"/>
      <c r="G647" s="1387"/>
      <c r="H647" s="1391"/>
    </row>
    <row r="648">
      <c r="A648" s="1344" t="s">
        <v>313</v>
      </c>
      <c r="B648" s="1381" t="s">
        <v>805</v>
      </c>
      <c r="C648" s="1382" t="s">
        <v>1495</v>
      </c>
      <c r="D648" s="1346">
        <v>2820.0</v>
      </c>
      <c r="E648" s="1346" t="s">
        <v>3765</v>
      </c>
      <c r="F648" s="1349"/>
      <c r="G648" s="1383"/>
      <c r="H648" s="1392">
        <v>3243.0</v>
      </c>
    </row>
    <row r="649">
      <c r="A649" s="1351" t="s">
        <v>313</v>
      </c>
      <c r="B649" s="1385" t="s">
        <v>804</v>
      </c>
      <c r="C649" s="1386" t="s">
        <v>1495</v>
      </c>
      <c r="D649" s="1353"/>
      <c r="E649" s="1353" t="s">
        <v>3766</v>
      </c>
      <c r="F649" s="1356"/>
      <c r="G649" s="1387"/>
      <c r="H649" s="1391"/>
    </row>
    <row r="650">
      <c r="A650" s="1344" t="s">
        <v>313</v>
      </c>
      <c r="B650" s="1381" t="s">
        <v>1085</v>
      </c>
      <c r="C650" s="1382" t="s">
        <v>1495</v>
      </c>
      <c r="D650" s="1346"/>
      <c r="E650" s="1346" t="s">
        <v>3767</v>
      </c>
      <c r="F650" s="1349"/>
      <c r="G650" s="1383"/>
      <c r="H650" s="1384"/>
    </row>
    <row r="651">
      <c r="A651" s="1351" t="s">
        <v>313</v>
      </c>
      <c r="B651" s="1385" t="s">
        <v>1056</v>
      </c>
      <c r="C651" s="1386" t="s">
        <v>1495</v>
      </c>
      <c r="D651" s="1353"/>
      <c r="E651" s="1353" t="s">
        <v>3768</v>
      </c>
      <c r="F651" s="1356"/>
      <c r="G651" s="1387"/>
      <c r="H651" s="1388"/>
    </row>
    <row r="652">
      <c r="A652" s="1344" t="s">
        <v>313</v>
      </c>
      <c r="B652" s="1381" t="s">
        <v>1062</v>
      </c>
      <c r="C652" s="1382" t="s">
        <v>1495</v>
      </c>
      <c r="D652" s="1346">
        <v>1559.0</v>
      </c>
      <c r="E652" s="1346" t="s">
        <v>3769</v>
      </c>
      <c r="F652" s="1349"/>
      <c r="G652" s="1383"/>
      <c r="H652" s="1392">
        <v>1792.85</v>
      </c>
    </row>
    <row r="653">
      <c r="A653" s="1351" t="s">
        <v>313</v>
      </c>
      <c r="B653" s="1385" t="s">
        <v>1063</v>
      </c>
      <c r="C653" s="1386" t="s">
        <v>1495</v>
      </c>
      <c r="D653" s="1353"/>
      <c r="E653" s="1353" t="s">
        <v>3770</v>
      </c>
      <c r="F653" s="1356"/>
      <c r="G653" s="1387"/>
      <c r="H653" s="1388"/>
    </row>
    <row r="654">
      <c r="A654" s="1344" t="s">
        <v>313</v>
      </c>
      <c r="B654" s="1381" t="s">
        <v>1064</v>
      </c>
      <c r="C654" s="1382" t="s">
        <v>1495</v>
      </c>
      <c r="D654" s="1346"/>
      <c r="E654" s="1346" t="s">
        <v>3771</v>
      </c>
      <c r="F654" s="1349"/>
      <c r="G654" s="1383"/>
      <c r="H654" s="1384"/>
    </row>
    <row r="655">
      <c r="A655" s="1351" t="s">
        <v>313</v>
      </c>
      <c r="B655" s="1385" t="s">
        <v>1065</v>
      </c>
      <c r="C655" s="1386" t="s">
        <v>1495</v>
      </c>
      <c r="D655" s="1353"/>
      <c r="E655" s="1353" t="s">
        <v>3772</v>
      </c>
      <c r="F655" s="1356"/>
      <c r="G655" s="1387"/>
      <c r="H655" s="1388"/>
    </row>
    <row r="656">
      <c r="A656" s="1344" t="s">
        <v>313</v>
      </c>
      <c r="B656" s="1381" t="s">
        <v>1058</v>
      </c>
      <c r="C656" s="1382" t="s">
        <v>1495</v>
      </c>
      <c r="D656" s="1346"/>
      <c r="E656" s="1346" t="s">
        <v>3773</v>
      </c>
      <c r="F656" s="1349"/>
      <c r="G656" s="1383"/>
      <c r="H656" s="1384"/>
    </row>
    <row r="657">
      <c r="A657" s="1351" t="s">
        <v>313</v>
      </c>
      <c r="B657" s="1385" t="s">
        <v>1060</v>
      </c>
      <c r="C657" s="1386" t="s">
        <v>1495</v>
      </c>
      <c r="D657" s="1353"/>
      <c r="E657" s="1353" t="s">
        <v>3774</v>
      </c>
      <c r="F657" s="1356"/>
      <c r="G657" s="1387"/>
      <c r="H657" s="1388"/>
    </row>
    <row r="658">
      <c r="A658" s="1344" t="s">
        <v>313</v>
      </c>
      <c r="B658" s="1381" t="s">
        <v>1082</v>
      </c>
      <c r="C658" s="1382" t="s">
        <v>1495</v>
      </c>
      <c r="D658" s="1346"/>
      <c r="E658" s="1346" t="s">
        <v>3775</v>
      </c>
      <c r="F658" s="1349"/>
      <c r="G658" s="1383"/>
      <c r="H658" s="1392"/>
    </row>
    <row r="659">
      <c r="A659" s="1351" t="s">
        <v>313</v>
      </c>
      <c r="B659" s="1385" t="s">
        <v>1084</v>
      </c>
      <c r="C659" s="1386" t="s">
        <v>1495</v>
      </c>
      <c r="D659" s="1353"/>
      <c r="E659" s="1353" t="s">
        <v>3776</v>
      </c>
      <c r="F659" s="1356"/>
      <c r="G659" s="1387"/>
      <c r="H659" s="1391"/>
    </row>
    <row r="660">
      <c r="A660" s="1344" t="s">
        <v>313</v>
      </c>
      <c r="B660" s="1381" t="s">
        <v>810</v>
      </c>
      <c r="C660" s="1382" t="s">
        <v>1495</v>
      </c>
      <c r="D660" s="1346"/>
      <c r="E660" s="1346" t="s">
        <v>3777</v>
      </c>
      <c r="F660" s="1349"/>
      <c r="G660" s="1383"/>
      <c r="H660" s="1384"/>
    </row>
    <row r="661">
      <c r="A661" s="1351" t="s">
        <v>313</v>
      </c>
      <c r="B661" s="1385" t="s">
        <v>1086</v>
      </c>
      <c r="C661" s="1386" t="s">
        <v>1495</v>
      </c>
      <c r="D661" s="1353"/>
      <c r="E661" s="1353" t="s">
        <v>3778</v>
      </c>
      <c r="F661" s="1356"/>
      <c r="G661" s="1387"/>
      <c r="H661" s="1388"/>
    </row>
    <row r="662">
      <c r="A662" s="1344" t="s">
        <v>313</v>
      </c>
      <c r="B662" s="1381" t="s">
        <v>812</v>
      </c>
      <c r="C662" s="1382" t="s">
        <v>1495</v>
      </c>
      <c r="D662" s="1346"/>
      <c r="E662" s="1346" t="s">
        <v>3779</v>
      </c>
      <c r="F662" s="1349"/>
      <c r="G662" s="1383"/>
      <c r="H662" s="1392"/>
    </row>
    <row r="663">
      <c r="A663" s="1351" t="s">
        <v>313</v>
      </c>
      <c r="B663" s="1385" t="s">
        <v>1088</v>
      </c>
      <c r="C663" s="1386" t="s">
        <v>1495</v>
      </c>
      <c r="D663" s="1353"/>
      <c r="E663" s="1353" t="s">
        <v>3780</v>
      </c>
      <c r="F663" s="1356"/>
      <c r="G663" s="1387"/>
      <c r="H663" s="1391"/>
    </row>
    <row r="664">
      <c r="A664" s="1344" t="s">
        <v>313</v>
      </c>
      <c r="B664" s="1381" t="s">
        <v>813</v>
      </c>
      <c r="C664" s="1382" t="s">
        <v>1495</v>
      </c>
      <c r="D664" s="1346">
        <v>1800.0</v>
      </c>
      <c r="E664" s="1346" t="s">
        <v>3781</v>
      </c>
      <c r="F664" s="1349"/>
      <c r="G664" s="1383"/>
      <c r="H664" s="1392">
        <v>2070.0</v>
      </c>
    </row>
    <row r="665">
      <c r="A665" s="1351" t="s">
        <v>313</v>
      </c>
      <c r="B665" s="1385" t="s">
        <v>1052</v>
      </c>
      <c r="C665" s="1386" t="s">
        <v>1495</v>
      </c>
      <c r="D665" s="1353"/>
      <c r="E665" s="1353" t="s">
        <v>3782</v>
      </c>
      <c r="F665" s="1356"/>
      <c r="G665" s="1387"/>
      <c r="H665" s="1391"/>
    </row>
    <row r="666">
      <c r="A666" s="1344" t="s">
        <v>313</v>
      </c>
      <c r="B666" s="1381" t="s">
        <v>1054</v>
      </c>
      <c r="C666" s="1382" t="s">
        <v>1495</v>
      </c>
      <c r="D666" s="1346">
        <v>3011.0</v>
      </c>
      <c r="E666" s="1346" t="s">
        <v>3783</v>
      </c>
      <c r="F666" s="1349"/>
      <c r="G666" s="1383"/>
      <c r="H666" s="1392">
        <v>3462.65</v>
      </c>
    </row>
    <row r="667">
      <c r="A667" s="1351" t="s">
        <v>313</v>
      </c>
      <c r="B667" s="1385" t="s">
        <v>1057</v>
      </c>
      <c r="C667" s="1386" t="s">
        <v>1495</v>
      </c>
      <c r="D667" s="1353">
        <v>2110.0</v>
      </c>
      <c r="E667" s="1353" t="s">
        <v>3784</v>
      </c>
      <c r="F667" s="1356"/>
      <c r="G667" s="1387"/>
      <c r="H667" s="1391">
        <v>2426.5</v>
      </c>
    </row>
    <row r="668">
      <c r="A668" s="1344" t="s">
        <v>313</v>
      </c>
      <c r="B668" s="1381" t="s">
        <v>1059</v>
      </c>
      <c r="C668" s="1382" t="s">
        <v>1495</v>
      </c>
      <c r="D668" s="1346">
        <v>2534.0</v>
      </c>
      <c r="E668" s="1346" t="s">
        <v>3785</v>
      </c>
      <c r="F668" s="1349"/>
      <c r="G668" s="1383"/>
      <c r="H668" s="1392">
        <v>2914.1</v>
      </c>
    </row>
    <row r="669">
      <c r="A669" s="1351" t="s">
        <v>313</v>
      </c>
      <c r="B669" s="1385" t="s">
        <v>1061</v>
      </c>
      <c r="C669" s="1386" t="s">
        <v>1495</v>
      </c>
      <c r="D669" s="1353"/>
      <c r="E669" s="1353" t="s">
        <v>3786</v>
      </c>
      <c r="F669" s="1356"/>
      <c r="G669" s="1387"/>
      <c r="H669" s="1388"/>
    </row>
    <row r="670">
      <c r="A670" s="1344" t="s">
        <v>313</v>
      </c>
      <c r="B670" s="1381" t="s">
        <v>1053</v>
      </c>
      <c r="C670" s="1382" t="s">
        <v>1495</v>
      </c>
      <c r="D670" s="1346"/>
      <c r="E670" s="1346" t="s">
        <v>3787</v>
      </c>
      <c r="F670" s="1349"/>
      <c r="G670" s="1383"/>
      <c r="H670" s="1392"/>
    </row>
    <row r="671">
      <c r="A671" s="1351" t="s">
        <v>313</v>
      </c>
      <c r="B671" s="1385" t="s">
        <v>1055</v>
      </c>
      <c r="C671" s="1386" t="s">
        <v>1495</v>
      </c>
      <c r="D671" s="1353"/>
      <c r="E671" s="1353" t="s">
        <v>3788</v>
      </c>
      <c r="F671" s="1356"/>
      <c r="G671" s="1387"/>
      <c r="H671" s="1391"/>
    </row>
    <row r="672">
      <c r="A672" s="1344" t="s">
        <v>313</v>
      </c>
      <c r="B672" s="1381" t="s">
        <v>1071</v>
      </c>
      <c r="C672" s="1382" t="s">
        <v>1495</v>
      </c>
      <c r="D672" s="1346"/>
      <c r="E672" s="1346" t="s">
        <v>3789</v>
      </c>
      <c r="F672" s="1349"/>
      <c r="G672" s="1383"/>
      <c r="H672" s="1392"/>
    </row>
    <row r="673">
      <c r="A673" s="1351" t="s">
        <v>313</v>
      </c>
      <c r="B673" s="1385" t="s">
        <v>1072</v>
      </c>
      <c r="C673" s="1386" t="s">
        <v>1495</v>
      </c>
      <c r="D673" s="1353"/>
      <c r="E673" s="1353" t="s">
        <v>3790</v>
      </c>
      <c r="F673" s="1356"/>
      <c r="G673" s="1387"/>
      <c r="H673" s="1391"/>
    </row>
    <row r="674">
      <c r="A674" s="1344" t="s">
        <v>313</v>
      </c>
      <c r="B674" s="1381" t="s">
        <v>1074</v>
      </c>
      <c r="C674" s="1382" t="s">
        <v>1495</v>
      </c>
      <c r="D674" s="1346"/>
      <c r="E674" s="1346" t="s">
        <v>3791</v>
      </c>
      <c r="F674" s="1349"/>
      <c r="G674" s="1383"/>
      <c r="H674" s="1392"/>
    </row>
    <row r="675">
      <c r="A675" s="1351" t="s">
        <v>313</v>
      </c>
      <c r="B675" s="1385" t="s">
        <v>1076</v>
      </c>
      <c r="C675" s="1386" t="s">
        <v>1495</v>
      </c>
      <c r="D675" s="1353"/>
      <c r="E675" s="1353" t="s">
        <v>3792</v>
      </c>
      <c r="F675" s="1356"/>
      <c r="G675" s="1387"/>
      <c r="H675" s="1391"/>
    </row>
    <row r="676">
      <c r="A676" s="1344" t="s">
        <v>313</v>
      </c>
      <c r="B676" s="1381" t="s">
        <v>1077</v>
      </c>
      <c r="C676" s="1382" t="s">
        <v>1495</v>
      </c>
      <c r="D676" s="1346"/>
      <c r="E676" s="1346" t="s">
        <v>3793</v>
      </c>
      <c r="F676" s="1349"/>
      <c r="G676" s="1383"/>
      <c r="H676" s="1392"/>
    </row>
    <row r="677">
      <c r="A677" s="1351" t="s">
        <v>313</v>
      </c>
      <c r="B677" s="1385" t="s">
        <v>1066</v>
      </c>
      <c r="C677" s="1386" t="s">
        <v>1495</v>
      </c>
      <c r="D677" s="1353">
        <v>1815.0</v>
      </c>
      <c r="E677" s="1353" t="s">
        <v>3794</v>
      </c>
      <c r="F677" s="1356"/>
      <c r="G677" s="1387"/>
      <c r="H677" s="1391">
        <v>2087.25</v>
      </c>
    </row>
    <row r="678">
      <c r="A678" s="1344" t="s">
        <v>313</v>
      </c>
      <c r="B678" s="1381" t="s">
        <v>1067</v>
      </c>
      <c r="C678" s="1382" t="s">
        <v>1495</v>
      </c>
      <c r="D678" s="1346"/>
      <c r="E678" s="1346" t="s">
        <v>3795</v>
      </c>
      <c r="F678" s="1349"/>
      <c r="G678" s="1383"/>
      <c r="H678" s="1384"/>
    </row>
    <row r="679">
      <c r="A679" s="1351" t="s">
        <v>313</v>
      </c>
      <c r="B679" s="1385" t="s">
        <v>1068</v>
      </c>
      <c r="C679" s="1386" t="s">
        <v>1495</v>
      </c>
      <c r="D679" s="1353">
        <v>2122.0</v>
      </c>
      <c r="E679" s="1353" t="s">
        <v>3796</v>
      </c>
      <c r="F679" s="1356"/>
      <c r="G679" s="1387"/>
      <c r="H679" s="1391">
        <v>2440.3</v>
      </c>
    </row>
    <row r="680">
      <c r="A680" s="1344" t="s">
        <v>313</v>
      </c>
      <c r="B680" s="1381" t="s">
        <v>1069</v>
      </c>
      <c r="C680" s="1382" t="s">
        <v>1495</v>
      </c>
      <c r="D680" s="1346"/>
      <c r="E680" s="1346" t="s">
        <v>3797</v>
      </c>
      <c r="F680" s="1349"/>
      <c r="G680" s="1383"/>
      <c r="H680" s="1384"/>
    </row>
    <row r="681">
      <c r="A681" s="1351" t="s">
        <v>313</v>
      </c>
      <c r="B681" s="1385" t="s">
        <v>1070</v>
      </c>
      <c r="C681" s="1386" t="s">
        <v>1495</v>
      </c>
      <c r="D681" s="1353">
        <v>2289.0</v>
      </c>
      <c r="E681" s="1353" t="s">
        <v>3798</v>
      </c>
      <c r="F681" s="1356"/>
      <c r="G681" s="1387"/>
      <c r="H681" s="1391">
        <v>2632.35</v>
      </c>
    </row>
    <row r="682">
      <c r="A682" s="1344" t="s">
        <v>313</v>
      </c>
      <c r="B682" s="1381" t="s">
        <v>95</v>
      </c>
      <c r="C682" s="1382" t="s">
        <v>1495</v>
      </c>
      <c r="D682" s="1346">
        <v>2398.0</v>
      </c>
      <c r="E682" s="1346" t="s">
        <v>3799</v>
      </c>
      <c r="F682" s="1349"/>
      <c r="G682" s="1383"/>
      <c r="H682" s="1392">
        <v>2757.7</v>
      </c>
    </row>
    <row r="683">
      <c r="A683" s="1351" t="s">
        <v>313</v>
      </c>
      <c r="B683" s="1385" t="s">
        <v>1073</v>
      </c>
      <c r="C683" s="1386" t="s">
        <v>1495</v>
      </c>
      <c r="D683" s="1353"/>
      <c r="E683" s="1353" t="s">
        <v>3800</v>
      </c>
      <c r="F683" s="1356"/>
      <c r="G683" s="1387"/>
      <c r="H683" s="1391"/>
    </row>
    <row r="684">
      <c r="A684" s="1344" t="s">
        <v>313</v>
      </c>
      <c r="B684" s="1381" t="s">
        <v>1075</v>
      </c>
      <c r="C684" s="1382" t="s">
        <v>1495</v>
      </c>
      <c r="D684" s="1346"/>
      <c r="E684" s="1346" t="s">
        <v>3801</v>
      </c>
      <c r="F684" s="1349"/>
      <c r="G684" s="1383"/>
      <c r="H684" s="1384"/>
    </row>
    <row r="685">
      <c r="A685" s="1351" t="s">
        <v>313</v>
      </c>
      <c r="B685" s="1385" t="s">
        <v>1083</v>
      </c>
      <c r="C685" s="1386" t="s">
        <v>1495</v>
      </c>
      <c r="D685" s="1353"/>
      <c r="E685" s="1353" t="s">
        <v>3802</v>
      </c>
      <c r="F685" s="1356"/>
      <c r="G685" s="1387"/>
      <c r="H685" s="1391"/>
    </row>
    <row r="686">
      <c r="A686" s="1344" t="s">
        <v>313</v>
      </c>
      <c r="B686" s="1381" t="s">
        <v>2972</v>
      </c>
      <c r="C686" s="1382" t="s">
        <v>1495</v>
      </c>
      <c r="D686" s="1346"/>
      <c r="E686" s="1346" t="s">
        <v>3803</v>
      </c>
      <c r="F686" s="1349"/>
      <c r="G686" s="1383"/>
      <c r="H686" s="1392"/>
    </row>
    <row r="687">
      <c r="A687" s="1351" t="s">
        <v>313</v>
      </c>
      <c r="B687" s="1385" t="s">
        <v>1087</v>
      </c>
      <c r="C687" s="1386" t="s">
        <v>1495</v>
      </c>
      <c r="D687" s="1353"/>
      <c r="E687" s="1353" t="s">
        <v>3804</v>
      </c>
      <c r="F687" s="1356"/>
      <c r="G687" s="1387"/>
      <c r="H687" s="1391"/>
    </row>
    <row r="688">
      <c r="A688" s="1344" t="s">
        <v>313</v>
      </c>
      <c r="B688" s="1381" t="s">
        <v>1081</v>
      </c>
      <c r="C688" s="1382" t="s">
        <v>1495</v>
      </c>
      <c r="D688" s="1346"/>
      <c r="E688" s="1346" t="s">
        <v>3805</v>
      </c>
      <c r="F688" s="1349"/>
      <c r="G688" s="1383"/>
      <c r="H688" s="1384"/>
    </row>
    <row r="689">
      <c r="A689" s="1351" t="s">
        <v>313</v>
      </c>
      <c r="B689" s="1385" t="s">
        <v>1078</v>
      </c>
      <c r="C689" s="1386" t="s">
        <v>1495</v>
      </c>
      <c r="D689" s="1353"/>
      <c r="E689" s="1353" t="s">
        <v>3806</v>
      </c>
      <c r="F689" s="1356"/>
      <c r="G689" s="1387"/>
      <c r="H689" s="1391"/>
    </row>
    <row r="690">
      <c r="A690" s="1344" t="s">
        <v>313</v>
      </c>
      <c r="B690" s="1381" t="s">
        <v>1079</v>
      </c>
      <c r="C690" s="1382" t="s">
        <v>1495</v>
      </c>
      <c r="D690" s="1346"/>
      <c r="E690" s="1347"/>
      <c r="F690" s="1349"/>
      <c r="G690" s="1383"/>
      <c r="H690" s="1384"/>
    </row>
    <row r="691">
      <c r="A691" s="1351" t="s">
        <v>313</v>
      </c>
      <c r="B691" s="1385" t="s">
        <v>1370</v>
      </c>
      <c r="C691" s="1386" t="s">
        <v>1495</v>
      </c>
      <c r="D691" s="1353"/>
      <c r="E691" s="1354"/>
      <c r="F691" s="1356"/>
      <c r="G691" s="1387"/>
      <c r="H691" s="1388"/>
    </row>
    <row r="692">
      <c r="A692" s="1344" t="s">
        <v>313</v>
      </c>
      <c r="B692" s="1381" t="s">
        <v>1369</v>
      </c>
      <c r="C692" s="1382" t="s">
        <v>1495</v>
      </c>
      <c r="D692" s="1346"/>
      <c r="E692" s="1347"/>
      <c r="F692" s="1349"/>
      <c r="G692" s="1383"/>
      <c r="H692" s="1384"/>
    </row>
    <row r="693">
      <c r="A693" s="1351" t="s">
        <v>313</v>
      </c>
      <c r="B693" s="1385" t="s">
        <v>1080</v>
      </c>
      <c r="C693" s="1386" t="s">
        <v>1495</v>
      </c>
      <c r="D693" s="1353"/>
      <c r="E693" s="1353" t="s">
        <v>3767</v>
      </c>
      <c r="F693" s="1356"/>
      <c r="G693" s="1387"/>
      <c r="H693" s="1388"/>
    </row>
    <row r="694">
      <c r="A694" s="1344" t="s">
        <v>313</v>
      </c>
      <c r="B694" s="1381" t="s">
        <v>809</v>
      </c>
      <c r="C694" s="1382" t="s">
        <v>1495</v>
      </c>
      <c r="D694" s="1346">
        <v>3135.28</v>
      </c>
      <c r="E694" s="1347"/>
      <c r="F694" s="1349"/>
      <c r="G694" s="1383"/>
      <c r="H694" s="1392">
        <v>3605.6</v>
      </c>
    </row>
    <row r="695">
      <c r="A695" s="1351" t="s">
        <v>313</v>
      </c>
      <c r="B695" s="1385" t="s">
        <v>808</v>
      </c>
      <c r="C695" s="1386" t="s">
        <v>1495</v>
      </c>
      <c r="D695" s="1353">
        <v>4981.0</v>
      </c>
      <c r="E695" s="1354"/>
      <c r="F695" s="1356"/>
      <c r="G695" s="1387"/>
      <c r="H695" s="1391">
        <v>5728.15</v>
      </c>
    </row>
    <row r="696">
      <c r="A696" s="1344" t="s">
        <v>313</v>
      </c>
      <c r="B696" s="1381" t="s">
        <v>806</v>
      </c>
      <c r="C696" s="1382" t="s">
        <v>1495</v>
      </c>
      <c r="D696" s="1346">
        <v>3350.0</v>
      </c>
      <c r="E696" s="1347"/>
      <c r="F696" s="1349"/>
      <c r="G696" s="1383"/>
      <c r="H696" s="1392">
        <v>3852.5</v>
      </c>
    </row>
    <row r="697">
      <c r="A697" s="1351" t="s">
        <v>313</v>
      </c>
      <c r="B697" s="1385" t="s">
        <v>807</v>
      </c>
      <c r="C697" s="1386" t="s">
        <v>1495</v>
      </c>
      <c r="D697" s="1353">
        <v>2884.0</v>
      </c>
      <c r="E697" s="1354"/>
      <c r="F697" s="1356"/>
      <c r="G697" s="1387"/>
      <c r="H697" s="1391">
        <v>3316.6</v>
      </c>
    </row>
    <row r="698">
      <c r="A698" s="1344" t="s">
        <v>313</v>
      </c>
      <c r="B698" s="1381" t="s">
        <v>1299</v>
      </c>
      <c r="C698" s="1382" t="s">
        <v>1495</v>
      </c>
      <c r="D698" s="1346"/>
      <c r="E698" s="1347"/>
      <c r="F698" s="1349"/>
      <c r="G698" s="1383"/>
      <c r="H698" s="1392"/>
    </row>
    <row r="699">
      <c r="A699" s="1351" t="s">
        <v>313</v>
      </c>
      <c r="B699" s="1385" t="s">
        <v>1303</v>
      </c>
      <c r="C699" s="1386" t="s">
        <v>1495</v>
      </c>
      <c r="D699" s="1353"/>
      <c r="E699" s="1354"/>
      <c r="F699" s="1356"/>
      <c r="G699" s="1387"/>
      <c r="H699" s="1388"/>
    </row>
    <row r="700">
      <c r="A700" s="1344" t="s">
        <v>313</v>
      </c>
      <c r="B700" s="1381" t="s">
        <v>1302</v>
      </c>
      <c r="C700" s="1382" t="s">
        <v>1495</v>
      </c>
      <c r="D700" s="1346"/>
      <c r="E700" s="1347"/>
      <c r="F700" s="1349"/>
      <c r="G700" s="1383"/>
      <c r="H700" s="1392"/>
    </row>
    <row r="701">
      <c r="A701" s="1351" t="s">
        <v>313</v>
      </c>
      <c r="B701" s="1385" t="s">
        <v>1301</v>
      </c>
      <c r="C701" s="1386" t="s">
        <v>1495</v>
      </c>
      <c r="D701" s="1353"/>
      <c r="E701" s="1354"/>
      <c r="F701" s="1356"/>
      <c r="G701" s="1387"/>
      <c r="H701" s="1388"/>
    </row>
    <row r="702">
      <c r="A702" s="1344" t="s">
        <v>313</v>
      </c>
      <c r="B702" s="1381" t="s">
        <v>1300</v>
      </c>
      <c r="C702" s="1382" t="s">
        <v>1495</v>
      </c>
      <c r="D702" s="1346">
        <v>750.0</v>
      </c>
      <c r="E702" s="1347"/>
      <c r="F702" s="1349"/>
      <c r="G702" s="1383"/>
      <c r="H702" s="1384">
        <v>862.5</v>
      </c>
    </row>
    <row r="703">
      <c r="A703" s="1351" t="s">
        <v>313</v>
      </c>
      <c r="B703" s="1385" t="s">
        <v>1275</v>
      </c>
      <c r="C703" s="1386" t="s">
        <v>1495</v>
      </c>
      <c r="D703" s="1353">
        <v>829.0</v>
      </c>
      <c r="E703" s="1354"/>
      <c r="F703" s="1356"/>
      <c r="G703" s="1387"/>
      <c r="H703" s="1388">
        <v>953.35</v>
      </c>
    </row>
    <row r="704">
      <c r="A704" s="1344" t="s">
        <v>313</v>
      </c>
      <c r="B704" s="1381" t="s">
        <v>1278</v>
      </c>
      <c r="C704" s="1382" t="s">
        <v>1495</v>
      </c>
      <c r="D704" s="1346">
        <v>1096.0</v>
      </c>
      <c r="E704" s="1347"/>
      <c r="F704" s="1349"/>
      <c r="G704" s="1383"/>
      <c r="H704" s="1392">
        <v>1260.4</v>
      </c>
    </row>
    <row r="705">
      <c r="A705" s="1351" t="s">
        <v>313</v>
      </c>
      <c r="B705" s="1385" t="s">
        <v>1282</v>
      </c>
      <c r="C705" s="1386" t="s">
        <v>1495</v>
      </c>
      <c r="D705" s="1353">
        <v>1060.0</v>
      </c>
      <c r="E705" s="1354"/>
      <c r="F705" s="1356"/>
      <c r="G705" s="1387"/>
      <c r="H705" s="1391">
        <v>1219.0</v>
      </c>
    </row>
    <row r="706">
      <c r="A706" s="1344" t="s">
        <v>313</v>
      </c>
      <c r="B706" s="1381" t="s">
        <v>1285</v>
      </c>
      <c r="C706" s="1382" t="s">
        <v>1495</v>
      </c>
      <c r="D706" s="1346">
        <v>1670.0</v>
      </c>
      <c r="E706" s="1347"/>
      <c r="F706" s="1349"/>
      <c r="G706" s="1383"/>
      <c r="H706" s="1392">
        <v>1920.5</v>
      </c>
    </row>
    <row r="707">
      <c r="A707" s="1351" t="s">
        <v>313</v>
      </c>
      <c r="B707" s="1385" t="s">
        <v>1288</v>
      </c>
      <c r="C707" s="1386" t="s">
        <v>1495</v>
      </c>
      <c r="D707" s="1353">
        <v>2330.0</v>
      </c>
      <c r="E707" s="1354"/>
      <c r="F707" s="1356"/>
      <c r="G707" s="1387"/>
      <c r="H707" s="1391">
        <v>2679.5</v>
      </c>
    </row>
    <row r="708">
      <c r="A708" s="1344" t="s">
        <v>313</v>
      </c>
      <c r="B708" s="1381" t="s">
        <v>1283</v>
      </c>
      <c r="C708" s="1382" t="s">
        <v>1495</v>
      </c>
      <c r="D708" s="1346"/>
      <c r="E708" s="1347"/>
      <c r="F708" s="1349"/>
      <c r="G708" s="1383"/>
      <c r="H708" s="1384"/>
    </row>
    <row r="709">
      <c r="A709" s="1351" t="s">
        <v>323</v>
      </c>
      <c r="B709" s="1385" t="s">
        <v>1386</v>
      </c>
      <c r="C709" s="1386" t="s">
        <v>1495</v>
      </c>
      <c r="D709" s="1353"/>
      <c r="E709" s="1354"/>
      <c r="F709" s="1356"/>
      <c r="G709" s="1387"/>
      <c r="H709" s="1388"/>
    </row>
    <row r="710">
      <c r="A710" s="1344" t="s">
        <v>323</v>
      </c>
      <c r="B710" s="1381" t="s">
        <v>1419</v>
      </c>
      <c r="C710" s="1382" t="s">
        <v>1495</v>
      </c>
      <c r="D710" s="1346"/>
      <c r="E710" s="1347"/>
      <c r="F710" s="1349"/>
      <c r="G710" s="1383"/>
      <c r="H710" s="1384"/>
    </row>
    <row r="711">
      <c r="A711" s="1351" t="s">
        <v>323</v>
      </c>
      <c r="B711" s="1385" t="s">
        <v>121</v>
      </c>
      <c r="C711" s="1386" t="s">
        <v>1495</v>
      </c>
      <c r="D711" s="1353">
        <v>66.01</v>
      </c>
      <c r="E711" s="1354"/>
      <c r="F711" s="1356"/>
      <c r="G711" s="1387"/>
      <c r="H711" s="1388">
        <v>75.95</v>
      </c>
    </row>
    <row r="712">
      <c r="A712" s="1344" t="s">
        <v>323</v>
      </c>
      <c r="B712" s="1381" t="s">
        <v>892</v>
      </c>
      <c r="C712" s="1382" t="s">
        <v>1495</v>
      </c>
      <c r="D712" s="1346">
        <v>40.0</v>
      </c>
      <c r="E712" s="1347"/>
      <c r="F712" s="1349"/>
      <c r="G712" s="1383"/>
      <c r="H712" s="1384">
        <v>46.0</v>
      </c>
    </row>
    <row r="713">
      <c r="A713" s="1351" t="s">
        <v>323</v>
      </c>
      <c r="B713" s="1385" t="s">
        <v>889</v>
      </c>
      <c r="C713" s="1386" t="s">
        <v>1495</v>
      </c>
      <c r="D713" s="1353">
        <v>139.03</v>
      </c>
      <c r="E713" s="1354"/>
      <c r="F713" s="1356"/>
      <c r="G713" s="1387"/>
      <c r="H713" s="1388">
        <v>159.9</v>
      </c>
    </row>
    <row r="714">
      <c r="A714" s="1344" t="s">
        <v>323</v>
      </c>
      <c r="B714" s="1381" t="s">
        <v>3040</v>
      </c>
      <c r="C714" s="1382" t="s">
        <v>1495</v>
      </c>
      <c r="D714" s="1346">
        <v>21.8</v>
      </c>
      <c r="E714" s="1347"/>
      <c r="F714" s="1349"/>
      <c r="G714" s="1383"/>
      <c r="H714" s="1384">
        <v>25.1</v>
      </c>
    </row>
    <row r="715">
      <c r="A715" s="1351" t="s">
        <v>323</v>
      </c>
      <c r="B715" s="1385" t="s">
        <v>891</v>
      </c>
      <c r="C715" s="1386" t="s">
        <v>1495</v>
      </c>
      <c r="D715" s="1353">
        <v>40.0</v>
      </c>
      <c r="E715" s="1354"/>
      <c r="F715" s="1356"/>
      <c r="G715" s="1387"/>
      <c r="H715" s="1388">
        <v>46.0</v>
      </c>
    </row>
    <row r="716">
      <c r="A716" s="1344" t="s">
        <v>323</v>
      </c>
      <c r="B716" s="1381" t="s">
        <v>986</v>
      </c>
      <c r="C716" s="1382" t="s">
        <v>1495</v>
      </c>
      <c r="D716" s="1346"/>
      <c r="E716" s="1347"/>
      <c r="F716" s="1349"/>
      <c r="G716" s="1383"/>
      <c r="H716" s="1384"/>
    </row>
    <row r="717">
      <c r="A717" s="1351" t="s">
        <v>323</v>
      </c>
      <c r="B717" s="1385" t="s">
        <v>894</v>
      </c>
      <c r="C717" s="1386" t="s">
        <v>1495</v>
      </c>
      <c r="D717" s="1353"/>
      <c r="E717" s="1354"/>
      <c r="F717" s="1356"/>
      <c r="G717" s="1387"/>
      <c r="H717" s="1388"/>
    </row>
    <row r="718">
      <c r="A718" s="1344" t="s">
        <v>323</v>
      </c>
      <c r="B718" s="1381" t="s">
        <v>1143</v>
      </c>
      <c r="C718" s="1382" t="s">
        <v>1495</v>
      </c>
      <c r="D718" s="1346">
        <v>545.0</v>
      </c>
      <c r="E718" s="1347"/>
      <c r="F718" s="1349"/>
      <c r="G718" s="1383"/>
      <c r="H718" s="1384">
        <v>626.75</v>
      </c>
    </row>
    <row r="719">
      <c r="A719" s="1351" t="s">
        <v>323</v>
      </c>
      <c r="B719" s="1385" t="s">
        <v>1142</v>
      </c>
      <c r="C719" s="1386" t="s">
        <v>1495</v>
      </c>
      <c r="D719" s="1353">
        <v>1362.0</v>
      </c>
      <c r="E719" s="1354"/>
      <c r="F719" s="1356"/>
      <c r="G719" s="1387"/>
      <c r="H719" s="1391">
        <v>1566.3</v>
      </c>
    </row>
    <row r="720">
      <c r="A720" s="1344" t="s">
        <v>3284</v>
      </c>
      <c r="B720" s="1381" t="s">
        <v>3420</v>
      </c>
      <c r="C720" s="1382" t="s">
        <v>1495</v>
      </c>
      <c r="D720" s="1346">
        <v>13.45</v>
      </c>
      <c r="E720" s="1347"/>
      <c r="F720" s="1349"/>
      <c r="G720" s="1389" t="s">
        <v>3421</v>
      </c>
      <c r="H720" s="1384">
        <v>15.5</v>
      </c>
    </row>
    <row r="721">
      <c r="A721" s="1351" t="s">
        <v>3284</v>
      </c>
      <c r="B721" s="1385" t="s">
        <v>3285</v>
      </c>
      <c r="C721" s="1386" t="s">
        <v>1495</v>
      </c>
      <c r="D721" s="1353">
        <v>1.2</v>
      </c>
      <c r="E721" s="1354"/>
      <c r="F721" s="1356"/>
      <c r="G721" s="1390" t="s">
        <v>3286</v>
      </c>
      <c r="H721" s="1388">
        <v>1.4</v>
      </c>
    </row>
    <row r="722">
      <c r="A722" s="1344" t="s">
        <v>2400</v>
      </c>
      <c r="B722" s="1381" t="s">
        <v>3198</v>
      </c>
      <c r="C722" s="1382" t="s">
        <v>1495</v>
      </c>
      <c r="D722" s="1346">
        <v>2.0</v>
      </c>
      <c r="E722" s="1346" t="s">
        <v>3199</v>
      </c>
      <c r="F722" s="1349"/>
      <c r="G722" s="1383"/>
      <c r="H722" s="1384">
        <v>2.3</v>
      </c>
    </row>
    <row r="723">
      <c r="A723" s="1351" t="s">
        <v>2400</v>
      </c>
      <c r="B723" s="1385" t="s">
        <v>3190</v>
      </c>
      <c r="C723" s="1386" t="s">
        <v>1495</v>
      </c>
      <c r="D723" s="1353">
        <v>3.85</v>
      </c>
      <c r="E723" s="1353" t="s">
        <v>3191</v>
      </c>
      <c r="F723" s="1356"/>
      <c r="G723" s="1390" t="s">
        <v>3192</v>
      </c>
      <c r="H723" s="1388">
        <v>4.45</v>
      </c>
    </row>
    <row r="724">
      <c r="A724" s="1344" t="s">
        <v>2400</v>
      </c>
      <c r="B724" s="1381" t="s">
        <v>3182</v>
      </c>
      <c r="C724" s="1382" t="s">
        <v>1495</v>
      </c>
      <c r="D724" s="1346">
        <v>1.12</v>
      </c>
      <c r="E724" s="1346" t="s">
        <v>3183</v>
      </c>
      <c r="F724" s="1349"/>
      <c r="G724" s="1383"/>
      <c r="H724" s="1384">
        <v>1.3</v>
      </c>
    </row>
    <row r="725">
      <c r="A725" s="1351" t="s">
        <v>2400</v>
      </c>
      <c r="B725" s="1385" t="s">
        <v>1129</v>
      </c>
      <c r="C725" s="1386" t="s">
        <v>1495</v>
      </c>
      <c r="D725" s="1353"/>
      <c r="E725" s="1353" t="s">
        <v>3176</v>
      </c>
      <c r="F725" s="1356"/>
      <c r="G725" s="1387"/>
      <c r="H725" s="1388"/>
    </row>
    <row r="726">
      <c r="A726" s="1344" t="s">
        <v>2400</v>
      </c>
      <c r="B726" s="1381" t="s">
        <v>1128</v>
      </c>
      <c r="C726" s="1382" t="s">
        <v>1495</v>
      </c>
      <c r="D726" s="1346"/>
      <c r="E726" s="1346" t="s">
        <v>3175</v>
      </c>
      <c r="F726" s="1349"/>
      <c r="G726" s="1383"/>
      <c r="H726" s="1384"/>
    </row>
    <row r="727">
      <c r="A727" s="1351" t="s">
        <v>2400</v>
      </c>
      <c r="B727" s="1385" t="s">
        <v>3172</v>
      </c>
      <c r="C727" s="1386" t="s">
        <v>1495</v>
      </c>
      <c r="D727" s="1353"/>
      <c r="E727" s="1353" t="s">
        <v>3173</v>
      </c>
      <c r="F727" s="1356"/>
      <c r="G727" s="1387"/>
      <c r="H727" s="1388"/>
    </row>
    <row r="728">
      <c r="A728" s="1344" t="s">
        <v>2400</v>
      </c>
      <c r="B728" s="1381" t="s">
        <v>1132</v>
      </c>
      <c r="C728" s="1382" t="s">
        <v>1495</v>
      </c>
      <c r="D728" s="1346"/>
      <c r="E728" s="1346" t="s">
        <v>3181</v>
      </c>
      <c r="F728" s="1349"/>
      <c r="G728" s="1383"/>
      <c r="H728" s="1384"/>
    </row>
    <row r="729">
      <c r="A729" s="1351" t="s">
        <v>2400</v>
      </c>
      <c r="B729" s="1385" t="s">
        <v>1131</v>
      </c>
      <c r="C729" s="1386" t="s">
        <v>1495</v>
      </c>
      <c r="D729" s="1353"/>
      <c r="E729" s="1353" t="s">
        <v>3180</v>
      </c>
      <c r="F729" s="1356"/>
      <c r="G729" s="1387"/>
      <c r="H729" s="1388"/>
    </row>
    <row r="730">
      <c r="A730" s="1344" t="s">
        <v>2400</v>
      </c>
      <c r="B730" s="1381" t="s">
        <v>1127</v>
      </c>
      <c r="C730" s="1382" t="s">
        <v>1495</v>
      </c>
      <c r="D730" s="1346"/>
      <c r="E730" s="1346" t="s">
        <v>3174</v>
      </c>
      <c r="F730" s="1349"/>
      <c r="G730" s="1383"/>
      <c r="H730" s="1384"/>
    </row>
    <row r="731">
      <c r="A731" s="1351" t="s">
        <v>2400</v>
      </c>
      <c r="B731" s="1385" t="s">
        <v>3807</v>
      </c>
      <c r="C731" s="1386" t="s">
        <v>1495</v>
      </c>
      <c r="D731" s="1353"/>
      <c r="E731" s="1354"/>
      <c r="F731" s="1356"/>
      <c r="G731" s="1390" t="s">
        <v>2625</v>
      </c>
      <c r="H731" s="1388"/>
    </row>
    <row r="732">
      <c r="A732" s="1344" t="s">
        <v>2400</v>
      </c>
      <c r="B732" s="1381" t="s">
        <v>3808</v>
      </c>
      <c r="C732" s="1382" t="s">
        <v>1495</v>
      </c>
      <c r="D732" s="1346"/>
      <c r="E732" s="1347"/>
      <c r="F732" s="1349"/>
      <c r="G732" s="1383"/>
      <c r="H732" s="1384"/>
    </row>
    <row r="733">
      <c r="A733" s="1351" t="s">
        <v>2400</v>
      </c>
      <c r="B733" s="1385" t="s">
        <v>3184</v>
      </c>
      <c r="C733" s="1386" t="s">
        <v>1495</v>
      </c>
      <c r="D733" s="1353"/>
      <c r="E733" s="1353" t="s">
        <v>3185</v>
      </c>
      <c r="F733" s="1356"/>
      <c r="G733" s="1390" t="s">
        <v>3186</v>
      </c>
      <c r="H733" s="1388"/>
    </row>
    <row r="734">
      <c r="A734" s="1344" t="s">
        <v>2400</v>
      </c>
      <c r="B734" s="1381" t="s">
        <v>2693</v>
      </c>
      <c r="C734" s="1382" t="s">
        <v>1495</v>
      </c>
      <c r="D734" s="1346">
        <v>0.65</v>
      </c>
      <c r="E734" s="1346" t="s">
        <v>2694</v>
      </c>
      <c r="F734" s="1349"/>
      <c r="G734" s="1383"/>
      <c r="H734" s="1384">
        <v>0.75</v>
      </c>
    </row>
    <row r="735">
      <c r="A735" s="1351" t="s">
        <v>2400</v>
      </c>
      <c r="B735" s="1385" t="s">
        <v>2828</v>
      </c>
      <c r="C735" s="1386" t="s">
        <v>1495</v>
      </c>
      <c r="D735" s="1353">
        <v>4.26</v>
      </c>
      <c r="E735" s="1353" t="s">
        <v>2829</v>
      </c>
      <c r="F735" s="1356"/>
      <c r="G735" s="1390" t="s">
        <v>2830</v>
      </c>
      <c r="H735" s="1388">
        <v>4.9</v>
      </c>
    </row>
    <row r="736">
      <c r="A736" s="1344" t="s">
        <v>2400</v>
      </c>
      <c r="B736" s="1381" t="s">
        <v>2790</v>
      </c>
      <c r="C736" s="1382" t="s">
        <v>1495</v>
      </c>
      <c r="D736" s="1346">
        <v>1.68</v>
      </c>
      <c r="E736" s="1346" t="s">
        <v>2791</v>
      </c>
      <c r="F736" s="1349"/>
      <c r="G736" s="1389" t="s">
        <v>2792</v>
      </c>
      <c r="H736" s="1384">
        <v>1.95</v>
      </c>
    </row>
    <row r="737">
      <c r="A737" s="1351" t="s">
        <v>2400</v>
      </c>
      <c r="B737" s="1385" t="s">
        <v>2433</v>
      </c>
      <c r="C737" s="1386" t="s">
        <v>1495</v>
      </c>
      <c r="D737" s="1353">
        <v>0.81</v>
      </c>
      <c r="E737" s="1353" t="s">
        <v>2434</v>
      </c>
      <c r="F737" s="1356"/>
      <c r="G737" s="1390" t="s">
        <v>2435</v>
      </c>
      <c r="H737" s="1388">
        <v>1.0</v>
      </c>
    </row>
    <row r="738">
      <c r="A738" s="1344" t="s">
        <v>2400</v>
      </c>
      <c r="B738" s="1381" t="s">
        <v>709</v>
      </c>
      <c r="C738" s="1382" t="s">
        <v>1495</v>
      </c>
      <c r="D738" s="1346">
        <v>9.85</v>
      </c>
      <c r="E738" s="1346" t="s">
        <v>2820</v>
      </c>
      <c r="F738" s="1349"/>
      <c r="G738" s="1389" t="s">
        <v>2821</v>
      </c>
      <c r="H738" s="1384">
        <v>11.35</v>
      </c>
    </row>
    <row r="739">
      <c r="A739" s="1351" t="s">
        <v>2400</v>
      </c>
      <c r="B739" s="1385" t="s">
        <v>2776</v>
      </c>
      <c r="C739" s="1386" t="s">
        <v>1495</v>
      </c>
      <c r="D739" s="1353">
        <v>4.85</v>
      </c>
      <c r="E739" s="1353" t="s">
        <v>2777</v>
      </c>
      <c r="F739" s="1356"/>
      <c r="G739" s="1390" t="s">
        <v>2778</v>
      </c>
      <c r="H739" s="1388">
        <v>5.6</v>
      </c>
    </row>
    <row r="740">
      <c r="A740" s="1344" t="s">
        <v>2400</v>
      </c>
      <c r="B740" s="1381" t="s">
        <v>2401</v>
      </c>
      <c r="C740" s="1382" t="s">
        <v>1495</v>
      </c>
      <c r="D740" s="1346">
        <v>0.23</v>
      </c>
      <c r="E740" s="1346" t="s">
        <v>2402</v>
      </c>
      <c r="F740" s="1349"/>
      <c r="G740" s="1389" t="s">
        <v>2403</v>
      </c>
      <c r="H740" s="1384">
        <v>0.3</v>
      </c>
    </row>
    <row r="741">
      <c r="A741" s="1351" t="s">
        <v>2400</v>
      </c>
      <c r="B741" s="1385" t="s">
        <v>579</v>
      </c>
      <c r="C741" s="1386" t="s">
        <v>1495</v>
      </c>
      <c r="D741" s="1353">
        <v>0.27</v>
      </c>
      <c r="E741" s="1353" t="s">
        <v>2574</v>
      </c>
      <c r="F741" s="1356"/>
      <c r="G741" s="1387"/>
      <c r="H741" s="1388">
        <v>0.35</v>
      </c>
    </row>
    <row r="742">
      <c r="A742" s="1344" t="s">
        <v>2400</v>
      </c>
      <c r="B742" s="1381" t="s">
        <v>2404</v>
      </c>
      <c r="C742" s="1382" t="s">
        <v>1495</v>
      </c>
      <c r="D742" s="1346">
        <v>0.31</v>
      </c>
      <c r="E742" s="1346" t="s">
        <v>2405</v>
      </c>
      <c r="F742" s="1349"/>
      <c r="G742" s="1389" t="s">
        <v>2406</v>
      </c>
      <c r="H742" s="1384">
        <v>0.4</v>
      </c>
    </row>
    <row r="743">
      <c r="A743" s="1351" t="s">
        <v>2400</v>
      </c>
      <c r="B743" s="1385" t="s">
        <v>2632</v>
      </c>
      <c r="C743" s="1386" t="s">
        <v>1495</v>
      </c>
      <c r="D743" s="1353">
        <v>0.25</v>
      </c>
      <c r="E743" s="1353" t="s">
        <v>2633</v>
      </c>
      <c r="F743" s="1356"/>
      <c r="G743" s="1390" t="s">
        <v>2634</v>
      </c>
      <c r="H743" s="1388">
        <v>0.3</v>
      </c>
    </row>
    <row r="744">
      <c r="A744" s="1344" t="s">
        <v>2400</v>
      </c>
      <c r="B744" s="1381" t="s">
        <v>2547</v>
      </c>
      <c r="C744" s="1382" t="s">
        <v>1495</v>
      </c>
      <c r="D744" s="1346">
        <v>1.85</v>
      </c>
      <c r="E744" s="1346" t="s">
        <v>2548</v>
      </c>
      <c r="F744" s="1349"/>
      <c r="G744" s="1389" t="s">
        <v>2549</v>
      </c>
      <c r="H744" s="1384">
        <v>2.25</v>
      </c>
    </row>
    <row r="745">
      <c r="A745" s="1351" t="s">
        <v>2400</v>
      </c>
      <c r="B745" s="1385" t="s">
        <v>682</v>
      </c>
      <c r="C745" s="1386" t="s">
        <v>1495</v>
      </c>
      <c r="D745" s="1353">
        <v>0.7</v>
      </c>
      <c r="E745" s="1353" t="s">
        <v>2764</v>
      </c>
      <c r="F745" s="1356"/>
      <c r="G745" s="1390" t="s">
        <v>2765</v>
      </c>
      <c r="H745" s="1388">
        <v>0.85</v>
      </c>
    </row>
    <row r="746">
      <c r="A746" s="1344" t="s">
        <v>2400</v>
      </c>
      <c r="B746" s="1381" t="s">
        <v>706</v>
      </c>
      <c r="C746" s="1382" t="s">
        <v>1495</v>
      </c>
      <c r="D746" s="1346">
        <v>1.0</v>
      </c>
      <c r="E746" s="1346" t="s">
        <v>2813</v>
      </c>
      <c r="F746" s="1349"/>
      <c r="G746" s="1389" t="s">
        <v>2814</v>
      </c>
      <c r="H746" s="1384">
        <v>1.15</v>
      </c>
    </row>
    <row r="747">
      <c r="A747" s="1351" t="s">
        <v>2400</v>
      </c>
      <c r="B747" s="1385" t="s">
        <v>3809</v>
      </c>
      <c r="C747" s="1386" t="s">
        <v>1495</v>
      </c>
      <c r="D747" s="1353">
        <v>4.61</v>
      </c>
      <c r="E747" s="1353" t="s">
        <v>2417</v>
      </c>
      <c r="F747" s="1356"/>
      <c r="G747" s="1390" t="s">
        <v>2418</v>
      </c>
      <c r="H747" s="1388">
        <v>5.55</v>
      </c>
    </row>
    <row r="748">
      <c r="A748" s="1344" t="s">
        <v>2400</v>
      </c>
      <c r="B748" s="1381" t="s">
        <v>2413</v>
      </c>
      <c r="C748" s="1382" t="s">
        <v>1495</v>
      </c>
      <c r="D748" s="1346">
        <v>1.93</v>
      </c>
      <c r="E748" s="1346" t="s">
        <v>2414</v>
      </c>
      <c r="F748" s="1349"/>
      <c r="G748" s="1389" t="s">
        <v>2415</v>
      </c>
      <c r="H748" s="1384">
        <v>2.35</v>
      </c>
    </row>
    <row r="749">
      <c r="A749" s="1351" t="s">
        <v>2400</v>
      </c>
      <c r="B749" s="1385" t="s">
        <v>2536</v>
      </c>
      <c r="C749" s="1386" t="s">
        <v>1495</v>
      </c>
      <c r="D749" s="1353">
        <v>0.33</v>
      </c>
      <c r="E749" s="1353" t="s">
        <v>2537</v>
      </c>
      <c r="F749" s="1356"/>
      <c r="G749" s="1390" t="s">
        <v>2538</v>
      </c>
      <c r="H749" s="1388">
        <v>0.4</v>
      </c>
    </row>
    <row r="750">
      <c r="A750" s="1344" t="s">
        <v>2400</v>
      </c>
      <c r="B750" s="1381" t="s">
        <v>708</v>
      </c>
      <c r="C750" s="1382" t="s">
        <v>1495</v>
      </c>
      <c r="D750" s="1346">
        <v>4.85</v>
      </c>
      <c r="E750" s="1346" t="s">
        <v>2818</v>
      </c>
      <c r="F750" s="1349"/>
      <c r="G750" s="1389" t="s">
        <v>2819</v>
      </c>
      <c r="H750" s="1384">
        <v>5.6</v>
      </c>
    </row>
    <row r="751">
      <c r="A751" s="1351" t="s">
        <v>2400</v>
      </c>
      <c r="B751" s="1385" t="s">
        <v>2825</v>
      </c>
      <c r="C751" s="1386" t="s">
        <v>1495</v>
      </c>
      <c r="D751" s="1353">
        <v>2.27</v>
      </c>
      <c r="E751" s="1353" t="s">
        <v>2826</v>
      </c>
      <c r="F751" s="1356"/>
      <c r="G751" s="1390" t="s">
        <v>2827</v>
      </c>
      <c r="H751" s="1388">
        <v>2.65</v>
      </c>
    </row>
    <row r="752">
      <c r="A752" s="1344" t="s">
        <v>2400</v>
      </c>
      <c r="B752" s="1381" t="s">
        <v>2550</v>
      </c>
      <c r="C752" s="1382" t="s">
        <v>1495</v>
      </c>
      <c r="D752" s="1346">
        <v>1.0</v>
      </c>
      <c r="E752" s="1346" t="s">
        <v>2551</v>
      </c>
      <c r="F752" s="1349"/>
      <c r="G752" s="1389" t="s">
        <v>2552</v>
      </c>
      <c r="H752" s="1384">
        <v>1.15</v>
      </c>
    </row>
    <row r="753">
      <c r="A753" s="1351" t="s">
        <v>2400</v>
      </c>
      <c r="B753" s="1385" t="s">
        <v>2544</v>
      </c>
      <c r="C753" s="1386" t="s">
        <v>1495</v>
      </c>
      <c r="D753" s="1353">
        <v>0.49</v>
      </c>
      <c r="E753" s="1353" t="s">
        <v>2545</v>
      </c>
      <c r="F753" s="1356"/>
      <c r="G753" s="1390" t="s">
        <v>2546</v>
      </c>
      <c r="H753" s="1388">
        <v>0.6</v>
      </c>
    </row>
    <row r="754">
      <c r="A754" s="1344" t="s">
        <v>2400</v>
      </c>
      <c r="B754" s="1381" t="s">
        <v>689</v>
      </c>
      <c r="C754" s="1382" t="s">
        <v>1495</v>
      </c>
      <c r="D754" s="1346">
        <v>0.95</v>
      </c>
      <c r="E754" s="1346" t="s">
        <v>2782</v>
      </c>
      <c r="F754" s="1349"/>
      <c r="G754" s="1389" t="s">
        <v>2783</v>
      </c>
      <c r="H754" s="1384">
        <v>1.1</v>
      </c>
    </row>
    <row r="755">
      <c r="A755" s="1351" t="s">
        <v>2400</v>
      </c>
      <c r="B755" s="1385" t="s">
        <v>691</v>
      </c>
      <c r="C755" s="1386" t="s">
        <v>1495</v>
      </c>
      <c r="D755" s="1353">
        <v>0.95</v>
      </c>
      <c r="E755" s="1353" t="s">
        <v>2786</v>
      </c>
      <c r="F755" s="1356"/>
      <c r="G755" s="1390" t="s">
        <v>2787</v>
      </c>
      <c r="H755" s="1388">
        <v>1.1</v>
      </c>
    </row>
    <row r="756">
      <c r="A756" s="1344" t="s">
        <v>2400</v>
      </c>
      <c r="B756" s="1381" t="s">
        <v>2407</v>
      </c>
      <c r="C756" s="1382" t="s">
        <v>1495</v>
      </c>
      <c r="D756" s="1346">
        <v>0.9</v>
      </c>
      <c r="E756" s="1346" t="s">
        <v>2408</v>
      </c>
      <c r="F756" s="1349"/>
      <c r="G756" s="1389" t="s">
        <v>2409</v>
      </c>
      <c r="H756" s="1384">
        <v>1.1</v>
      </c>
    </row>
    <row r="757">
      <c r="A757" s="1351" t="s">
        <v>2400</v>
      </c>
      <c r="B757" s="1385" t="s">
        <v>683</v>
      </c>
      <c r="C757" s="1386" t="s">
        <v>1495</v>
      </c>
      <c r="D757" s="1353">
        <v>0.95</v>
      </c>
      <c r="E757" s="1353" t="s">
        <v>2766</v>
      </c>
      <c r="F757" s="1356"/>
      <c r="G757" s="1390" t="s">
        <v>2767</v>
      </c>
      <c r="H757" s="1388">
        <v>1.1</v>
      </c>
    </row>
    <row r="758">
      <c r="A758" s="1344" t="s">
        <v>2400</v>
      </c>
      <c r="B758" s="1381" t="s">
        <v>685</v>
      </c>
      <c r="C758" s="1382" t="s">
        <v>1495</v>
      </c>
      <c r="D758" s="1346">
        <v>3.95</v>
      </c>
      <c r="E758" s="1346" t="s">
        <v>2771</v>
      </c>
      <c r="F758" s="1349"/>
      <c r="G758" s="1389" t="s">
        <v>2772</v>
      </c>
      <c r="H758" s="1384">
        <v>4.55</v>
      </c>
    </row>
    <row r="759">
      <c r="A759" s="1351" t="s">
        <v>2400</v>
      </c>
      <c r="B759" s="1385" t="s">
        <v>2815</v>
      </c>
      <c r="C759" s="1386" t="s">
        <v>2463</v>
      </c>
      <c r="D759" s="1353">
        <v>1.52</v>
      </c>
      <c r="E759" s="1353" t="s">
        <v>2816</v>
      </c>
      <c r="F759" s="1356"/>
      <c r="G759" s="1390" t="s">
        <v>2817</v>
      </c>
      <c r="H759" s="1388">
        <v>1.75</v>
      </c>
    </row>
    <row r="760">
      <c r="A760" s="1344" t="s">
        <v>2400</v>
      </c>
      <c r="B760" s="1381" t="s">
        <v>2577</v>
      </c>
      <c r="C760" s="1382" t="s">
        <v>1495</v>
      </c>
      <c r="D760" s="1346">
        <v>0.6</v>
      </c>
      <c r="E760" s="1346" t="s">
        <v>2578</v>
      </c>
      <c r="F760" s="1349"/>
      <c r="G760" s="1383"/>
      <c r="H760" s="1384">
        <v>0.7</v>
      </c>
    </row>
    <row r="761">
      <c r="A761" s="1351" t="s">
        <v>2400</v>
      </c>
      <c r="B761" s="1385" t="s">
        <v>2822</v>
      </c>
      <c r="C761" s="1386" t="s">
        <v>2463</v>
      </c>
      <c r="D761" s="1353">
        <v>9.33</v>
      </c>
      <c r="E761" s="1353" t="s">
        <v>2823</v>
      </c>
      <c r="F761" s="1356"/>
      <c r="G761" s="1390" t="s">
        <v>2824</v>
      </c>
      <c r="H761" s="1388">
        <v>10.75</v>
      </c>
    </row>
    <row r="762">
      <c r="A762" s="1344" t="s">
        <v>2400</v>
      </c>
      <c r="B762" s="1381" t="s">
        <v>2541</v>
      </c>
      <c r="C762" s="1382" t="s">
        <v>1495</v>
      </c>
      <c r="D762" s="1346">
        <v>0.4</v>
      </c>
      <c r="E762" s="1346" t="s">
        <v>2542</v>
      </c>
      <c r="F762" s="1349"/>
      <c r="G762" s="1389" t="s">
        <v>2543</v>
      </c>
      <c r="H762" s="1384">
        <v>0.5</v>
      </c>
    </row>
    <row r="763">
      <c r="A763" s="1351" t="s">
        <v>2400</v>
      </c>
      <c r="B763" s="1385" t="s">
        <v>264</v>
      </c>
      <c r="C763" s="1386" t="s">
        <v>1495</v>
      </c>
      <c r="D763" s="1353">
        <v>0.45</v>
      </c>
      <c r="E763" s="1353" t="s">
        <v>2539</v>
      </c>
      <c r="F763" s="1356"/>
      <c r="G763" s="1390" t="s">
        <v>2540</v>
      </c>
      <c r="H763" s="1388">
        <v>0.55</v>
      </c>
    </row>
    <row r="764">
      <c r="A764" s="1344" t="s">
        <v>2400</v>
      </c>
      <c r="B764" s="1381" t="s">
        <v>535</v>
      </c>
      <c r="C764" s="1382" t="s">
        <v>1495</v>
      </c>
      <c r="D764" s="1346">
        <v>1.75</v>
      </c>
      <c r="E764" s="1346" t="s">
        <v>2486</v>
      </c>
      <c r="F764" s="1349"/>
      <c r="G764" s="1389" t="s">
        <v>2487</v>
      </c>
      <c r="H764" s="1384">
        <v>2.05</v>
      </c>
    </row>
    <row r="765">
      <c r="A765" s="1351" t="s">
        <v>2400</v>
      </c>
      <c r="B765" s="1385" t="s">
        <v>541</v>
      </c>
      <c r="C765" s="1386" t="s">
        <v>1495</v>
      </c>
      <c r="D765" s="1353">
        <v>3.7</v>
      </c>
      <c r="E765" s="1353" t="s">
        <v>2501</v>
      </c>
      <c r="F765" s="1356"/>
      <c r="G765" s="1390" t="s">
        <v>2502</v>
      </c>
      <c r="H765" s="1388">
        <v>4.3</v>
      </c>
    </row>
    <row r="766">
      <c r="A766" s="1344" t="s">
        <v>2400</v>
      </c>
      <c r="B766" s="1381" t="s">
        <v>527</v>
      </c>
      <c r="C766" s="1382" t="s">
        <v>1495</v>
      </c>
      <c r="D766" s="1346">
        <v>2.1</v>
      </c>
      <c r="E766" s="1346" t="s">
        <v>2464</v>
      </c>
      <c r="F766" s="1349"/>
      <c r="G766" s="1389" t="s">
        <v>2465</v>
      </c>
      <c r="H766" s="1384">
        <v>2.45</v>
      </c>
    </row>
    <row r="767">
      <c r="A767" s="1351" t="s">
        <v>2400</v>
      </c>
      <c r="B767" s="1385" t="s">
        <v>2575</v>
      </c>
      <c r="C767" s="1386" t="s">
        <v>1495</v>
      </c>
      <c r="D767" s="1353">
        <v>0.4</v>
      </c>
      <c r="E767" s="1353" t="s">
        <v>2576</v>
      </c>
      <c r="F767" s="1356"/>
      <c r="G767" s="1387"/>
      <c r="H767" s="1388">
        <v>0.5</v>
      </c>
    </row>
    <row r="768">
      <c r="A768" s="1344" t="s">
        <v>2400</v>
      </c>
      <c r="B768" s="1381" t="s">
        <v>2635</v>
      </c>
      <c r="C768" s="1382" t="s">
        <v>1495</v>
      </c>
      <c r="D768" s="1346">
        <v>0.45</v>
      </c>
      <c r="E768" s="1346" t="s">
        <v>2636</v>
      </c>
      <c r="F768" s="1349"/>
      <c r="G768" s="1389" t="s">
        <v>2637</v>
      </c>
      <c r="H768" s="1384">
        <v>0.55</v>
      </c>
    </row>
    <row r="769">
      <c r="A769" s="1351" t="s">
        <v>2400</v>
      </c>
      <c r="B769" s="1385" t="s">
        <v>2419</v>
      </c>
      <c r="C769" s="1386" t="s">
        <v>1495</v>
      </c>
      <c r="D769" s="1353">
        <v>0.84</v>
      </c>
      <c r="E769" s="1353" t="s">
        <v>2420</v>
      </c>
      <c r="F769" s="1356"/>
      <c r="G769" s="1390" t="s">
        <v>2421</v>
      </c>
      <c r="H769" s="1388">
        <v>1.05</v>
      </c>
    </row>
    <row r="770">
      <c r="A770" s="1344" t="s">
        <v>2400</v>
      </c>
      <c r="B770" s="1381" t="s">
        <v>2629</v>
      </c>
      <c r="C770" s="1382" t="s">
        <v>1495</v>
      </c>
      <c r="D770" s="1346">
        <v>0.17</v>
      </c>
      <c r="E770" s="1346" t="s">
        <v>2630</v>
      </c>
      <c r="F770" s="1349"/>
      <c r="G770" s="1389" t="s">
        <v>2631</v>
      </c>
      <c r="H770" s="1384">
        <v>0.25</v>
      </c>
    </row>
    <row r="771">
      <c r="A771" s="1351" t="s">
        <v>2400</v>
      </c>
      <c r="B771" s="1385" t="s">
        <v>2641</v>
      </c>
      <c r="C771" s="1386" t="s">
        <v>1495</v>
      </c>
      <c r="D771" s="1353">
        <v>0.13</v>
      </c>
      <c r="E771" s="1353" t="s">
        <v>2642</v>
      </c>
      <c r="F771" s="1356"/>
      <c r="G771" s="1390" t="s">
        <v>2643</v>
      </c>
      <c r="H771" s="1388">
        <v>0.2</v>
      </c>
    </row>
    <row r="772">
      <c r="A772" s="1344" t="s">
        <v>2400</v>
      </c>
      <c r="B772" s="1381" t="s">
        <v>2638</v>
      </c>
      <c r="C772" s="1382" t="s">
        <v>1495</v>
      </c>
      <c r="D772" s="1346">
        <v>0.55</v>
      </c>
      <c r="E772" s="1346" t="s">
        <v>2639</v>
      </c>
      <c r="F772" s="1349"/>
      <c r="G772" s="1389" t="s">
        <v>2640</v>
      </c>
      <c r="H772" s="1384">
        <v>0.7</v>
      </c>
    </row>
    <row r="773">
      <c r="A773" s="1351" t="s">
        <v>2400</v>
      </c>
      <c r="B773" s="1385" t="s">
        <v>2422</v>
      </c>
      <c r="C773" s="1386" t="s">
        <v>1495</v>
      </c>
      <c r="D773" s="1353">
        <v>0.92</v>
      </c>
      <c r="E773" s="1353" t="s">
        <v>2423</v>
      </c>
      <c r="F773" s="1356"/>
      <c r="G773" s="1390" t="s">
        <v>2424</v>
      </c>
      <c r="H773" s="1388">
        <v>1.15</v>
      </c>
    </row>
    <row r="774">
      <c r="A774" s="1344" t="s">
        <v>2400</v>
      </c>
      <c r="B774" s="1381" t="s">
        <v>2773</v>
      </c>
      <c r="C774" s="1382" t="s">
        <v>2463</v>
      </c>
      <c r="D774" s="1346">
        <v>2.3</v>
      </c>
      <c r="E774" s="1346" t="s">
        <v>2774</v>
      </c>
      <c r="F774" s="1349"/>
      <c r="G774" s="1389" t="s">
        <v>2775</v>
      </c>
      <c r="H774" s="1392">
        <v>2.65</v>
      </c>
    </row>
    <row r="775">
      <c r="A775" s="1351" t="s">
        <v>2400</v>
      </c>
      <c r="B775" s="1385" t="s">
        <v>694</v>
      </c>
      <c r="C775" s="1386" t="s">
        <v>1495</v>
      </c>
      <c r="D775" s="1353">
        <v>2.45</v>
      </c>
      <c r="E775" s="1353" t="s">
        <v>2793</v>
      </c>
      <c r="F775" s="1356"/>
      <c r="G775" s="1390" t="s">
        <v>2794</v>
      </c>
      <c r="H775" s="1388">
        <v>2.85</v>
      </c>
    </row>
    <row r="776">
      <c r="A776" s="1344" t="s">
        <v>2400</v>
      </c>
      <c r="B776" s="1381" t="s">
        <v>3810</v>
      </c>
      <c r="C776" s="1382" t="s">
        <v>2463</v>
      </c>
      <c r="D776" s="1346">
        <v>8.78</v>
      </c>
      <c r="E776" s="1346" t="s">
        <v>2627</v>
      </c>
      <c r="F776" s="1349"/>
      <c r="G776" s="1389" t="s">
        <v>2628</v>
      </c>
      <c r="H776" s="1384">
        <v>10.55</v>
      </c>
    </row>
    <row r="777">
      <c r="A777" s="1351" t="s">
        <v>2400</v>
      </c>
      <c r="B777" s="1385" t="s">
        <v>690</v>
      </c>
      <c r="C777" s="1386" t="s">
        <v>1495</v>
      </c>
      <c r="D777" s="1353">
        <v>3.4</v>
      </c>
      <c r="E777" s="1353" t="s">
        <v>2784</v>
      </c>
      <c r="F777" s="1356"/>
      <c r="G777" s="1390" t="s">
        <v>2785</v>
      </c>
      <c r="H777" s="1388">
        <v>3.95</v>
      </c>
    </row>
    <row r="778">
      <c r="A778" s="1344" t="s">
        <v>2400</v>
      </c>
      <c r="B778" s="1381" t="s">
        <v>2779</v>
      </c>
      <c r="C778" s="1382" t="s">
        <v>1495</v>
      </c>
      <c r="D778" s="1346">
        <v>4.35</v>
      </c>
      <c r="E778" s="1346" t="s">
        <v>2780</v>
      </c>
      <c r="F778" s="1349"/>
      <c r="G778" s="1389" t="s">
        <v>2781</v>
      </c>
      <c r="H778" s="1384">
        <v>5.05</v>
      </c>
    </row>
    <row r="779">
      <c r="A779" s="1351" t="s">
        <v>2400</v>
      </c>
      <c r="B779" s="1385" t="s">
        <v>692</v>
      </c>
      <c r="C779" s="1386" t="s">
        <v>2463</v>
      </c>
      <c r="D779" s="1353">
        <v>1.63</v>
      </c>
      <c r="E779" s="1353" t="s">
        <v>2788</v>
      </c>
      <c r="F779" s="1356"/>
      <c r="G779" s="1390" t="s">
        <v>2789</v>
      </c>
      <c r="H779" s="1388">
        <v>1.9</v>
      </c>
    </row>
    <row r="780">
      <c r="A780" s="1344" t="s">
        <v>2400</v>
      </c>
      <c r="B780" s="1381" t="s">
        <v>2478</v>
      </c>
      <c r="C780" s="1382" t="s">
        <v>2463</v>
      </c>
      <c r="D780" s="1346">
        <v>1.75</v>
      </c>
      <c r="E780" s="1346" t="s">
        <v>2479</v>
      </c>
      <c r="F780" s="1349"/>
      <c r="G780" s="1389" t="s">
        <v>2480</v>
      </c>
      <c r="H780" s="1384">
        <v>2.05</v>
      </c>
    </row>
    <row r="781">
      <c r="A781" s="1351" t="s">
        <v>2400</v>
      </c>
      <c r="B781" s="1385" t="s">
        <v>2472</v>
      </c>
      <c r="C781" s="1386" t="s">
        <v>2463</v>
      </c>
      <c r="D781" s="1353">
        <v>0.6</v>
      </c>
      <c r="E781" s="1353" t="s">
        <v>2473</v>
      </c>
      <c r="F781" s="1356"/>
      <c r="G781" s="1390" t="s">
        <v>2474</v>
      </c>
      <c r="H781" s="1388">
        <v>0.7</v>
      </c>
    </row>
    <row r="782">
      <c r="A782" s="1344" t="s">
        <v>2400</v>
      </c>
      <c r="B782" s="1381" t="s">
        <v>536</v>
      </c>
      <c r="C782" s="1382" t="s">
        <v>2463</v>
      </c>
      <c r="D782" s="1346">
        <v>1.5</v>
      </c>
      <c r="E782" s="1346" t="s">
        <v>2488</v>
      </c>
      <c r="F782" s="1349"/>
      <c r="G782" s="1389" t="s">
        <v>2489</v>
      </c>
      <c r="H782" s="1384">
        <v>1.75</v>
      </c>
    </row>
    <row r="783">
      <c r="A783" s="1351" t="s">
        <v>2400</v>
      </c>
      <c r="B783" s="1385" t="s">
        <v>2503</v>
      </c>
      <c r="C783" s="1386" t="s">
        <v>1495</v>
      </c>
      <c r="D783" s="1353">
        <v>0.45</v>
      </c>
      <c r="E783" s="1353" t="s">
        <v>2504</v>
      </c>
      <c r="F783" s="1356"/>
      <c r="G783" s="1390" t="s">
        <v>2505</v>
      </c>
      <c r="H783" s="1388">
        <v>0.55</v>
      </c>
    </row>
    <row r="784">
      <c r="A784" s="1344" t="s">
        <v>2400</v>
      </c>
      <c r="B784" s="1381" t="s">
        <v>538</v>
      </c>
      <c r="C784" s="1382" t="s">
        <v>2463</v>
      </c>
      <c r="D784" s="1346">
        <v>4.99</v>
      </c>
      <c r="E784" s="1346" t="s">
        <v>2493</v>
      </c>
      <c r="F784" s="1349"/>
      <c r="G784" s="1389" t="s">
        <v>2494</v>
      </c>
      <c r="H784" s="1384">
        <v>5.75</v>
      </c>
    </row>
    <row r="785">
      <c r="A785" s="1351" t="s">
        <v>2400</v>
      </c>
      <c r="B785" s="1385" t="s">
        <v>2466</v>
      </c>
      <c r="C785" s="1386" t="s">
        <v>1495</v>
      </c>
      <c r="D785" s="1353">
        <v>2.06</v>
      </c>
      <c r="E785" s="1353" t="s">
        <v>2467</v>
      </c>
      <c r="F785" s="1356"/>
      <c r="G785" s="1390" t="s">
        <v>2468</v>
      </c>
      <c r="H785" s="1388">
        <v>2.4</v>
      </c>
    </row>
    <row r="786">
      <c r="A786" s="1344" t="s">
        <v>2400</v>
      </c>
      <c r="B786" s="1381" t="s">
        <v>2495</v>
      </c>
      <c r="C786" s="1382" t="s">
        <v>1495</v>
      </c>
      <c r="D786" s="1346">
        <v>5.7</v>
      </c>
      <c r="E786" s="1346" t="s">
        <v>2496</v>
      </c>
      <c r="F786" s="1349"/>
      <c r="G786" s="1389" t="s">
        <v>2497</v>
      </c>
      <c r="H786" s="1384">
        <v>6.6</v>
      </c>
    </row>
    <row r="787">
      <c r="A787" s="1351" t="s">
        <v>2400</v>
      </c>
      <c r="B787" s="1385" t="s">
        <v>2475</v>
      </c>
      <c r="C787" s="1386" t="s">
        <v>1495</v>
      </c>
      <c r="D787" s="1353">
        <v>3.3</v>
      </c>
      <c r="E787" s="1353" t="s">
        <v>2476</v>
      </c>
      <c r="F787" s="1356"/>
      <c r="G787" s="1390" t="s">
        <v>2477</v>
      </c>
      <c r="H787" s="1388">
        <v>3.8</v>
      </c>
    </row>
    <row r="788">
      <c r="A788" s="1344" t="s">
        <v>2400</v>
      </c>
      <c r="B788" s="1381" t="s">
        <v>2469</v>
      </c>
      <c r="C788" s="1382" t="s">
        <v>1495</v>
      </c>
      <c r="D788" s="1346">
        <v>0.58</v>
      </c>
      <c r="E788" s="1346" t="s">
        <v>2470</v>
      </c>
      <c r="F788" s="1349"/>
      <c r="G788" s="1389" t="s">
        <v>2471</v>
      </c>
      <c r="H788" s="1384">
        <v>0.7</v>
      </c>
    </row>
    <row r="789">
      <c r="A789" s="1351" t="s">
        <v>2400</v>
      </c>
      <c r="B789" s="1385" t="s">
        <v>2490</v>
      </c>
      <c r="C789" s="1386" t="s">
        <v>1495</v>
      </c>
      <c r="D789" s="1353">
        <v>1.35</v>
      </c>
      <c r="E789" s="1353" t="s">
        <v>2491</v>
      </c>
      <c r="F789" s="1356"/>
      <c r="G789" s="1390" t="s">
        <v>2492</v>
      </c>
      <c r="H789" s="1388">
        <v>1.6</v>
      </c>
    </row>
    <row r="790">
      <c r="A790" s="1344" t="s">
        <v>2400</v>
      </c>
      <c r="B790" s="1381" t="s">
        <v>2481</v>
      </c>
      <c r="C790" s="1382" t="s">
        <v>2463</v>
      </c>
      <c r="D790" s="1346">
        <v>0.83</v>
      </c>
      <c r="E790" s="1346" t="s">
        <v>2482</v>
      </c>
      <c r="F790" s="1349"/>
      <c r="G790" s="1389" t="s">
        <v>2483</v>
      </c>
      <c r="H790" s="1384">
        <v>1.0</v>
      </c>
    </row>
    <row r="791">
      <c r="A791" s="1351" t="s">
        <v>2400</v>
      </c>
      <c r="B791" s="1385" t="s">
        <v>2498</v>
      </c>
      <c r="C791" s="1386" t="s">
        <v>1495</v>
      </c>
      <c r="D791" s="1353">
        <v>2.63</v>
      </c>
      <c r="E791" s="1353" t="s">
        <v>2499</v>
      </c>
      <c r="F791" s="1356"/>
      <c r="G791" s="1390" t="s">
        <v>2500</v>
      </c>
      <c r="H791" s="1388">
        <v>3.05</v>
      </c>
    </row>
    <row r="792">
      <c r="A792" s="1344" t="s">
        <v>2400</v>
      </c>
      <c r="B792" s="1381" t="s">
        <v>534</v>
      </c>
      <c r="C792" s="1382" t="s">
        <v>2463</v>
      </c>
      <c r="D792" s="1346">
        <v>0.34</v>
      </c>
      <c r="E792" s="1346" t="s">
        <v>2484</v>
      </c>
      <c r="F792" s="1349"/>
      <c r="G792" s="1389" t="s">
        <v>2485</v>
      </c>
      <c r="H792" s="1392">
        <v>0.4</v>
      </c>
    </row>
    <row r="793">
      <c r="A793" s="1351" t="s">
        <v>2400</v>
      </c>
      <c r="B793" s="1385" t="s">
        <v>3204</v>
      </c>
      <c r="C793" s="1386" t="s">
        <v>1495</v>
      </c>
      <c r="D793" s="1353">
        <v>1.02</v>
      </c>
      <c r="E793" s="1353" t="s">
        <v>3205</v>
      </c>
      <c r="F793" s="1356"/>
      <c r="G793" s="1387"/>
      <c r="H793" s="1388">
        <v>1.2</v>
      </c>
    </row>
    <row r="794">
      <c r="A794" s="1344" t="s">
        <v>2400</v>
      </c>
      <c r="B794" s="1381" t="s">
        <v>2425</v>
      </c>
      <c r="C794" s="1382" t="s">
        <v>1495</v>
      </c>
      <c r="D794" s="1346">
        <v>2.86</v>
      </c>
      <c r="E794" s="1346" t="s">
        <v>2426</v>
      </c>
      <c r="F794" s="1349"/>
      <c r="G794" s="1389" t="s">
        <v>2427</v>
      </c>
      <c r="H794" s="1384">
        <v>3.45</v>
      </c>
    </row>
    <row r="795">
      <c r="A795" s="1351" t="s">
        <v>2400</v>
      </c>
      <c r="B795" s="1385" t="s">
        <v>2553</v>
      </c>
      <c r="C795" s="1386" t="s">
        <v>1495</v>
      </c>
      <c r="D795" s="1353">
        <v>1.31</v>
      </c>
      <c r="E795" s="1353" t="s">
        <v>2554</v>
      </c>
      <c r="F795" s="1356"/>
      <c r="G795" s="1390" t="s">
        <v>2555</v>
      </c>
      <c r="H795" s="1391">
        <v>1.55</v>
      </c>
    </row>
    <row r="796">
      <c r="A796" s="1344" t="s">
        <v>2400</v>
      </c>
      <c r="B796" s="1381" t="s">
        <v>2556</v>
      </c>
      <c r="C796" s="1382" t="s">
        <v>1495</v>
      </c>
      <c r="D796" s="1346">
        <v>1.74</v>
      </c>
      <c r="E796" s="1346" t="s">
        <v>2557</v>
      </c>
      <c r="F796" s="1349"/>
      <c r="G796" s="1389" t="s">
        <v>2558</v>
      </c>
      <c r="H796" s="1384">
        <v>2.05</v>
      </c>
    </row>
    <row r="797">
      <c r="A797" s="1351" t="s">
        <v>2400</v>
      </c>
      <c r="B797" s="1385" t="s">
        <v>3177</v>
      </c>
      <c r="C797" s="1386" t="s">
        <v>1495</v>
      </c>
      <c r="D797" s="1353">
        <v>0.16</v>
      </c>
      <c r="E797" s="1353" t="s">
        <v>3178</v>
      </c>
      <c r="F797" s="1356"/>
      <c r="G797" s="1390" t="s">
        <v>3179</v>
      </c>
      <c r="H797" s="1388">
        <v>0.2</v>
      </c>
    </row>
    <row r="798">
      <c r="A798" s="1344" t="s">
        <v>2400</v>
      </c>
      <c r="B798" s="1381" t="s">
        <v>2436</v>
      </c>
      <c r="C798" s="1382" t="s">
        <v>1495</v>
      </c>
      <c r="D798" s="1346">
        <v>1.15</v>
      </c>
      <c r="E798" s="1346" t="s">
        <v>2437</v>
      </c>
      <c r="F798" s="1349"/>
      <c r="G798" s="1389" t="s">
        <v>2438</v>
      </c>
      <c r="H798" s="1384">
        <v>1.4</v>
      </c>
    </row>
    <row r="799">
      <c r="A799" s="1351" t="s">
        <v>2400</v>
      </c>
      <c r="B799" s="1385" t="s">
        <v>2430</v>
      </c>
      <c r="C799" s="1386" t="s">
        <v>1495</v>
      </c>
      <c r="D799" s="1353">
        <v>0.57</v>
      </c>
      <c r="E799" s="1353" t="s">
        <v>2431</v>
      </c>
      <c r="F799" s="1356"/>
      <c r="G799" s="1390" t="s">
        <v>2432</v>
      </c>
      <c r="H799" s="1388">
        <v>0.7</v>
      </c>
    </row>
    <row r="800">
      <c r="A800" s="1344" t="s">
        <v>2400</v>
      </c>
      <c r="B800" s="1381" t="s">
        <v>2768</v>
      </c>
      <c r="C800" s="1382" t="s">
        <v>1495</v>
      </c>
      <c r="D800" s="1346">
        <v>0.51</v>
      </c>
      <c r="E800" s="1346" t="s">
        <v>2769</v>
      </c>
      <c r="F800" s="1349"/>
      <c r="G800" s="1389" t="s">
        <v>2770</v>
      </c>
      <c r="H800" s="1384">
        <v>0.6</v>
      </c>
    </row>
    <row r="801">
      <c r="A801" s="1351" t="s">
        <v>2400</v>
      </c>
      <c r="B801" s="1385" t="s">
        <v>515</v>
      </c>
      <c r="C801" s="1386" t="s">
        <v>1495</v>
      </c>
      <c r="D801" s="1353"/>
      <c r="E801" s="1353" t="s">
        <v>2428</v>
      </c>
      <c r="F801" s="1356"/>
      <c r="G801" s="1390" t="s">
        <v>2429</v>
      </c>
      <c r="H801" s="1388"/>
    </row>
    <row r="802">
      <c r="A802" s="1344" t="s">
        <v>318</v>
      </c>
      <c r="B802" s="1381" t="s">
        <v>3136</v>
      </c>
      <c r="C802" s="1382" t="s">
        <v>1495</v>
      </c>
      <c r="D802" s="1346">
        <v>87.66</v>
      </c>
      <c r="E802" s="1347"/>
      <c r="F802" s="1349"/>
      <c r="G802" s="1383"/>
      <c r="H802" s="1384">
        <v>100.85</v>
      </c>
    </row>
    <row r="803">
      <c r="A803" s="1351" t="s">
        <v>318</v>
      </c>
      <c r="B803" s="1385" t="s">
        <v>3144</v>
      </c>
      <c r="C803" s="1386" t="s">
        <v>1495</v>
      </c>
      <c r="D803" s="1353">
        <v>72.7</v>
      </c>
      <c r="E803" s="1354"/>
      <c r="F803" s="1356"/>
      <c r="G803" s="1387"/>
      <c r="H803" s="1388">
        <v>87.25</v>
      </c>
    </row>
    <row r="804">
      <c r="A804" s="1344" t="s">
        <v>318</v>
      </c>
      <c r="B804" s="1381" t="s">
        <v>3137</v>
      </c>
      <c r="C804" s="1382" t="s">
        <v>1495</v>
      </c>
      <c r="D804" s="1346">
        <v>73.75</v>
      </c>
      <c r="E804" s="1347"/>
      <c r="F804" s="1349"/>
      <c r="G804" s="1389" t="s">
        <v>3138</v>
      </c>
      <c r="H804" s="1384">
        <v>84.85</v>
      </c>
    </row>
    <row r="805">
      <c r="A805" s="1351" t="s">
        <v>318</v>
      </c>
      <c r="B805" s="1385" t="s">
        <v>1022</v>
      </c>
      <c r="C805" s="1386" t="s">
        <v>1495</v>
      </c>
      <c r="D805" s="1353"/>
      <c r="E805" s="1353" t="s">
        <v>3811</v>
      </c>
      <c r="F805" s="1356"/>
      <c r="G805" s="1387"/>
      <c r="H805" s="1388"/>
    </row>
    <row r="806">
      <c r="A806" s="1344" t="s">
        <v>318</v>
      </c>
      <c r="B806" s="1381" t="s">
        <v>1028</v>
      </c>
      <c r="C806" s="1382" t="s">
        <v>1495</v>
      </c>
      <c r="D806" s="1346"/>
      <c r="E806" s="1346" t="s">
        <v>3812</v>
      </c>
      <c r="F806" s="1349"/>
      <c r="G806" s="1383"/>
      <c r="H806" s="1384"/>
    </row>
    <row r="807">
      <c r="A807" s="1351" t="s">
        <v>318</v>
      </c>
      <c r="B807" s="1385" t="s">
        <v>1030</v>
      </c>
      <c r="C807" s="1386" t="s">
        <v>1495</v>
      </c>
      <c r="D807" s="1353"/>
      <c r="E807" s="1353" t="s">
        <v>3813</v>
      </c>
      <c r="F807" s="1356"/>
      <c r="G807" s="1387"/>
      <c r="H807" s="1391"/>
    </row>
    <row r="808">
      <c r="A808" s="1344" t="s">
        <v>318</v>
      </c>
      <c r="B808" s="1381" t="s">
        <v>1096</v>
      </c>
      <c r="C808" s="1382" t="s">
        <v>1495</v>
      </c>
      <c r="D808" s="1346">
        <v>436.0</v>
      </c>
      <c r="E808" s="1346" t="s">
        <v>3814</v>
      </c>
      <c r="F808" s="1349"/>
      <c r="G808" s="1383"/>
      <c r="H808" s="1384">
        <v>501.4</v>
      </c>
    </row>
    <row r="809">
      <c r="A809" s="1351" t="s">
        <v>318</v>
      </c>
      <c r="B809" s="1385" t="s">
        <v>1093</v>
      </c>
      <c r="C809" s="1386" t="s">
        <v>1495</v>
      </c>
      <c r="D809" s="1353"/>
      <c r="E809" s="1353" t="s">
        <v>3815</v>
      </c>
      <c r="F809" s="1356"/>
      <c r="G809" s="1387"/>
      <c r="H809" s="1391"/>
    </row>
    <row r="810">
      <c r="A810" s="1344" t="s">
        <v>318</v>
      </c>
      <c r="B810" s="1381" t="s">
        <v>1091</v>
      </c>
      <c r="C810" s="1382" t="s">
        <v>1495</v>
      </c>
      <c r="D810" s="1346"/>
      <c r="E810" s="1346" t="s">
        <v>3816</v>
      </c>
      <c r="F810" s="1349"/>
      <c r="G810" s="1383"/>
      <c r="H810" s="1384"/>
    </row>
    <row r="811">
      <c r="A811" s="1351" t="s">
        <v>318</v>
      </c>
      <c r="B811" s="1385" t="s">
        <v>1103</v>
      </c>
      <c r="C811" s="1386" t="s">
        <v>1495</v>
      </c>
      <c r="D811" s="1353"/>
      <c r="E811" s="1353" t="s">
        <v>3817</v>
      </c>
      <c r="F811" s="1356"/>
      <c r="G811" s="1387"/>
      <c r="H811" s="1388"/>
    </row>
    <row r="812">
      <c r="A812" s="1344" t="s">
        <v>318</v>
      </c>
      <c r="B812" s="1381" t="s">
        <v>1102</v>
      </c>
      <c r="C812" s="1382" t="s">
        <v>1495</v>
      </c>
      <c r="D812" s="1346"/>
      <c r="E812" s="1346" t="s">
        <v>3818</v>
      </c>
      <c r="F812" s="1349"/>
      <c r="G812" s="1383"/>
      <c r="H812" s="1384"/>
    </row>
    <row r="813">
      <c r="A813" s="1351" t="s">
        <v>318</v>
      </c>
      <c r="B813" s="1385" t="s">
        <v>1089</v>
      </c>
      <c r="C813" s="1386" t="s">
        <v>1495</v>
      </c>
      <c r="D813" s="1353"/>
      <c r="E813" s="1353" t="s">
        <v>3819</v>
      </c>
      <c r="F813" s="1356"/>
      <c r="G813" s="1387"/>
      <c r="H813" s="1388"/>
    </row>
    <row r="814">
      <c r="A814" s="1344" t="s">
        <v>318</v>
      </c>
      <c r="B814" s="1381" t="s">
        <v>1097</v>
      </c>
      <c r="C814" s="1382" t="s">
        <v>1495</v>
      </c>
      <c r="D814" s="1346"/>
      <c r="E814" s="1346" t="s">
        <v>3820</v>
      </c>
      <c r="F814" s="1349"/>
      <c r="G814" s="1383"/>
      <c r="H814" s="1384"/>
    </row>
    <row r="815">
      <c r="A815" s="1351" t="s">
        <v>318</v>
      </c>
      <c r="B815" s="1385" t="s">
        <v>1095</v>
      </c>
      <c r="C815" s="1386" t="s">
        <v>1495</v>
      </c>
      <c r="D815" s="1353"/>
      <c r="E815" s="1353" t="s">
        <v>3821</v>
      </c>
      <c r="F815" s="1356"/>
      <c r="G815" s="1387"/>
      <c r="H815" s="1388"/>
    </row>
    <row r="816">
      <c r="A816" s="1344" t="s">
        <v>318</v>
      </c>
      <c r="B816" s="1381" t="s">
        <v>1094</v>
      </c>
      <c r="C816" s="1382" t="s">
        <v>1495</v>
      </c>
      <c r="D816" s="1346"/>
      <c r="E816" s="1346" t="s">
        <v>3822</v>
      </c>
      <c r="F816" s="1349"/>
      <c r="G816" s="1383"/>
      <c r="H816" s="1384"/>
    </row>
    <row r="817">
      <c r="A817" s="1351" t="s">
        <v>318</v>
      </c>
      <c r="B817" s="1385" t="s">
        <v>1092</v>
      </c>
      <c r="C817" s="1386" t="s">
        <v>1495</v>
      </c>
      <c r="D817" s="1353">
        <v>417.0</v>
      </c>
      <c r="E817" s="1353" t="s">
        <v>3823</v>
      </c>
      <c r="F817" s="1356"/>
      <c r="G817" s="1387"/>
      <c r="H817" s="1388">
        <v>479.55</v>
      </c>
    </row>
    <row r="818">
      <c r="A818" s="1344" t="s">
        <v>318</v>
      </c>
      <c r="B818" s="1381" t="s">
        <v>1090</v>
      </c>
      <c r="C818" s="1382" t="s">
        <v>1495</v>
      </c>
      <c r="D818" s="1346"/>
      <c r="E818" s="1346" t="s">
        <v>3824</v>
      </c>
      <c r="F818" s="1349"/>
      <c r="G818" s="1383"/>
      <c r="H818" s="1384"/>
    </row>
    <row r="819">
      <c r="A819" s="1351" t="s">
        <v>318</v>
      </c>
      <c r="B819" s="1385" t="s">
        <v>1099</v>
      </c>
      <c r="C819" s="1386" t="s">
        <v>1495</v>
      </c>
      <c r="D819" s="1353"/>
      <c r="E819" s="1353" t="s">
        <v>3825</v>
      </c>
      <c r="F819" s="1356"/>
      <c r="G819" s="1387"/>
      <c r="H819" s="1388"/>
    </row>
    <row r="820">
      <c r="A820" s="1344" t="s">
        <v>318</v>
      </c>
      <c r="B820" s="1381" t="s">
        <v>1098</v>
      </c>
      <c r="C820" s="1382" t="s">
        <v>1495</v>
      </c>
      <c r="D820" s="1346"/>
      <c r="E820" s="1346" t="s">
        <v>3826</v>
      </c>
      <c r="F820" s="1349"/>
      <c r="G820" s="1383"/>
      <c r="H820" s="1384"/>
    </row>
    <row r="821">
      <c r="A821" s="1351" t="s">
        <v>318</v>
      </c>
      <c r="B821" s="1385" t="s">
        <v>1100</v>
      </c>
      <c r="C821" s="1386" t="s">
        <v>1495</v>
      </c>
      <c r="D821" s="1353"/>
      <c r="E821" s="1353" t="s">
        <v>3827</v>
      </c>
      <c r="F821" s="1356"/>
      <c r="G821" s="1387"/>
      <c r="H821" s="1388"/>
    </row>
    <row r="822">
      <c r="A822" s="1344" t="s">
        <v>318</v>
      </c>
      <c r="B822" s="1381" t="s">
        <v>1021</v>
      </c>
      <c r="C822" s="1382" t="s">
        <v>1495</v>
      </c>
      <c r="D822" s="1346"/>
      <c r="E822" s="1347"/>
      <c r="F822" s="1349"/>
      <c r="G822" s="1383"/>
      <c r="H822" s="1384"/>
    </row>
    <row r="823">
      <c r="A823" s="1351" t="s">
        <v>318</v>
      </c>
      <c r="B823" s="1385" t="s">
        <v>1428</v>
      </c>
      <c r="C823" s="1386" t="s">
        <v>1495</v>
      </c>
      <c r="D823" s="1353"/>
      <c r="E823" s="1354"/>
      <c r="F823" s="1356"/>
      <c r="G823" s="1387"/>
      <c r="H823" s="1388"/>
    </row>
    <row r="824">
      <c r="A824" s="1344" t="s">
        <v>318</v>
      </c>
      <c r="B824" s="1381" t="s">
        <v>3142</v>
      </c>
      <c r="C824" s="1382" t="s">
        <v>1495</v>
      </c>
      <c r="D824" s="1346"/>
      <c r="E824" s="1347"/>
      <c r="F824" s="1349"/>
      <c r="G824" s="1383"/>
      <c r="H824" s="1384"/>
    </row>
    <row r="825">
      <c r="A825" s="1351" t="s">
        <v>318</v>
      </c>
      <c r="B825" s="1385" t="s">
        <v>1101</v>
      </c>
      <c r="C825" s="1386" t="s">
        <v>1495</v>
      </c>
      <c r="D825" s="1353"/>
      <c r="E825" s="1353" t="s">
        <v>3828</v>
      </c>
      <c r="F825" s="1356"/>
      <c r="G825" s="1387"/>
      <c r="H825" s="1388"/>
    </row>
    <row r="826">
      <c r="A826" s="1344" t="s">
        <v>318</v>
      </c>
      <c r="B826" s="1381" t="s">
        <v>1432</v>
      </c>
      <c r="C826" s="1382" t="s">
        <v>1495</v>
      </c>
      <c r="D826" s="1346"/>
      <c r="E826" s="1347"/>
      <c r="F826" s="1349"/>
      <c r="G826" s="1383"/>
      <c r="H826" s="1392"/>
    </row>
    <row r="827">
      <c r="A827" s="1351" t="s">
        <v>318</v>
      </c>
      <c r="B827" s="1385" t="s">
        <v>1429</v>
      </c>
      <c r="C827" s="1386" t="s">
        <v>1495</v>
      </c>
      <c r="D827" s="1353"/>
      <c r="E827" s="1354"/>
      <c r="F827" s="1356"/>
      <c r="G827" s="1387"/>
      <c r="H827" s="1388"/>
    </row>
    <row r="828">
      <c r="A828" s="1344" t="s">
        <v>318</v>
      </c>
      <c r="B828" s="1381" t="s">
        <v>1423</v>
      </c>
      <c r="C828" s="1382" t="s">
        <v>1495</v>
      </c>
      <c r="D828" s="1346"/>
      <c r="E828" s="1347"/>
      <c r="F828" s="1349"/>
      <c r="G828" s="1383"/>
      <c r="H828" s="1384"/>
    </row>
    <row r="829">
      <c r="A829" s="1351" t="s">
        <v>318</v>
      </c>
      <c r="B829" s="1385" t="s">
        <v>1431</v>
      </c>
      <c r="C829" s="1386" t="s">
        <v>1495</v>
      </c>
      <c r="D829" s="1353"/>
      <c r="E829" s="1354"/>
      <c r="F829" s="1356"/>
      <c r="G829" s="1387"/>
      <c r="H829" s="1388"/>
    </row>
    <row r="830">
      <c r="A830" s="1344" t="s">
        <v>318</v>
      </c>
      <c r="B830" s="1381" t="s">
        <v>1027</v>
      </c>
      <c r="C830" s="1382" t="s">
        <v>1495</v>
      </c>
      <c r="D830" s="1346"/>
      <c r="E830" s="1346" t="s">
        <v>3829</v>
      </c>
      <c r="F830" s="1349"/>
      <c r="G830" s="1383"/>
      <c r="H830" s="1384"/>
    </row>
    <row r="831">
      <c r="A831" s="1351" t="s">
        <v>318</v>
      </c>
      <c r="B831" s="1385" t="s">
        <v>1430</v>
      </c>
      <c r="C831" s="1386" t="s">
        <v>1495</v>
      </c>
      <c r="D831" s="1353"/>
      <c r="E831" s="1354"/>
      <c r="F831" s="1356"/>
      <c r="G831" s="1387"/>
      <c r="H831" s="1388"/>
    </row>
    <row r="832">
      <c r="A832" s="1344" t="s">
        <v>318</v>
      </c>
      <c r="B832" s="1381" t="s">
        <v>1427</v>
      </c>
      <c r="C832" s="1382" t="s">
        <v>1495</v>
      </c>
      <c r="D832" s="1346"/>
      <c r="E832" s="1347"/>
      <c r="F832" s="1349"/>
      <c r="G832" s="1383"/>
      <c r="H832" s="1384"/>
    </row>
    <row r="833">
      <c r="A833" s="1351" t="s">
        <v>318</v>
      </c>
      <c r="B833" s="1385" t="s">
        <v>1033</v>
      </c>
      <c r="C833" s="1386" t="s">
        <v>1495</v>
      </c>
      <c r="D833" s="1353"/>
      <c r="E833" s="1354"/>
      <c r="F833" s="1356"/>
      <c r="G833" s="1387"/>
      <c r="H833" s="1388"/>
    </row>
    <row r="834">
      <c r="A834" s="1344" t="s">
        <v>318</v>
      </c>
      <c r="B834" s="1381" t="s">
        <v>1020</v>
      </c>
      <c r="C834" s="1382" t="s">
        <v>1495</v>
      </c>
      <c r="D834" s="1346"/>
      <c r="E834" s="1347"/>
      <c r="F834" s="1349"/>
      <c r="G834" s="1383"/>
      <c r="H834" s="1384"/>
    </row>
    <row r="835">
      <c r="A835" s="1351" t="s">
        <v>318</v>
      </c>
      <c r="B835" s="1385" t="s">
        <v>1034</v>
      </c>
      <c r="C835" s="1386" t="s">
        <v>1495</v>
      </c>
      <c r="D835" s="1353"/>
      <c r="E835" s="1354"/>
      <c r="F835" s="1356"/>
      <c r="G835" s="1387"/>
      <c r="H835" s="1388"/>
    </row>
    <row r="836">
      <c r="A836" s="1344" t="s">
        <v>318</v>
      </c>
      <c r="B836" s="1381" t="s">
        <v>1026</v>
      </c>
      <c r="C836" s="1382" t="s">
        <v>1495</v>
      </c>
      <c r="D836" s="1346"/>
      <c r="E836" s="1347"/>
      <c r="F836" s="1349"/>
      <c r="G836" s="1383"/>
      <c r="H836" s="1384"/>
    </row>
    <row r="837">
      <c r="A837" s="1351" t="s">
        <v>318</v>
      </c>
      <c r="B837" s="1385" t="s">
        <v>1019</v>
      </c>
      <c r="C837" s="1386" t="s">
        <v>1495</v>
      </c>
      <c r="D837" s="1353">
        <v>89.95</v>
      </c>
      <c r="E837" s="1354"/>
      <c r="F837" s="1356"/>
      <c r="G837" s="1387"/>
      <c r="H837" s="1388">
        <v>134.95</v>
      </c>
    </row>
    <row r="838">
      <c r="A838" s="1344" t="s">
        <v>318</v>
      </c>
      <c r="B838" s="1381" t="s">
        <v>3141</v>
      </c>
      <c r="C838" s="1382" t="s">
        <v>1495</v>
      </c>
      <c r="D838" s="1346">
        <v>165.0</v>
      </c>
      <c r="E838" s="1347"/>
      <c r="F838" s="1349"/>
      <c r="G838" s="1383"/>
      <c r="H838" s="1384">
        <v>189.75</v>
      </c>
    </row>
    <row r="839">
      <c r="A839" s="1351" t="s">
        <v>318</v>
      </c>
      <c r="B839" s="1385" t="s">
        <v>3140</v>
      </c>
      <c r="C839" s="1386" t="s">
        <v>1495</v>
      </c>
      <c r="D839" s="1353">
        <v>91.85</v>
      </c>
      <c r="E839" s="1354"/>
      <c r="F839" s="1356"/>
      <c r="G839" s="1387"/>
      <c r="H839" s="1391">
        <v>105.65</v>
      </c>
    </row>
    <row r="840">
      <c r="A840" s="1344" t="s">
        <v>318</v>
      </c>
      <c r="B840" s="1381" t="s">
        <v>3143</v>
      </c>
      <c r="C840" s="1382" t="s">
        <v>1495</v>
      </c>
      <c r="D840" s="1346">
        <v>68.71</v>
      </c>
      <c r="E840" s="1347"/>
      <c r="F840" s="1349"/>
      <c r="G840" s="1383"/>
      <c r="H840" s="1384">
        <v>79.05</v>
      </c>
    </row>
    <row r="841">
      <c r="A841" s="1351" t="s">
        <v>318</v>
      </c>
      <c r="B841" s="1385" t="s">
        <v>1436</v>
      </c>
      <c r="C841" s="1386" t="s">
        <v>1495</v>
      </c>
      <c r="D841" s="1353">
        <v>120.05</v>
      </c>
      <c r="E841" s="1354"/>
      <c r="F841" s="1356"/>
      <c r="G841" s="1387"/>
      <c r="H841" s="1388">
        <v>138.1</v>
      </c>
    </row>
    <row r="842">
      <c r="A842" s="1344" t="s">
        <v>318</v>
      </c>
      <c r="B842" s="1381" t="s">
        <v>1435</v>
      </c>
      <c r="C842" s="1382" t="s">
        <v>1495</v>
      </c>
      <c r="D842" s="1346">
        <v>126.5</v>
      </c>
      <c r="E842" s="1347"/>
      <c r="F842" s="1349"/>
      <c r="G842" s="1383"/>
      <c r="H842" s="1392">
        <v>145.5</v>
      </c>
    </row>
    <row r="843">
      <c r="A843" s="1351" t="s">
        <v>318</v>
      </c>
      <c r="B843" s="1385" t="s">
        <v>1434</v>
      </c>
      <c r="C843" s="1386" t="s">
        <v>1495</v>
      </c>
      <c r="D843" s="1353">
        <v>99.0</v>
      </c>
      <c r="E843" s="1354"/>
      <c r="F843" s="1356"/>
      <c r="G843" s="1387"/>
      <c r="H843" s="1388">
        <v>113.85</v>
      </c>
    </row>
    <row r="844">
      <c r="A844" s="1344" t="s">
        <v>318</v>
      </c>
      <c r="B844" s="1381" t="s">
        <v>1438</v>
      </c>
      <c r="C844" s="1382" t="s">
        <v>1495</v>
      </c>
      <c r="D844" s="1346"/>
      <c r="E844" s="1347"/>
      <c r="F844" s="1349"/>
      <c r="G844" s="1383"/>
      <c r="H844" s="1384"/>
    </row>
    <row r="845">
      <c r="A845" s="1351" t="s">
        <v>318</v>
      </c>
      <c r="B845" s="1385" t="s">
        <v>1121</v>
      </c>
      <c r="C845" s="1386" t="s">
        <v>1495</v>
      </c>
      <c r="D845" s="1353"/>
      <c r="E845" s="1354"/>
      <c r="F845" s="1356"/>
      <c r="G845" s="1387"/>
      <c r="H845" s="1388"/>
    </row>
    <row r="846">
      <c r="A846" s="1344" t="s">
        <v>318</v>
      </c>
      <c r="B846" s="1381" t="s">
        <v>1439</v>
      </c>
      <c r="C846" s="1382" t="s">
        <v>1495</v>
      </c>
      <c r="D846" s="1346"/>
      <c r="E846" s="1347"/>
      <c r="F846" s="1349"/>
      <c r="G846" s="1383"/>
      <c r="H846" s="1384"/>
    </row>
    <row r="847">
      <c r="A847" s="1351" t="s">
        <v>318</v>
      </c>
      <c r="B847" s="1385" t="s">
        <v>1437</v>
      </c>
      <c r="C847" s="1386" t="s">
        <v>1495</v>
      </c>
      <c r="D847" s="1353"/>
      <c r="E847" s="1354"/>
      <c r="F847" s="1356"/>
      <c r="G847" s="1387"/>
      <c r="H847" s="1388"/>
    </row>
    <row r="848">
      <c r="A848" s="1344" t="s">
        <v>318</v>
      </c>
      <c r="B848" s="1381" t="s">
        <v>1433</v>
      </c>
      <c r="C848" s="1382" t="s">
        <v>1495</v>
      </c>
      <c r="D848" s="1346">
        <v>139.0</v>
      </c>
      <c r="E848" s="1347"/>
      <c r="F848" s="1349"/>
      <c r="G848" s="1383"/>
      <c r="H848" s="1392">
        <v>159.85</v>
      </c>
    </row>
    <row r="849">
      <c r="A849" s="1351" t="s">
        <v>318</v>
      </c>
      <c r="B849" s="1385" t="s">
        <v>1445</v>
      </c>
      <c r="C849" s="1386" t="s">
        <v>1495</v>
      </c>
      <c r="D849" s="1353">
        <v>145.5</v>
      </c>
      <c r="E849" s="1354"/>
      <c r="F849" s="1356"/>
      <c r="G849" s="1387"/>
      <c r="H849" s="1388">
        <v>167.35</v>
      </c>
    </row>
    <row r="850">
      <c r="A850" s="1344" t="s">
        <v>318</v>
      </c>
      <c r="B850" s="1381" t="s">
        <v>1443</v>
      </c>
      <c r="C850" s="1382" t="s">
        <v>1495</v>
      </c>
      <c r="D850" s="1346">
        <v>178.2</v>
      </c>
      <c r="E850" s="1347"/>
      <c r="F850" s="1349"/>
      <c r="G850" s="1383"/>
      <c r="H850" s="1384">
        <v>204.95</v>
      </c>
    </row>
    <row r="851">
      <c r="A851" s="1351" t="s">
        <v>318</v>
      </c>
      <c r="B851" s="1385" t="s">
        <v>1442</v>
      </c>
      <c r="C851" s="1386" t="s">
        <v>1495</v>
      </c>
      <c r="D851" s="1353">
        <v>223.5</v>
      </c>
      <c r="E851" s="1354"/>
      <c r="F851" s="1356"/>
      <c r="G851" s="1387"/>
      <c r="H851" s="1388">
        <v>257.05</v>
      </c>
    </row>
    <row r="852">
      <c r="A852" s="1344" t="s">
        <v>318</v>
      </c>
      <c r="B852" s="1381" t="s">
        <v>1441</v>
      </c>
      <c r="C852" s="1382" t="s">
        <v>1495</v>
      </c>
      <c r="D852" s="1346">
        <v>170.0</v>
      </c>
      <c r="E852" s="1347"/>
      <c r="F852" s="1349"/>
      <c r="G852" s="1383"/>
      <c r="H852" s="1384">
        <v>195.5</v>
      </c>
    </row>
    <row r="853">
      <c r="A853" s="1351" t="s">
        <v>318</v>
      </c>
      <c r="B853" s="1385" t="s">
        <v>1440</v>
      </c>
      <c r="C853" s="1386" t="s">
        <v>1495</v>
      </c>
      <c r="D853" s="1353">
        <v>490.5</v>
      </c>
      <c r="E853" s="1354"/>
      <c r="F853" s="1356"/>
      <c r="G853" s="1387"/>
      <c r="H853" s="1388">
        <v>564.1</v>
      </c>
    </row>
    <row r="854">
      <c r="A854" s="1344" t="s">
        <v>318</v>
      </c>
      <c r="B854" s="1381" t="s">
        <v>1023</v>
      </c>
      <c r="C854" s="1382" t="s">
        <v>1495</v>
      </c>
      <c r="D854" s="1346">
        <v>229.82</v>
      </c>
      <c r="E854" s="1347"/>
      <c r="F854" s="1349"/>
      <c r="G854" s="1383"/>
      <c r="H854" s="1384">
        <v>264.3</v>
      </c>
    </row>
    <row r="855">
      <c r="A855" s="1351" t="s">
        <v>318</v>
      </c>
      <c r="B855" s="1385" t="s">
        <v>89</v>
      </c>
      <c r="C855" s="1386" t="s">
        <v>1495</v>
      </c>
      <c r="D855" s="1353">
        <v>77.72</v>
      </c>
      <c r="E855" s="1354"/>
      <c r="F855" s="1356"/>
      <c r="G855" s="1387"/>
      <c r="H855" s="1388">
        <v>89.4</v>
      </c>
    </row>
    <row r="856">
      <c r="A856" s="1344" t="s">
        <v>318</v>
      </c>
      <c r="B856" s="1381" t="s">
        <v>1424</v>
      </c>
      <c r="C856" s="1382" t="s">
        <v>1495</v>
      </c>
      <c r="D856" s="1346"/>
      <c r="E856" s="1347"/>
      <c r="F856" s="1349"/>
      <c r="G856" s="1383"/>
      <c r="H856" s="1384"/>
    </row>
    <row r="857">
      <c r="A857" s="1351" t="s">
        <v>318</v>
      </c>
      <c r="B857" s="1385" t="s">
        <v>1104</v>
      </c>
      <c r="C857" s="1386" t="s">
        <v>1495</v>
      </c>
      <c r="D857" s="1353">
        <v>159.0</v>
      </c>
      <c r="E857" s="1354"/>
      <c r="F857" s="1356"/>
      <c r="G857" s="1387"/>
      <c r="H857" s="1388">
        <v>182.85</v>
      </c>
    </row>
    <row r="858">
      <c r="A858" s="1344" t="s">
        <v>318</v>
      </c>
      <c r="B858" s="1381" t="s">
        <v>3139</v>
      </c>
      <c r="C858" s="1382" t="s">
        <v>1495</v>
      </c>
      <c r="D858" s="1346">
        <v>77.94</v>
      </c>
      <c r="E858" s="1347"/>
      <c r="F858" s="1349"/>
      <c r="G858" s="1383"/>
      <c r="H858" s="1384">
        <v>89.65</v>
      </c>
    </row>
    <row r="859">
      <c r="A859" s="1351" t="s">
        <v>318</v>
      </c>
      <c r="B859" s="1385" t="s">
        <v>3134</v>
      </c>
      <c r="C859" s="1386" t="s">
        <v>1495</v>
      </c>
      <c r="D859" s="1353">
        <v>90.78</v>
      </c>
      <c r="E859" s="1354"/>
      <c r="F859" s="1356"/>
      <c r="G859" s="1387"/>
      <c r="H859" s="1388">
        <v>104.4</v>
      </c>
    </row>
    <row r="860">
      <c r="A860" s="1344" t="s">
        <v>318</v>
      </c>
      <c r="B860" s="1381" t="s">
        <v>3135</v>
      </c>
      <c r="C860" s="1382" t="s">
        <v>1495</v>
      </c>
      <c r="D860" s="1346">
        <v>69.73</v>
      </c>
      <c r="E860" s="1347"/>
      <c r="F860" s="1349"/>
      <c r="G860" s="1383"/>
      <c r="H860" s="1392">
        <v>80.2</v>
      </c>
    </row>
    <row r="861">
      <c r="A861" s="1351" t="s">
        <v>318</v>
      </c>
      <c r="B861" s="1385" t="s">
        <v>1444</v>
      </c>
      <c r="C861" s="1386" t="s">
        <v>1495</v>
      </c>
      <c r="D861" s="1353"/>
      <c r="E861" s="1354"/>
      <c r="F861" s="1356"/>
      <c r="G861" s="1387"/>
      <c r="H861" s="1388"/>
    </row>
    <row r="862">
      <c r="A862" s="1344" t="s">
        <v>315</v>
      </c>
      <c r="B862" s="1381" t="s">
        <v>1146</v>
      </c>
      <c r="C862" s="1382" t="s">
        <v>1495</v>
      </c>
      <c r="D862" s="1346"/>
      <c r="E862" s="1346" t="s">
        <v>3830</v>
      </c>
      <c r="F862" s="1349"/>
      <c r="G862" s="1389" t="s">
        <v>3206</v>
      </c>
      <c r="H862" s="1384"/>
    </row>
    <row r="863">
      <c r="A863" s="1351" t="s">
        <v>315</v>
      </c>
      <c r="B863" s="1385" t="s">
        <v>624</v>
      </c>
      <c r="C863" s="1386" t="s">
        <v>1495</v>
      </c>
      <c r="D863" s="1353"/>
      <c r="E863" s="1353" t="s">
        <v>3831</v>
      </c>
      <c r="F863" s="1356"/>
      <c r="G863" s="1390" t="s">
        <v>2661</v>
      </c>
      <c r="H863" s="1391"/>
    </row>
    <row r="864">
      <c r="A864" s="1344" t="s">
        <v>315</v>
      </c>
      <c r="B864" s="1381" t="s">
        <v>599</v>
      </c>
      <c r="C864" s="1382" t="s">
        <v>1495</v>
      </c>
      <c r="D864" s="1346">
        <v>142.12</v>
      </c>
      <c r="E864" s="1346" t="s">
        <v>3832</v>
      </c>
      <c r="F864" s="1349"/>
      <c r="G864" s="1389" t="s">
        <v>2606</v>
      </c>
      <c r="H864" s="1384">
        <v>163.45</v>
      </c>
    </row>
    <row r="865">
      <c r="A865" s="1351" t="s">
        <v>315</v>
      </c>
      <c r="B865" s="1385" t="s">
        <v>346</v>
      </c>
      <c r="C865" s="1386" t="s">
        <v>1495</v>
      </c>
      <c r="D865" s="1353"/>
      <c r="E865" s="1353" t="s">
        <v>3833</v>
      </c>
      <c r="F865" s="1356"/>
      <c r="G865" s="1390" t="s">
        <v>2149</v>
      </c>
      <c r="H865" s="1388"/>
    </row>
    <row r="866">
      <c r="A866" s="1344" t="s">
        <v>315</v>
      </c>
      <c r="B866" s="1381" t="s">
        <v>347</v>
      </c>
      <c r="C866" s="1382" t="s">
        <v>1495</v>
      </c>
      <c r="D866" s="1346"/>
      <c r="E866" s="1346" t="s">
        <v>3834</v>
      </c>
      <c r="F866" s="1349"/>
      <c r="G866" s="1389" t="s">
        <v>2150</v>
      </c>
      <c r="H866" s="1384"/>
    </row>
    <row r="867">
      <c r="A867" s="1351" t="s">
        <v>315</v>
      </c>
      <c r="B867" s="1385" t="s">
        <v>399</v>
      </c>
      <c r="C867" s="1386" t="s">
        <v>1495</v>
      </c>
      <c r="D867" s="1353"/>
      <c r="E867" s="1353" t="s">
        <v>3835</v>
      </c>
      <c r="F867" s="1356"/>
      <c r="G867" s="1390" t="s">
        <v>2228</v>
      </c>
      <c r="H867" s="1388"/>
    </row>
    <row r="868">
      <c r="A868" s="1344" t="s">
        <v>315</v>
      </c>
      <c r="B868" s="1381" t="s">
        <v>400</v>
      </c>
      <c r="C868" s="1382" t="s">
        <v>1495</v>
      </c>
      <c r="D868" s="1346"/>
      <c r="E868" s="1346" t="s">
        <v>3836</v>
      </c>
      <c r="F868" s="1349"/>
      <c r="G868" s="1389" t="s">
        <v>2229</v>
      </c>
      <c r="H868" s="1384"/>
    </row>
    <row r="869">
      <c r="A869" s="1351" t="s">
        <v>315</v>
      </c>
      <c r="B869" s="1385" t="s">
        <v>401</v>
      </c>
      <c r="C869" s="1386" t="s">
        <v>1495</v>
      </c>
      <c r="D869" s="1353"/>
      <c r="E869" s="1353" t="s">
        <v>3837</v>
      </c>
      <c r="F869" s="1356"/>
      <c r="G869" s="1390" t="s">
        <v>2230</v>
      </c>
      <c r="H869" s="1388"/>
    </row>
    <row r="870">
      <c r="A870" s="1344" t="s">
        <v>315</v>
      </c>
      <c r="B870" s="1381" t="s">
        <v>641</v>
      </c>
      <c r="C870" s="1382" t="s">
        <v>1495</v>
      </c>
      <c r="D870" s="1346"/>
      <c r="E870" s="1346" t="s">
        <v>2691</v>
      </c>
      <c r="F870" s="1349"/>
      <c r="G870" s="1389" t="s">
        <v>2692</v>
      </c>
      <c r="H870" s="1384"/>
    </row>
    <row r="871">
      <c r="A871" s="1351" t="s">
        <v>315</v>
      </c>
      <c r="B871" s="1385" t="s">
        <v>2319</v>
      </c>
      <c r="C871" s="1386" t="s">
        <v>1495</v>
      </c>
      <c r="D871" s="1353">
        <v>5.0</v>
      </c>
      <c r="E871" s="1353" t="s">
        <v>2320</v>
      </c>
      <c r="F871" s="1356"/>
      <c r="G871" s="1390" t="s">
        <v>2321</v>
      </c>
      <c r="H871" s="1388">
        <v>5.75</v>
      </c>
    </row>
    <row r="872">
      <c r="A872" s="1344" t="s">
        <v>315</v>
      </c>
      <c r="B872" s="1381" t="s">
        <v>2655</v>
      </c>
      <c r="C872" s="1382" t="s">
        <v>1495</v>
      </c>
      <c r="D872" s="1346">
        <v>10.4</v>
      </c>
      <c r="E872" s="1346" t="s">
        <v>3838</v>
      </c>
      <c r="F872" s="1349">
        <v>2.0</v>
      </c>
      <c r="G872" s="1389" t="s">
        <v>2656</v>
      </c>
      <c r="H872" s="1384">
        <v>12.0</v>
      </c>
    </row>
    <row r="873">
      <c r="A873" s="1351" t="s">
        <v>315</v>
      </c>
      <c r="B873" s="1385" t="s">
        <v>616</v>
      </c>
      <c r="C873" s="1386" t="s">
        <v>1495</v>
      </c>
      <c r="D873" s="1353">
        <v>13.75</v>
      </c>
      <c r="E873" s="1353" t="s">
        <v>2644</v>
      </c>
      <c r="F873" s="1356"/>
      <c r="G873" s="1390" t="s">
        <v>2645</v>
      </c>
      <c r="H873" s="1388">
        <v>15.85</v>
      </c>
    </row>
    <row r="874">
      <c r="A874" s="1344" t="s">
        <v>315</v>
      </c>
      <c r="B874" s="1381" t="s">
        <v>2657</v>
      </c>
      <c r="C874" s="1382" t="s">
        <v>1495</v>
      </c>
      <c r="D874" s="1346">
        <v>14.7</v>
      </c>
      <c r="E874" s="1346" t="s">
        <v>3839</v>
      </c>
      <c r="F874" s="1349">
        <v>4.0</v>
      </c>
      <c r="G874" s="1389" t="s">
        <v>2658</v>
      </c>
      <c r="H874" s="1384">
        <v>16.95</v>
      </c>
    </row>
    <row r="875">
      <c r="A875" s="1351" t="s">
        <v>315</v>
      </c>
      <c r="B875" s="1385" t="s">
        <v>441</v>
      </c>
      <c r="C875" s="1386" t="s">
        <v>1495</v>
      </c>
      <c r="D875" s="1353">
        <v>2.05</v>
      </c>
      <c r="E875" s="1353" t="s">
        <v>2314</v>
      </c>
      <c r="F875" s="1356">
        <v>1.0</v>
      </c>
      <c r="G875" s="1390" t="s">
        <v>2315</v>
      </c>
      <c r="H875" s="1388">
        <v>2.4</v>
      </c>
    </row>
    <row r="876">
      <c r="A876" s="1344" t="s">
        <v>315</v>
      </c>
      <c r="B876" s="1381" t="s">
        <v>2316</v>
      </c>
      <c r="C876" s="1382" t="s">
        <v>1495</v>
      </c>
      <c r="D876" s="1346">
        <v>2.1</v>
      </c>
      <c r="E876" s="1346" t="s">
        <v>2317</v>
      </c>
      <c r="F876" s="1349"/>
      <c r="G876" s="1389" t="s">
        <v>2318</v>
      </c>
      <c r="H876" s="1384">
        <v>2.45</v>
      </c>
    </row>
    <row r="877">
      <c r="A877" s="1351" t="s">
        <v>315</v>
      </c>
      <c r="B877" s="1385" t="s">
        <v>2391</v>
      </c>
      <c r="C877" s="1386" t="s">
        <v>1495</v>
      </c>
      <c r="D877" s="1353">
        <v>24.0</v>
      </c>
      <c r="E877" s="1353" t="s">
        <v>3840</v>
      </c>
      <c r="F877" s="1356"/>
      <c r="G877" s="1390" t="s">
        <v>2392</v>
      </c>
      <c r="H877" s="1388">
        <v>27.6</v>
      </c>
    </row>
    <row r="878">
      <c r="A878" s="1344" t="s">
        <v>315</v>
      </c>
      <c r="B878" s="1381" t="s">
        <v>2659</v>
      </c>
      <c r="C878" s="1382" t="s">
        <v>1495</v>
      </c>
      <c r="D878" s="1346">
        <v>14.72</v>
      </c>
      <c r="E878" s="1346" t="s">
        <v>3841</v>
      </c>
      <c r="F878" s="1349">
        <v>4.0</v>
      </c>
      <c r="G878" s="1389" t="s">
        <v>2660</v>
      </c>
      <c r="H878" s="1384">
        <v>16.95</v>
      </c>
    </row>
    <row r="879">
      <c r="A879" s="1351" t="s">
        <v>315</v>
      </c>
      <c r="B879" s="1385" t="s">
        <v>2387</v>
      </c>
      <c r="C879" s="1386" t="s">
        <v>1495</v>
      </c>
      <c r="D879" s="1353">
        <v>97.57</v>
      </c>
      <c r="E879" s="1353" t="s">
        <v>3842</v>
      </c>
      <c r="F879" s="1356"/>
      <c r="G879" s="1390" t="s">
        <v>2388</v>
      </c>
      <c r="H879" s="1391">
        <v>112.25</v>
      </c>
    </row>
    <row r="880">
      <c r="A880" s="1344" t="s">
        <v>315</v>
      </c>
      <c r="B880" s="1381" t="s">
        <v>2562</v>
      </c>
      <c r="C880" s="1382" t="s">
        <v>1495</v>
      </c>
      <c r="D880" s="1346">
        <v>66.48</v>
      </c>
      <c r="E880" s="1346" t="s">
        <v>2563</v>
      </c>
      <c r="F880" s="1349"/>
      <c r="G880" s="1389" t="s">
        <v>2564</v>
      </c>
      <c r="H880" s="1384">
        <v>76.5</v>
      </c>
    </row>
    <row r="881">
      <c r="A881" s="1351" t="s">
        <v>315</v>
      </c>
      <c r="B881" s="1385" t="s">
        <v>2389</v>
      </c>
      <c r="C881" s="1386" t="s">
        <v>1495</v>
      </c>
      <c r="D881" s="1353">
        <v>6.76</v>
      </c>
      <c r="E881" s="1353" t="s">
        <v>3843</v>
      </c>
      <c r="F881" s="1356"/>
      <c r="G881" s="1390" t="s">
        <v>2390</v>
      </c>
      <c r="H881" s="1388">
        <v>7.8</v>
      </c>
    </row>
    <row r="882">
      <c r="A882" s="1344" t="s">
        <v>315</v>
      </c>
      <c r="B882" s="1381" t="s">
        <v>617</v>
      </c>
      <c r="C882" s="1382" t="s">
        <v>1495</v>
      </c>
      <c r="D882" s="1346">
        <v>36.45</v>
      </c>
      <c r="E882" s="1346" t="s">
        <v>2646</v>
      </c>
      <c r="F882" s="1349"/>
      <c r="G882" s="1389" t="s">
        <v>2647</v>
      </c>
      <c r="H882" s="1384">
        <v>41.95</v>
      </c>
    </row>
    <row r="883">
      <c r="A883" s="1351" t="s">
        <v>315</v>
      </c>
      <c r="B883" s="1385" t="s">
        <v>2151</v>
      </c>
      <c r="C883" s="1386" t="s">
        <v>1495</v>
      </c>
      <c r="D883" s="1353">
        <v>7.65</v>
      </c>
      <c r="E883" s="1353" t="s">
        <v>2152</v>
      </c>
      <c r="F883" s="1356"/>
      <c r="G883" s="1390" t="s">
        <v>2153</v>
      </c>
      <c r="H883" s="1388">
        <v>8.8</v>
      </c>
    </row>
    <row r="884">
      <c r="A884" s="1344" t="s">
        <v>315</v>
      </c>
      <c r="B884" s="1381" t="s">
        <v>2154</v>
      </c>
      <c r="C884" s="1382" t="s">
        <v>1495</v>
      </c>
      <c r="D884" s="1346">
        <v>15.5</v>
      </c>
      <c r="E884" s="1346" t="s">
        <v>2155</v>
      </c>
      <c r="F884" s="1349"/>
      <c r="G884" s="1389" t="s">
        <v>2156</v>
      </c>
      <c r="H884" s="1384">
        <v>17.85</v>
      </c>
    </row>
    <row r="885">
      <c r="A885" s="1351" t="s">
        <v>315</v>
      </c>
      <c r="B885" s="1385" t="s">
        <v>2565</v>
      </c>
      <c r="C885" s="1386" t="s">
        <v>1495</v>
      </c>
      <c r="D885" s="1353">
        <v>86.35</v>
      </c>
      <c r="E885" s="1353" t="s">
        <v>2566</v>
      </c>
      <c r="F885" s="1356"/>
      <c r="G885" s="1390" t="s">
        <v>2567</v>
      </c>
      <c r="H885" s="1388">
        <v>99.35</v>
      </c>
    </row>
    <row r="886">
      <c r="A886" s="1344" t="s">
        <v>315</v>
      </c>
      <c r="B886" s="1381" t="s">
        <v>1037</v>
      </c>
      <c r="C886" s="1382" t="s">
        <v>1495</v>
      </c>
      <c r="D886" s="1346">
        <v>19.05</v>
      </c>
      <c r="E886" s="1346" t="s">
        <v>3148</v>
      </c>
      <c r="F886" s="1349"/>
      <c r="G886" s="1389" t="s">
        <v>3149</v>
      </c>
      <c r="H886" s="1384">
        <v>21.95</v>
      </c>
    </row>
    <row r="887">
      <c r="A887" s="1351" t="s">
        <v>315</v>
      </c>
      <c r="B887" s="1385" t="s">
        <v>2923</v>
      </c>
      <c r="C887" s="1386" t="s">
        <v>1495</v>
      </c>
      <c r="D887" s="1353">
        <v>11.1</v>
      </c>
      <c r="E887" s="1353" t="s">
        <v>2924</v>
      </c>
      <c r="F887" s="1356"/>
      <c r="G887" s="1390" t="s">
        <v>2925</v>
      </c>
      <c r="H887" s="1388">
        <v>12.8</v>
      </c>
    </row>
    <row r="888">
      <c r="A888" s="1344" t="s">
        <v>315</v>
      </c>
      <c r="B888" s="1381" t="s">
        <v>3145</v>
      </c>
      <c r="C888" s="1382" t="s">
        <v>1495</v>
      </c>
      <c r="D888" s="1346">
        <v>17.35</v>
      </c>
      <c r="E888" s="1346" t="s">
        <v>3146</v>
      </c>
      <c r="F888" s="1349"/>
      <c r="G888" s="1389" t="s">
        <v>3147</v>
      </c>
      <c r="H888" s="1384">
        <v>20.0</v>
      </c>
    </row>
    <row r="889">
      <c r="A889" s="1351" t="s">
        <v>315</v>
      </c>
      <c r="B889" s="1385" t="s">
        <v>3844</v>
      </c>
      <c r="C889" s="1386" t="s">
        <v>1495</v>
      </c>
      <c r="D889" s="1353">
        <v>48.35</v>
      </c>
      <c r="E889" s="1353" t="s">
        <v>2560</v>
      </c>
      <c r="F889" s="1356"/>
      <c r="G889" s="1390" t="s">
        <v>2561</v>
      </c>
      <c r="H889" s="1388">
        <v>55.65</v>
      </c>
    </row>
    <row r="890">
      <c r="A890" s="1344" t="s">
        <v>315</v>
      </c>
      <c r="B890" s="1381" t="s">
        <v>587</v>
      </c>
      <c r="C890" s="1382" t="s">
        <v>1495</v>
      </c>
      <c r="D890" s="1346"/>
      <c r="E890" s="1346" t="s">
        <v>3845</v>
      </c>
      <c r="F890" s="1349"/>
      <c r="G890" s="1389" t="s">
        <v>2586</v>
      </c>
      <c r="H890" s="1384"/>
    </row>
    <row r="891">
      <c r="A891" s="1351" t="s">
        <v>315</v>
      </c>
      <c r="B891" s="1385" t="s">
        <v>598</v>
      </c>
      <c r="C891" s="1386" t="s">
        <v>1495</v>
      </c>
      <c r="D891" s="1353"/>
      <c r="E891" s="1353" t="s">
        <v>3846</v>
      </c>
      <c r="F891" s="1356"/>
      <c r="G891" s="1390" t="s">
        <v>2605</v>
      </c>
      <c r="H891" s="1388"/>
    </row>
    <row r="892">
      <c r="A892" s="1344" t="s">
        <v>315</v>
      </c>
      <c r="B892" s="1381" t="s">
        <v>589</v>
      </c>
      <c r="C892" s="1382" t="s">
        <v>1495</v>
      </c>
      <c r="D892" s="1346">
        <v>364.12</v>
      </c>
      <c r="E892" s="1346" t="s">
        <v>3847</v>
      </c>
      <c r="F892" s="1349"/>
      <c r="G892" s="1389" t="s">
        <v>2590</v>
      </c>
      <c r="H892" s="1384">
        <v>418.75</v>
      </c>
    </row>
    <row r="893">
      <c r="A893" s="1351" t="s">
        <v>315</v>
      </c>
      <c r="B893" s="1385" t="s">
        <v>2591</v>
      </c>
      <c r="C893" s="1386" t="s">
        <v>1495</v>
      </c>
      <c r="D893" s="1353">
        <v>13.61</v>
      </c>
      <c r="E893" s="1353" t="s">
        <v>3848</v>
      </c>
      <c r="F893" s="1356"/>
      <c r="G893" s="1390" t="s">
        <v>2592</v>
      </c>
      <c r="H893" s="1388">
        <v>15.7</v>
      </c>
    </row>
    <row r="894">
      <c r="A894" s="1344" t="s">
        <v>315</v>
      </c>
      <c r="B894" s="1381" t="s">
        <v>677</v>
      </c>
      <c r="C894" s="1382" t="s">
        <v>1495</v>
      </c>
      <c r="D894" s="1346">
        <v>21.61</v>
      </c>
      <c r="E894" s="1346" t="s">
        <v>3849</v>
      </c>
      <c r="F894" s="1349"/>
      <c r="G894" s="1389" t="s">
        <v>2758</v>
      </c>
      <c r="H894" s="1392">
        <v>24.9</v>
      </c>
    </row>
    <row r="895">
      <c r="A895" s="1351" t="s">
        <v>3850</v>
      </c>
      <c r="B895" s="1385" t="s">
        <v>3851</v>
      </c>
      <c r="C895" s="1386" t="s">
        <v>1495</v>
      </c>
      <c r="D895" s="1353"/>
      <c r="E895" s="1354"/>
      <c r="F895" s="1356"/>
      <c r="G895" s="1387"/>
      <c r="H895" s="1388"/>
    </row>
    <row r="896">
      <c r="A896" s="1344" t="s">
        <v>3850</v>
      </c>
      <c r="B896" s="1381" t="s">
        <v>3852</v>
      </c>
      <c r="C896" s="1382" t="s">
        <v>1495</v>
      </c>
      <c r="D896" s="1346"/>
      <c r="E896" s="1347"/>
      <c r="F896" s="1349"/>
      <c r="G896" s="1383"/>
      <c r="H896" s="1384"/>
    </row>
    <row r="897">
      <c r="A897" s="1351" t="s">
        <v>325</v>
      </c>
      <c r="B897" s="1385" t="s">
        <v>950</v>
      </c>
      <c r="C897" s="1386" t="s">
        <v>1495</v>
      </c>
      <c r="D897" s="1353"/>
      <c r="E897" s="1354"/>
      <c r="F897" s="1356"/>
      <c r="G897" s="1387"/>
      <c r="H897" s="1388"/>
    </row>
    <row r="898">
      <c r="A898" s="1344" t="s">
        <v>325</v>
      </c>
      <c r="B898" s="1381" t="s">
        <v>951</v>
      </c>
      <c r="C898" s="1382" t="s">
        <v>1495</v>
      </c>
      <c r="D898" s="1346"/>
      <c r="E898" s="1347"/>
      <c r="F898" s="1349"/>
      <c r="G898" s="1383"/>
      <c r="H898" s="1384"/>
    </row>
    <row r="899">
      <c r="A899" s="1351" t="s">
        <v>325</v>
      </c>
      <c r="B899" s="1385" t="s">
        <v>949</v>
      </c>
      <c r="C899" s="1386" t="s">
        <v>1495</v>
      </c>
      <c r="D899" s="1353"/>
      <c r="E899" s="1354"/>
      <c r="F899" s="1356"/>
      <c r="G899" s="1387"/>
      <c r="H899" s="1388"/>
    </row>
    <row r="900">
      <c r="A900" s="1344" t="s">
        <v>325</v>
      </c>
      <c r="B900" s="1381" t="s">
        <v>957</v>
      </c>
      <c r="C900" s="1382" t="s">
        <v>1495</v>
      </c>
      <c r="D900" s="1346"/>
      <c r="E900" s="1347"/>
      <c r="F900" s="1349"/>
      <c r="G900" s="1383"/>
      <c r="H900" s="1384"/>
    </row>
    <row r="901">
      <c r="A901" s="1351" t="s">
        <v>325</v>
      </c>
      <c r="B901" s="1385" t="s">
        <v>958</v>
      </c>
      <c r="C901" s="1386" t="s">
        <v>1495</v>
      </c>
      <c r="D901" s="1353"/>
      <c r="E901" s="1354"/>
      <c r="F901" s="1356"/>
      <c r="G901" s="1387"/>
      <c r="H901" s="1388"/>
    </row>
    <row r="902">
      <c r="A902" s="1344" t="s">
        <v>311</v>
      </c>
      <c r="B902" s="1381" t="s">
        <v>3095</v>
      </c>
      <c r="C902" s="1382" t="s">
        <v>1495</v>
      </c>
      <c r="D902" s="1346">
        <v>1.62</v>
      </c>
      <c r="E902" s="1347"/>
      <c r="F902" s="1349"/>
      <c r="G902" s="1383"/>
      <c r="H902" s="1392">
        <v>1.9</v>
      </c>
    </row>
    <row r="903">
      <c r="A903" s="1351" t="s">
        <v>311</v>
      </c>
      <c r="B903" s="1385" t="s">
        <v>3094</v>
      </c>
      <c r="C903" s="1386" t="s">
        <v>1495</v>
      </c>
      <c r="D903" s="1353">
        <v>1.45</v>
      </c>
      <c r="E903" s="1354"/>
      <c r="F903" s="1356"/>
      <c r="G903" s="1387"/>
      <c r="H903" s="1388">
        <v>1.7</v>
      </c>
    </row>
    <row r="904">
      <c r="A904" s="1344" t="s">
        <v>311</v>
      </c>
      <c r="B904" s="1381" t="s">
        <v>3417</v>
      </c>
      <c r="C904" s="1382" t="s">
        <v>1495</v>
      </c>
      <c r="D904" s="1346">
        <v>0.89</v>
      </c>
      <c r="E904" s="1346" t="s">
        <v>3418</v>
      </c>
      <c r="F904" s="1349"/>
      <c r="G904" s="1383"/>
      <c r="H904" s="1384">
        <v>1.05</v>
      </c>
    </row>
    <row r="905">
      <c r="A905" s="1351" t="s">
        <v>311</v>
      </c>
      <c r="B905" s="1385" t="s">
        <v>3106</v>
      </c>
      <c r="C905" s="1386" t="s">
        <v>1495</v>
      </c>
      <c r="D905" s="1353">
        <v>0.82</v>
      </c>
      <c r="E905" s="1353" t="s">
        <v>3107</v>
      </c>
      <c r="F905" s="1356"/>
      <c r="G905" s="1387"/>
      <c r="H905" s="1391">
        <v>1.0</v>
      </c>
    </row>
    <row r="906">
      <c r="A906" s="1351" t="s">
        <v>311</v>
      </c>
      <c r="B906" s="1385" t="s">
        <v>3121</v>
      </c>
      <c r="C906" s="1386" t="s">
        <v>1495</v>
      </c>
      <c r="D906" s="1353">
        <v>0.99</v>
      </c>
      <c r="E906" s="1354"/>
      <c r="F906" s="1356"/>
      <c r="G906" s="1387"/>
      <c r="H906" s="1384">
        <v>1.15</v>
      </c>
    </row>
    <row r="907">
      <c r="A907" s="1351" t="s">
        <v>311</v>
      </c>
      <c r="B907" s="1385" t="s">
        <v>3061</v>
      </c>
      <c r="C907" s="1386" t="s">
        <v>1495</v>
      </c>
      <c r="D907" s="1353">
        <v>0.96</v>
      </c>
      <c r="E907" s="1354"/>
      <c r="F907" s="1356"/>
      <c r="G907" s="1387"/>
      <c r="H907" s="1388">
        <v>1.2</v>
      </c>
    </row>
    <row r="908">
      <c r="A908" s="1344" t="s">
        <v>3058</v>
      </c>
      <c r="B908" s="1381" t="s">
        <v>1374</v>
      </c>
      <c r="C908" s="1382" t="s">
        <v>1495</v>
      </c>
      <c r="D908" s="1346">
        <v>0.4</v>
      </c>
      <c r="E908" s="1346" t="s">
        <v>3407</v>
      </c>
      <c r="F908" s="1349"/>
      <c r="G908" s="1383"/>
      <c r="H908" s="1384">
        <v>0.5</v>
      </c>
    </row>
    <row r="909">
      <c r="A909" s="1351" t="s">
        <v>3058</v>
      </c>
      <c r="B909" s="1385" t="s">
        <v>1161</v>
      </c>
      <c r="C909" s="1386" t="s">
        <v>1495</v>
      </c>
      <c r="D909" s="1353">
        <v>0.3</v>
      </c>
      <c r="E909" s="1353" t="s">
        <v>3853</v>
      </c>
      <c r="F909" s="1356"/>
      <c r="G909" s="1387"/>
      <c r="H909" s="1388">
        <v>0.35</v>
      </c>
    </row>
    <row r="910">
      <c r="A910" s="1344" t="s">
        <v>3058</v>
      </c>
      <c r="B910" s="1381" t="s">
        <v>3060</v>
      </c>
      <c r="C910" s="1382" t="s">
        <v>1495</v>
      </c>
      <c r="D910" s="1346"/>
      <c r="E910" s="1347"/>
      <c r="F910" s="1349"/>
      <c r="G910" s="1383"/>
      <c r="H910" s="1384"/>
    </row>
    <row r="911">
      <c r="A911" s="1351" t="s">
        <v>3058</v>
      </c>
      <c r="B911" s="1385" t="s">
        <v>3118</v>
      </c>
      <c r="C911" s="1386" t="s">
        <v>1495</v>
      </c>
      <c r="D911" s="1353"/>
      <c r="E911" s="1354"/>
      <c r="F911" s="1356"/>
      <c r="G911" s="1387"/>
      <c r="H911" s="1388"/>
    </row>
    <row r="912">
      <c r="A912" s="1344" t="s">
        <v>3058</v>
      </c>
      <c r="B912" s="1381" t="s">
        <v>3059</v>
      </c>
      <c r="C912" s="1382" t="s">
        <v>1495</v>
      </c>
      <c r="D912" s="1346">
        <v>0.48</v>
      </c>
      <c r="E912" s="1347"/>
      <c r="F912" s="1349"/>
      <c r="G912" s="1383"/>
      <c r="H912" s="1384">
        <v>0.6</v>
      </c>
    </row>
    <row r="913">
      <c r="A913" s="1351" t="s">
        <v>3058</v>
      </c>
      <c r="B913" s="1385" t="s">
        <v>3117</v>
      </c>
      <c r="C913" s="1386" t="s">
        <v>1495</v>
      </c>
      <c r="D913" s="1353">
        <v>0.48</v>
      </c>
      <c r="E913" s="1354"/>
      <c r="F913" s="1356"/>
      <c r="G913" s="1387"/>
      <c r="H913" s="1388">
        <v>0.6</v>
      </c>
    </row>
    <row r="914">
      <c r="A914" s="1344" t="s">
        <v>3058</v>
      </c>
      <c r="B914" s="1381" t="s">
        <v>3062</v>
      </c>
      <c r="C914" s="1382" t="s">
        <v>1495</v>
      </c>
      <c r="D914" s="1346">
        <v>0.72</v>
      </c>
      <c r="E914" s="1346" t="s">
        <v>3063</v>
      </c>
      <c r="F914" s="1349"/>
      <c r="G914" s="1383"/>
      <c r="H914" s="1384">
        <v>0.9</v>
      </c>
    </row>
    <row r="915">
      <c r="A915" s="1351" t="s">
        <v>3058</v>
      </c>
      <c r="B915" s="1385" t="s">
        <v>3119</v>
      </c>
      <c r="C915" s="1386" t="s">
        <v>1495</v>
      </c>
      <c r="D915" s="1353">
        <v>0.92</v>
      </c>
      <c r="E915" s="1353" t="s">
        <v>3120</v>
      </c>
      <c r="F915" s="1356"/>
      <c r="G915" s="1387"/>
      <c r="H915" s="1388">
        <v>1.15</v>
      </c>
    </row>
    <row r="916">
      <c r="A916" s="1344" t="s">
        <v>309</v>
      </c>
      <c r="B916" s="1381" t="s">
        <v>3422</v>
      </c>
      <c r="C916" s="1382" t="s">
        <v>1495</v>
      </c>
      <c r="D916" s="1346">
        <v>12.8</v>
      </c>
      <c r="E916" s="1346" t="s">
        <v>3423</v>
      </c>
      <c r="F916" s="1349"/>
      <c r="G916" s="1383"/>
      <c r="H916" s="1384">
        <v>14.75</v>
      </c>
    </row>
    <row r="917">
      <c r="A917" s="1351" t="s">
        <v>309</v>
      </c>
      <c r="B917" s="1385" t="s">
        <v>1507</v>
      </c>
      <c r="C917" s="1386" t="s">
        <v>1495</v>
      </c>
      <c r="D917" s="1353">
        <v>6.73</v>
      </c>
      <c r="E917" s="1353" t="s">
        <v>3108</v>
      </c>
      <c r="F917" s="1356"/>
      <c r="G917" s="1387"/>
      <c r="H917" s="1388">
        <v>8.1</v>
      </c>
    </row>
    <row r="918">
      <c r="A918" s="1344" t="s">
        <v>309</v>
      </c>
      <c r="B918" s="1381" t="s">
        <v>1509</v>
      </c>
      <c r="C918" s="1382" t="s">
        <v>1495</v>
      </c>
      <c r="D918" s="1346">
        <v>11.35</v>
      </c>
      <c r="E918" s="1346" t="s">
        <v>3110</v>
      </c>
      <c r="F918" s="1349"/>
      <c r="G918" s="1383"/>
      <c r="H918" s="1384">
        <v>13.65</v>
      </c>
    </row>
    <row r="919">
      <c r="A919" s="1351" t="s">
        <v>309</v>
      </c>
      <c r="B919" s="1385" t="s">
        <v>1511</v>
      </c>
      <c r="C919" s="1386" t="s">
        <v>1495</v>
      </c>
      <c r="D919" s="1353">
        <v>13.27</v>
      </c>
      <c r="E919" s="1353" t="s">
        <v>3112</v>
      </c>
      <c r="F919" s="1356"/>
      <c r="G919" s="1387"/>
      <c r="H919" s="1388">
        <v>15.95</v>
      </c>
    </row>
    <row r="920">
      <c r="A920" s="1344" t="s">
        <v>309</v>
      </c>
      <c r="B920" s="1381" t="s">
        <v>1512</v>
      </c>
      <c r="C920" s="1382" t="s">
        <v>1495</v>
      </c>
      <c r="D920" s="1346">
        <v>17.62</v>
      </c>
      <c r="E920" s="1346" t="s">
        <v>3113</v>
      </c>
      <c r="F920" s="1349"/>
      <c r="G920" s="1383"/>
      <c r="H920" s="1384">
        <v>21.15</v>
      </c>
    </row>
    <row r="921">
      <c r="A921" s="1351" t="s">
        <v>309</v>
      </c>
      <c r="B921" s="1385" t="s">
        <v>1513</v>
      </c>
      <c r="C921" s="1386" t="s">
        <v>1495</v>
      </c>
      <c r="D921" s="1353">
        <v>0.9</v>
      </c>
      <c r="E921" s="1353" t="s">
        <v>3090</v>
      </c>
      <c r="F921" s="1356"/>
      <c r="G921" s="1387"/>
      <c r="H921" s="1388">
        <v>1.1</v>
      </c>
    </row>
    <row r="922">
      <c r="A922" s="1344" t="s">
        <v>309</v>
      </c>
      <c r="B922" s="1381" t="s">
        <v>1508</v>
      </c>
      <c r="C922" s="1382" t="s">
        <v>1495</v>
      </c>
      <c r="D922" s="1346">
        <v>8.49</v>
      </c>
      <c r="E922" s="1346" t="s">
        <v>3109</v>
      </c>
      <c r="F922" s="1349"/>
      <c r="G922" s="1383"/>
      <c r="H922" s="1384">
        <v>10.2</v>
      </c>
    </row>
    <row r="923">
      <c r="A923" s="1351" t="s">
        <v>309</v>
      </c>
      <c r="B923" s="1385" t="s">
        <v>1510</v>
      </c>
      <c r="C923" s="1386" t="s">
        <v>1495</v>
      </c>
      <c r="D923" s="1353"/>
      <c r="E923" s="1353" t="s">
        <v>3111</v>
      </c>
      <c r="F923" s="1356"/>
      <c r="G923" s="1387"/>
      <c r="H923" s="1388"/>
    </row>
    <row r="924">
      <c r="A924" s="1344" t="s">
        <v>308</v>
      </c>
      <c r="B924" s="1381" t="s">
        <v>3426</v>
      </c>
      <c r="C924" s="1382" t="s">
        <v>1495</v>
      </c>
      <c r="D924" s="1346">
        <v>9.1</v>
      </c>
      <c r="E924" s="1346" t="s">
        <v>3427</v>
      </c>
      <c r="F924" s="1349"/>
      <c r="G924" s="1383"/>
      <c r="H924" s="1384">
        <v>10.5</v>
      </c>
    </row>
    <row r="925">
      <c r="A925" s="1351" t="s">
        <v>308</v>
      </c>
      <c r="B925" s="1385" t="s">
        <v>3419</v>
      </c>
      <c r="C925" s="1386" t="s">
        <v>1495</v>
      </c>
      <c r="D925" s="1353">
        <v>0.89</v>
      </c>
      <c r="E925" s="1354"/>
      <c r="F925" s="1356"/>
      <c r="G925" s="1387"/>
      <c r="H925" s="1388">
        <v>1.05</v>
      </c>
    </row>
    <row r="926">
      <c r="A926" s="1344" t="s">
        <v>308</v>
      </c>
      <c r="B926" s="1381" t="s">
        <v>1395</v>
      </c>
      <c r="C926" s="1382" t="s">
        <v>1495</v>
      </c>
      <c r="D926" s="1346">
        <v>7.41</v>
      </c>
      <c r="E926" s="1347"/>
      <c r="F926" s="1349"/>
      <c r="G926" s="1383"/>
      <c r="H926" s="1384">
        <v>8.55</v>
      </c>
    </row>
    <row r="927">
      <c r="A927" s="1351" t="s">
        <v>308</v>
      </c>
      <c r="B927" s="1385" t="s">
        <v>1394</v>
      </c>
      <c r="C927" s="1386" t="s">
        <v>1495</v>
      </c>
      <c r="D927" s="1353">
        <v>5.77</v>
      </c>
      <c r="E927" s="1354"/>
      <c r="F927" s="1356"/>
      <c r="G927" s="1387"/>
      <c r="H927" s="1388">
        <v>6.65</v>
      </c>
    </row>
    <row r="928">
      <c r="A928" s="1344" t="s">
        <v>2170</v>
      </c>
      <c r="B928" s="1381" t="s">
        <v>3854</v>
      </c>
      <c r="C928" s="1382" t="s">
        <v>1495</v>
      </c>
      <c r="D928" s="1346">
        <v>21.0</v>
      </c>
      <c r="E928" s="1346" t="s">
        <v>3855</v>
      </c>
      <c r="F928" s="1349"/>
      <c r="G928" s="1383"/>
      <c r="H928" s="1384">
        <v>24.15</v>
      </c>
    </row>
    <row r="929">
      <c r="A929" s="1351" t="s">
        <v>2170</v>
      </c>
      <c r="B929" s="1385" t="s">
        <v>1404</v>
      </c>
      <c r="C929" s="1386" t="s">
        <v>1495</v>
      </c>
      <c r="D929" s="1353">
        <v>58.0</v>
      </c>
      <c r="E929" s="1353" t="s">
        <v>3434</v>
      </c>
      <c r="F929" s="1356"/>
      <c r="G929" s="1390" t="s">
        <v>3435</v>
      </c>
      <c r="H929" s="1388">
        <v>66.7</v>
      </c>
    </row>
    <row r="930">
      <c r="A930" s="1344" t="s">
        <v>2170</v>
      </c>
      <c r="B930" s="1381" t="s">
        <v>1153</v>
      </c>
      <c r="C930" s="1382" t="s">
        <v>1495</v>
      </c>
      <c r="D930" s="1346">
        <v>16.45</v>
      </c>
      <c r="E930" s="1346" t="s">
        <v>3220</v>
      </c>
      <c r="F930" s="1349"/>
      <c r="G930" s="1389" t="s">
        <v>3221</v>
      </c>
      <c r="H930" s="1384">
        <v>18.95</v>
      </c>
    </row>
    <row r="931">
      <c r="A931" s="1351" t="s">
        <v>2170</v>
      </c>
      <c r="B931" s="1385" t="s">
        <v>602</v>
      </c>
      <c r="C931" s="1386" t="s">
        <v>1495</v>
      </c>
      <c r="D931" s="1353">
        <v>16.35</v>
      </c>
      <c r="E931" s="1353" t="s">
        <v>2612</v>
      </c>
      <c r="F931" s="1356"/>
      <c r="G931" s="1390" t="s">
        <v>2613</v>
      </c>
      <c r="H931" s="1388">
        <v>18.85</v>
      </c>
    </row>
    <row r="932">
      <c r="A932" s="1344" t="s">
        <v>2170</v>
      </c>
      <c r="B932" s="1381" t="s">
        <v>358</v>
      </c>
      <c r="C932" s="1382" t="s">
        <v>1495</v>
      </c>
      <c r="D932" s="1346">
        <v>39.2</v>
      </c>
      <c r="E932" s="1346" t="s">
        <v>2171</v>
      </c>
      <c r="F932" s="1349"/>
      <c r="G932" s="1389" t="s">
        <v>2172</v>
      </c>
      <c r="H932" s="1384">
        <v>45.1</v>
      </c>
    </row>
    <row r="933">
      <c r="A933" s="1351" t="s">
        <v>2170</v>
      </c>
      <c r="B933" s="1385" t="s">
        <v>2596</v>
      </c>
      <c r="C933" s="1386" t="s">
        <v>1495</v>
      </c>
      <c r="D933" s="1353">
        <v>2.3</v>
      </c>
      <c r="E933" s="1353" t="s">
        <v>2597</v>
      </c>
      <c r="F933" s="1356"/>
      <c r="G933" s="1390" t="s">
        <v>2598</v>
      </c>
      <c r="H933" s="1388">
        <v>2.65</v>
      </c>
    </row>
    <row r="934">
      <c r="A934" s="1344" t="s">
        <v>2170</v>
      </c>
      <c r="B934" s="1381" t="s">
        <v>2615</v>
      </c>
      <c r="C934" s="1382" t="s">
        <v>1495</v>
      </c>
      <c r="D934" s="1346">
        <v>1.55</v>
      </c>
      <c r="E934" s="1346" t="s">
        <v>2616</v>
      </c>
      <c r="F934" s="1349"/>
      <c r="G934" s="1389" t="s">
        <v>2617</v>
      </c>
      <c r="H934" s="1384">
        <v>1.8</v>
      </c>
    </row>
    <row r="935">
      <c r="A935" s="1351" t="s">
        <v>2170</v>
      </c>
      <c r="B935" s="1385" t="s">
        <v>413</v>
      </c>
      <c r="C935" s="1386" t="s">
        <v>1495</v>
      </c>
      <c r="D935" s="1353">
        <v>32.65</v>
      </c>
      <c r="E935" s="1353" t="s">
        <v>3856</v>
      </c>
      <c r="F935" s="1356"/>
      <c r="G935" s="1390" t="s">
        <v>2258</v>
      </c>
      <c r="H935" s="1388">
        <v>37.55</v>
      </c>
    </row>
    <row r="936">
      <c r="A936" s="1344" t="s">
        <v>2170</v>
      </c>
      <c r="B936" s="1381" t="s">
        <v>2226</v>
      </c>
      <c r="C936" s="1382" t="s">
        <v>1495</v>
      </c>
      <c r="D936" s="1346">
        <v>15.4</v>
      </c>
      <c r="E936" s="1346" t="s">
        <v>2227</v>
      </c>
      <c r="F936" s="1349"/>
      <c r="G936" s="1383"/>
      <c r="H936" s="1384">
        <v>17.75</v>
      </c>
    </row>
    <row r="937">
      <c r="A937" s="1351" t="s">
        <v>2170</v>
      </c>
      <c r="B937" s="1385" t="s">
        <v>636</v>
      </c>
      <c r="C937" s="1386" t="s">
        <v>1495</v>
      </c>
      <c r="D937" s="1353">
        <v>30.82</v>
      </c>
      <c r="E937" s="1353" t="s">
        <v>2681</v>
      </c>
      <c r="F937" s="1356"/>
      <c r="G937" s="1390" t="s">
        <v>2682</v>
      </c>
      <c r="H937" s="1388">
        <v>35.45</v>
      </c>
    </row>
    <row r="938">
      <c r="A938" s="1344" t="s">
        <v>2170</v>
      </c>
      <c r="B938" s="1381" t="s">
        <v>415</v>
      </c>
      <c r="C938" s="1382" t="s">
        <v>1495</v>
      </c>
      <c r="D938" s="1346">
        <v>51.4</v>
      </c>
      <c r="E938" s="1346" t="s">
        <v>3857</v>
      </c>
      <c r="F938" s="1349"/>
      <c r="G938" s="1389" t="s">
        <v>2261</v>
      </c>
      <c r="H938" s="1384">
        <v>59.15</v>
      </c>
    </row>
    <row r="939">
      <c r="A939" s="1351" t="s">
        <v>2170</v>
      </c>
      <c r="B939" s="1385" t="s">
        <v>603</v>
      </c>
      <c r="C939" s="1386" t="s">
        <v>1495</v>
      </c>
      <c r="D939" s="1353">
        <v>14.1</v>
      </c>
      <c r="E939" s="1353" t="s">
        <v>2614</v>
      </c>
      <c r="F939" s="1356"/>
      <c r="G939" s="1387"/>
      <c r="H939" s="1388">
        <v>16.25</v>
      </c>
    </row>
    <row r="940">
      <c r="A940" s="1344" t="s">
        <v>2170</v>
      </c>
      <c r="B940" s="1381" t="s">
        <v>2887</v>
      </c>
      <c r="C940" s="1382" t="s">
        <v>1495</v>
      </c>
      <c r="D940" s="1346">
        <v>29.1</v>
      </c>
      <c r="E940" s="1346" t="s">
        <v>2888</v>
      </c>
      <c r="F940" s="1349"/>
      <c r="G940" s="1389" t="s">
        <v>2889</v>
      </c>
      <c r="H940" s="1384">
        <v>33.5</v>
      </c>
    </row>
    <row r="941">
      <c r="A941" s="1351" t="s">
        <v>2170</v>
      </c>
      <c r="B941" s="1385" t="s">
        <v>2533</v>
      </c>
      <c r="C941" s="1386" t="s">
        <v>1495</v>
      </c>
      <c r="D941" s="1353">
        <v>44.0</v>
      </c>
      <c r="E941" s="1353" t="s">
        <v>3858</v>
      </c>
      <c r="F941" s="1356"/>
      <c r="G941" s="1387"/>
      <c r="H941" s="1388">
        <v>50.6</v>
      </c>
    </row>
    <row r="942">
      <c r="A942" s="1344" t="s">
        <v>2170</v>
      </c>
      <c r="B942" s="1381" t="s">
        <v>2677</v>
      </c>
      <c r="C942" s="1382" t="s">
        <v>1495</v>
      </c>
      <c r="D942" s="1346">
        <v>20.95</v>
      </c>
      <c r="E942" s="1346" t="s">
        <v>3859</v>
      </c>
      <c r="F942" s="1349"/>
      <c r="G942" s="1383"/>
      <c r="H942" s="1384">
        <v>24.1</v>
      </c>
    </row>
    <row r="943">
      <c r="A943" s="1351" t="s">
        <v>2170</v>
      </c>
      <c r="B943" s="1385" t="s">
        <v>418</v>
      </c>
      <c r="C943" s="1386" t="s">
        <v>1495</v>
      </c>
      <c r="D943" s="1353">
        <v>38.7</v>
      </c>
      <c r="E943" s="1353" t="s">
        <v>3860</v>
      </c>
      <c r="F943" s="1356"/>
      <c r="G943" s="1390" t="s">
        <v>2265</v>
      </c>
      <c r="H943" s="1388">
        <v>44.55</v>
      </c>
    </row>
    <row r="944">
      <c r="A944" s="1344" t="s">
        <v>2170</v>
      </c>
      <c r="B944" s="1381" t="s">
        <v>2256</v>
      </c>
      <c r="C944" s="1382" t="s">
        <v>1495</v>
      </c>
      <c r="D944" s="1346">
        <v>18.09</v>
      </c>
      <c r="E944" s="1346" t="s">
        <v>3861</v>
      </c>
      <c r="F944" s="1349"/>
      <c r="G944" s="1389" t="s">
        <v>2257</v>
      </c>
      <c r="H944" s="1384">
        <v>20.85</v>
      </c>
    </row>
    <row r="945">
      <c r="A945" s="1351" t="s">
        <v>2170</v>
      </c>
      <c r="B945" s="1385" t="s">
        <v>2254</v>
      </c>
      <c r="C945" s="1386" t="s">
        <v>1495</v>
      </c>
      <c r="D945" s="1353">
        <v>19.6</v>
      </c>
      <c r="E945" s="1353" t="s">
        <v>3862</v>
      </c>
      <c r="F945" s="1356"/>
      <c r="G945" s="1390" t="s">
        <v>2255</v>
      </c>
      <c r="H945" s="1388">
        <v>22.55</v>
      </c>
    </row>
    <row r="946">
      <c r="A946" s="1344" t="s">
        <v>2170</v>
      </c>
      <c r="B946" s="1381" t="s">
        <v>3436</v>
      </c>
      <c r="C946" s="1382" t="s">
        <v>1495</v>
      </c>
      <c r="D946" s="1346">
        <v>18.45</v>
      </c>
      <c r="E946" s="1346" t="s">
        <v>3437</v>
      </c>
      <c r="F946" s="1349"/>
      <c r="G946" s="1389" t="s">
        <v>3438</v>
      </c>
      <c r="H946" s="1384">
        <v>21.25</v>
      </c>
    </row>
    <row r="947">
      <c r="A947" s="1351" t="s">
        <v>2926</v>
      </c>
      <c r="B947" s="1385" t="s">
        <v>2929</v>
      </c>
      <c r="C947" s="1386" t="s">
        <v>1495</v>
      </c>
      <c r="D947" s="1353">
        <v>3.5</v>
      </c>
      <c r="E947" s="1353" t="s">
        <v>3863</v>
      </c>
      <c r="F947" s="1356">
        <v>2.5</v>
      </c>
      <c r="G947" s="1390" t="s">
        <v>2930</v>
      </c>
      <c r="H947" s="1388">
        <v>4.05</v>
      </c>
    </row>
    <row r="948">
      <c r="A948" s="1344" t="s">
        <v>2926</v>
      </c>
      <c r="B948" s="1381" t="s">
        <v>2952</v>
      </c>
      <c r="C948" s="1382" t="s">
        <v>1495</v>
      </c>
      <c r="D948" s="1346">
        <v>1.95</v>
      </c>
      <c r="E948" s="1346" t="s">
        <v>2953</v>
      </c>
      <c r="F948" s="1349"/>
      <c r="G948" s="1389" t="s">
        <v>2954</v>
      </c>
      <c r="H948" s="1384">
        <v>2.25</v>
      </c>
    </row>
    <row r="949">
      <c r="A949" s="1351" t="s">
        <v>2926</v>
      </c>
      <c r="B949" s="1385" t="s">
        <v>2955</v>
      </c>
      <c r="C949" s="1386" t="s">
        <v>1495</v>
      </c>
      <c r="D949" s="1353">
        <v>2.0</v>
      </c>
      <c r="E949" s="1353" t="s">
        <v>2956</v>
      </c>
      <c r="F949" s="1356"/>
      <c r="G949" s="1387"/>
      <c r="H949" s="1388">
        <v>2.3</v>
      </c>
    </row>
    <row r="950">
      <c r="A950" s="1344" t="s">
        <v>2926</v>
      </c>
      <c r="B950" s="1381" t="s">
        <v>2927</v>
      </c>
      <c r="C950" s="1382" t="s">
        <v>1495</v>
      </c>
      <c r="D950" s="1346">
        <v>2.83</v>
      </c>
      <c r="E950" s="1346" t="s">
        <v>3864</v>
      </c>
      <c r="F950" s="1349"/>
      <c r="G950" s="1389" t="s">
        <v>2928</v>
      </c>
      <c r="H950" s="1384">
        <v>3.3</v>
      </c>
    </row>
    <row r="951">
      <c r="A951" s="1351" t="s">
        <v>324</v>
      </c>
      <c r="B951" s="1385" t="s">
        <v>1462</v>
      </c>
      <c r="C951" s="1386" t="s">
        <v>1495</v>
      </c>
      <c r="D951" s="1353"/>
      <c r="E951" s="1353" t="s">
        <v>3470</v>
      </c>
      <c r="F951" s="1356"/>
      <c r="G951" s="1390" t="s">
        <v>3471</v>
      </c>
      <c r="H951" s="1388"/>
    </row>
    <row r="952">
      <c r="A952" s="1344" t="s">
        <v>324</v>
      </c>
      <c r="B952" s="1381" t="s">
        <v>1464</v>
      </c>
      <c r="C952" s="1382" t="s">
        <v>1495</v>
      </c>
      <c r="D952" s="1346">
        <v>74.0</v>
      </c>
      <c r="E952" s="1347"/>
      <c r="F952" s="1349"/>
      <c r="G952" s="1389" t="s">
        <v>3474</v>
      </c>
      <c r="H952" s="1384">
        <v>85.1</v>
      </c>
    </row>
    <row r="953">
      <c r="A953" s="1351" t="s">
        <v>324</v>
      </c>
      <c r="B953" s="1385" t="s">
        <v>906</v>
      </c>
      <c r="C953" s="1386" t="s">
        <v>1495</v>
      </c>
      <c r="D953" s="1353">
        <v>46.18</v>
      </c>
      <c r="E953" s="1354"/>
      <c r="F953" s="1356"/>
      <c r="G953" s="1387"/>
      <c r="H953" s="1388">
        <v>53.15</v>
      </c>
    </row>
    <row r="954">
      <c r="A954" s="1344" t="s">
        <v>324</v>
      </c>
      <c r="B954" s="1381" t="s">
        <v>3048</v>
      </c>
      <c r="C954" s="1382" t="s">
        <v>1495</v>
      </c>
      <c r="D954" s="1346">
        <v>15.75</v>
      </c>
      <c r="E954" s="1347"/>
      <c r="F954" s="1349"/>
      <c r="G954" s="1389" t="s">
        <v>3049</v>
      </c>
      <c r="H954" s="1384">
        <v>18.15</v>
      </c>
    </row>
    <row r="955">
      <c r="A955" s="1351" t="s">
        <v>324</v>
      </c>
      <c r="B955" s="1385" t="s">
        <v>1463</v>
      </c>
      <c r="C955" s="1386" t="s">
        <v>1495</v>
      </c>
      <c r="D955" s="1353">
        <v>65.4</v>
      </c>
      <c r="E955" s="1353" t="s">
        <v>3472</v>
      </c>
      <c r="F955" s="1356"/>
      <c r="G955" s="1390" t="s">
        <v>3473</v>
      </c>
      <c r="H955" s="1388">
        <v>75.25</v>
      </c>
    </row>
    <row r="956">
      <c r="A956" s="1344" t="s">
        <v>324</v>
      </c>
      <c r="B956" s="1381" t="s">
        <v>1461</v>
      </c>
      <c r="C956" s="1382" t="s">
        <v>1495</v>
      </c>
      <c r="D956" s="1346">
        <v>52.35</v>
      </c>
      <c r="E956" s="1346" t="s">
        <v>3468</v>
      </c>
      <c r="F956" s="1349"/>
      <c r="G956" s="1389" t="s">
        <v>3469</v>
      </c>
      <c r="H956" s="1384">
        <v>60.25</v>
      </c>
    </row>
    <row r="957">
      <c r="A957" s="1351" t="s">
        <v>324</v>
      </c>
      <c r="B957" s="1385" t="s">
        <v>1460</v>
      </c>
      <c r="C957" s="1386" t="s">
        <v>1495</v>
      </c>
      <c r="D957" s="1353">
        <v>47.1</v>
      </c>
      <c r="E957" s="1353" t="s">
        <v>3466</v>
      </c>
      <c r="F957" s="1356"/>
      <c r="G957" s="1390" t="s">
        <v>3467</v>
      </c>
      <c r="H957" s="1388">
        <v>54.2</v>
      </c>
    </row>
    <row r="958">
      <c r="A958" s="1344" t="s">
        <v>324</v>
      </c>
      <c r="B958" s="1381" t="s">
        <v>1458</v>
      </c>
      <c r="C958" s="1382" t="s">
        <v>1495</v>
      </c>
      <c r="D958" s="1346">
        <v>39.3</v>
      </c>
      <c r="E958" s="1346" t="s">
        <v>3462</v>
      </c>
      <c r="F958" s="1349"/>
      <c r="G958" s="1389" t="s">
        <v>3463</v>
      </c>
      <c r="H958" s="1384">
        <v>45.2</v>
      </c>
    </row>
    <row r="959">
      <c r="A959" s="1351" t="s">
        <v>324</v>
      </c>
      <c r="B959" s="1385" t="s">
        <v>1457</v>
      </c>
      <c r="C959" s="1386" t="s">
        <v>1495</v>
      </c>
      <c r="D959" s="1353"/>
      <c r="E959" s="1354"/>
      <c r="F959" s="1356"/>
      <c r="G959" s="1387"/>
      <c r="H959" s="1388"/>
    </row>
    <row r="960">
      <c r="A960" s="1344" t="s">
        <v>2439</v>
      </c>
      <c r="B960" s="1381" t="s">
        <v>3203</v>
      </c>
      <c r="C960" s="1382" t="s">
        <v>1495</v>
      </c>
      <c r="D960" s="1346">
        <v>8.95</v>
      </c>
      <c r="E960" s="1346" t="s">
        <v>3865</v>
      </c>
      <c r="F960" s="1349"/>
      <c r="G960" s="1389" t="s">
        <v>2570</v>
      </c>
      <c r="H960" s="1384">
        <v>10.3</v>
      </c>
    </row>
    <row r="961">
      <c r="A961" s="1351" t="s">
        <v>2439</v>
      </c>
      <c r="B961" s="1385" t="s">
        <v>1479</v>
      </c>
      <c r="C961" s="1386" t="s">
        <v>1642</v>
      </c>
      <c r="D961" s="1353"/>
      <c r="E961" s="1353" t="s">
        <v>3495</v>
      </c>
      <c r="F961" s="1356"/>
      <c r="G961" s="1390" t="s">
        <v>3496</v>
      </c>
      <c r="H961" s="1388"/>
    </row>
    <row r="962">
      <c r="A962" s="1344" t="s">
        <v>2439</v>
      </c>
      <c r="B962" s="1381" t="s">
        <v>3245</v>
      </c>
      <c r="C962" s="1382" t="s">
        <v>1642</v>
      </c>
      <c r="D962" s="1346">
        <v>3.2</v>
      </c>
      <c r="E962" s="1346" t="s">
        <v>3246</v>
      </c>
      <c r="F962" s="1349"/>
      <c r="G962" s="1389" t="s">
        <v>3247</v>
      </c>
      <c r="H962" s="1384">
        <v>3.7</v>
      </c>
    </row>
    <row r="963">
      <c r="A963" s="1351" t="s">
        <v>2439</v>
      </c>
      <c r="B963" s="1385" t="s">
        <v>3248</v>
      </c>
      <c r="C963" s="1386" t="s">
        <v>1642</v>
      </c>
      <c r="D963" s="1353">
        <v>4.3</v>
      </c>
      <c r="E963" s="1353" t="s">
        <v>3249</v>
      </c>
      <c r="F963" s="1356"/>
      <c r="G963" s="1387"/>
      <c r="H963" s="1388">
        <v>4.95</v>
      </c>
    </row>
    <row r="964">
      <c r="A964" s="1344" t="s">
        <v>2439</v>
      </c>
      <c r="B964" s="1381" t="s">
        <v>697</v>
      </c>
      <c r="C964" s="1382" t="s">
        <v>1495</v>
      </c>
      <c r="D964" s="1346">
        <v>98.95</v>
      </c>
      <c r="E964" s="1346" t="s">
        <v>3866</v>
      </c>
      <c r="F964" s="1349"/>
      <c r="G964" s="1383"/>
      <c r="H964" s="1384">
        <v>113.8</v>
      </c>
    </row>
    <row r="965">
      <c r="A965" s="1351" t="s">
        <v>2439</v>
      </c>
      <c r="B965" s="1385" t="s">
        <v>577</v>
      </c>
      <c r="C965" s="1386" t="s">
        <v>1495</v>
      </c>
      <c r="D965" s="1353">
        <v>17.9</v>
      </c>
      <c r="E965" s="1353" t="s">
        <v>3867</v>
      </c>
      <c r="F965" s="1356"/>
      <c r="G965" s="1390" t="s">
        <v>2571</v>
      </c>
      <c r="H965" s="1388">
        <v>20.6</v>
      </c>
    </row>
    <row r="966">
      <c r="A966" s="1344" t="s">
        <v>2439</v>
      </c>
      <c r="B966" s="1381" t="s">
        <v>576</v>
      </c>
      <c r="C966" s="1382" t="s">
        <v>1495</v>
      </c>
      <c r="D966" s="1346">
        <v>11.15</v>
      </c>
      <c r="E966" s="1346" t="s">
        <v>3868</v>
      </c>
      <c r="F966" s="1349"/>
      <c r="G966" s="1389" t="s">
        <v>2570</v>
      </c>
      <c r="H966" s="1384">
        <v>12.85</v>
      </c>
    </row>
    <row r="967">
      <c r="A967" s="1351" t="s">
        <v>2439</v>
      </c>
      <c r="B967" s="1385" t="s">
        <v>521</v>
      </c>
      <c r="C967" s="1386" t="s">
        <v>1495</v>
      </c>
      <c r="D967" s="1353">
        <v>22.7</v>
      </c>
      <c r="E967" s="1353" t="s">
        <v>2446</v>
      </c>
      <c r="F967" s="1356"/>
      <c r="G967" s="1390" t="s">
        <v>2447</v>
      </c>
      <c r="H967" s="1388">
        <v>26.15</v>
      </c>
    </row>
    <row r="968">
      <c r="A968" s="1344" t="s">
        <v>2439</v>
      </c>
      <c r="B968" s="1381" t="s">
        <v>2868</v>
      </c>
      <c r="C968" s="1382" t="s">
        <v>1642</v>
      </c>
      <c r="D968" s="1346">
        <v>31.94</v>
      </c>
      <c r="E968" s="1346" t="s">
        <v>2869</v>
      </c>
      <c r="F968" s="1349"/>
      <c r="G968" s="1383"/>
      <c r="H968" s="1384">
        <v>36.75</v>
      </c>
    </row>
    <row r="969">
      <c r="A969" s="1351" t="s">
        <v>2439</v>
      </c>
      <c r="B969" s="1385" t="s">
        <v>2443</v>
      </c>
      <c r="C969" s="1386" t="s">
        <v>1495</v>
      </c>
      <c r="D969" s="1353">
        <v>8.45</v>
      </c>
      <c r="E969" s="1353" t="s">
        <v>2444</v>
      </c>
      <c r="F969" s="1356"/>
      <c r="G969" s="1390" t="s">
        <v>2445</v>
      </c>
      <c r="H969" s="1388">
        <v>9.75</v>
      </c>
    </row>
    <row r="970">
      <c r="A970" s="1344" t="s">
        <v>2439</v>
      </c>
      <c r="B970" s="1381" t="s">
        <v>2448</v>
      </c>
      <c r="C970" s="1382" t="s">
        <v>1495</v>
      </c>
      <c r="D970" s="1346">
        <v>12.69</v>
      </c>
      <c r="E970" s="1346" t="s">
        <v>2449</v>
      </c>
      <c r="F970" s="1349"/>
      <c r="G970" s="1389" t="s">
        <v>2450</v>
      </c>
      <c r="H970" s="1384">
        <v>14.6</v>
      </c>
    </row>
    <row r="971">
      <c r="A971" s="1351" t="s">
        <v>2439</v>
      </c>
      <c r="B971" s="1385" t="s">
        <v>2866</v>
      </c>
      <c r="C971" s="1386" t="s">
        <v>1642</v>
      </c>
      <c r="D971" s="1353">
        <v>26.61</v>
      </c>
      <c r="E971" s="1353" t="s">
        <v>2867</v>
      </c>
      <c r="F971" s="1356"/>
      <c r="G971" s="1387"/>
      <c r="H971" s="1388">
        <v>30.65</v>
      </c>
    </row>
    <row r="972">
      <c r="A972" s="1344" t="s">
        <v>2439</v>
      </c>
      <c r="B972" s="1381" t="s">
        <v>2440</v>
      </c>
      <c r="C972" s="1382" t="s">
        <v>1495</v>
      </c>
      <c r="D972" s="1346">
        <v>4.95</v>
      </c>
      <c r="E972" s="1346" t="s">
        <v>2441</v>
      </c>
      <c r="F972" s="1349"/>
      <c r="G972" s="1389" t="s">
        <v>2442</v>
      </c>
      <c r="H972" s="1384">
        <v>5.7</v>
      </c>
    </row>
    <row r="973">
      <c r="A973" s="1351" t="s">
        <v>2439</v>
      </c>
      <c r="B973" s="1385" t="s">
        <v>737</v>
      </c>
      <c r="C973" s="1386" t="s">
        <v>1495</v>
      </c>
      <c r="D973" s="1353">
        <v>4.8</v>
      </c>
      <c r="E973" s="1353" t="s">
        <v>2870</v>
      </c>
      <c r="F973" s="1356"/>
      <c r="G973" s="1390" t="s">
        <v>2871</v>
      </c>
      <c r="H973" s="1388">
        <v>5.55</v>
      </c>
    </row>
    <row r="974">
      <c r="A974" s="1344" t="s">
        <v>2439</v>
      </c>
      <c r="B974" s="1381" t="s">
        <v>2572</v>
      </c>
      <c r="C974" s="1382" t="s">
        <v>1495</v>
      </c>
      <c r="D974" s="1346">
        <v>7.8</v>
      </c>
      <c r="E974" s="1346" t="s">
        <v>3869</v>
      </c>
      <c r="F974" s="1349"/>
      <c r="G974" s="1389" t="s">
        <v>2573</v>
      </c>
      <c r="H974" s="1384">
        <v>9.0</v>
      </c>
    </row>
    <row r="975">
      <c r="A975" s="1351" t="s">
        <v>327</v>
      </c>
      <c r="B975" s="1385" t="s">
        <v>1325</v>
      </c>
      <c r="C975" s="1386" t="s">
        <v>1495</v>
      </c>
      <c r="D975" s="1353"/>
      <c r="E975" s="1353" t="s">
        <v>3362</v>
      </c>
      <c r="F975" s="1356"/>
      <c r="G975" s="1390" t="s">
        <v>3363</v>
      </c>
      <c r="H975" s="1388"/>
    </row>
    <row r="976">
      <c r="A976" s="1344" t="s">
        <v>327</v>
      </c>
      <c r="B976" s="1381" t="s">
        <v>1324</v>
      </c>
      <c r="C976" s="1382" t="s">
        <v>1495</v>
      </c>
      <c r="D976" s="1346"/>
      <c r="E976" s="1346" t="s">
        <v>3360</v>
      </c>
      <c r="F976" s="1349"/>
      <c r="G976" s="1389" t="s">
        <v>3361</v>
      </c>
      <c r="H976" s="1384"/>
    </row>
    <row r="977">
      <c r="A977" s="1351" t="s">
        <v>327</v>
      </c>
      <c r="B977" s="1385" t="s">
        <v>1476</v>
      </c>
      <c r="C977" s="1386" t="s">
        <v>1495</v>
      </c>
      <c r="D977" s="1353"/>
      <c r="E977" s="1353" t="s">
        <v>3491</v>
      </c>
      <c r="F977" s="1356"/>
      <c r="G977" s="1390" t="s">
        <v>3492</v>
      </c>
      <c r="H977" s="1388"/>
    </row>
    <row r="978">
      <c r="A978" s="1344" t="s">
        <v>327</v>
      </c>
      <c r="B978" s="1381" t="s">
        <v>1326</v>
      </c>
      <c r="C978" s="1382" t="s">
        <v>1495</v>
      </c>
      <c r="D978" s="1346">
        <v>42.85</v>
      </c>
      <c r="E978" s="1346" t="s">
        <v>3364</v>
      </c>
      <c r="F978" s="1349"/>
      <c r="G978" s="1389" t="s">
        <v>3365</v>
      </c>
      <c r="H978" s="1384">
        <v>49.3</v>
      </c>
    </row>
    <row r="979">
      <c r="A979" s="1351" t="s">
        <v>327</v>
      </c>
      <c r="B979" s="1385" t="s">
        <v>2506</v>
      </c>
      <c r="C979" s="1386" t="s">
        <v>1495</v>
      </c>
      <c r="D979" s="1353">
        <v>19.65</v>
      </c>
      <c r="E979" s="1353" t="s">
        <v>3870</v>
      </c>
      <c r="F979" s="1356"/>
      <c r="G979" s="1390" t="s">
        <v>2507</v>
      </c>
      <c r="H979" s="1388">
        <v>22.6</v>
      </c>
    </row>
    <row r="980">
      <c r="A980" s="1344" t="s">
        <v>327</v>
      </c>
      <c r="B980" s="1381" t="s">
        <v>188</v>
      </c>
      <c r="C980" s="1382" t="s">
        <v>1495</v>
      </c>
      <c r="D980" s="1346">
        <v>30.32</v>
      </c>
      <c r="E980" s="1346" t="s">
        <v>3871</v>
      </c>
      <c r="F980" s="1349"/>
      <c r="G980" s="1389" t="s">
        <v>2508</v>
      </c>
      <c r="H980" s="1392">
        <v>34.9</v>
      </c>
    </row>
    <row r="981">
      <c r="A981" s="1351" t="s">
        <v>327</v>
      </c>
      <c r="B981" s="1385" t="s">
        <v>164</v>
      </c>
      <c r="C981" s="1386" t="s">
        <v>1495</v>
      </c>
      <c r="D981" s="1353">
        <v>33.88</v>
      </c>
      <c r="E981" s="1353" t="s">
        <v>3872</v>
      </c>
      <c r="F981" s="1356"/>
      <c r="G981" s="1390" t="s">
        <v>2509</v>
      </c>
      <c r="H981" s="1388">
        <v>39.0</v>
      </c>
    </row>
    <row r="982">
      <c r="A982" s="1344" t="s">
        <v>327</v>
      </c>
      <c r="B982" s="1381" t="s">
        <v>665</v>
      </c>
      <c r="C982" s="1382" t="s">
        <v>1495</v>
      </c>
      <c r="D982" s="1346">
        <v>9.95</v>
      </c>
      <c r="E982" s="1346" t="s">
        <v>3873</v>
      </c>
      <c r="F982" s="1349"/>
      <c r="G982" s="1389" t="s">
        <v>2736</v>
      </c>
      <c r="H982" s="1384">
        <v>11.45</v>
      </c>
    </row>
    <row r="983">
      <c r="A983" s="1351" t="s">
        <v>327</v>
      </c>
      <c r="B983" s="1385" t="s">
        <v>744</v>
      </c>
      <c r="C983" s="1386" t="s">
        <v>1495</v>
      </c>
      <c r="D983" s="1353">
        <v>13.15</v>
      </c>
      <c r="E983" s="1354"/>
      <c r="F983" s="1356"/>
      <c r="G983" s="1390" t="s">
        <v>2886</v>
      </c>
      <c r="H983" s="1388">
        <v>15.15</v>
      </c>
    </row>
    <row r="984">
      <c r="A984" s="1344" t="s">
        <v>327</v>
      </c>
      <c r="B984" s="1381" t="s">
        <v>2510</v>
      </c>
      <c r="C984" s="1382" t="s">
        <v>1495</v>
      </c>
      <c r="D984" s="1346">
        <v>61.75</v>
      </c>
      <c r="E984" s="1346" t="s">
        <v>3874</v>
      </c>
      <c r="F984" s="1349"/>
      <c r="G984" s="1389" t="s">
        <v>2511</v>
      </c>
      <c r="H984" s="1384">
        <v>71.05</v>
      </c>
    </row>
    <row r="985">
      <c r="A985" s="1351" t="s">
        <v>327</v>
      </c>
      <c r="B985" s="1385" t="s">
        <v>669</v>
      </c>
      <c r="C985" s="1386" t="s">
        <v>1495</v>
      </c>
      <c r="D985" s="1353">
        <v>4.2</v>
      </c>
      <c r="E985" s="1353" t="s">
        <v>2743</v>
      </c>
      <c r="F985" s="1356"/>
      <c r="G985" s="1390" t="s">
        <v>2744</v>
      </c>
      <c r="H985" s="1388">
        <v>4.85</v>
      </c>
    </row>
    <row r="986">
      <c r="A986" s="1344" t="s">
        <v>327</v>
      </c>
      <c r="B986" s="1381" t="s">
        <v>664</v>
      </c>
      <c r="C986" s="1382" t="s">
        <v>1495</v>
      </c>
      <c r="D986" s="1346">
        <v>5.05</v>
      </c>
      <c r="E986" s="1346" t="s">
        <v>3875</v>
      </c>
      <c r="F986" s="1349"/>
      <c r="G986" s="1389" t="s">
        <v>2735</v>
      </c>
      <c r="H986" s="1384">
        <v>5.85</v>
      </c>
    </row>
    <row r="987">
      <c r="A987" s="1351" t="s">
        <v>327</v>
      </c>
      <c r="B987" s="1385" t="s">
        <v>670</v>
      </c>
      <c r="C987" s="1386" t="s">
        <v>1495</v>
      </c>
      <c r="D987" s="1353">
        <v>5.0</v>
      </c>
      <c r="E987" s="1353" t="s">
        <v>2745</v>
      </c>
      <c r="F987" s="1356"/>
      <c r="G987" s="1390" t="s">
        <v>2746</v>
      </c>
      <c r="H987" s="1388">
        <v>5.75</v>
      </c>
    </row>
    <row r="988">
      <c r="A988" s="1344" t="s">
        <v>327</v>
      </c>
      <c r="B988" s="1381" t="s">
        <v>2747</v>
      </c>
      <c r="C988" s="1382" t="s">
        <v>1495</v>
      </c>
      <c r="D988" s="1346">
        <v>3.15</v>
      </c>
      <c r="E988" s="1346" t="s">
        <v>2748</v>
      </c>
      <c r="F988" s="1349"/>
      <c r="G988" s="1389" t="s">
        <v>2749</v>
      </c>
      <c r="H988" s="1384">
        <v>3.65</v>
      </c>
    </row>
    <row r="989">
      <c r="A989" s="1351" t="s">
        <v>327</v>
      </c>
      <c r="B989" s="1385" t="s">
        <v>881</v>
      </c>
      <c r="C989" s="1386" t="s">
        <v>1495</v>
      </c>
      <c r="D989" s="1353"/>
      <c r="E989" s="1354"/>
      <c r="F989" s="1356"/>
      <c r="G989" s="1387"/>
      <c r="H989" s="1388"/>
    </row>
    <row r="990">
      <c r="A990" s="1344" t="s">
        <v>327</v>
      </c>
      <c r="B990" s="1381" t="s">
        <v>3153</v>
      </c>
      <c r="C990" s="1382" t="s">
        <v>1495</v>
      </c>
      <c r="D990" s="1346">
        <v>1.05</v>
      </c>
      <c r="E990" s="1346" t="s">
        <v>3154</v>
      </c>
      <c r="F990" s="1349"/>
      <c r="G990" s="1389" t="s">
        <v>3155</v>
      </c>
      <c r="H990" s="1384">
        <v>1.25</v>
      </c>
    </row>
    <row r="991">
      <c r="A991" s="1351" t="s">
        <v>327</v>
      </c>
      <c r="B991" s="1385" t="s">
        <v>3150</v>
      </c>
      <c r="C991" s="1386" t="s">
        <v>1495</v>
      </c>
      <c r="D991" s="1353">
        <v>1.2</v>
      </c>
      <c r="E991" s="1353" t="s">
        <v>3151</v>
      </c>
      <c r="F991" s="1356"/>
      <c r="G991" s="1390" t="s">
        <v>3152</v>
      </c>
      <c r="H991" s="1388">
        <v>1.4</v>
      </c>
    </row>
    <row r="992">
      <c r="A992" s="1344" t="s">
        <v>327</v>
      </c>
      <c r="B992" s="1381" t="s">
        <v>888</v>
      </c>
      <c r="C992" s="1382" t="s">
        <v>1495</v>
      </c>
      <c r="D992" s="1346"/>
      <c r="E992" s="1346" t="s">
        <v>3039</v>
      </c>
      <c r="F992" s="1349"/>
      <c r="G992" s="1383"/>
      <c r="H992" s="1384"/>
    </row>
    <row r="993">
      <c r="A993" s="1351" t="s">
        <v>327</v>
      </c>
      <c r="B993" s="1385" t="s">
        <v>639</v>
      </c>
      <c r="C993" s="1386" t="s">
        <v>1495</v>
      </c>
      <c r="D993" s="1353">
        <v>68.9</v>
      </c>
      <c r="E993" s="1353" t="s">
        <v>2686</v>
      </c>
      <c r="F993" s="1356"/>
      <c r="G993" s="1390" t="s">
        <v>2687</v>
      </c>
      <c r="H993" s="1388">
        <v>79.25</v>
      </c>
    </row>
    <row r="994">
      <c r="A994" s="1344" t="s">
        <v>327</v>
      </c>
      <c r="B994" s="1381" t="s">
        <v>885</v>
      </c>
      <c r="C994" s="1382" t="s">
        <v>1495</v>
      </c>
      <c r="D994" s="1346">
        <v>120.83</v>
      </c>
      <c r="E994" s="1346" t="s">
        <v>3033</v>
      </c>
      <c r="F994" s="1349"/>
      <c r="G994" s="1383"/>
      <c r="H994" s="1384">
        <v>139.0</v>
      </c>
    </row>
    <row r="995">
      <c r="A995" s="1351" t="s">
        <v>327</v>
      </c>
      <c r="B995" s="1385" t="s">
        <v>1475</v>
      </c>
      <c r="C995" s="1386" t="s">
        <v>1495</v>
      </c>
      <c r="D995" s="1353">
        <v>96.88</v>
      </c>
      <c r="E995" s="1353" t="s">
        <v>3489</v>
      </c>
      <c r="F995" s="1356"/>
      <c r="G995" s="1390" t="s">
        <v>3490</v>
      </c>
      <c r="H995" s="1388">
        <v>111.45</v>
      </c>
    </row>
    <row r="996">
      <c r="A996" s="1344" t="s">
        <v>327</v>
      </c>
      <c r="B996" s="1381" t="s">
        <v>547</v>
      </c>
      <c r="C996" s="1382" t="s">
        <v>1495</v>
      </c>
      <c r="D996" s="1346">
        <v>8.77</v>
      </c>
      <c r="E996" s="1346" t="s">
        <v>3876</v>
      </c>
      <c r="F996" s="1349"/>
      <c r="G996" s="1389" t="s">
        <v>2512</v>
      </c>
      <c r="H996" s="1384">
        <v>10.1</v>
      </c>
    </row>
    <row r="997">
      <c r="A997" s="1351" t="s">
        <v>327</v>
      </c>
      <c r="B997" s="1385" t="s">
        <v>1477</v>
      </c>
      <c r="C997" s="1386" t="s">
        <v>1495</v>
      </c>
      <c r="D997" s="1353">
        <v>104.13</v>
      </c>
      <c r="E997" s="1353" t="s">
        <v>3493</v>
      </c>
      <c r="F997" s="1356"/>
      <c r="G997" s="1390" t="s">
        <v>3494</v>
      </c>
      <c r="H997" s="1388">
        <v>119.75</v>
      </c>
    </row>
    <row r="998">
      <c r="A998" s="1344" t="s">
        <v>327</v>
      </c>
      <c r="B998" s="1381" t="s">
        <v>886</v>
      </c>
      <c r="C998" s="1382" t="s">
        <v>1495</v>
      </c>
      <c r="D998" s="1346">
        <v>189.0</v>
      </c>
      <c r="E998" s="1346" t="s">
        <v>3034</v>
      </c>
      <c r="F998" s="1349"/>
      <c r="G998" s="1389" t="s">
        <v>3035</v>
      </c>
      <c r="H998" s="1384">
        <v>217.35</v>
      </c>
    </row>
    <row r="999">
      <c r="A999" s="1372" t="s">
        <v>327</v>
      </c>
      <c r="B999" s="1403" t="s">
        <v>3036</v>
      </c>
      <c r="C999" s="1404" t="s">
        <v>1495</v>
      </c>
      <c r="D999" s="1374">
        <v>234.0</v>
      </c>
      <c r="E999" s="1374" t="s">
        <v>3037</v>
      </c>
      <c r="F999" s="1377"/>
      <c r="G999" s="1405" t="s">
        <v>3038</v>
      </c>
      <c r="H999" s="1406">
        <v>269.1</v>
      </c>
    </row>
  </sheetData>
  <customSheetViews>
    <customSheetView guid="{01191DBF-59BC-4F01-AC05-C400FC7D42A4}" filter="1" showAutoFilter="1">
      <autoFilter ref="$A$1:$H$999">
        <filterColumn colId="0">
          <filters>
            <filter val="Зразки від постачальників"/>
            <filter val="На продаж"/>
            <filter val="Захист АC (основне)"/>
            <filter val="Комплектуючі RUDNIK"/>
            <filter val="Захист DC (основне)"/>
            <filter val="Лічильники SmartMeter"/>
            <filter val="Кабелі та провода (під замовлення)"/>
            <filter val="Елементи розумного дому"/>
            <filter val="Матеріали для КОШТОРИС (гугл. табл.)"/>
            <filter val="Прижими Z та Т (Не зовсім актуальні)"/>
          </filters>
        </filterColumn>
      </autoFilter>
    </customSheetView>
    <customSheetView guid="{B602EFCD-9D7F-4B53-98A1-566DE9A0FEEC}" filter="1" showAutoFilter="1">
      <autoFilter ref="$A$1:$H$999">
        <filterColumn colId="0">
          <filters>
            <filter val="Зразки від постачальників"/>
            <filter val="Заземлення"/>
            <filter val="На продаж"/>
            <filter val="Комплектуючі RUDNIK"/>
            <filter val="Лічильники SmartMeter"/>
            <filter val="Кабелі та провода (під замовлення)"/>
            <filter val="Елементи розумного дому"/>
            <filter val="Матеріали для КОШТОРИС (гугл. табл.)"/>
            <filter val="Прижими Z та Т (Не зовсім актуальні)"/>
          </filters>
        </filterColumn>
      </autoFilter>
    </customSheetView>
    <customSheetView guid="{F2BFDCC2-EE39-4355-A7CD-BFBD4D8AA63E}" filter="1" showAutoFilter="1">
      <autoFilter ref="$A$1:$H$999">
        <filterColumn colId="0">
          <filters>
            <filter val="Зразки від постачальників"/>
            <filter val="Захист АКБ"/>
            <filter val="На продаж"/>
            <filter val="Комплектуючі RUDNIK"/>
            <filter val="Лічильники SmartMeter"/>
            <filter val="Кабелі та провода (під замовлення)"/>
            <filter val="Елементи розумного дому"/>
            <filter val="Матеріали для КОШТОРИС (гугл. табл.)"/>
            <filter val="Прижими Z та Т (Не зовсім актуальні)"/>
          </filters>
        </filterColumn>
      </autoFilter>
    </customSheetView>
    <customSheetView guid="{C02AF690-BB72-4D47-806D-BBDCE35215FD}" filter="1" showAutoFilter="1">
      <autoFilter ref="$A$1:$H$999"/>
    </customSheetView>
  </customSheetViews>
  <dataValidations>
    <dataValidation type="list" allowBlank="1" showDropDown="1" sqref="A2:A999">
      <formula1>"АВР (автоматичне ввімкнення резерву),Арматура СІП,Захист АC (основне),Захист DC (основне),Заземлення,Захист АКБ,Щити_Розподільчі коробки,Кабелі та провода ,Автоматичні вимикачі,Запобіжники,Елементи керування, сигналізації, індикації,Елементи монтажу (Стяж"&amp;"ки, ізолятори і т.д.),Клеми_Розподільчі блоки,MC4_Конектори,Накінечники_Гільзи,Кабельні короба_Труби_Фурнітура,Гофра_Фурнітура,Перемикачі_Вимикачі навантаження,Реле_Контактори,Шини_Гребінки,Розетки,Ізоляція,Гібридні,Кріплення для АКБ,Кронштейни (для кріпл"&amp;"ення профіля),Трансформатори струму,Різне (Кріплення),Літій-залізо-фосфатні(високовольтні),Літій-залізо-фосфатні(низьковольтні),Профіль та з'єднувач (алюміній),При замовленні у RUDNIK та інших,Односторонні,Лічильники електроенергії,Мережеві,Профіль та з'є"&amp;"днувач (цинк),Прижими Z та Т (кріплення ФЕМ),Моніторинг для інверторів,Лічильники SmartMeter,Послуги,Підсилювач бездротового сигналу,Кабелі та провода (під замовлення),Елементи розумного дому,Комплектуючі RUDNIK"</formula1>
    </dataValidation>
    <dataValidation type="list" allowBlank="1" showDropDown="1" sqref="C2:C999">
      <formula1>"шт,м,пак,доб,Послуга,год,м2"</formula1>
    </dataValidation>
    <dataValidation allowBlank="1" showDropDown="1" sqref="E2:E999"/>
  </dataValidations>
  <hyperlinks>
    <hyperlink r:id="rId1" ref="G4"/>
    <hyperlink r:id="rId2" ref="G5"/>
    <hyperlink r:id="rId3" ref="G8"/>
    <hyperlink r:id="rId4" ref="G12"/>
    <hyperlink r:id="rId5" ref="G13"/>
    <hyperlink r:id="rId6" ref="G14"/>
    <hyperlink r:id="rId7" ref="G15"/>
    <hyperlink r:id="rId8" ref="G16"/>
    <hyperlink r:id="rId9" ref="G17"/>
    <hyperlink r:id="rId10" ref="G18"/>
    <hyperlink r:id="rId11" ref="G19"/>
    <hyperlink r:id="rId12" ref="G20"/>
    <hyperlink r:id="rId13" ref="G21"/>
    <hyperlink r:id="rId14" ref="G22"/>
    <hyperlink r:id="rId15" ref="G23"/>
    <hyperlink r:id="rId16" ref="G24"/>
    <hyperlink r:id="rId17" ref="G25"/>
    <hyperlink r:id="rId18" ref="G26"/>
    <hyperlink r:id="rId19" ref="G27"/>
    <hyperlink r:id="rId20" ref="G28"/>
    <hyperlink r:id="rId21" ref="G29"/>
    <hyperlink r:id="rId22" ref="G30"/>
    <hyperlink r:id="rId23" ref="G31"/>
    <hyperlink r:id="rId24" ref="G32"/>
    <hyperlink r:id="rId25" ref="G33"/>
    <hyperlink r:id="rId26" ref="G34"/>
    <hyperlink r:id="rId27" ref="G35"/>
    <hyperlink r:id="rId28" ref="G36"/>
    <hyperlink r:id="rId29" ref="G37"/>
    <hyperlink r:id="rId30" ref="G38"/>
    <hyperlink r:id="rId31" ref="G39"/>
    <hyperlink r:id="rId32" ref="G40"/>
    <hyperlink r:id="rId33" ref="G41"/>
    <hyperlink r:id="rId34" ref="G42"/>
    <hyperlink r:id="rId35" ref="G43"/>
    <hyperlink r:id="rId36" ref="G44"/>
    <hyperlink r:id="rId37" ref="G45"/>
    <hyperlink r:id="rId38" ref="G46"/>
    <hyperlink r:id="rId39" ref="G47"/>
    <hyperlink r:id="rId40" ref="G48"/>
    <hyperlink r:id="rId41" ref="G49"/>
    <hyperlink r:id="rId42" ref="G50"/>
    <hyperlink r:id="rId43" ref="G51"/>
    <hyperlink r:id="rId44" ref="G52"/>
    <hyperlink r:id="rId45" ref="G53"/>
    <hyperlink r:id="rId46" ref="G54"/>
    <hyperlink r:id="rId47" ref="G55"/>
    <hyperlink r:id="rId48" ref="G56"/>
    <hyperlink r:id="rId49" ref="G57"/>
    <hyperlink r:id="rId50" ref="G58"/>
    <hyperlink r:id="rId51" ref="G59"/>
    <hyperlink r:id="rId52" ref="G60"/>
    <hyperlink r:id="rId53" ref="G61"/>
    <hyperlink r:id="rId54" ref="G62"/>
    <hyperlink r:id="rId55" ref="G63"/>
    <hyperlink r:id="rId56" ref="G64"/>
    <hyperlink r:id="rId57" ref="G65"/>
    <hyperlink r:id="rId58" ref="G66"/>
    <hyperlink r:id="rId59" ref="G67"/>
    <hyperlink r:id="rId60" ref="G68"/>
    <hyperlink r:id="rId61" ref="G69"/>
    <hyperlink r:id="rId62" ref="G70"/>
    <hyperlink r:id="rId63" ref="G71"/>
    <hyperlink r:id="rId64" ref="G72"/>
    <hyperlink r:id="rId65" ref="G73"/>
    <hyperlink r:id="rId66" ref="G74"/>
    <hyperlink r:id="rId67" ref="G75"/>
    <hyperlink r:id="rId68" ref="G76"/>
    <hyperlink r:id="rId69" ref="G77"/>
    <hyperlink r:id="rId70" ref="G78"/>
    <hyperlink r:id="rId71" ref="G80"/>
    <hyperlink r:id="rId72" ref="G81"/>
    <hyperlink r:id="rId73" ref="G140"/>
    <hyperlink r:id="rId74" ref="G141"/>
    <hyperlink r:id="rId75" ref="G142"/>
    <hyperlink r:id="rId76" ref="G143"/>
    <hyperlink r:id="rId77" ref="G144"/>
    <hyperlink r:id="rId78" ref="G146"/>
    <hyperlink r:id="rId79" ref="G149"/>
    <hyperlink r:id="rId80" ref="G150"/>
    <hyperlink r:id="rId81" ref="G151"/>
    <hyperlink r:id="rId82" ref="G155"/>
    <hyperlink r:id="rId83" ref="G156"/>
    <hyperlink r:id="rId84" ref="G158"/>
    <hyperlink r:id="rId85" ref="G159"/>
    <hyperlink r:id="rId86" ref="G160"/>
    <hyperlink r:id="rId87" ref="G161"/>
    <hyperlink r:id="rId88" ref="G162"/>
    <hyperlink r:id="rId89" ref="G163"/>
    <hyperlink r:id="rId90" ref="G164"/>
    <hyperlink r:id="rId91" ref="G165"/>
    <hyperlink r:id="rId92" ref="G166"/>
    <hyperlink r:id="rId93" ref="G167"/>
    <hyperlink r:id="rId94" ref="G168"/>
    <hyperlink r:id="rId95" ref="G169"/>
    <hyperlink r:id="rId96" ref="G170"/>
    <hyperlink r:id="rId97" ref="G171"/>
    <hyperlink r:id="rId98" ref="G173"/>
    <hyperlink r:id="rId99" ref="G174"/>
    <hyperlink r:id="rId100" ref="G176"/>
    <hyperlink r:id="rId101" ref="G177"/>
    <hyperlink r:id="rId102" ref="G178"/>
    <hyperlink r:id="rId103" ref="G179"/>
    <hyperlink r:id="rId104" ref="G180"/>
    <hyperlink r:id="rId105" ref="G181"/>
    <hyperlink r:id="rId106" ref="G182"/>
    <hyperlink r:id="rId107" ref="G183"/>
    <hyperlink r:id="rId108" ref="G184"/>
    <hyperlink r:id="rId109" ref="G185"/>
    <hyperlink r:id="rId110" ref="G186"/>
    <hyperlink r:id="rId111" ref="G187"/>
    <hyperlink r:id="rId112" ref="G188"/>
    <hyperlink r:id="rId113" ref="G190"/>
    <hyperlink r:id="rId114" ref="G191"/>
    <hyperlink r:id="rId115" ref="G192"/>
    <hyperlink r:id="rId116" ref="G193"/>
    <hyperlink r:id="rId117" ref="G194"/>
    <hyperlink r:id="rId118" ref="G196"/>
    <hyperlink r:id="rId119" ref="G197"/>
    <hyperlink r:id="rId120" ref="G198"/>
    <hyperlink r:id="rId121" ref="G199"/>
    <hyperlink r:id="rId122" ref="G200"/>
    <hyperlink r:id="rId123" ref="G201"/>
    <hyperlink r:id="rId124" ref="G202"/>
    <hyperlink r:id="rId125" ref="G204"/>
    <hyperlink r:id="rId126" ref="G205"/>
    <hyperlink r:id="rId127" ref="G206"/>
    <hyperlink r:id="rId128" ref="G207"/>
    <hyperlink r:id="rId129" ref="G208"/>
    <hyperlink r:id="rId130" ref="G209"/>
    <hyperlink r:id="rId131" ref="G210"/>
    <hyperlink r:id="rId132" ref="G211"/>
    <hyperlink r:id="rId133" ref="G212"/>
    <hyperlink r:id="rId134" ref="G213"/>
    <hyperlink r:id="rId135" ref="G214"/>
    <hyperlink r:id="rId136" ref="G215"/>
    <hyperlink r:id="rId137" ref="G217"/>
    <hyperlink r:id="rId138" ref="G218"/>
    <hyperlink r:id="rId139" ref="G219"/>
    <hyperlink r:id="rId140" ref="G223"/>
    <hyperlink r:id="rId141" ref="G224"/>
    <hyperlink r:id="rId142" ref="G225"/>
    <hyperlink r:id="rId143" ref="G226"/>
    <hyperlink r:id="rId144" ref="G228"/>
    <hyperlink r:id="rId145" ref="G229"/>
    <hyperlink r:id="rId146" ref="G230"/>
    <hyperlink r:id="rId147" ref="G231"/>
    <hyperlink r:id="rId148" ref="G232"/>
    <hyperlink r:id="rId149" ref="G233"/>
    <hyperlink r:id="rId150" ref="G234"/>
    <hyperlink r:id="rId151" ref="G235"/>
    <hyperlink r:id="rId152" ref="G237"/>
    <hyperlink r:id="rId153" ref="G238"/>
    <hyperlink r:id="rId154" ref="G241"/>
    <hyperlink r:id="rId155" ref="G242"/>
    <hyperlink r:id="rId156" ref="G243"/>
    <hyperlink r:id="rId157" ref="G244"/>
    <hyperlink r:id="rId158" ref="G245"/>
    <hyperlink r:id="rId159" ref="G246"/>
    <hyperlink r:id="rId160" ref="G247"/>
    <hyperlink r:id="rId161" ref="G248"/>
    <hyperlink r:id="rId162" ref="G249"/>
    <hyperlink r:id="rId163" ref="G250"/>
    <hyperlink r:id="rId164" ref="G251"/>
    <hyperlink r:id="rId165" ref="G252"/>
    <hyperlink r:id="rId166" ref="G253"/>
    <hyperlink r:id="rId167" ref="G254"/>
    <hyperlink r:id="rId168" ref="G255"/>
    <hyperlink r:id="rId169" ref="G256"/>
    <hyperlink r:id="rId170" ref="G257"/>
    <hyperlink r:id="rId171" ref="G258"/>
    <hyperlink r:id="rId172" ref="G259"/>
    <hyperlink r:id="rId173" ref="G260"/>
    <hyperlink r:id="rId174" ref="G261"/>
    <hyperlink r:id="rId175" ref="G262"/>
    <hyperlink r:id="rId176" ref="G263"/>
    <hyperlink r:id="rId177" ref="G264"/>
    <hyperlink r:id="rId178" ref="G265"/>
    <hyperlink r:id="rId179" ref="G266"/>
    <hyperlink r:id="rId180" ref="G267"/>
    <hyperlink r:id="rId181" ref="G268"/>
    <hyperlink r:id="rId182" ref="G269"/>
    <hyperlink r:id="rId183" ref="G270"/>
    <hyperlink r:id="rId184" ref="G271"/>
    <hyperlink r:id="rId185" ref="G272"/>
    <hyperlink r:id="rId186" ref="G273"/>
    <hyperlink r:id="rId187" ref="G274"/>
    <hyperlink r:id="rId188" ref="G275"/>
    <hyperlink r:id="rId189" ref="G276"/>
    <hyperlink r:id="rId190" ref="G277"/>
    <hyperlink r:id="rId191" ref="G278"/>
    <hyperlink r:id="rId192" ref="G279"/>
    <hyperlink r:id="rId193" ref="G280"/>
    <hyperlink r:id="rId194" ref="G281"/>
    <hyperlink r:id="rId195" ref="G282"/>
    <hyperlink r:id="rId196" ref="G283"/>
    <hyperlink r:id="rId197" ref="G284"/>
    <hyperlink r:id="rId198" ref="G285"/>
    <hyperlink r:id="rId199" ref="G286"/>
    <hyperlink r:id="rId200" ref="G287"/>
    <hyperlink r:id="rId201" ref="G288"/>
    <hyperlink r:id="rId202" ref="G289"/>
    <hyperlink r:id="rId203" ref="G290"/>
    <hyperlink r:id="rId204" ref="G291"/>
    <hyperlink r:id="rId205" ref="G292"/>
    <hyperlink r:id="rId206" ref="G293"/>
    <hyperlink r:id="rId207" ref="G294"/>
    <hyperlink r:id="rId208" ref="G295"/>
    <hyperlink r:id="rId209" ref="G296"/>
    <hyperlink r:id="rId210" ref="G297"/>
    <hyperlink r:id="rId211" ref="G298"/>
    <hyperlink r:id="rId212" ref="G299"/>
    <hyperlink r:id="rId213" ref="G300"/>
    <hyperlink r:id="rId214" ref="G301"/>
    <hyperlink r:id="rId215" ref="G302"/>
    <hyperlink r:id="rId216" ref="G303"/>
    <hyperlink r:id="rId217" ref="G304"/>
    <hyperlink r:id="rId218" ref="G305"/>
    <hyperlink r:id="rId219" ref="G306"/>
    <hyperlink r:id="rId220" ref="G307"/>
    <hyperlink r:id="rId221" ref="G308"/>
    <hyperlink r:id="rId222" ref="G309"/>
    <hyperlink r:id="rId223" ref="G310"/>
    <hyperlink r:id="rId224" ref="G311"/>
    <hyperlink r:id="rId225" ref="G320"/>
    <hyperlink r:id="rId226" ref="G321"/>
    <hyperlink r:id="rId227" ref="G323"/>
    <hyperlink r:id="rId228" ref="G325"/>
    <hyperlink r:id="rId229" ref="G326"/>
    <hyperlink r:id="rId230" ref="G329"/>
    <hyperlink r:id="rId231" ref="G330"/>
    <hyperlink r:id="rId232" ref="G331"/>
    <hyperlink r:id="rId233" ref="G332"/>
    <hyperlink r:id="rId234" ref="G333"/>
    <hyperlink r:id="rId235" ref="G334"/>
    <hyperlink r:id="rId236" ref="G335"/>
    <hyperlink r:id="rId237" ref="G337"/>
    <hyperlink r:id="rId238" ref="G338"/>
    <hyperlink r:id="rId239" ref="G339"/>
    <hyperlink r:id="rId240" ref="G340"/>
    <hyperlink r:id="rId241" ref="G341"/>
    <hyperlink r:id="rId242" ref="G342"/>
    <hyperlink r:id="rId243" ref="G343"/>
    <hyperlink r:id="rId244" ref="G344"/>
    <hyperlink r:id="rId245" ref="G345"/>
    <hyperlink r:id="rId246" ref="G346"/>
    <hyperlink r:id="rId247" ref="G354"/>
    <hyperlink r:id="rId248" ref="G358"/>
    <hyperlink r:id="rId249" ref="G359"/>
    <hyperlink r:id="rId250" ref="G360"/>
    <hyperlink r:id="rId251" ref="G361"/>
    <hyperlink r:id="rId252" ref="G362"/>
    <hyperlink r:id="rId253" ref="G365"/>
    <hyperlink r:id="rId254" ref="G367"/>
    <hyperlink r:id="rId255" ref="G368"/>
    <hyperlink r:id="rId256" ref="G371"/>
    <hyperlink r:id="rId257" ref="G374"/>
    <hyperlink r:id="rId258" ref="G392"/>
    <hyperlink r:id="rId259" ref="G396"/>
    <hyperlink r:id="rId260" ref="G397"/>
    <hyperlink r:id="rId261" ref="G400"/>
    <hyperlink r:id="rId262" ref="G404"/>
    <hyperlink r:id="rId263" ref="G405"/>
    <hyperlink r:id="rId264" ref="G406"/>
    <hyperlink r:id="rId265" ref="G407"/>
    <hyperlink r:id="rId266" ref="G408"/>
    <hyperlink r:id="rId267" ref="G410"/>
    <hyperlink r:id="rId268" ref="G412"/>
    <hyperlink r:id="rId269" ref="G413"/>
    <hyperlink r:id="rId270" ref="G414"/>
    <hyperlink r:id="rId271" ref="G415"/>
    <hyperlink r:id="rId272" ref="G446"/>
    <hyperlink r:id="rId273" ref="G447"/>
    <hyperlink r:id="rId274" ref="G448"/>
    <hyperlink r:id="rId275" ref="G449"/>
    <hyperlink r:id="rId276" ref="G450"/>
    <hyperlink r:id="rId277" ref="G451"/>
    <hyperlink r:id="rId278" ref="G452"/>
    <hyperlink r:id="rId279" ref="G453"/>
    <hyperlink r:id="rId280" ref="G454"/>
    <hyperlink r:id="rId281" ref="G455"/>
    <hyperlink r:id="rId282" ref="G456"/>
    <hyperlink r:id="rId283" ref="G457"/>
    <hyperlink r:id="rId284" ref="G459"/>
    <hyperlink r:id="rId285" ref="G460"/>
    <hyperlink r:id="rId286" ref="G461"/>
    <hyperlink r:id="rId287" ref="G462"/>
    <hyperlink r:id="rId288" ref="G463"/>
    <hyperlink r:id="rId289" ref="G464"/>
    <hyperlink r:id="rId290" ref="G465"/>
    <hyperlink r:id="rId291" ref="G466"/>
    <hyperlink r:id="rId292" ref="G467"/>
    <hyperlink r:id="rId293" ref="G468"/>
    <hyperlink r:id="rId294" ref="G469"/>
    <hyperlink r:id="rId295" ref="G470"/>
    <hyperlink r:id="rId296" ref="G471"/>
    <hyperlink r:id="rId297" ref="G472"/>
    <hyperlink r:id="rId298" ref="G473"/>
    <hyperlink r:id="rId299" ref="G474"/>
    <hyperlink r:id="rId300" ref="G476"/>
    <hyperlink r:id="rId301" ref="G477"/>
    <hyperlink r:id="rId302" ref="G478"/>
    <hyperlink r:id="rId303" ref="G479"/>
    <hyperlink r:id="rId304" ref="G480"/>
    <hyperlink r:id="rId305" ref="G481"/>
    <hyperlink r:id="rId306" ref="G482"/>
    <hyperlink r:id="rId307" ref="G483"/>
    <hyperlink r:id="rId308" ref="G484"/>
    <hyperlink r:id="rId309" ref="G485"/>
    <hyperlink r:id="rId310" ref="G486"/>
    <hyperlink r:id="rId311" ref="G487"/>
    <hyperlink r:id="rId312" ref="G488"/>
    <hyperlink r:id="rId313" ref="G489"/>
    <hyperlink r:id="rId314" ref="G490"/>
    <hyperlink r:id="rId315" ref="G493"/>
    <hyperlink r:id="rId316" ref="G494"/>
    <hyperlink r:id="rId317" ref="G495"/>
    <hyperlink r:id="rId318" ref="G496"/>
    <hyperlink r:id="rId319" ref="G501"/>
    <hyperlink r:id="rId320" ref="G502"/>
    <hyperlink r:id="rId321" ref="G505"/>
    <hyperlink r:id="rId322" ref="G506"/>
    <hyperlink r:id="rId323" ref="G507"/>
    <hyperlink r:id="rId324" ref="G508"/>
    <hyperlink r:id="rId325" ref="G510"/>
    <hyperlink r:id="rId326" ref="G511"/>
    <hyperlink r:id="rId327" ref="G512"/>
    <hyperlink r:id="rId328" ref="G513"/>
    <hyperlink r:id="rId329" ref="G514"/>
    <hyperlink r:id="rId330" ref="G515"/>
    <hyperlink r:id="rId331" ref="G516"/>
    <hyperlink r:id="rId332" ref="G517"/>
    <hyperlink r:id="rId333" ref="G518"/>
    <hyperlink r:id="rId334" ref="G519"/>
    <hyperlink r:id="rId335" ref="G520"/>
    <hyperlink r:id="rId336" ref="G550"/>
    <hyperlink r:id="rId337" ref="G551"/>
    <hyperlink r:id="rId338" ref="G552"/>
    <hyperlink r:id="rId339" ref="G553"/>
    <hyperlink r:id="rId340" ref="G554"/>
    <hyperlink r:id="rId341" ref="G555"/>
    <hyperlink r:id="rId342" ref="G556"/>
    <hyperlink r:id="rId343" ref="G557"/>
    <hyperlink r:id="rId344" ref="G558"/>
    <hyperlink r:id="rId345" ref="G559"/>
    <hyperlink r:id="rId346" ref="G560"/>
    <hyperlink r:id="rId347" ref="G561"/>
    <hyperlink r:id="rId348" ref="G563"/>
    <hyperlink r:id="rId349" ref="G564"/>
    <hyperlink r:id="rId350" ref="G596"/>
    <hyperlink r:id="rId351" ref="G600"/>
    <hyperlink r:id="rId352" ref="G601"/>
    <hyperlink r:id="rId353" ref="G602"/>
    <hyperlink r:id="rId354" ref="G603"/>
    <hyperlink r:id="rId355" ref="G604"/>
    <hyperlink r:id="rId356" ref="G605"/>
    <hyperlink r:id="rId357" ref="G607"/>
    <hyperlink r:id="rId358" ref="G609"/>
    <hyperlink r:id="rId359" ref="G614"/>
    <hyperlink r:id="rId360" ref="G620"/>
    <hyperlink r:id="rId361" ref="G627"/>
    <hyperlink r:id="rId362" ref="G720"/>
    <hyperlink r:id="rId363" ref="G721"/>
    <hyperlink r:id="rId364" ref="G723"/>
    <hyperlink r:id="rId365" ref="G731"/>
    <hyperlink r:id="rId366" ref="G733"/>
    <hyperlink r:id="rId367" ref="G735"/>
    <hyperlink r:id="rId368" ref="G736"/>
    <hyperlink r:id="rId369" ref="G737"/>
    <hyperlink r:id="rId370" ref="G738"/>
    <hyperlink r:id="rId371" ref="G739"/>
    <hyperlink r:id="rId372" ref="G740"/>
    <hyperlink r:id="rId373" ref="G742"/>
    <hyperlink r:id="rId374" ref="G743"/>
    <hyperlink r:id="rId375" ref="G744"/>
    <hyperlink r:id="rId376" ref="G745"/>
    <hyperlink r:id="rId377" ref="G746"/>
    <hyperlink r:id="rId378" ref="G747"/>
    <hyperlink r:id="rId379" ref="G748"/>
    <hyperlink r:id="rId380" ref="G749"/>
    <hyperlink r:id="rId381" ref="G750"/>
    <hyperlink r:id="rId382" ref="G751"/>
    <hyperlink r:id="rId383" ref="G752"/>
    <hyperlink r:id="rId384" ref="G753"/>
    <hyperlink r:id="rId385" ref="G754"/>
    <hyperlink r:id="rId386" ref="G755"/>
    <hyperlink r:id="rId387" ref="G756"/>
    <hyperlink r:id="rId388" ref="G757"/>
    <hyperlink r:id="rId389" ref="G758"/>
    <hyperlink r:id="rId390" ref="G759"/>
    <hyperlink r:id="rId391" ref="G761"/>
    <hyperlink r:id="rId392" ref="G762"/>
    <hyperlink r:id="rId393" ref="G763"/>
    <hyperlink r:id="rId394" ref="G764"/>
    <hyperlink r:id="rId395" ref="G765"/>
    <hyperlink r:id="rId396" ref="G766"/>
    <hyperlink r:id="rId397" ref="G768"/>
    <hyperlink r:id="rId398" ref="G769"/>
    <hyperlink r:id="rId399" ref="G770"/>
    <hyperlink r:id="rId400" ref="G771"/>
    <hyperlink r:id="rId401" ref="G772"/>
    <hyperlink r:id="rId402" ref="G773"/>
    <hyperlink r:id="rId403" ref="G774"/>
    <hyperlink r:id="rId404" ref="G775"/>
    <hyperlink r:id="rId405" ref="G776"/>
    <hyperlink r:id="rId406" ref="G777"/>
    <hyperlink r:id="rId407" ref="G778"/>
    <hyperlink r:id="rId408" ref="G779"/>
    <hyperlink r:id="rId409" ref="G780"/>
    <hyperlink r:id="rId410" ref="G781"/>
    <hyperlink r:id="rId411" ref="G782"/>
    <hyperlink r:id="rId412" ref="G783"/>
    <hyperlink r:id="rId413" ref="G784"/>
    <hyperlink r:id="rId414" ref="G785"/>
    <hyperlink r:id="rId415" ref="G786"/>
    <hyperlink r:id="rId416" ref="G787"/>
    <hyperlink r:id="rId417" ref="G788"/>
    <hyperlink r:id="rId418" ref="G789"/>
    <hyperlink r:id="rId419" ref="G790"/>
    <hyperlink r:id="rId420" ref="G791"/>
    <hyperlink r:id="rId421" ref="G792"/>
    <hyperlink r:id="rId422" ref="G794"/>
    <hyperlink r:id="rId423" ref="G795"/>
    <hyperlink r:id="rId424" ref="G796"/>
    <hyperlink r:id="rId425" ref="G797"/>
    <hyperlink r:id="rId426" ref="G798"/>
    <hyperlink r:id="rId427" ref="G799"/>
    <hyperlink r:id="rId428" ref="G800"/>
    <hyperlink r:id="rId429" ref="G801"/>
    <hyperlink r:id="rId430" ref="G804"/>
    <hyperlink r:id="rId431" ref="G862"/>
    <hyperlink r:id="rId432" ref="G863"/>
    <hyperlink r:id="rId433" ref="G864"/>
    <hyperlink r:id="rId434" ref="G865"/>
    <hyperlink r:id="rId435" ref="G866"/>
    <hyperlink r:id="rId436" ref="G867"/>
    <hyperlink r:id="rId437" ref="G868"/>
    <hyperlink r:id="rId438" ref="G869"/>
    <hyperlink r:id="rId439" ref="G870"/>
    <hyperlink r:id="rId440" ref="G871"/>
    <hyperlink r:id="rId441" ref="G872"/>
    <hyperlink r:id="rId442" ref="G873"/>
    <hyperlink r:id="rId443" ref="G874"/>
    <hyperlink r:id="rId444" ref="G875"/>
    <hyperlink r:id="rId445" ref="G876"/>
    <hyperlink r:id="rId446" ref="G877"/>
    <hyperlink r:id="rId447" ref="G878"/>
    <hyperlink r:id="rId448" ref="G879"/>
    <hyperlink r:id="rId449" ref="G880"/>
    <hyperlink r:id="rId450" ref="G881"/>
    <hyperlink r:id="rId451" ref="G882"/>
    <hyperlink r:id="rId452" ref="G883"/>
    <hyperlink r:id="rId453" ref="G884"/>
    <hyperlink r:id="rId454" ref="G885"/>
    <hyperlink r:id="rId455" ref="G886"/>
    <hyperlink r:id="rId456" ref="G887"/>
    <hyperlink r:id="rId457" ref="G888"/>
    <hyperlink r:id="rId458" ref="G889"/>
    <hyperlink r:id="rId459" ref="G890"/>
    <hyperlink r:id="rId460" ref="G891"/>
    <hyperlink r:id="rId461" ref="G892"/>
    <hyperlink r:id="rId462" ref="G893"/>
    <hyperlink r:id="rId463" ref="G894"/>
    <hyperlink r:id="rId464" ref="G929"/>
    <hyperlink r:id="rId465" ref="G930"/>
    <hyperlink r:id="rId466" ref="G931"/>
    <hyperlink r:id="rId467" ref="G932"/>
    <hyperlink r:id="rId468" ref="G933"/>
    <hyperlink r:id="rId469" ref="G934"/>
    <hyperlink r:id="rId470" ref="G935"/>
    <hyperlink r:id="rId471" ref="G937"/>
    <hyperlink r:id="rId472" ref="G938"/>
    <hyperlink r:id="rId473" ref="G940"/>
    <hyperlink r:id="rId474" ref="G943"/>
    <hyperlink r:id="rId475" ref="G944"/>
    <hyperlink r:id="rId476" ref="G945"/>
    <hyperlink r:id="rId477" ref="G946"/>
    <hyperlink r:id="rId478" ref="G947"/>
    <hyperlink r:id="rId479" ref="G948"/>
    <hyperlink r:id="rId480" ref="G950"/>
    <hyperlink r:id="rId481" ref="G951"/>
    <hyperlink r:id="rId482" ref="G952"/>
    <hyperlink r:id="rId483" ref="G954"/>
    <hyperlink r:id="rId484" ref="G955"/>
    <hyperlink r:id="rId485" ref="G956"/>
    <hyperlink r:id="rId486" ref="G957"/>
    <hyperlink r:id="rId487" ref="G958"/>
    <hyperlink r:id="rId488" ref="G960"/>
    <hyperlink r:id="rId489" ref="G961"/>
    <hyperlink r:id="rId490" ref="G962"/>
    <hyperlink r:id="rId491" ref="G965"/>
    <hyperlink r:id="rId492" ref="G966"/>
    <hyperlink r:id="rId493" ref="G967"/>
    <hyperlink r:id="rId494" ref="G969"/>
    <hyperlink r:id="rId495" ref="G970"/>
    <hyperlink r:id="rId496" ref="G972"/>
    <hyperlink r:id="rId497" ref="G973"/>
    <hyperlink r:id="rId498" ref="G974"/>
    <hyperlink r:id="rId499" ref="G975"/>
    <hyperlink r:id="rId500" ref="G976"/>
    <hyperlink r:id="rId501" ref="G977"/>
    <hyperlink r:id="rId502" ref="G978"/>
    <hyperlink r:id="rId503" ref="G979"/>
    <hyperlink r:id="rId504" ref="G980"/>
    <hyperlink r:id="rId505" ref="G981"/>
    <hyperlink r:id="rId506" ref="G982"/>
    <hyperlink r:id="rId507" ref="G983"/>
    <hyperlink r:id="rId508" ref="G984"/>
    <hyperlink r:id="rId509" ref="G985"/>
    <hyperlink r:id="rId510" ref="G986"/>
    <hyperlink r:id="rId511" ref="G987"/>
    <hyperlink r:id="rId512" ref="G988"/>
    <hyperlink r:id="rId513" ref="G990"/>
    <hyperlink r:id="rId514" ref="G991"/>
    <hyperlink r:id="rId515" ref="G993"/>
    <hyperlink r:id="rId516" ref="G995"/>
    <hyperlink r:id="rId517" ref="G996"/>
    <hyperlink r:id="rId518" ref="G997"/>
    <hyperlink r:id="rId519" ref="G998"/>
    <hyperlink r:id="rId520" ref="G999"/>
  </hyperlinks>
  <drawing r:id="rId521"/>
  <tableParts count="1">
    <tablePart r:id="rId52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1.57"/>
    <col customWidth="1" min="2" max="2" width="60.43"/>
    <col customWidth="1" min="3" max="3" width="15.43"/>
    <col customWidth="1" min="4" max="4" width="21.86"/>
    <col customWidth="1" min="5" max="5" width="18.57"/>
    <col customWidth="1" min="6" max="6" width="17.29"/>
    <col customWidth="1" min="7" max="7" width="18.0"/>
    <col customWidth="1" min="8" max="8" width="21.43"/>
  </cols>
  <sheetData>
    <row r="1" ht="40.5" customHeight="1">
      <c r="A1" s="1338" t="s">
        <v>2134</v>
      </c>
      <c r="B1" s="1338" t="s">
        <v>1791</v>
      </c>
      <c r="C1" s="1338" t="s">
        <v>2135</v>
      </c>
      <c r="D1" s="1338" t="s">
        <v>3877</v>
      </c>
      <c r="E1" s="1338" t="s">
        <v>2138</v>
      </c>
      <c r="F1" s="1341" t="s">
        <v>2139</v>
      </c>
      <c r="G1" s="1380" t="s">
        <v>85</v>
      </c>
      <c r="H1" s="1340" t="s">
        <v>2137</v>
      </c>
    </row>
    <row r="2">
      <c r="A2" s="1344" t="s">
        <v>319</v>
      </c>
      <c r="B2" s="1381" t="s">
        <v>3878</v>
      </c>
      <c r="C2" s="1382" t="s">
        <v>1495</v>
      </c>
      <c r="D2" s="1346">
        <v>2198.0</v>
      </c>
      <c r="E2" s="1347"/>
      <c r="F2" s="1349"/>
      <c r="G2" s="1383"/>
      <c r="H2" s="1407">
        <v>1900.0</v>
      </c>
    </row>
    <row r="3">
      <c r="A3" s="1351" t="s">
        <v>319</v>
      </c>
      <c r="B3" s="1385" t="s">
        <v>3879</v>
      </c>
      <c r="C3" s="1386" t="s">
        <v>1495</v>
      </c>
      <c r="D3" s="1353">
        <v>2033.53</v>
      </c>
      <c r="E3" s="1354"/>
      <c r="F3" s="1356"/>
      <c r="G3" s="1387"/>
      <c r="H3" s="1407">
        <v>1950.0</v>
      </c>
    </row>
    <row r="4">
      <c r="A4" s="1344" t="s">
        <v>319</v>
      </c>
      <c r="B4" s="1381" t="s">
        <v>2969</v>
      </c>
      <c r="C4" s="1382" t="s">
        <v>1495</v>
      </c>
      <c r="D4" s="1346">
        <v>1798.06</v>
      </c>
      <c r="E4" s="1347"/>
      <c r="F4" s="1349"/>
      <c r="G4" s="1383"/>
      <c r="H4" s="1407">
        <v>1850.0</v>
      </c>
    </row>
    <row r="5">
      <c r="A5" s="1351" t="s">
        <v>319</v>
      </c>
      <c r="B5" s="1385" t="s">
        <v>3880</v>
      </c>
      <c r="C5" s="1386" t="s">
        <v>1495</v>
      </c>
      <c r="D5" s="1353">
        <v>3917.33</v>
      </c>
      <c r="E5" s="1354"/>
      <c r="F5" s="1356"/>
      <c r="G5" s="1387"/>
      <c r="H5" s="1407">
        <v>3750.0</v>
      </c>
    </row>
    <row r="6">
      <c r="A6" s="1344" t="s">
        <v>319</v>
      </c>
      <c r="B6" s="1381" t="s">
        <v>3881</v>
      </c>
      <c r="C6" s="1382" t="s">
        <v>1495</v>
      </c>
      <c r="D6" s="1346">
        <v>5247.0</v>
      </c>
      <c r="E6" s="1347"/>
      <c r="F6" s="1349"/>
      <c r="G6" s="1383"/>
      <c r="H6" s="1407">
        <v>4800.0</v>
      </c>
    </row>
    <row r="7">
      <c r="A7" s="1351" t="s">
        <v>319</v>
      </c>
      <c r="B7" s="1385" t="s">
        <v>3882</v>
      </c>
      <c r="C7" s="1386" t="s">
        <v>1495</v>
      </c>
      <c r="D7" s="1353">
        <v>1122.0</v>
      </c>
      <c r="E7" s="1354"/>
      <c r="F7" s="1356"/>
      <c r="G7" s="1387"/>
      <c r="H7" s="1407">
        <v>900.0</v>
      </c>
    </row>
    <row r="8">
      <c r="A8" s="1344" t="s">
        <v>319</v>
      </c>
      <c r="B8" s="1381" t="s">
        <v>3883</v>
      </c>
      <c r="C8" s="1382" t="s">
        <v>1495</v>
      </c>
      <c r="D8" s="1346">
        <v>1471.72</v>
      </c>
      <c r="E8" s="1347"/>
      <c r="F8" s="1349"/>
      <c r="G8" s="1383"/>
      <c r="H8" s="1407">
        <v>1450.0</v>
      </c>
    </row>
    <row r="9">
      <c r="A9" s="1351" t="s">
        <v>146</v>
      </c>
      <c r="B9" s="1385" t="s">
        <v>2141</v>
      </c>
      <c r="C9" s="1386" t="s">
        <v>1495</v>
      </c>
      <c r="D9" s="1353">
        <v>6.9</v>
      </c>
      <c r="E9" s="1353" t="s">
        <v>2142</v>
      </c>
      <c r="F9" s="1356">
        <v>2.0</v>
      </c>
      <c r="G9" s="1390" t="s">
        <v>2143</v>
      </c>
      <c r="H9" s="1407">
        <v>9.7</v>
      </c>
    </row>
    <row r="10">
      <c r="A10" s="1344" t="s">
        <v>146</v>
      </c>
      <c r="B10" s="1381" t="s">
        <v>148</v>
      </c>
      <c r="C10" s="1382" t="s">
        <v>1495</v>
      </c>
      <c r="D10" s="1346">
        <v>14.34</v>
      </c>
      <c r="E10" s="1347"/>
      <c r="F10" s="1349">
        <v>4.0</v>
      </c>
      <c r="G10" s="1389" t="s">
        <v>2143</v>
      </c>
      <c r="H10" s="1407">
        <v>20.1</v>
      </c>
    </row>
    <row r="11">
      <c r="A11" s="1351" t="s">
        <v>146</v>
      </c>
      <c r="B11" s="1385" t="s">
        <v>154</v>
      </c>
      <c r="C11" s="1386" t="s">
        <v>1495</v>
      </c>
      <c r="D11" s="1353">
        <v>1.59</v>
      </c>
      <c r="E11" s="1353" t="s">
        <v>3884</v>
      </c>
      <c r="F11" s="1356">
        <v>1.0</v>
      </c>
      <c r="G11" s="1390" t="s">
        <v>2340</v>
      </c>
      <c r="H11" s="1407">
        <v>2.25</v>
      </c>
    </row>
    <row r="12">
      <c r="A12" s="1344" t="s">
        <v>146</v>
      </c>
      <c r="B12" s="1381" t="s">
        <v>2872</v>
      </c>
      <c r="C12" s="1382" t="s">
        <v>1495</v>
      </c>
      <c r="D12" s="1346">
        <v>10.98</v>
      </c>
      <c r="E12" s="1347"/>
      <c r="F12" s="1349">
        <v>2.0</v>
      </c>
      <c r="G12" s="1389" t="s">
        <v>3885</v>
      </c>
      <c r="H12" s="1407">
        <v>15.4</v>
      </c>
    </row>
    <row r="13">
      <c r="A13" s="1351" t="s">
        <v>146</v>
      </c>
      <c r="B13" s="1385" t="s">
        <v>150</v>
      </c>
      <c r="C13" s="1386" t="s">
        <v>1495</v>
      </c>
      <c r="D13" s="1353">
        <v>13.01</v>
      </c>
      <c r="E13" s="1353" t="s">
        <v>3886</v>
      </c>
      <c r="F13" s="1356">
        <v>3.0</v>
      </c>
      <c r="G13" s="1390" t="s">
        <v>3887</v>
      </c>
      <c r="H13" s="1407">
        <v>30.0</v>
      </c>
    </row>
    <row r="14">
      <c r="A14" s="1344" t="s">
        <v>146</v>
      </c>
      <c r="B14" s="1381" t="s">
        <v>344</v>
      </c>
      <c r="C14" s="1382" t="s">
        <v>1495</v>
      </c>
      <c r="D14" s="1346">
        <v>10.35</v>
      </c>
      <c r="E14" s="1346" t="s">
        <v>2146</v>
      </c>
      <c r="F14" s="1349">
        <v>4.0</v>
      </c>
      <c r="G14" s="1389" t="s">
        <v>2147</v>
      </c>
      <c r="H14" s="1407">
        <v>22.0</v>
      </c>
    </row>
    <row r="15">
      <c r="A15" s="1351" t="s">
        <v>329</v>
      </c>
      <c r="B15" s="1385" t="s">
        <v>233</v>
      </c>
      <c r="C15" s="1386" t="s">
        <v>1642</v>
      </c>
      <c r="D15" s="1353">
        <v>1.04</v>
      </c>
      <c r="E15" s="1354"/>
      <c r="F15" s="1356"/>
      <c r="G15" s="1387"/>
      <c r="H15" s="1407">
        <v>0.92</v>
      </c>
    </row>
    <row r="16">
      <c r="A16" s="1408" t="s">
        <v>329</v>
      </c>
      <c r="B16" s="1367" t="s">
        <v>3888</v>
      </c>
      <c r="C16" s="1409" t="s">
        <v>1642</v>
      </c>
      <c r="D16" s="1410"/>
      <c r="E16" s="1411"/>
      <c r="F16" s="1402"/>
      <c r="G16" s="1402"/>
      <c r="H16" s="1407">
        <v>0.92</v>
      </c>
    </row>
    <row r="17">
      <c r="A17" s="1412" t="s">
        <v>329</v>
      </c>
      <c r="B17" s="1395" t="s">
        <v>3889</v>
      </c>
      <c r="C17" s="1413" t="s">
        <v>1642</v>
      </c>
      <c r="D17" s="1414"/>
      <c r="E17" s="1415"/>
      <c r="F17" s="1399"/>
      <c r="G17" s="1399"/>
      <c r="H17" s="1407">
        <v>0.92</v>
      </c>
    </row>
    <row r="18">
      <c r="A18" s="1344" t="s">
        <v>321</v>
      </c>
      <c r="B18" s="1381" t="s">
        <v>2329</v>
      </c>
      <c r="C18" s="1382" t="s">
        <v>1495</v>
      </c>
      <c r="D18" s="1346">
        <v>985.41</v>
      </c>
      <c r="E18" s="1347"/>
      <c r="F18" s="1349"/>
      <c r="G18" s="1383"/>
      <c r="H18" s="1407">
        <v>1100.0</v>
      </c>
    </row>
    <row r="19">
      <c r="A19" s="1351" t="s">
        <v>321</v>
      </c>
      <c r="B19" s="1385" t="s">
        <v>2335</v>
      </c>
      <c r="C19" s="1386" t="s">
        <v>1495</v>
      </c>
      <c r="D19" s="1353">
        <v>1095.0</v>
      </c>
      <c r="E19" s="1354"/>
      <c r="F19" s="1356"/>
      <c r="G19" s="1387"/>
      <c r="H19" s="1407">
        <v>1250.0</v>
      </c>
    </row>
    <row r="20">
      <c r="A20" s="1344" t="s">
        <v>321</v>
      </c>
      <c r="B20" s="1381" t="s">
        <v>465</v>
      </c>
      <c r="C20" s="1382" t="s">
        <v>1495</v>
      </c>
      <c r="D20" s="1346">
        <v>772.97</v>
      </c>
      <c r="E20" s="1347"/>
      <c r="F20" s="1349"/>
      <c r="G20" s="1383"/>
      <c r="H20" s="1407">
        <v>910.0</v>
      </c>
    </row>
    <row r="21">
      <c r="A21" s="1351" t="s">
        <v>321</v>
      </c>
      <c r="B21" s="1385" t="s">
        <v>3448</v>
      </c>
      <c r="C21" s="1386" t="s">
        <v>1495</v>
      </c>
      <c r="D21" s="1353">
        <v>865.0</v>
      </c>
      <c r="E21" s="1354"/>
      <c r="F21" s="1356"/>
      <c r="G21" s="1387"/>
      <c r="H21" s="1407">
        <v>1150.0</v>
      </c>
    </row>
    <row r="22">
      <c r="A22" s="1344" t="s">
        <v>320</v>
      </c>
      <c r="B22" s="1381" t="s">
        <v>2333</v>
      </c>
      <c r="C22" s="1382" t="s">
        <v>1495</v>
      </c>
      <c r="D22" s="1346">
        <v>750.0</v>
      </c>
      <c r="E22" s="1346" t="s">
        <v>3758</v>
      </c>
      <c r="F22" s="1349"/>
      <c r="G22" s="1383"/>
      <c r="H22" s="1407">
        <v>850.0</v>
      </c>
    </row>
    <row r="23">
      <c r="A23" s="1351" t="s">
        <v>320</v>
      </c>
      <c r="B23" s="1385" t="s">
        <v>2334</v>
      </c>
      <c r="C23" s="1386" t="s">
        <v>1495</v>
      </c>
      <c r="D23" s="1353">
        <v>883.0</v>
      </c>
      <c r="E23" s="1353" t="s">
        <v>3759</v>
      </c>
      <c r="F23" s="1356"/>
      <c r="G23" s="1387"/>
      <c r="H23" s="1407">
        <v>1100.0</v>
      </c>
    </row>
    <row r="24">
      <c r="A24" s="1344" t="s">
        <v>320</v>
      </c>
      <c r="B24" s="1381" t="s">
        <v>463</v>
      </c>
      <c r="C24" s="1382" t="s">
        <v>1495</v>
      </c>
      <c r="D24" s="1346">
        <v>1045.0</v>
      </c>
      <c r="E24" s="1346" t="s">
        <v>3761</v>
      </c>
      <c r="F24" s="1349"/>
      <c r="G24" s="1383"/>
      <c r="H24" s="1407">
        <v>1100.0</v>
      </c>
    </row>
    <row r="25">
      <c r="A25" s="1351" t="s">
        <v>320</v>
      </c>
      <c r="B25" s="1385" t="s">
        <v>2337</v>
      </c>
      <c r="C25" s="1386" t="s">
        <v>1495</v>
      </c>
      <c r="D25" s="1353">
        <v>500.0</v>
      </c>
      <c r="E25" s="1354"/>
      <c r="F25" s="1356"/>
      <c r="G25" s="1390" t="s">
        <v>2338</v>
      </c>
      <c r="H25" s="1407">
        <v>700.0</v>
      </c>
    </row>
    <row r="26">
      <c r="A26" s="1344" t="s">
        <v>320</v>
      </c>
      <c r="B26" s="1381" t="s">
        <v>2323</v>
      </c>
      <c r="C26" s="1382" t="s">
        <v>1495</v>
      </c>
      <c r="D26" s="1346">
        <v>12.25</v>
      </c>
      <c r="E26" s="1346" t="s">
        <v>3658</v>
      </c>
      <c r="F26" s="1349"/>
      <c r="G26" s="1383"/>
      <c r="H26" s="1407">
        <v>35.0</v>
      </c>
    </row>
    <row r="27">
      <c r="A27" s="1351" t="s">
        <v>318</v>
      </c>
      <c r="B27" s="1385" t="s">
        <v>3134</v>
      </c>
      <c r="C27" s="1386" t="s">
        <v>1495</v>
      </c>
      <c r="D27" s="1353">
        <v>90.78</v>
      </c>
      <c r="E27" s="1354"/>
      <c r="F27" s="1356"/>
      <c r="G27" s="1387"/>
      <c r="H27" s="1407">
        <v>107.5</v>
      </c>
    </row>
    <row r="28">
      <c r="A28" s="1344" t="s">
        <v>318</v>
      </c>
      <c r="B28" s="1381" t="s">
        <v>89</v>
      </c>
      <c r="C28" s="1382" t="s">
        <v>1495</v>
      </c>
      <c r="D28" s="1346">
        <v>100.92</v>
      </c>
      <c r="E28" s="1347"/>
      <c r="F28" s="1349"/>
      <c r="G28" s="1383"/>
      <c r="H28" s="1407">
        <v>121.8</v>
      </c>
    </row>
    <row r="29">
      <c r="A29" s="1351" t="s">
        <v>318</v>
      </c>
      <c r="B29" s="1385" t="s">
        <v>3139</v>
      </c>
      <c r="C29" s="1386" t="s">
        <v>1495</v>
      </c>
      <c r="D29" s="1353">
        <v>77.94</v>
      </c>
      <c r="E29" s="1354"/>
      <c r="F29" s="1356"/>
      <c r="G29" s="1387"/>
      <c r="H29" s="1407">
        <v>95.7</v>
      </c>
    </row>
    <row r="30">
      <c r="A30" s="1416" t="s">
        <v>318</v>
      </c>
      <c r="B30" s="1417" t="s">
        <v>1424</v>
      </c>
      <c r="C30" s="1418" t="s">
        <v>1495</v>
      </c>
      <c r="D30" s="1419"/>
      <c r="E30" s="1420"/>
      <c r="F30" s="1421"/>
      <c r="G30" s="1422"/>
      <c r="H30" s="1423">
        <v>95.7</v>
      </c>
    </row>
  </sheetData>
  <customSheetViews>
    <customSheetView guid="{01191DBF-59BC-4F01-AC05-C400FC7D42A4}" filter="1" showAutoFilter="1">
      <autoFilter ref="$A$1:$H$30">
        <filterColumn colId="0">
          <filters>
            <filter val="Захист DC (основне)"/>
          </filters>
        </filterColumn>
      </autoFilter>
    </customSheetView>
    <customSheetView guid="{C02AF690-BB72-4D47-806D-BBDCE35215FD}" filter="1" showAutoFilter="1">
      <autoFilter ref="$A$1:$H$30"/>
    </customSheetView>
    <customSheetView guid="{F2BFDCC2-EE39-4355-A7CD-BFBD4D8AA63E}" filter="1" showAutoFilter="1">
      <autoFilter ref="$A$1:$H$30">
        <filterColumn colId="0">
          <filters/>
        </filterColumn>
      </autoFilter>
    </customSheetView>
    <customSheetView guid="{B602EFCD-9D7F-4B53-98A1-566DE9A0FEEC}" filter="1" showAutoFilter="1">
      <autoFilter ref="$A$1:$H$30">
        <filterColumn colId="0">
          <filters/>
        </filterColumn>
      </autoFilter>
    </customSheetView>
  </customSheetViews>
  <dataValidations>
    <dataValidation type="list" allowBlank="1" showDropDown="1" sqref="A2:A30">
      <formula1>"АВР (автоматичне ввімкнення резерву),Арматура СІП,Захист АC (основне),Захист DC (основне),Заземлення,Захист АКБ,Щити_Розподільчі коробки,Кабелі та провода ,Автоматичні вимикачі,Запобіжники,Елементи керування, сигналізації, індикації,Елементи монтажу (Стяж"&amp;"ки, ізолятори і т.д.),Клеми_Розподільчі блоки,MC4_Конектори,Накінечники_Гільзи,Кабельні короба_Труби_Фурнітура,Гофра_Фурнітура,Перемикачі_Вимикачі навантаження,Реле_Контактори,Шини_Гребінки,Розетки,Ізоляція,Гібридні,Кріплення для АКБ,Кронштейни (для кріпл"&amp;"ення профіля),Трансформатори струму,Різне (Кріплення),Літій-залізо-фосфатні(високовольтні),Літій-залізо-фосфатні(низьковольтні),Профіль та з'єднувач (алюміній),При замовленні у RUDNIK та інших,Односторонні,Лічильники електроенергії,Мережеві,Профіль та з'є"&amp;"днувач (цинк),Прижими Z та Т (кріплення ФЕМ),Моніторинг для інверторів,Лічильники SmartMeter,Послуги,Підсилювач бездротового сигналу,Кабелі та провода (під замовлення),Елементи розумного дому,Комплектуючі RUDNIK"</formula1>
    </dataValidation>
    <dataValidation type="list" allowBlank="1" showDropDown="1" sqref="C2:C30">
      <formula1>"шт,м,пак,доб,Послуга,год,м2"</formula1>
    </dataValidation>
    <dataValidation allowBlank="1" showDropDown="1" sqref="E2:E30"/>
  </dataValidations>
  <hyperlinks>
    <hyperlink r:id="rId1" ref="G9"/>
    <hyperlink r:id="rId2" ref="G10"/>
    <hyperlink r:id="rId3" ref="G11"/>
    <hyperlink r:id="rId4" ref="G12"/>
    <hyperlink r:id="rId5" ref="G13"/>
    <hyperlink r:id="rId6" ref="G14"/>
    <hyperlink r:id="rId7" ref="G25"/>
  </hyperlinks>
  <drawing r:id="rId8"/>
  <tableParts count="1">
    <tablePart r:id="rId10"/>
  </tableParts>
</worksheet>
</file>