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ruo/Desktop/indie-data/sculptr_multi/sculptr_v1/"/>
    </mc:Choice>
  </mc:AlternateContent>
  <xr:revisionPtr revIDLastSave="0" documentId="13_ncr:1_{D93E4D5C-B594-1F40-980C-B71DA8113EB7}" xr6:coauthVersionLast="47" xr6:coauthVersionMax="47" xr10:uidLastSave="{00000000-0000-0000-0000-000000000000}"/>
  <bookViews>
    <workbookView xWindow="340" yWindow="760" windowWidth="30240" windowHeight="18880" xr2:uid="{849561EE-15F4-48F2-BE5A-0B437FBEA0F9}"/>
  </bookViews>
  <sheets>
    <sheet name="Summary" sheetId="6" r:id="rId1"/>
    <sheet name="Market" sheetId="3" r:id="rId2"/>
    <sheet name="Current" sheetId="7" state="hidden" r:id="rId3"/>
    <sheet name="Current Amortization Table" sheetId="1" state="hidden" r:id="rId4"/>
    <sheet name="Market Amortization Table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M12" i="6"/>
  <c r="I16" i="6"/>
  <c r="K12" i="6" s="1"/>
  <c r="M4" i="6"/>
  <c r="N4" i="6" s="1"/>
  <c r="L4" i="6"/>
  <c r="I19" i="6"/>
  <c r="P4" i="7"/>
  <c r="P6" i="7"/>
  <c r="P7" i="7"/>
  <c r="P8" i="7"/>
  <c r="S4" i="7"/>
  <c r="S13" i="7" s="1"/>
  <c r="S14" i="7" s="1"/>
  <c r="D8" i="7" s="1"/>
  <c r="S5" i="7"/>
  <c r="S6" i="7"/>
  <c r="S7" i="7"/>
  <c r="S8" i="7"/>
  <c r="P5" i="7"/>
  <c r="H9" i="7"/>
  <c r="N9" i="7"/>
  <c r="M9" i="7"/>
  <c r="L9" i="7"/>
  <c r="K9" i="7"/>
  <c r="J9" i="7"/>
  <c r="I9" i="7"/>
  <c r="G9" i="7"/>
  <c r="F9" i="7"/>
  <c r="E9" i="7"/>
  <c r="D24" i="3"/>
  <c r="E24" i="3"/>
  <c r="F24" i="3" s="1"/>
  <c r="G24" i="3" s="1"/>
  <c r="H24" i="3" s="1"/>
  <c r="I24" i="3" s="1"/>
  <c r="J24" i="3" s="1"/>
  <c r="K24" i="3" s="1"/>
  <c r="L24" i="3" s="1"/>
  <c r="M24" i="3" s="1"/>
  <c r="N24" i="3" s="1"/>
  <c r="D23" i="3"/>
  <c r="E23" i="3"/>
  <c r="F23" i="3"/>
  <c r="G23" i="3"/>
  <c r="H23" i="3"/>
  <c r="I23" i="3"/>
  <c r="J23" i="3"/>
  <c r="K23" i="3"/>
  <c r="L23" i="3"/>
  <c r="M23" i="3"/>
  <c r="N23" i="3"/>
  <c r="D17" i="3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C28" i="3"/>
  <c r="I20" i="6"/>
  <c r="I21" i="6"/>
  <c r="I25" i="6" s="1"/>
  <c r="F8" i="6"/>
  <c r="F10" i="6" s="1"/>
  <c r="F11" i="6" s="1"/>
  <c r="F3" i="6"/>
  <c r="F4" i="6"/>
  <c r="C6" i="3"/>
  <c r="C36" i="3"/>
  <c r="C37" i="3"/>
  <c r="H3" i="4"/>
  <c r="C38" i="3"/>
  <c r="C35" i="3"/>
  <c r="P4" i="3"/>
  <c r="S12" i="3" s="1"/>
  <c r="S13" i="3" s="1"/>
  <c r="D8" i="3" s="1"/>
  <c r="P5" i="3"/>
  <c r="C28" i="7"/>
  <c r="C7" i="7"/>
  <c r="C27" i="7" s="1"/>
  <c r="C29" i="7" s="1"/>
  <c r="E3" i="6"/>
  <c r="E26" i="6" s="1"/>
  <c r="C5" i="7"/>
  <c r="C4" i="7"/>
  <c r="C6" i="7"/>
  <c r="C36" i="7"/>
  <c r="C37" i="7"/>
  <c r="H3" i="1"/>
  <c r="C38" i="7" s="1"/>
  <c r="E33" i="6"/>
  <c r="D23" i="7"/>
  <c r="E23" i="7"/>
  <c r="F23" i="7"/>
  <c r="G23" i="7"/>
  <c r="H23" i="7"/>
  <c r="I23" i="7"/>
  <c r="J23" i="7"/>
  <c r="K23" i="7"/>
  <c r="L23" i="7"/>
  <c r="M23" i="7"/>
  <c r="N23" i="7"/>
  <c r="D9" i="3"/>
  <c r="E9" i="3"/>
  <c r="F9" i="3"/>
  <c r="G9" i="3"/>
  <c r="H9" i="3"/>
  <c r="I9" i="3"/>
  <c r="J9" i="3"/>
  <c r="K9" i="3"/>
  <c r="L9" i="3"/>
  <c r="M9" i="3"/>
  <c r="N9" i="3"/>
  <c r="F3" i="4"/>
  <c r="H4" i="4"/>
  <c r="D38" i="3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L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3" i="4"/>
  <c r="D362" i="4"/>
  <c r="N42" i="3"/>
  <c r="H363" i="4"/>
  <c r="N29" i="3"/>
  <c r="L28" i="3"/>
  <c r="K28" i="3"/>
  <c r="N28" i="3"/>
  <c r="I28" i="3"/>
  <c r="S6" i="3"/>
  <c r="S7" i="3"/>
  <c r="P6" i="3"/>
  <c r="P7" i="3"/>
  <c r="S4" i="3"/>
  <c r="S5" i="3"/>
  <c r="P8" i="3"/>
  <c r="S8" i="3"/>
  <c r="G28" i="3"/>
  <c r="F28" i="3"/>
  <c r="E28" i="3"/>
  <c r="D28" i="3"/>
  <c r="N42" i="7"/>
  <c r="L3" i="1"/>
  <c r="D11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E38" i="7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G38" i="7" s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3" i="1"/>
  <c r="H112" i="1"/>
  <c r="D114" i="1"/>
  <c r="H113" i="1"/>
  <c r="D115" i="1"/>
  <c r="H114" i="1"/>
  <c r="D116" i="1"/>
  <c r="H115" i="1"/>
  <c r="D117" i="1"/>
  <c r="H116" i="1"/>
  <c r="D118" i="1"/>
  <c r="H117" i="1"/>
  <c r="D119" i="1"/>
  <c r="H118" i="1"/>
  <c r="D120" i="1"/>
  <c r="H119" i="1"/>
  <c r="D121" i="1"/>
  <c r="H120" i="1"/>
  <c r="D122" i="1"/>
  <c r="H121" i="1"/>
  <c r="D123" i="1"/>
  <c r="H122" i="1"/>
  <c r="D124" i="1"/>
  <c r="H123" i="1"/>
  <c r="D125" i="1"/>
  <c r="H124" i="1"/>
  <c r="D126" i="1"/>
  <c r="H125" i="1"/>
  <c r="D127" i="1"/>
  <c r="H126" i="1"/>
  <c r="D128" i="1"/>
  <c r="H127" i="1"/>
  <c r="D129" i="1"/>
  <c r="H128" i="1"/>
  <c r="D130" i="1"/>
  <c r="H129" i="1"/>
  <c r="D131" i="1"/>
  <c r="H130" i="1"/>
  <c r="D132" i="1"/>
  <c r="H131" i="1"/>
  <c r="D133" i="1"/>
  <c r="H132" i="1"/>
  <c r="D134" i="1"/>
  <c r="H133" i="1"/>
  <c r="D135" i="1"/>
  <c r="H134" i="1"/>
  <c r="D136" i="1"/>
  <c r="H135" i="1"/>
  <c r="D137" i="1"/>
  <c r="H136" i="1"/>
  <c r="D138" i="1"/>
  <c r="H137" i="1"/>
  <c r="D139" i="1"/>
  <c r="H138" i="1"/>
  <c r="D140" i="1"/>
  <c r="H139" i="1"/>
  <c r="D141" i="1"/>
  <c r="H140" i="1"/>
  <c r="D142" i="1"/>
  <c r="H141" i="1"/>
  <c r="D143" i="1"/>
  <c r="H142" i="1"/>
  <c r="D144" i="1"/>
  <c r="H143" i="1"/>
  <c r="D145" i="1"/>
  <c r="H144" i="1"/>
  <c r="D146" i="1"/>
  <c r="H145" i="1"/>
  <c r="D147" i="1"/>
  <c r="H146" i="1"/>
  <c r="D148" i="1"/>
  <c r="H147" i="1"/>
  <c r="D149" i="1"/>
  <c r="H148" i="1"/>
  <c r="D150" i="1"/>
  <c r="H149" i="1"/>
  <c r="D151" i="1"/>
  <c r="H150" i="1"/>
  <c r="D152" i="1"/>
  <c r="H151" i="1"/>
  <c r="D153" i="1"/>
  <c r="H152" i="1"/>
  <c r="D154" i="1"/>
  <c r="H153" i="1"/>
  <c r="D155" i="1"/>
  <c r="H154" i="1"/>
  <c r="D156" i="1"/>
  <c r="H155" i="1"/>
  <c r="D157" i="1"/>
  <c r="H156" i="1"/>
  <c r="D158" i="1"/>
  <c r="H157" i="1"/>
  <c r="D159" i="1"/>
  <c r="H158" i="1"/>
  <c r="D160" i="1"/>
  <c r="H159" i="1"/>
  <c r="D161" i="1"/>
  <c r="H160" i="1"/>
  <c r="D162" i="1"/>
  <c r="H161" i="1"/>
  <c r="D163" i="1"/>
  <c r="H162" i="1"/>
  <c r="D164" i="1"/>
  <c r="H163" i="1"/>
  <c r="D165" i="1"/>
  <c r="H164" i="1"/>
  <c r="D166" i="1"/>
  <c r="H165" i="1"/>
  <c r="D167" i="1"/>
  <c r="H166" i="1"/>
  <c r="D168" i="1"/>
  <c r="H167" i="1"/>
  <c r="D169" i="1"/>
  <c r="H168" i="1"/>
  <c r="D170" i="1"/>
  <c r="H169" i="1"/>
  <c r="D171" i="1"/>
  <c r="H170" i="1"/>
  <c r="D172" i="1"/>
  <c r="H171" i="1"/>
  <c r="D173" i="1"/>
  <c r="H172" i="1"/>
  <c r="D174" i="1"/>
  <c r="H173" i="1"/>
  <c r="D175" i="1"/>
  <c r="H174" i="1"/>
  <c r="D176" i="1"/>
  <c r="H175" i="1"/>
  <c r="D177" i="1"/>
  <c r="H176" i="1"/>
  <c r="D178" i="1"/>
  <c r="H177" i="1"/>
  <c r="D179" i="1"/>
  <c r="H178" i="1"/>
  <c r="D180" i="1"/>
  <c r="H179" i="1"/>
  <c r="D181" i="1"/>
  <c r="H180" i="1"/>
  <c r="D182" i="1"/>
  <c r="H181" i="1"/>
  <c r="D183" i="1"/>
  <c r="H182" i="1"/>
  <c r="D184" i="1"/>
  <c r="H183" i="1"/>
  <c r="D185" i="1"/>
  <c r="H184" i="1"/>
  <c r="D186" i="1"/>
  <c r="H185" i="1"/>
  <c r="D187" i="1"/>
  <c r="H186" i="1"/>
  <c r="D188" i="1"/>
  <c r="H187" i="1"/>
  <c r="D189" i="1"/>
  <c r="H188" i="1"/>
  <c r="D190" i="1"/>
  <c r="H189" i="1"/>
  <c r="D191" i="1"/>
  <c r="H190" i="1"/>
  <c r="D192" i="1"/>
  <c r="H191" i="1"/>
  <c r="D193" i="1"/>
  <c r="H192" i="1"/>
  <c r="D194" i="1"/>
  <c r="H193" i="1"/>
  <c r="D195" i="1"/>
  <c r="H194" i="1"/>
  <c r="D196" i="1"/>
  <c r="H195" i="1"/>
  <c r="D197" i="1"/>
  <c r="H196" i="1"/>
  <c r="D198" i="1"/>
  <c r="H197" i="1"/>
  <c r="D199" i="1"/>
  <c r="H198" i="1"/>
  <c r="D200" i="1"/>
  <c r="H199" i="1"/>
  <c r="D201" i="1"/>
  <c r="H200" i="1"/>
  <c r="D202" i="1"/>
  <c r="H201" i="1"/>
  <c r="D203" i="1"/>
  <c r="H202" i="1"/>
  <c r="D204" i="1"/>
  <c r="H203" i="1"/>
  <c r="D205" i="1"/>
  <c r="H204" i="1"/>
  <c r="D206" i="1"/>
  <c r="H205" i="1"/>
  <c r="D207" i="1"/>
  <c r="H206" i="1"/>
  <c r="D208" i="1"/>
  <c r="H207" i="1"/>
  <c r="D209" i="1"/>
  <c r="H208" i="1"/>
  <c r="D210" i="1"/>
  <c r="H209" i="1"/>
  <c r="D211" i="1"/>
  <c r="H210" i="1"/>
  <c r="D212" i="1"/>
  <c r="H211" i="1"/>
  <c r="D213" i="1"/>
  <c r="H212" i="1"/>
  <c r="D214" i="1"/>
  <c r="H213" i="1"/>
  <c r="D215" i="1"/>
  <c r="H214" i="1"/>
  <c r="D216" i="1"/>
  <c r="H215" i="1"/>
  <c r="D217" i="1"/>
  <c r="H216" i="1"/>
  <c r="D218" i="1"/>
  <c r="H217" i="1"/>
  <c r="D219" i="1"/>
  <c r="H218" i="1"/>
  <c r="D220" i="1"/>
  <c r="H219" i="1"/>
  <c r="D221" i="1"/>
  <c r="H220" i="1"/>
  <c r="D222" i="1"/>
  <c r="H221" i="1"/>
  <c r="D223" i="1"/>
  <c r="H222" i="1"/>
  <c r="D224" i="1"/>
  <c r="H223" i="1"/>
  <c r="D225" i="1"/>
  <c r="H224" i="1"/>
  <c r="D226" i="1"/>
  <c r="H225" i="1"/>
  <c r="D227" i="1"/>
  <c r="H226" i="1"/>
  <c r="D228" i="1"/>
  <c r="H227" i="1"/>
  <c r="D229" i="1"/>
  <c r="H228" i="1"/>
  <c r="D230" i="1"/>
  <c r="H229" i="1"/>
  <c r="D231" i="1"/>
  <c r="H230" i="1"/>
  <c r="D232" i="1"/>
  <c r="H231" i="1"/>
  <c r="D233" i="1"/>
  <c r="H232" i="1"/>
  <c r="D234" i="1"/>
  <c r="H233" i="1"/>
  <c r="D235" i="1"/>
  <c r="H234" i="1"/>
  <c r="D236" i="1"/>
  <c r="H235" i="1"/>
  <c r="D237" i="1"/>
  <c r="H236" i="1"/>
  <c r="D238" i="1"/>
  <c r="H237" i="1"/>
  <c r="D239" i="1"/>
  <c r="H238" i="1"/>
  <c r="D240" i="1"/>
  <c r="H239" i="1"/>
  <c r="D241" i="1"/>
  <c r="H240" i="1"/>
  <c r="D242" i="1"/>
  <c r="H241" i="1"/>
  <c r="D243" i="1"/>
  <c r="H242" i="1"/>
  <c r="D244" i="1"/>
  <c r="H243" i="1"/>
  <c r="D245" i="1"/>
  <c r="H244" i="1"/>
  <c r="D246" i="1"/>
  <c r="H245" i="1"/>
  <c r="D247" i="1"/>
  <c r="H246" i="1"/>
  <c r="D248" i="1"/>
  <c r="H247" i="1"/>
  <c r="D249" i="1"/>
  <c r="H248" i="1"/>
  <c r="D250" i="1"/>
  <c r="H249" i="1"/>
  <c r="D251" i="1"/>
  <c r="H250" i="1"/>
  <c r="D252" i="1"/>
  <c r="H251" i="1"/>
  <c r="D253" i="1"/>
  <c r="H252" i="1"/>
  <c r="D254" i="1"/>
  <c r="H253" i="1"/>
  <c r="D255" i="1"/>
  <c r="H254" i="1"/>
  <c r="D256" i="1"/>
  <c r="H255" i="1"/>
  <c r="D257" i="1"/>
  <c r="H256" i="1"/>
  <c r="D258" i="1"/>
  <c r="H257" i="1"/>
  <c r="D259" i="1"/>
  <c r="H258" i="1"/>
  <c r="D260" i="1"/>
  <c r="H259" i="1"/>
  <c r="D261" i="1"/>
  <c r="H260" i="1"/>
  <c r="D262" i="1"/>
  <c r="H261" i="1"/>
  <c r="D263" i="1"/>
  <c r="H262" i="1"/>
  <c r="D264" i="1"/>
  <c r="H263" i="1"/>
  <c r="D265" i="1"/>
  <c r="H264" i="1"/>
  <c r="D266" i="1"/>
  <c r="H265" i="1"/>
  <c r="D267" i="1"/>
  <c r="H266" i="1"/>
  <c r="D268" i="1"/>
  <c r="H267" i="1"/>
  <c r="D269" i="1"/>
  <c r="H268" i="1"/>
  <c r="D270" i="1"/>
  <c r="H269" i="1"/>
  <c r="D271" i="1"/>
  <c r="H270" i="1"/>
  <c r="D272" i="1"/>
  <c r="H271" i="1"/>
  <c r="D273" i="1"/>
  <c r="H272" i="1"/>
  <c r="D274" i="1"/>
  <c r="H273" i="1"/>
  <c r="D275" i="1"/>
  <c r="H274" i="1"/>
  <c r="D276" i="1"/>
  <c r="H275" i="1"/>
  <c r="D277" i="1"/>
  <c r="H276" i="1"/>
  <c r="D278" i="1"/>
  <c r="H277" i="1"/>
  <c r="D279" i="1"/>
  <c r="H278" i="1"/>
  <c r="D280" i="1"/>
  <c r="H279" i="1"/>
  <c r="D281" i="1"/>
  <c r="H280" i="1"/>
  <c r="D282" i="1"/>
  <c r="H281" i="1"/>
  <c r="D283" i="1"/>
  <c r="H282" i="1"/>
  <c r="D284" i="1"/>
  <c r="H283" i="1"/>
  <c r="D285" i="1"/>
  <c r="H284" i="1"/>
  <c r="D286" i="1"/>
  <c r="H285" i="1"/>
  <c r="D287" i="1"/>
  <c r="H286" i="1"/>
  <c r="D288" i="1"/>
  <c r="H287" i="1"/>
  <c r="D289" i="1"/>
  <c r="H288" i="1"/>
  <c r="D290" i="1"/>
  <c r="H289" i="1"/>
  <c r="D291" i="1"/>
  <c r="H290" i="1"/>
  <c r="D292" i="1"/>
  <c r="H291" i="1"/>
  <c r="D293" i="1"/>
  <c r="H292" i="1"/>
  <c r="D294" i="1"/>
  <c r="H293" i="1"/>
  <c r="D295" i="1"/>
  <c r="H294" i="1"/>
  <c r="D296" i="1"/>
  <c r="H295" i="1"/>
  <c r="D297" i="1"/>
  <c r="H296" i="1"/>
  <c r="D298" i="1"/>
  <c r="H297" i="1"/>
  <c r="D299" i="1"/>
  <c r="H298" i="1"/>
  <c r="D300" i="1"/>
  <c r="H299" i="1"/>
  <c r="D301" i="1"/>
  <c r="H300" i="1"/>
  <c r="D302" i="1"/>
  <c r="H301" i="1"/>
  <c r="D303" i="1"/>
  <c r="H302" i="1"/>
  <c r="D304" i="1"/>
  <c r="H303" i="1"/>
  <c r="D305" i="1"/>
  <c r="H304" i="1"/>
  <c r="D306" i="1"/>
  <c r="H305" i="1"/>
  <c r="D307" i="1"/>
  <c r="H306" i="1"/>
  <c r="D308" i="1"/>
  <c r="H307" i="1"/>
  <c r="D309" i="1"/>
  <c r="H308" i="1"/>
  <c r="D310" i="1"/>
  <c r="H309" i="1"/>
  <c r="D311" i="1"/>
  <c r="H310" i="1"/>
  <c r="D312" i="1"/>
  <c r="H311" i="1"/>
  <c r="D313" i="1"/>
  <c r="H312" i="1"/>
  <c r="D314" i="1"/>
  <c r="H313" i="1"/>
  <c r="D315" i="1"/>
  <c r="H314" i="1"/>
  <c r="D316" i="1"/>
  <c r="H315" i="1"/>
  <c r="D317" i="1"/>
  <c r="H316" i="1"/>
  <c r="D318" i="1"/>
  <c r="H317" i="1"/>
  <c r="D319" i="1"/>
  <c r="H318" i="1"/>
  <c r="D320" i="1"/>
  <c r="H319" i="1"/>
  <c r="D321" i="1"/>
  <c r="H320" i="1"/>
  <c r="D322" i="1"/>
  <c r="H321" i="1"/>
  <c r="D323" i="1"/>
  <c r="H322" i="1"/>
  <c r="D324" i="1"/>
  <c r="H323" i="1"/>
  <c r="D325" i="1"/>
  <c r="H324" i="1"/>
  <c r="D326" i="1"/>
  <c r="H325" i="1"/>
  <c r="D327" i="1"/>
  <c r="H326" i="1"/>
  <c r="D328" i="1"/>
  <c r="H327" i="1"/>
  <c r="D329" i="1"/>
  <c r="H328" i="1"/>
  <c r="D330" i="1"/>
  <c r="H329" i="1"/>
  <c r="D331" i="1"/>
  <c r="H330" i="1"/>
  <c r="D332" i="1"/>
  <c r="H331" i="1"/>
  <c r="D333" i="1"/>
  <c r="H332" i="1"/>
  <c r="D334" i="1"/>
  <c r="H333" i="1"/>
  <c r="D335" i="1"/>
  <c r="H334" i="1"/>
  <c r="D336" i="1"/>
  <c r="H335" i="1"/>
  <c r="D337" i="1"/>
  <c r="H336" i="1"/>
  <c r="D338" i="1"/>
  <c r="H337" i="1"/>
  <c r="D339" i="1"/>
  <c r="H338" i="1"/>
  <c r="D340" i="1"/>
  <c r="H339" i="1"/>
  <c r="D341" i="1"/>
  <c r="H340" i="1"/>
  <c r="D342" i="1"/>
  <c r="H341" i="1"/>
  <c r="D343" i="1"/>
  <c r="H342" i="1"/>
  <c r="D344" i="1"/>
  <c r="H343" i="1"/>
  <c r="D345" i="1"/>
  <c r="H344" i="1"/>
  <c r="D346" i="1"/>
  <c r="H345" i="1"/>
  <c r="D347" i="1"/>
  <c r="H346" i="1"/>
  <c r="D348" i="1"/>
  <c r="H347" i="1"/>
  <c r="D349" i="1"/>
  <c r="H348" i="1"/>
  <c r="D350" i="1"/>
  <c r="H349" i="1"/>
  <c r="D351" i="1"/>
  <c r="H350" i="1"/>
  <c r="D352" i="1"/>
  <c r="H351" i="1"/>
  <c r="D353" i="1"/>
  <c r="H352" i="1"/>
  <c r="D354" i="1"/>
  <c r="H353" i="1"/>
  <c r="D355" i="1"/>
  <c r="H354" i="1"/>
  <c r="D356" i="1"/>
  <c r="H355" i="1"/>
  <c r="D357" i="1"/>
  <c r="H356" i="1"/>
  <c r="D358" i="1"/>
  <c r="H357" i="1"/>
  <c r="D359" i="1"/>
  <c r="H358" i="1"/>
  <c r="D360" i="1"/>
  <c r="H359" i="1"/>
  <c r="D361" i="1"/>
  <c r="H360" i="1"/>
  <c r="D362" i="1"/>
  <c r="H361" i="1"/>
  <c r="D363" i="1"/>
  <c r="H362" i="1"/>
  <c r="D9" i="7"/>
  <c r="H363" i="1"/>
  <c r="N28" i="7"/>
  <c r="L28" i="7"/>
  <c r="K28" i="7"/>
  <c r="I28" i="7"/>
  <c r="G28" i="7"/>
  <c r="F28" i="7"/>
  <c r="E28" i="7"/>
  <c r="D28" i="7"/>
  <c r="N29" i="7"/>
  <c r="XFB21" i="7"/>
  <c r="D19" i="6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R8" i="7"/>
  <c r="Q8" i="7"/>
  <c r="S11" i="3"/>
  <c r="R11" i="3"/>
  <c r="Q11" i="3"/>
  <c r="P11" i="3"/>
  <c r="S10" i="3"/>
  <c r="R10" i="3"/>
  <c r="Q10" i="3"/>
  <c r="P10" i="3"/>
  <c r="R9" i="3"/>
  <c r="Q9" i="3"/>
  <c r="P9" i="3"/>
  <c r="R8" i="3"/>
  <c r="Q8" i="3"/>
  <c r="K15" i="6"/>
  <c r="I23" i="6"/>
  <c r="S9" i="3"/>
  <c r="M17" i="6"/>
  <c r="K17" i="6"/>
  <c r="F33" i="6"/>
  <c r="Q4" i="3"/>
  <c r="R4" i="3"/>
  <c r="Q5" i="3"/>
  <c r="R5" i="3"/>
  <c r="Q6" i="3"/>
  <c r="R6" i="3"/>
  <c r="Q7" i="3"/>
  <c r="R7" i="3"/>
  <c r="D18" i="6"/>
  <c r="D20" i="6"/>
  <c r="I14" i="6"/>
  <c r="I15" i="6" s="1"/>
  <c r="Q4" i="7"/>
  <c r="R4" i="7"/>
  <c r="Q5" i="7"/>
  <c r="R5" i="7"/>
  <c r="Q6" i="7"/>
  <c r="R6" i="7"/>
  <c r="Q7" i="7"/>
  <c r="R7" i="7"/>
  <c r="V14" i="3"/>
  <c r="F34" i="6"/>
  <c r="F31" i="6"/>
  <c r="F27" i="6"/>
  <c r="F32" i="6"/>
  <c r="E8" i="6"/>
  <c r="E10" i="6"/>
  <c r="E11" i="6"/>
  <c r="W4" i="3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6" i="6"/>
  <c r="I22" i="6"/>
  <c r="V9" i="3"/>
  <c r="W9" i="3"/>
  <c r="I24" i="6"/>
  <c r="W12" i="3"/>
  <c r="N38" i="7"/>
  <c r="N30" i="7"/>
  <c r="W6" i="3"/>
  <c r="W11" i="3" s="1"/>
  <c r="W7" i="3"/>
  <c r="K29" i="7"/>
  <c r="L29" i="7"/>
  <c r="M28" i="7"/>
  <c r="M29" i="7"/>
  <c r="M30" i="7"/>
  <c r="M42" i="7"/>
  <c r="L30" i="7"/>
  <c r="K30" i="7"/>
  <c r="K42" i="7"/>
  <c r="L42" i="7"/>
  <c r="L42" i="3"/>
  <c r="K42" i="3"/>
  <c r="K29" i="3"/>
  <c r="L29" i="3"/>
  <c r="M42" i="3"/>
  <c r="M28" i="3"/>
  <c r="M29" i="3"/>
  <c r="I42" i="3"/>
  <c r="I29" i="3"/>
  <c r="J28" i="3"/>
  <c r="J29" i="3"/>
  <c r="J42" i="3"/>
  <c r="I29" i="7"/>
  <c r="J28" i="7"/>
  <c r="J29" i="7"/>
  <c r="J30" i="7"/>
  <c r="I30" i="7"/>
  <c r="J42" i="7"/>
  <c r="I42" i="7"/>
  <c r="V11" i="3"/>
  <c r="E32" i="6"/>
  <c r="D22" i="7"/>
  <c r="E22" i="7"/>
  <c r="F22" i="7" s="1"/>
  <c r="G22" i="7" s="1"/>
  <c r="H22" i="7" s="1"/>
  <c r="I22" i="7" s="1"/>
  <c r="J22" i="7" s="1"/>
  <c r="K22" i="7" s="1"/>
  <c r="L22" i="7" s="1"/>
  <c r="M22" i="7" s="1"/>
  <c r="N22" i="7" s="1"/>
  <c r="E31" i="6"/>
  <c r="D21" i="7"/>
  <c r="E21" i="7"/>
  <c r="F21" i="7" s="1"/>
  <c r="G21" i="7" s="1"/>
  <c r="H21" i="7" s="1"/>
  <c r="I21" i="7" s="1"/>
  <c r="J21" i="7" s="1"/>
  <c r="K21" i="7" s="1"/>
  <c r="L21" i="7" s="1"/>
  <c r="M21" i="7" s="1"/>
  <c r="N21" i="7" s="1"/>
  <c r="I38" i="7"/>
  <c r="I38" i="3"/>
  <c r="G38" i="3"/>
  <c r="F38" i="3"/>
  <c r="E38" i="3"/>
  <c r="L38" i="3"/>
  <c r="D16" i="7"/>
  <c r="E16" i="7"/>
  <c r="F16" i="7" s="1"/>
  <c r="G16" i="7" s="1"/>
  <c r="D38" i="7"/>
  <c r="M38" i="3"/>
  <c r="L38" i="7"/>
  <c r="F38" i="7"/>
  <c r="M38" i="7"/>
  <c r="J38" i="7"/>
  <c r="E4" i="6"/>
  <c r="E5" i="6"/>
  <c r="C34" i="7" s="1"/>
  <c r="C35" i="7" s="1"/>
  <c r="M15" i="6"/>
  <c r="E34" i="6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E27" i="6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D21" i="3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E3" i="1"/>
  <c r="I3" i="1" s="1"/>
  <c r="E4" i="1" s="1"/>
  <c r="M16" i="6" l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E8" i="7"/>
  <c r="K16" i="6"/>
  <c r="K18" i="6" s="1"/>
  <c r="K19" i="6" s="1"/>
  <c r="H10" i="7"/>
  <c r="G10" i="7"/>
  <c r="I10" i="7"/>
  <c r="N10" i="7"/>
  <c r="M10" i="7"/>
  <c r="D10" i="7"/>
  <c r="D11" i="7" s="1"/>
  <c r="L10" i="7"/>
  <c r="K10" i="7"/>
  <c r="J10" i="7"/>
  <c r="F10" i="7"/>
  <c r="S12" i="7"/>
  <c r="E10" i="7"/>
  <c r="M18" i="6"/>
  <c r="M19" i="6" s="1"/>
  <c r="D12" i="3"/>
  <c r="D11" i="3"/>
  <c r="E8" i="3"/>
  <c r="D18" i="3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F7" i="6"/>
  <c r="C7" i="3" s="1"/>
  <c r="F28" i="6"/>
  <c r="F35" i="6" s="1"/>
  <c r="E28" i="6"/>
  <c r="V12" i="3"/>
  <c r="C39" i="7"/>
  <c r="G4" i="1"/>
  <c r="C40" i="7"/>
  <c r="L4" i="1"/>
  <c r="H16" i="7"/>
  <c r="J38" i="3"/>
  <c r="K38" i="3"/>
  <c r="K38" i="7"/>
  <c r="C4" i="3"/>
  <c r="C5" i="3"/>
  <c r="F5" i="6"/>
  <c r="D14" i="7" l="1"/>
  <c r="D15" i="7"/>
  <c r="D19" i="7" s="1"/>
  <c r="D12" i="7"/>
  <c r="D13" i="7"/>
  <c r="D14" i="3"/>
  <c r="D13" i="3"/>
  <c r="D15" i="3"/>
  <c r="D19" i="3" s="1"/>
  <c r="E12" i="3"/>
  <c r="E11" i="3"/>
  <c r="F8" i="3"/>
  <c r="F8" i="7"/>
  <c r="E11" i="7"/>
  <c r="D18" i="7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E35" i="6"/>
  <c r="D6" i="1"/>
  <c r="D18" i="1"/>
  <c r="D30" i="1"/>
  <c r="D42" i="1"/>
  <c r="D54" i="1"/>
  <c r="D19" i="1"/>
  <c r="D32" i="1"/>
  <c r="D40" i="1"/>
  <c r="D53" i="1"/>
  <c r="D20" i="1"/>
  <c r="D23" i="1"/>
  <c r="D37" i="1"/>
  <c r="D43" i="1"/>
  <c r="D60" i="1"/>
  <c r="D9" i="1"/>
  <c r="D26" i="1"/>
  <c r="D46" i="1"/>
  <c r="D63" i="1"/>
  <c r="D12" i="1"/>
  <c r="D29" i="1"/>
  <c r="D35" i="1"/>
  <c r="D49" i="1"/>
  <c r="D52" i="1"/>
  <c r="D15" i="1"/>
  <c r="D38" i="1"/>
  <c r="D55" i="1"/>
  <c r="D21" i="1"/>
  <c r="D41" i="1"/>
  <c r="D58" i="1"/>
  <c r="D61" i="1"/>
  <c r="D4" i="1"/>
  <c r="F4" i="1" s="1"/>
  <c r="D7" i="1"/>
  <c r="D24" i="1"/>
  <c r="D27" i="1"/>
  <c r="D44" i="1"/>
  <c r="D47" i="1"/>
  <c r="D10" i="1"/>
  <c r="D33" i="1"/>
  <c r="D50" i="1"/>
  <c r="D13" i="1"/>
  <c r="D16" i="1"/>
  <c r="D36" i="1"/>
  <c r="D56" i="1"/>
  <c r="D59" i="1"/>
  <c r="D22" i="1"/>
  <c r="D39" i="1"/>
  <c r="D62" i="1"/>
  <c r="D5" i="1"/>
  <c r="D25" i="1"/>
  <c r="D28" i="1"/>
  <c r="D45" i="1"/>
  <c r="D48" i="1"/>
  <c r="D8" i="1"/>
  <c r="D11" i="1"/>
  <c r="D14" i="1"/>
  <c r="D31" i="1"/>
  <c r="D51" i="1"/>
  <c r="D17" i="1"/>
  <c r="D34" i="1"/>
  <c r="D57" i="1"/>
  <c r="I16" i="7"/>
  <c r="L4" i="4"/>
  <c r="C34" i="3"/>
  <c r="C39" i="3" s="1"/>
  <c r="E3" i="4"/>
  <c r="I3" i="4" s="1"/>
  <c r="E4" i="4" s="1"/>
  <c r="E9" i="6"/>
  <c r="W10" i="3"/>
  <c r="W13" i="3" s="1"/>
  <c r="V10" i="3"/>
  <c r="V13" i="3" s="1"/>
  <c r="W14" i="3"/>
  <c r="C27" i="3"/>
  <c r="C29" i="3" s="1"/>
  <c r="E13" i="7" l="1"/>
  <c r="E12" i="7"/>
  <c r="E15" i="7" s="1"/>
  <c r="E19" i="7" s="1"/>
  <c r="E14" i="7"/>
  <c r="E14" i="3"/>
  <c r="E13" i="3"/>
  <c r="E15" i="3"/>
  <c r="E19" i="3" s="1"/>
  <c r="F11" i="7"/>
  <c r="G8" i="7"/>
  <c r="G8" i="3"/>
  <c r="F12" i="3"/>
  <c r="F11" i="3"/>
  <c r="E14" i="6"/>
  <c r="I4" i="1"/>
  <c r="E5" i="1" s="1"/>
  <c r="G4" i="4"/>
  <c r="I4" i="4"/>
  <c r="E5" i="4" s="1"/>
  <c r="E25" i="7"/>
  <c r="E26" i="7" s="1"/>
  <c r="D25" i="7"/>
  <c r="D26" i="7" s="1"/>
  <c r="D27" i="7" s="1"/>
  <c r="G25" i="7"/>
  <c r="G26" i="7" s="1"/>
  <c r="N25" i="7"/>
  <c r="M25" i="7"/>
  <c r="L25" i="7"/>
  <c r="K25" i="7"/>
  <c r="J25" i="7"/>
  <c r="I25" i="7"/>
  <c r="I26" i="7" s="1"/>
  <c r="H25" i="7"/>
  <c r="H26" i="7" s="1"/>
  <c r="F25" i="7"/>
  <c r="F26" i="7" s="1"/>
  <c r="D11" i="4"/>
  <c r="D23" i="4"/>
  <c r="D35" i="4"/>
  <c r="D47" i="4"/>
  <c r="D59" i="4"/>
  <c r="D4" i="4"/>
  <c r="F4" i="4" s="1"/>
  <c r="D16" i="4"/>
  <c r="D28" i="4"/>
  <c r="D40" i="4"/>
  <c r="D52" i="4"/>
  <c r="D9" i="4"/>
  <c r="D21" i="4"/>
  <c r="D33" i="4"/>
  <c r="D45" i="4"/>
  <c r="D57" i="4"/>
  <c r="D14" i="4"/>
  <c r="D26" i="4"/>
  <c r="D38" i="4"/>
  <c r="D50" i="4"/>
  <c r="D62" i="4"/>
  <c r="D7" i="4"/>
  <c r="D19" i="4"/>
  <c r="D31" i="4"/>
  <c r="D43" i="4"/>
  <c r="D55" i="4"/>
  <c r="D12" i="4"/>
  <c r="D24" i="4"/>
  <c r="D36" i="4"/>
  <c r="D48" i="4"/>
  <c r="D60" i="4"/>
  <c r="D5" i="4"/>
  <c r="D17" i="4"/>
  <c r="D29" i="4"/>
  <c r="D41" i="4"/>
  <c r="D53" i="4"/>
  <c r="D10" i="4"/>
  <c r="D22" i="4"/>
  <c r="D34" i="4"/>
  <c r="D46" i="4"/>
  <c r="D58" i="4"/>
  <c r="D15" i="4"/>
  <c r="D27" i="4"/>
  <c r="D39" i="4"/>
  <c r="D51" i="4"/>
  <c r="D63" i="4"/>
  <c r="D25" i="4"/>
  <c r="D6" i="4"/>
  <c r="D54" i="4"/>
  <c r="D8" i="4"/>
  <c r="D56" i="4"/>
  <c r="D37" i="4"/>
  <c r="D18" i="4"/>
  <c r="D20" i="4"/>
  <c r="D49" i="4"/>
  <c r="D30" i="4"/>
  <c r="D32" i="4"/>
  <c r="D13" i="4"/>
  <c r="D61" i="4"/>
  <c r="D42" i="4"/>
  <c r="D44" i="4"/>
  <c r="N30" i="3"/>
  <c r="J30" i="3"/>
  <c r="M30" i="3"/>
  <c r="C40" i="3"/>
  <c r="K30" i="3"/>
  <c r="I30" i="3"/>
  <c r="L30" i="3"/>
  <c r="J16" i="7"/>
  <c r="F13" i="7" l="1"/>
  <c r="F14" i="7"/>
  <c r="F12" i="7"/>
  <c r="F15" i="7" s="1"/>
  <c r="E27" i="7"/>
  <c r="F15" i="3"/>
  <c r="F19" i="3" s="1"/>
  <c r="F13" i="3"/>
  <c r="F14" i="3"/>
  <c r="H8" i="3"/>
  <c r="G11" i="3"/>
  <c r="G12" i="3"/>
  <c r="G11" i="7"/>
  <c r="H8" i="7"/>
  <c r="N32" i="3"/>
  <c r="G5" i="1"/>
  <c r="J26" i="7"/>
  <c r="K16" i="7"/>
  <c r="E17" i="6"/>
  <c r="D29" i="7"/>
  <c r="D30" i="7"/>
  <c r="E29" i="7"/>
  <c r="E30" i="7"/>
  <c r="G5" i="4"/>
  <c r="F14" i="6"/>
  <c r="F5" i="4"/>
  <c r="I5" i="4" s="1"/>
  <c r="E6" i="4" s="1"/>
  <c r="F9" i="6"/>
  <c r="F19" i="7" l="1"/>
  <c r="F27" i="7"/>
  <c r="H12" i="3"/>
  <c r="I8" i="3"/>
  <c r="H11" i="3"/>
  <c r="H11" i="7"/>
  <c r="I8" i="7"/>
  <c r="G14" i="7"/>
  <c r="G13" i="7"/>
  <c r="G12" i="7"/>
  <c r="G15" i="7"/>
  <c r="G14" i="3"/>
  <c r="G13" i="3"/>
  <c r="G15" i="3"/>
  <c r="G19" i="3" s="1"/>
  <c r="G6" i="4"/>
  <c r="F6" i="4" s="1"/>
  <c r="I6" i="4" s="1"/>
  <c r="E7" i="4" s="1"/>
  <c r="L16" i="7"/>
  <c r="K26" i="7"/>
  <c r="C31" i="7"/>
  <c r="F5" i="1"/>
  <c r="I25" i="3"/>
  <c r="I26" i="3" s="1"/>
  <c r="L25" i="3"/>
  <c r="L26" i="3" s="1"/>
  <c r="K25" i="3"/>
  <c r="K26" i="3" s="1"/>
  <c r="J25" i="3"/>
  <c r="J26" i="3" s="1"/>
  <c r="G25" i="3"/>
  <c r="G26" i="3" s="1"/>
  <c r="E25" i="3"/>
  <c r="E26" i="3" s="1"/>
  <c r="E27" i="3" s="1"/>
  <c r="H25" i="3"/>
  <c r="H26" i="3" s="1"/>
  <c r="F25" i="3"/>
  <c r="F26" i="3" s="1"/>
  <c r="F27" i="3" s="1"/>
  <c r="N25" i="3"/>
  <c r="N26" i="3" s="1"/>
  <c r="D25" i="3"/>
  <c r="D26" i="3" s="1"/>
  <c r="D27" i="3" s="1"/>
  <c r="M25" i="3"/>
  <c r="M26" i="3" s="1"/>
  <c r="I12" i="3" l="1"/>
  <c r="J8" i="3"/>
  <c r="I11" i="3"/>
  <c r="H12" i="7"/>
  <c r="H15" i="7" s="1"/>
  <c r="H13" i="7"/>
  <c r="H14" i="7"/>
  <c r="G19" i="7"/>
  <c r="G27" i="7"/>
  <c r="I11" i="7"/>
  <c r="J8" i="7"/>
  <c r="F29" i="7"/>
  <c r="F30" i="7"/>
  <c r="H14" i="3"/>
  <c r="H15" i="3"/>
  <c r="H13" i="3"/>
  <c r="H27" i="3"/>
  <c r="H28" i="3" s="1"/>
  <c r="H29" i="3" s="1"/>
  <c r="G27" i="3"/>
  <c r="G7" i="4"/>
  <c r="I5" i="1"/>
  <c r="E6" i="1" s="1"/>
  <c r="D29" i="3"/>
  <c r="F29" i="3"/>
  <c r="E29" i="3"/>
  <c r="G29" i="3"/>
  <c r="M16" i="7"/>
  <c r="L26" i="7"/>
  <c r="H19" i="7" l="1"/>
  <c r="E29" i="6" s="1"/>
  <c r="B26" i="6" s="1"/>
  <c r="E12" i="6"/>
  <c r="H27" i="7"/>
  <c r="I14" i="3"/>
  <c r="I15" i="3"/>
  <c r="I13" i="3"/>
  <c r="G29" i="7"/>
  <c r="G30" i="7"/>
  <c r="H19" i="3"/>
  <c r="F29" i="6" s="1"/>
  <c r="F12" i="6"/>
  <c r="F13" i="6"/>
  <c r="F16" i="6" s="1"/>
  <c r="F17" i="6"/>
  <c r="J12" i="3"/>
  <c r="J11" i="3"/>
  <c r="K8" i="3"/>
  <c r="J11" i="7"/>
  <c r="K8" i="7"/>
  <c r="I13" i="7"/>
  <c r="I14" i="7"/>
  <c r="I15" i="7"/>
  <c r="I12" i="7"/>
  <c r="F20" i="6"/>
  <c r="F23" i="6" s="1"/>
  <c r="H30" i="3"/>
  <c r="F18" i="6" s="1"/>
  <c r="F30" i="3"/>
  <c r="D30" i="3"/>
  <c r="C31" i="3"/>
  <c r="N16" i="7"/>
  <c r="N26" i="7" s="1"/>
  <c r="M26" i="7"/>
  <c r="G30" i="3"/>
  <c r="E30" i="3"/>
  <c r="G6" i="1"/>
  <c r="F7" i="4"/>
  <c r="K11" i="7" l="1"/>
  <c r="L8" i="7"/>
  <c r="J12" i="7"/>
  <c r="J13" i="7"/>
  <c r="J14" i="7"/>
  <c r="J15" i="7"/>
  <c r="I19" i="3"/>
  <c r="I27" i="3"/>
  <c r="F15" i="6"/>
  <c r="L8" i="3"/>
  <c r="K11" i="3"/>
  <c r="K12" i="3"/>
  <c r="E13" i="6"/>
  <c r="H30" i="7"/>
  <c r="E18" i="6" s="1"/>
  <c r="I19" i="7"/>
  <c r="I27" i="7"/>
  <c r="H28" i="7" s="1"/>
  <c r="H29" i="7" s="1"/>
  <c r="J13" i="3"/>
  <c r="J15" i="3"/>
  <c r="J14" i="3"/>
  <c r="D20" i="3"/>
  <c r="E20" i="3" s="1"/>
  <c r="F20" i="3" s="1"/>
  <c r="G20" i="3" s="1"/>
  <c r="H20" i="3" s="1"/>
  <c r="D20" i="7"/>
  <c r="E20" i="7" s="1"/>
  <c r="F20" i="7" s="1"/>
  <c r="G20" i="7" s="1"/>
  <c r="H20" i="7" s="1"/>
  <c r="F6" i="1"/>
  <c r="I7" i="4"/>
  <c r="E8" i="4" s="1"/>
  <c r="K15" i="3" l="1"/>
  <c r="K13" i="3"/>
  <c r="K14" i="3"/>
  <c r="I20" i="7"/>
  <c r="J20" i="7" s="1"/>
  <c r="K20" i="7" s="1"/>
  <c r="L20" i="7" s="1"/>
  <c r="M20" i="7" s="1"/>
  <c r="N20" i="7" s="1"/>
  <c r="E30" i="6"/>
  <c r="L11" i="3"/>
  <c r="M8" i="3"/>
  <c r="L12" i="3"/>
  <c r="M8" i="7"/>
  <c r="L11" i="7"/>
  <c r="J19" i="7"/>
  <c r="J27" i="7"/>
  <c r="E16" i="6"/>
  <c r="E15" i="6"/>
  <c r="K14" i="7"/>
  <c r="K12" i="7"/>
  <c r="K15" i="7" s="1"/>
  <c r="K13" i="7"/>
  <c r="F30" i="6"/>
  <c r="I20" i="3"/>
  <c r="J20" i="3" s="1"/>
  <c r="K20" i="3" s="1"/>
  <c r="L20" i="3" s="1"/>
  <c r="M20" i="3" s="1"/>
  <c r="N20" i="3" s="1"/>
  <c r="J19" i="3"/>
  <c r="J27" i="3"/>
  <c r="G8" i="4"/>
  <c r="F8" i="4" s="1"/>
  <c r="I6" i="1"/>
  <c r="E7" i="1" s="1"/>
  <c r="K19" i="7" l="1"/>
  <c r="K27" i="7"/>
  <c r="M11" i="7"/>
  <c r="N8" i="7"/>
  <c r="N11" i="7" s="1"/>
  <c r="L12" i="7"/>
  <c r="L13" i="7"/>
  <c r="L14" i="7"/>
  <c r="L15" i="7"/>
  <c r="L14" i="3"/>
  <c r="L13" i="3"/>
  <c r="L15" i="3"/>
  <c r="N8" i="3"/>
  <c r="M12" i="3"/>
  <c r="M11" i="3"/>
  <c r="K19" i="3"/>
  <c r="K27" i="3"/>
  <c r="G7" i="1"/>
  <c r="I8" i="4"/>
  <c r="E9" i="4" s="1"/>
  <c r="L19" i="3" l="1"/>
  <c r="L27" i="3"/>
  <c r="M13" i="7"/>
  <c r="M12" i="7"/>
  <c r="M15" i="7"/>
  <c r="M14" i="7"/>
  <c r="L19" i="7"/>
  <c r="L27" i="7"/>
  <c r="M13" i="3"/>
  <c r="M15" i="3"/>
  <c r="M14" i="3"/>
  <c r="N12" i="3"/>
  <c r="N11" i="3"/>
  <c r="N12" i="7"/>
  <c r="N15" i="7"/>
  <c r="N13" i="7"/>
  <c r="N14" i="7"/>
  <c r="G9" i="4"/>
  <c r="F9" i="4" s="1"/>
  <c r="I9" i="4"/>
  <c r="E10" i="4" s="1"/>
  <c r="F7" i="1"/>
  <c r="M19" i="7" l="1"/>
  <c r="M27" i="7"/>
  <c r="N19" i="7"/>
  <c r="N27" i="7"/>
  <c r="M19" i="3"/>
  <c r="M27" i="3"/>
  <c r="N14" i="3"/>
  <c r="N13" i="3"/>
  <c r="N15" i="3"/>
  <c r="I7" i="1"/>
  <c r="E8" i="1" s="1"/>
  <c r="G10" i="4"/>
  <c r="F10" i="4" s="1"/>
  <c r="I10" i="4"/>
  <c r="E11" i="4" s="1"/>
  <c r="N19" i="3" l="1"/>
  <c r="N27" i="3"/>
  <c r="G11" i="4"/>
  <c r="F11" i="4" s="1"/>
  <c r="I11" i="4"/>
  <c r="E12" i="4" s="1"/>
  <c r="G8" i="1"/>
  <c r="F8" i="1" s="1"/>
  <c r="I8" i="1" s="1"/>
  <c r="E9" i="1" s="1"/>
  <c r="G9" i="1" l="1"/>
  <c r="F9" i="1" s="1"/>
  <c r="I9" i="1"/>
  <c r="E10" i="1" s="1"/>
  <c r="G12" i="4"/>
  <c r="F12" i="4" s="1"/>
  <c r="I12" i="4"/>
  <c r="E13" i="4" s="1"/>
  <c r="G13" i="4" l="1"/>
  <c r="F13" i="4" s="1"/>
  <c r="I13" i="4" s="1"/>
  <c r="E14" i="4" s="1"/>
  <c r="G10" i="1"/>
  <c r="F10" i="1" s="1"/>
  <c r="I10" i="1"/>
  <c r="E11" i="1" s="1"/>
  <c r="G14" i="4" l="1"/>
  <c r="F14" i="4" s="1"/>
  <c r="I14" i="4"/>
  <c r="E15" i="4" s="1"/>
  <c r="G11" i="1"/>
  <c r="F11" i="1" s="1"/>
  <c r="I11" i="1"/>
  <c r="E12" i="1" s="1"/>
  <c r="G12" i="1" l="1"/>
  <c r="F12" i="1" s="1"/>
  <c r="I12" i="1"/>
  <c r="E13" i="1" s="1"/>
  <c r="G15" i="4"/>
  <c r="F15" i="4" s="1"/>
  <c r="I15" i="4" s="1"/>
  <c r="E16" i="4" s="1"/>
  <c r="G16" i="4" l="1"/>
  <c r="G13" i="1"/>
  <c r="F13" i="1" s="1"/>
  <c r="I13" i="1"/>
  <c r="E14" i="1" s="1"/>
  <c r="G14" i="1" l="1"/>
  <c r="F14" i="1" s="1"/>
  <c r="I14" i="1" s="1"/>
  <c r="E15" i="1" s="1"/>
  <c r="F16" i="4"/>
  <c r="G15" i="1" l="1"/>
  <c r="F15" i="1" s="1"/>
  <c r="I15" i="1" s="1"/>
  <c r="E16" i="1" s="1"/>
  <c r="I16" i="4"/>
  <c r="E17" i="4" s="1"/>
  <c r="G16" i="1" l="1"/>
  <c r="G17" i="4"/>
  <c r="F17" i="4" l="1"/>
  <c r="F16" i="1"/>
  <c r="I16" i="1" l="1"/>
  <c r="E17" i="1" s="1"/>
  <c r="I17" i="4"/>
  <c r="E18" i="4" s="1"/>
  <c r="G18" i="4" l="1"/>
  <c r="G17" i="1"/>
  <c r="F17" i="1" l="1"/>
  <c r="F18" i="4"/>
  <c r="I18" i="4" l="1"/>
  <c r="E19" i="4" s="1"/>
  <c r="I17" i="1"/>
  <c r="E18" i="1" s="1"/>
  <c r="G18" i="1" l="1"/>
  <c r="G19" i="4"/>
  <c r="F19" i="4" l="1"/>
  <c r="F18" i="1"/>
  <c r="I18" i="1" l="1"/>
  <c r="E19" i="1" s="1"/>
  <c r="I19" i="4"/>
  <c r="E20" i="4" s="1"/>
  <c r="G20" i="4" l="1"/>
  <c r="G19" i="1"/>
  <c r="F19" i="1" l="1"/>
  <c r="F20" i="4"/>
  <c r="I20" i="4" l="1"/>
  <c r="E21" i="4" s="1"/>
  <c r="I19" i="1"/>
  <c r="E20" i="1" s="1"/>
  <c r="G20" i="1" l="1"/>
  <c r="G21" i="4"/>
  <c r="F21" i="4" s="1"/>
  <c r="I21" i="4"/>
  <c r="E22" i="4" s="1"/>
  <c r="G22" i="4" l="1"/>
  <c r="F22" i="4" s="1"/>
  <c r="I22" i="4"/>
  <c r="E23" i="4" s="1"/>
  <c r="F20" i="1"/>
  <c r="I20" i="1" l="1"/>
  <c r="E21" i="1" s="1"/>
  <c r="G23" i="4"/>
  <c r="F23" i="4" s="1"/>
  <c r="I23" i="4" s="1"/>
  <c r="E24" i="4" s="1"/>
  <c r="G24" i="4" l="1"/>
  <c r="F24" i="4" s="1"/>
  <c r="I24" i="4"/>
  <c r="E25" i="4" s="1"/>
  <c r="G21" i="1"/>
  <c r="F21" i="1" s="1"/>
  <c r="I21" i="1" s="1"/>
  <c r="E22" i="1" s="1"/>
  <c r="G22" i="1" l="1"/>
  <c r="F22" i="1" s="1"/>
  <c r="I22" i="1"/>
  <c r="E23" i="1" s="1"/>
  <c r="G25" i="4"/>
  <c r="F25" i="4" s="1"/>
  <c r="I25" i="4" s="1"/>
  <c r="E26" i="4" s="1"/>
  <c r="G26" i="4" l="1"/>
  <c r="F26" i="4" s="1"/>
  <c r="I26" i="4"/>
  <c r="E27" i="4" s="1"/>
  <c r="G23" i="1"/>
  <c r="F23" i="1" s="1"/>
  <c r="I23" i="1"/>
  <c r="E24" i="1" s="1"/>
  <c r="G24" i="1" l="1"/>
  <c r="F24" i="1" s="1"/>
  <c r="I24" i="1" s="1"/>
  <c r="E25" i="1" s="1"/>
  <c r="G27" i="4"/>
  <c r="F27" i="4" s="1"/>
  <c r="I27" i="4" s="1"/>
  <c r="E28" i="4" s="1"/>
  <c r="G28" i="4" l="1"/>
  <c r="G25" i="1"/>
  <c r="F25" i="1" s="1"/>
  <c r="I25" i="1"/>
  <c r="E26" i="1" s="1"/>
  <c r="G26" i="1" l="1"/>
  <c r="F26" i="1" s="1"/>
  <c r="I26" i="1"/>
  <c r="E27" i="1" s="1"/>
  <c r="F28" i="4"/>
  <c r="I28" i="4" l="1"/>
  <c r="E29" i="4" s="1"/>
  <c r="G27" i="1"/>
  <c r="F27" i="1" s="1"/>
  <c r="I27" i="1" s="1"/>
  <c r="E28" i="1" s="1"/>
  <c r="G28" i="1" l="1"/>
  <c r="G29" i="4"/>
  <c r="F29" i="4" l="1"/>
  <c r="F28" i="1"/>
  <c r="I28" i="1" l="1"/>
  <c r="E29" i="1" s="1"/>
  <c r="I29" i="4"/>
  <c r="E30" i="4" s="1"/>
  <c r="G30" i="4" l="1"/>
  <c r="G29" i="1"/>
  <c r="F29" i="1" l="1"/>
  <c r="F30" i="4"/>
  <c r="I30" i="4" l="1"/>
  <c r="E31" i="4" s="1"/>
  <c r="I29" i="1"/>
  <c r="E30" i="1" s="1"/>
  <c r="G30" i="1" l="1"/>
  <c r="G31" i="4"/>
  <c r="F31" i="4" l="1"/>
  <c r="F30" i="1"/>
  <c r="I30" i="1" l="1"/>
  <c r="E31" i="1" s="1"/>
  <c r="I31" i="4"/>
  <c r="E32" i="4" s="1"/>
  <c r="G32" i="4" l="1"/>
  <c r="G31" i="1"/>
  <c r="F31" i="1" l="1"/>
  <c r="F32" i="4"/>
  <c r="I32" i="4" l="1"/>
  <c r="E33" i="4" s="1"/>
  <c r="I31" i="1"/>
  <c r="E32" i="1" s="1"/>
  <c r="G32" i="1" l="1"/>
  <c r="G33" i="4"/>
  <c r="F33" i="4" s="1"/>
  <c r="I33" i="4" s="1"/>
  <c r="E34" i="4" s="1"/>
  <c r="G34" i="4" l="1"/>
  <c r="F34" i="4" s="1"/>
  <c r="I34" i="4"/>
  <c r="E35" i="4" s="1"/>
  <c r="F32" i="1"/>
  <c r="I32" i="1" l="1"/>
  <c r="E33" i="1" s="1"/>
  <c r="G35" i="4"/>
  <c r="F35" i="4" s="1"/>
  <c r="I35" i="4" s="1"/>
  <c r="E36" i="4" s="1"/>
  <c r="G36" i="4" l="1"/>
  <c r="F36" i="4" s="1"/>
  <c r="I36" i="4"/>
  <c r="E37" i="4" s="1"/>
  <c r="G33" i="1"/>
  <c r="F33" i="1" s="1"/>
  <c r="I33" i="1"/>
  <c r="E34" i="1" s="1"/>
  <c r="I34" i="1" l="1"/>
  <c r="E35" i="1" s="1"/>
  <c r="G34" i="1"/>
  <c r="F34" i="1" s="1"/>
  <c r="G37" i="4"/>
  <c r="F37" i="4" s="1"/>
  <c r="I37" i="4" s="1"/>
  <c r="E38" i="4" s="1"/>
  <c r="G38" i="4" l="1"/>
  <c r="F38" i="4" s="1"/>
  <c r="I38" i="4"/>
  <c r="E39" i="4" s="1"/>
  <c r="G35" i="1"/>
  <c r="F35" i="1" s="1"/>
  <c r="I35" i="1"/>
  <c r="E36" i="1" s="1"/>
  <c r="G36" i="1" l="1"/>
  <c r="F36" i="1" s="1"/>
  <c r="I36" i="1"/>
  <c r="E37" i="1" s="1"/>
  <c r="G39" i="4"/>
  <c r="F39" i="4" s="1"/>
  <c r="I39" i="4" s="1"/>
  <c r="E40" i="4" s="1"/>
  <c r="G40" i="4" l="1"/>
  <c r="G37" i="1"/>
  <c r="F37" i="1" s="1"/>
  <c r="I37" i="1"/>
  <c r="E38" i="1" s="1"/>
  <c r="G38" i="1" l="1"/>
  <c r="F38" i="1" s="1"/>
  <c r="I38" i="1"/>
  <c r="E39" i="1" s="1"/>
  <c r="F40" i="4"/>
  <c r="I40" i="4" l="1"/>
  <c r="E41" i="4" s="1"/>
  <c r="G39" i="1"/>
  <c r="F39" i="1" s="1"/>
  <c r="I39" i="1" s="1"/>
  <c r="E40" i="1" s="1"/>
  <c r="G40" i="1" l="1"/>
  <c r="G41" i="4"/>
  <c r="F41" i="4" l="1"/>
  <c r="F40" i="1"/>
  <c r="I40" i="1" l="1"/>
  <c r="E41" i="1" s="1"/>
  <c r="I41" i="4"/>
  <c r="E42" i="4" s="1"/>
  <c r="G42" i="4" l="1"/>
  <c r="G41" i="1"/>
  <c r="F41" i="1" l="1"/>
  <c r="F42" i="4"/>
  <c r="I42" i="4" l="1"/>
  <c r="E43" i="4" s="1"/>
  <c r="I41" i="1"/>
  <c r="E42" i="1" s="1"/>
  <c r="G42" i="1" l="1"/>
  <c r="G43" i="4"/>
  <c r="F43" i="4" l="1"/>
  <c r="F42" i="1"/>
  <c r="I42" i="1" l="1"/>
  <c r="E43" i="1" s="1"/>
  <c r="I43" i="4"/>
  <c r="E44" i="4" s="1"/>
  <c r="G44" i="4" l="1"/>
  <c r="G43" i="1"/>
  <c r="F44" i="4" l="1"/>
  <c r="F43" i="1"/>
  <c r="I43" i="1" l="1"/>
  <c r="E44" i="1" s="1"/>
  <c r="I44" i="4"/>
  <c r="E45" i="4" s="1"/>
  <c r="G45" i="4" l="1"/>
  <c r="F45" i="4" s="1"/>
  <c r="I45" i="4" s="1"/>
  <c r="E46" i="4" s="1"/>
  <c r="G44" i="1"/>
  <c r="G46" i="4" l="1"/>
  <c r="F46" i="4" s="1"/>
  <c r="I46" i="4"/>
  <c r="E47" i="4" s="1"/>
  <c r="F44" i="1"/>
  <c r="I44" i="1" l="1"/>
  <c r="E45" i="1" s="1"/>
  <c r="G47" i="4"/>
  <c r="F47" i="4" s="1"/>
  <c r="I47" i="4" s="1"/>
  <c r="E48" i="4" s="1"/>
  <c r="G48" i="4" l="1"/>
  <c r="F48" i="4" s="1"/>
  <c r="I48" i="4"/>
  <c r="E49" i="4" s="1"/>
  <c r="G45" i="1"/>
  <c r="F45" i="1" s="1"/>
  <c r="I45" i="1" s="1"/>
  <c r="E46" i="1" s="1"/>
  <c r="G46" i="1" l="1"/>
  <c r="F46" i="1" s="1"/>
  <c r="I46" i="1"/>
  <c r="E47" i="1" s="1"/>
  <c r="G49" i="4"/>
  <c r="F49" i="4" s="1"/>
  <c r="I49" i="4" s="1"/>
  <c r="E50" i="4" s="1"/>
  <c r="G50" i="4" l="1"/>
  <c r="F50" i="4" s="1"/>
  <c r="I50" i="4"/>
  <c r="E51" i="4" s="1"/>
  <c r="G47" i="1"/>
  <c r="F47" i="1" s="1"/>
  <c r="I47" i="1"/>
  <c r="E48" i="1" s="1"/>
  <c r="G48" i="1" l="1"/>
  <c r="F48" i="1" s="1"/>
  <c r="I48" i="1" s="1"/>
  <c r="E49" i="1" s="1"/>
  <c r="G51" i="4"/>
  <c r="F51" i="4" s="1"/>
  <c r="I51" i="4"/>
  <c r="E52" i="4" s="1"/>
  <c r="G49" i="1" l="1"/>
  <c r="F49" i="1" s="1"/>
  <c r="I49" i="1"/>
  <c r="E50" i="1" s="1"/>
  <c r="G52" i="4"/>
  <c r="F52" i="4" l="1"/>
  <c r="G50" i="1"/>
  <c r="F50" i="1" s="1"/>
  <c r="I50" i="1"/>
  <c r="E51" i="1" s="1"/>
  <c r="I51" i="1" l="1"/>
  <c r="E52" i="1" s="1"/>
  <c r="G51" i="1"/>
  <c r="F51" i="1" s="1"/>
  <c r="I52" i="4"/>
  <c r="E53" i="4" s="1"/>
  <c r="G53" i="4" l="1"/>
  <c r="G52" i="1"/>
  <c r="F52" i="1" l="1"/>
  <c r="F53" i="4"/>
  <c r="I53" i="4" l="1"/>
  <c r="E54" i="4" s="1"/>
  <c r="I52" i="1"/>
  <c r="E53" i="1" s="1"/>
  <c r="G53" i="1" l="1"/>
  <c r="G54" i="4"/>
  <c r="F54" i="4" l="1"/>
  <c r="F53" i="1"/>
  <c r="I53" i="1" l="1"/>
  <c r="E54" i="1" s="1"/>
  <c r="I54" i="4"/>
  <c r="E55" i="4" s="1"/>
  <c r="G55" i="4" l="1"/>
  <c r="G54" i="1"/>
  <c r="F54" i="1" l="1"/>
  <c r="F55" i="4"/>
  <c r="I55" i="4" l="1"/>
  <c r="E56" i="4" s="1"/>
  <c r="I54" i="1"/>
  <c r="E55" i="1" s="1"/>
  <c r="G55" i="1" l="1"/>
  <c r="G56" i="4"/>
  <c r="F56" i="4" l="1"/>
  <c r="F55" i="1"/>
  <c r="I55" i="1" l="1"/>
  <c r="E56" i="1" s="1"/>
  <c r="I56" i="4"/>
  <c r="E57" i="4" s="1"/>
  <c r="G57" i="4" l="1"/>
  <c r="F57" i="4" s="1"/>
  <c r="I57" i="4"/>
  <c r="E58" i="4" s="1"/>
  <c r="G56" i="1"/>
  <c r="F56" i="1" l="1"/>
  <c r="G58" i="4"/>
  <c r="F58" i="4" s="1"/>
  <c r="I58" i="4"/>
  <c r="E59" i="4" s="1"/>
  <c r="G59" i="4" l="1"/>
  <c r="F59" i="4" s="1"/>
  <c r="I59" i="4" s="1"/>
  <c r="E60" i="4" s="1"/>
  <c r="I56" i="1"/>
  <c r="E57" i="1" s="1"/>
  <c r="G60" i="4" l="1"/>
  <c r="F60" i="4" s="1"/>
  <c r="I60" i="4"/>
  <c r="E61" i="4" s="1"/>
  <c r="G57" i="1"/>
  <c r="F57" i="1" s="1"/>
  <c r="I57" i="1"/>
  <c r="E58" i="1" s="1"/>
  <c r="G58" i="1" l="1"/>
  <c r="F58" i="1" s="1"/>
  <c r="I58" i="1"/>
  <c r="E59" i="1" s="1"/>
  <c r="G61" i="4"/>
  <c r="F61" i="4" s="1"/>
  <c r="I61" i="4" s="1"/>
  <c r="E62" i="4" s="1"/>
  <c r="G62" i="4" l="1"/>
  <c r="F62" i="4" s="1"/>
  <c r="I62" i="4"/>
  <c r="E63" i="4" s="1"/>
  <c r="G59" i="1"/>
  <c r="F59" i="1" s="1"/>
  <c r="I59" i="1"/>
  <c r="E60" i="1" s="1"/>
  <c r="G63" i="4" l="1"/>
  <c r="F63" i="4" s="1"/>
  <c r="H63" i="4" s="1"/>
  <c r="G60" i="1"/>
  <c r="F60" i="1" s="1"/>
  <c r="I60" i="1"/>
  <c r="E61" i="1" s="1"/>
  <c r="H38" i="3" l="1"/>
  <c r="I63" i="4"/>
  <c r="E64" i="4" s="1"/>
  <c r="G61" i="1"/>
  <c r="F61" i="1" s="1"/>
  <c r="I61" i="1"/>
  <c r="E62" i="1" s="1"/>
  <c r="G62" i="1" l="1"/>
  <c r="F62" i="1" s="1"/>
  <c r="I62" i="1" s="1"/>
  <c r="E63" i="1" s="1"/>
  <c r="G64" i="4"/>
  <c r="G63" i="1" l="1"/>
  <c r="F63" i="1" s="1"/>
  <c r="F64" i="4"/>
  <c r="I64" i="4" l="1"/>
  <c r="E65" i="4" s="1"/>
  <c r="H63" i="1"/>
  <c r="H38" i="7" s="1"/>
  <c r="G65" i="4" l="1"/>
  <c r="I63" i="1"/>
  <c r="E64" i="1" s="1"/>
  <c r="F65" i="4" l="1"/>
  <c r="G64" i="1"/>
  <c r="F64" i="1" l="1"/>
  <c r="I65" i="4"/>
  <c r="E66" i="4" s="1"/>
  <c r="G66" i="4" l="1"/>
  <c r="I64" i="1"/>
  <c r="E65" i="1" s="1"/>
  <c r="G65" i="1" l="1"/>
  <c r="F66" i="4"/>
  <c r="I66" i="4" l="1"/>
  <c r="E67" i="4" s="1"/>
  <c r="F65" i="1"/>
  <c r="I65" i="1" l="1"/>
  <c r="E66" i="1" s="1"/>
  <c r="G67" i="4"/>
  <c r="F67" i="4" l="1"/>
  <c r="G66" i="1"/>
  <c r="F66" i="1" l="1"/>
  <c r="I67" i="4"/>
  <c r="E68" i="4" s="1"/>
  <c r="G68" i="4" l="1"/>
  <c r="I66" i="1"/>
  <c r="E67" i="1" s="1"/>
  <c r="G67" i="1" l="1"/>
  <c r="F68" i="4"/>
  <c r="F67" i="1" l="1"/>
  <c r="I68" i="4"/>
  <c r="E69" i="4" s="1"/>
  <c r="G69" i="4" l="1"/>
  <c r="F69" i="4" s="1"/>
  <c r="I69" i="4"/>
  <c r="E70" i="4" s="1"/>
  <c r="I67" i="1"/>
  <c r="E68" i="1" s="1"/>
  <c r="G68" i="1" l="1"/>
  <c r="I70" i="4"/>
  <c r="E71" i="4" s="1"/>
  <c r="G70" i="4"/>
  <c r="F70" i="4" s="1"/>
  <c r="G71" i="4" l="1"/>
  <c r="F71" i="4" s="1"/>
  <c r="I71" i="4" s="1"/>
  <c r="E72" i="4" s="1"/>
  <c r="F68" i="1"/>
  <c r="G72" i="4" l="1"/>
  <c r="F72" i="4" s="1"/>
  <c r="I72" i="4"/>
  <c r="E73" i="4" s="1"/>
  <c r="I68" i="1"/>
  <c r="E69" i="1" s="1"/>
  <c r="G69" i="1" l="1"/>
  <c r="F69" i="1" s="1"/>
  <c r="I69" i="1" s="1"/>
  <c r="E70" i="1" s="1"/>
  <c r="G73" i="4"/>
  <c r="F73" i="4" s="1"/>
  <c r="I73" i="4"/>
  <c r="E74" i="4" s="1"/>
  <c r="G70" i="1" l="1"/>
  <c r="F70" i="1" s="1"/>
  <c r="I70" i="1" s="1"/>
  <c r="E71" i="1" s="1"/>
  <c r="G74" i="4"/>
  <c r="F74" i="4" s="1"/>
  <c r="I74" i="4" s="1"/>
  <c r="E75" i="4" s="1"/>
  <c r="G75" i="4" l="1"/>
  <c r="F75" i="4" s="1"/>
  <c r="I75" i="4"/>
  <c r="E76" i="4" s="1"/>
  <c r="G71" i="1"/>
  <c r="F71" i="1" s="1"/>
  <c r="I71" i="1" s="1"/>
  <c r="E72" i="1" s="1"/>
  <c r="G72" i="1" l="1"/>
  <c r="F72" i="1" s="1"/>
  <c r="I72" i="1"/>
  <c r="E73" i="1" s="1"/>
  <c r="G76" i="4"/>
  <c r="F76" i="4" l="1"/>
  <c r="G73" i="1"/>
  <c r="F73" i="1" s="1"/>
  <c r="I73" i="1"/>
  <c r="E74" i="1" s="1"/>
  <c r="G74" i="1" l="1"/>
  <c r="F74" i="1" s="1"/>
  <c r="I74" i="1"/>
  <c r="E75" i="1" s="1"/>
  <c r="I76" i="4"/>
  <c r="E77" i="4" s="1"/>
  <c r="G77" i="4" l="1"/>
  <c r="G75" i="1"/>
  <c r="F75" i="1" s="1"/>
  <c r="I75" i="1" s="1"/>
  <c r="E76" i="1" s="1"/>
  <c r="G76" i="1" l="1"/>
  <c r="F77" i="4"/>
  <c r="I77" i="4" l="1"/>
  <c r="E78" i="4" s="1"/>
  <c r="F76" i="1"/>
  <c r="I76" i="1" l="1"/>
  <c r="E77" i="1" s="1"/>
  <c r="G78" i="4"/>
  <c r="F78" i="4" l="1"/>
  <c r="G77" i="1"/>
  <c r="I78" i="4" l="1"/>
  <c r="E79" i="4" s="1"/>
  <c r="F77" i="1"/>
  <c r="I77" i="1" l="1"/>
  <c r="E78" i="1" s="1"/>
  <c r="G79" i="4"/>
  <c r="F79" i="4" l="1"/>
  <c r="G78" i="1"/>
  <c r="F78" i="1" l="1"/>
  <c r="I79" i="4"/>
  <c r="E80" i="4" s="1"/>
  <c r="G80" i="4" l="1"/>
  <c r="I78" i="1"/>
  <c r="E79" i="1" s="1"/>
  <c r="G79" i="1" l="1"/>
  <c r="F80" i="4"/>
  <c r="I80" i="4" l="1"/>
  <c r="E81" i="4" s="1"/>
  <c r="F79" i="1"/>
  <c r="I79" i="1" l="1"/>
  <c r="E80" i="1" s="1"/>
  <c r="G81" i="4"/>
  <c r="F81" i="4" s="1"/>
  <c r="I81" i="4" s="1"/>
  <c r="E82" i="4" s="1"/>
  <c r="G82" i="4" l="1"/>
  <c r="F82" i="4" s="1"/>
  <c r="I82" i="4" s="1"/>
  <c r="E83" i="4" s="1"/>
  <c r="G80" i="1"/>
  <c r="G83" i="4" l="1"/>
  <c r="F83" i="4" s="1"/>
  <c r="I83" i="4" s="1"/>
  <c r="E84" i="4" s="1"/>
  <c r="F80" i="1"/>
  <c r="G84" i="4" l="1"/>
  <c r="F84" i="4" s="1"/>
  <c r="I84" i="4"/>
  <c r="E85" i="4" s="1"/>
  <c r="I80" i="1"/>
  <c r="E81" i="1" s="1"/>
  <c r="G81" i="1" l="1"/>
  <c r="F81" i="1" s="1"/>
  <c r="I81" i="1"/>
  <c r="E82" i="1" s="1"/>
  <c r="G85" i="4"/>
  <c r="F85" i="4" s="1"/>
  <c r="I85" i="4"/>
  <c r="E86" i="4" s="1"/>
  <c r="G82" i="1" l="1"/>
  <c r="F82" i="1" s="1"/>
  <c r="I82" i="1" s="1"/>
  <c r="E83" i="1" s="1"/>
  <c r="G86" i="4"/>
  <c r="F86" i="4" s="1"/>
  <c r="I86" i="4" s="1"/>
  <c r="E87" i="4" s="1"/>
  <c r="G87" i="4" l="1"/>
  <c r="F87" i="4" s="1"/>
  <c r="I87" i="4" s="1"/>
  <c r="E88" i="4" s="1"/>
  <c r="G83" i="1"/>
  <c r="F83" i="1" s="1"/>
  <c r="I83" i="1" s="1"/>
  <c r="E84" i="1" s="1"/>
  <c r="G84" i="1" l="1"/>
  <c r="F84" i="1" s="1"/>
  <c r="I84" i="1" s="1"/>
  <c r="E85" i="1" s="1"/>
  <c r="G88" i="4"/>
  <c r="G85" i="1" l="1"/>
  <c r="F85" i="1" s="1"/>
  <c r="I85" i="1"/>
  <c r="E86" i="1" s="1"/>
  <c r="F88" i="4"/>
  <c r="G86" i="1" l="1"/>
  <c r="F86" i="1" s="1"/>
  <c r="I86" i="1" s="1"/>
  <c r="E87" i="1" s="1"/>
  <c r="I88" i="4"/>
  <c r="E89" i="4" s="1"/>
  <c r="G87" i="1" l="1"/>
  <c r="F87" i="1" s="1"/>
  <c r="I87" i="1" s="1"/>
  <c r="E88" i="1" s="1"/>
  <c r="G89" i="4"/>
  <c r="G88" i="1" l="1"/>
  <c r="F89" i="4"/>
  <c r="I89" i="4" l="1"/>
  <c r="E90" i="4" s="1"/>
  <c r="F88" i="1"/>
  <c r="I88" i="1" l="1"/>
  <c r="E89" i="1" s="1"/>
  <c r="G90" i="4"/>
  <c r="F90" i="4" l="1"/>
  <c r="G89" i="1"/>
  <c r="F89" i="1" l="1"/>
  <c r="I90" i="4"/>
  <c r="E91" i="4" s="1"/>
  <c r="G91" i="4" l="1"/>
  <c r="I89" i="1"/>
  <c r="E90" i="1" s="1"/>
  <c r="G90" i="1" l="1"/>
  <c r="F91" i="4"/>
  <c r="I91" i="4" l="1"/>
  <c r="E92" i="4" s="1"/>
  <c r="F90" i="1"/>
  <c r="I90" i="1" l="1"/>
  <c r="E91" i="1" s="1"/>
  <c r="G92" i="4"/>
  <c r="F92" i="4" l="1"/>
  <c r="G91" i="1"/>
  <c r="F91" i="1" l="1"/>
  <c r="I92" i="4"/>
  <c r="E93" i="4" s="1"/>
  <c r="G93" i="4" l="1"/>
  <c r="F93" i="4" s="1"/>
  <c r="I93" i="4"/>
  <c r="E94" i="4" s="1"/>
  <c r="I91" i="1"/>
  <c r="E92" i="1" s="1"/>
  <c r="G92" i="1" l="1"/>
  <c r="G94" i="4"/>
  <c r="F94" i="4" s="1"/>
  <c r="I94" i="4"/>
  <c r="E95" i="4" s="1"/>
  <c r="G95" i="4" l="1"/>
  <c r="F95" i="4" s="1"/>
  <c r="I95" i="4"/>
  <c r="E96" i="4" s="1"/>
  <c r="F92" i="1"/>
  <c r="G96" i="4" l="1"/>
  <c r="F96" i="4" s="1"/>
  <c r="I96" i="4" s="1"/>
  <c r="E97" i="4" s="1"/>
  <c r="I92" i="1"/>
  <c r="E93" i="1" s="1"/>
  <c r="G97" i="4" l="1"/>
  <c r="F97" i="4" s="1"/>
  <c r="I97" i="4" s="1"/>
  <c r="E98" i="4" s="1"/>
  <c r="G93" i="1"/>
  <c r="F93" i="1" s="1"/>
  <c r="I93" i="1" s="1"/>
  <c r="E94" i="1" s="1"/>
  <c r="G94" i="1" l="1"/>
  <c r="F94" i="1" s="1"/>
  <c r="I94" i="1" s="1"/>
  <c r="E95" i="1" s="1"/>
  <c r="G98" i="4"/>
  <c r="F98" i="4" s="1"/>
  <c r="I98" i="4" s="1"/>
  <c r="E99" i="4" s="1"/>
  <c r="G99" i="4" l="1"/>
  <c r="F99" i="4" s="1"/>
  <c r="I99" i="4"/>
  <c r="E100" i="4" s="1"/>
  <c r="G95" i="1"/>
  <c r="F95" i="1" s="1"/>
  <c r="I95" i="1" s="1"/>
  <c r="E96" i="1" s="1"/>
  <c r="G96" i="1" l="1"/>
  <c r="F96" i="1" s="1"/>
  <c r="I96" i="1"/>
  <c r="E97" i="1" s="1"/>
  <c r="G100" i="4"/>
  <c r="G97" i="1" l="1"/>
  <c r="F97" i="1" s="1"/>
  <c r="I97" i="1" s="1"/>
  <c r="E98" i="1" s="1"/>
  <c r="F100" i="4"/>
  <c r="G98" i="1" l="1"/>
  <c r="F98" i="1" s="1"/>
  <c r="I98" i="1" s="1"/>
  <c r="E99" i="1" s="1"/>
  <c r="I100" i="4"/>
  <c r="E101" i="4" s="1"/>
  <c r="G99" i="1" l="1"/>
  <c r="F99" i="1" s="1"/>
  <c r="I99" i="1"/>
  <c r="E100" i="1" s="1"/>
  <c r="G101" i="4"/>
  <c r="F101" i="4" l="1"/>
  <c r="G100" i="1"/>
  <c r="F100" i="1" l="1"/>
  <c r="I101" i="4"/>
  <c r="E102" i="4" s="1"/>
  <c r="G102" i="4" l="1"/>
  <c r="I100" i="1"/>
  <c r="E101" i="1" s="1"/>
  <c r="G101" i="1" l="1"/>
  <c r="F102" i="4"/>
  <c r="I102" i="4" l="1"/>
  <c r="E103" i="4" s="1"/>
  <c r="F101" i="1"/>
  <c r="I101" i="1" l="1"/>
  <c r="E102" i="1" s="1"/>
  <c r="G103" i="4"/>
  <c r="F103" i="4" l="1"/>
  <c r="G102" i="1"/>
  <c r="F102" i="1" l="1"/>
  <c r="I103" i="4"/>
  <c r="E104" i="4" s="1"/>
  <c r="G104" i="4" l="1"/>
  <c r="I102" i="1"/>
  <c r="E103" i="1" s="1"/>
  <c r="F104" i="4" l="1"/>
  <c r="G103" i="1"/>
  <c r="F103" i="1" l="1"/>
  <c r="I104" i="4"/>
  <c r="E105" i="4" s="1"/>
  <c r="G105" i="4" l="1"/>
  <c r="F105" i="4" s="1"/>
  <c r="I105" i="4" s="1"/>
  <c r="E106" i="4" s="1"/>
  <c r="I103" i="1"/>
  <c r="E104" i="1" s="1"/>
  <c r="G106" i="4" l="1"/>
  <c r="F106" i="4" s="1"/>
  <c r="I106" i="4" s="1"/>
  <c r="E107" i="4" s="1"/>
  <c r="G104" i="1"/>
  <c r="G107" i="4" l="1"/>
  <c r="F107" i="4" s="1"/>
  <c r="I107" i="4" s="1"/>
  <c r="E108" i="4" s="1"/>
  <c r="F104" i="1"/>
  <c r="G108" i="4" l="1"/>
  <c r="F108" i="4" s="1"/>
  <c r="I108" i="4"/>
  <c r="E109" i="4" s="1"/>
  <c r="I104" i="1"/>
  <c r="E105" i="1" s="1"/>
  <c r="G105" i="1" l="1"/>
  <c r="F105" i="1" s="1"/>
  <c r="I105" i="1" s="1"/>
  <c r="E106" i="1" s="1"/>
  <c r="G109" i="4"/>
  <c r="F109" i="4" s="1"/>
  <c r="I109" i="4" s="1"/>
  <c r="E110" i="4" s="1"/>
  <c r="G110" i="4" l="1"/>
  <c r="F110" i="4" s="1"/>
  <c r="I110" i="4"/>
  <c r="E111" i="4" s="1"/>
  <c r="G106" i="1"/>
  <c r="F106" i="1" s="1"/>
  <c r="I106" i="1"/>
  <c r="E107" i="1" s="1"/>
  <c r="G107" i="1" l="1"/>
  <c r="F107" i="1" s="1"/>
  <c r="I107" i="1"/>
  <c r="E108" i="1" s="1"/>
  <c r="G111" i="4"/>
  <c r="F111" i="4" s="1"/>
  <c r="I111" i="4" s="1"/>
  <c r="E112" i="4" s="1"/>
  <c r="G112" i="4" l="1"/>
  <c r="G108" i="1"/>
  <c r="F108" i="1" s="1"/>
  <c r="I108" i="1" s="1"/>
  <c r="E109" i="1" s="1"/>
  <c r="G109" i="1" l="1"/>
  <c r="F109" i="1" s="1"/>
  <c r="I109" i="1" s="1"/>
  <c r="E110" i="1" s="1"/>
  <c r="F112" i="4"/>
  <c r="G110" i="1" l="1"/>
  <c r="F110" i="1" s="1"/>
  <c r="I110" i="1" s="1"/>
  <c r="E111" i="1" s="1"/>
  <c r="I112" i="4"/>
  <c r="E113" i="4" s="1"/>
  <c r="G111" i="1" l="1"/>
  <c r="F111" i="1" s="1"/>
  <c r="I111" i="1"/>
  <c r="E112" i="1" s="1"/>
  <c r="G113" i="4"/>
  <c r="F113" i="4" l="1"/>
  <c r="G112" i="1"/>
  <c r="F112" i="1" l="1"/>
  <c r="I113" i="4"/>
  <c r="E114" i="4" s="1"/>
  <c r="G114" i="4" l="1"/>
  <c r="I112" i="1"/>
  <c r="E113" i="1" s="1"/>
  <c r="G113" i="1" l="1"/>
  <c r="F114" i="4"/>
  <c r="I114" i="4" l="1"/>
  <c r="E115" i="4" s="1"/>
  <c r="F113" i="1"/>
  <c r="I113" i="1" l="1"/>
  <c r="E114" i="1" s="1"/>
  <c r="G115" i="4"/>
  <c r="F115" i="4" l="1"/>
  <c r="G114" i="1"/>
  <c r="F114" i="1" l="1"/>
  <c r="I115" i="4"/>
  <c r="E116" i="4" s="1"/>
  <c r="G116" i="4" l="1"/>
  <c r="I114" i="1"/>
  <c r="E115" i="1" s="1"/>
  <c r="G115" i="1" l="1"/>
  <c r="F116" i="4"/>
  <c r="I116" i="4" l="1"/>
  <c r="E117" i="4" s="1"/>
  <c r="F115" i="1"/>
  <c r="G117" i="4" l="1"/>
  <c r="F117" i="4" s="1"/>
  <c r="I117" i="4" s="1"/>
  <c r="E118" i="4" s="1"/>
  <c r="I115" i="1"/>
  <c r="E116" i="1" s="1"/>
  <c r="G118" i="4" l="1"/>
  <c r="F118" i="4" s="1"/>
  <c r="I118" i="4"/>
  <c r="E119" i="4" s="1"/>
  <c r="G116" i="1"/>
  <c r="F116" i="1" l="1"/>
  <c r="G119" i="4"/>
  <c r="F119" i="4" s="1"/>
  <c r="I119" i="4" s="1"/>
  <c r="E120" i="4" s="1"/>
  <c r="G120" i="4" l="1"/>
  <c r="F120" i="4" s="1"/>
  <c r="I120" i="4" s="1"/>
  <c r="E121" i="4" s="1"/>
  <c r="I116" i="1"/>
  <c r="E117" i="1" s="1"/>
  <c r="G121" i="4" l="1"/>
  <c r="F121" i="4" s="1"/>
  <c r="I121" i="4" s="1"/>
  <c r="E122" i="4" s="1"/>
  <c r="G117" i="1"/>
  <c r="F117" i="1" s="1"/>
  <c r="I117" i="1" s="1"/>
  <c r="E118" i="1" s="1"/>
  <c r="G118" i="1" l="1"/>
  <c r="F118" i="1" s="1"/>
  <c r="I118" i="1" s="1"/>
  <c r="E119" i="1" s="1"/>
  <c r="G122" i="4"/>
  <c r="F122" i="4" s="1"/>
  <c r="I122" i="4"/>
  <c r="E123" i="4" s="1"/>
  <c r="G119" i="1" l="1"/>
  <c r="F119" i="1" s="1"/>
  <c r="I119" i="1" s="1"/>
  <c r="E120" i="1" s="1"/>
  <c r="G123" i="4"/>
  <c r="F123" i="4" s="1"/>
  <c r="I123" i="4" s="1"/>
  <c r="E124" i="4" s="1"/>
  <c r="G124" i="4" l="1"/>
  <c r="G120" i="1"/>
  <c r="F120" i="1" s="1"/>
  <c r="I120" i="1" s="1"/>
  <c r="E121" i="1" s="1"/>
  <c r="G121" i="1" l="1"/>
  <c r="F121" i="1" s="1"/>
  <c r="I121" i="1" s="1"/>
  <c r="E122" i="1" s="1"/>
  <c r="F124" i="4"/>
  <c r="G122" i="1" l="1"/>
  <c r="F122" i="1" s="1"/>
  <c r="I122" i="1" s="1"/>
  <c r="E123" i="1" s="1"/>
  <c r="I124" i="4"/>
  <c r="E125" i="4" s="1"/>
  <c r="G123" i="1" l="1"/>
  <c r="F123" i="1" s="1"/>
  <c r="I123" i="1"/>
  <c r="E124" i="1" s="1"/>
  <c r="G125" i="4"/>
  <c r="F125" i="4" l="1"/>
  <c r="G124" i="1"/>
  <c r="F124" i="1" l="1"/>
  <c r="I125" i="4"/>
  <c r="E126" i="4" s="1"/>
  <c r="G126" i="4" l="1"/>
  <c r="I124" i="1"/>
  <c r="E125" i="1" s="1"/>
  <c r="G125" i="1" l="1"/>
  <c r="F126" i="4"/>
  <c r="I126" i="4" l="1"/>
  <c r="E127" i="4" s="1"/>
  <c r="F125" i="1"/>
  <c r="I125" i="1" l="1"/>
  <c r="E126" i="1" s="1"/>
  <c r="G127" i="4"/>
  <c r="F127" i="4" l="1"/>
  <c r="G126" i="1"/>
  <c r="F126" i="1" l="1"/>
  <c r="I127" i="4"/>
  <c r="E128" i="4" s="1"/>
  <c r="G128" i="4" l="1"/>
  <c r="I126" i="1"/>
  <c r="E127" i="1" s="1"/>
  <c r="G127" i="1" l="1"/>
  <c r="F128" i="4"/>
  <c r="I128" i="4" l="1"/>
  <c r="E129" i="4" s="1"/>
  <c r="F127" i="1"/>
  <c r="G129" i="4" l="1"/>
  <c r="F129" i="4" s="1"/>
  <c r="I129" i="4"/>
  <c r="E130" i="4" s="1"/>
  <c r="I127" i="1"/>
  <c r="E128" i="1" s="1"/>
  <c r="G128" i="1" l="1"/>
  <c r="G130" i="4"/>
  <c r="F130" i="4" s="1"/>
  <c r="I130" i="4"/>
  <c r="E131" i="4" s="1"/>
  <c r="G131" i="4" l="1"/>
  <c r="F131" i="4" s="1"/>
  <c r="I131" i="4" s="1"/>
  <c r="E132" i="4" s="1"/>
  <c r="F128" i="1"/>
  <c r="G132" i="4" l="1"/>
  <c r="F132" i="4" s="1"/>
  <c r="I132" i="4" s="1"/>
  <c r="E133" i="4" s="1"/>
  <c r="I128" i="1"/>
  <c r="E129" i="1" s="1"/>
  <c r="G133" i="4" l="1"/>
  <c r="F133" i="4" s="1"/>
  <c r="I133" i="4" s="1"/>
  <c r="E134" i="4" s="1"/>
  <c r="G129" i="1"/>
  <c r="F129" i="1" s="1"/>
  <c r="I129" i="1" s="1"/>
  <c r="E130" i="1" s="1"/>
  <c r="G130" i="1" l="1"/>
  <c r="F130" i="1" s="1"/>
  <c r="I130" i="1" s="1"/>
  <c r="E131" i="1" s="1"/>
  <c r="G134" i="4"/>
  <c r="F134" i="4" s="1"/>
  <c r="I134" i="4" s="1"/>
  <c r="E135" i="4" s="1"/>
  <c r="G135" i="4" l="1"/>
  <c r="F135" i="4" s="1"/>
  <c r="I135" i="4" s="1"/>
  <c r="E136" i="4" s="1"/>
  <c r="G131" i="1"/>
  <c r="F131" i="1" s="1"/>
  <c r="I131" i="1" s="1"/>
  <c r="E132" i="1" s="1"/>
  <c r="G132" i="1" l="1"/>
  <c r="F132" i="1" s="1"/>
  <c r="I132" i="1" s="1"/>
  <c r="E133" i="1" s="1"/>
  <c r="G136" i="4"/>
  <c r="F136" i="4" s="1"/>
  <c r="I136" i="4"/>
  <c r="E137" i="4" s="1"/>
  <c r="G133" i="1" l="1"/>
  <c r="F133" i="1" s="1"/>
  <c r="I133" i="1" s="1"/>
  <c r="E134" i="1" s="1"/>
  <c r="G137" i="4"/>
  <c r="F137" i="4" s="1"/>
  <c r="I137" i="4"/>
  <c r="E138" i="4" s="1"/>
  <c r="G134" i="1" l="1"/>
  <c r="F134" i="1" s="1"/>
  <c r="I134" i="1" s="1"/>
  <c r="E135" i="1" s="1"/>
  <c r="G138" i="4"/>
  <c r="F138" i="4" s="1"/>
  <c r="I138" i="4" s="1"/>
  <c r="E139" i="4" s="1"/>
  <c r="G139" i="4" l="1"/>
  <c r="F139" i="4" s="1"/>
  <c r="I139" i="4" s="1"/>
  <c r="E140" i="4" s="1"/>
  <c r="G135" i="1"/>
  <c r="F135" i="1" s="1"/>
  <c r="I135" i="1"/>
  <c r="E136" i="1" s="1"/>
  <c r="G140" i="4" l="1"/>
  <c r="F140" i="4" s="1"/>
  <c r="I140" i="4" s="1"/>
  <c r="E141" i="4" s="1"/>
  <c r="G136" i="1"/>
  <c r="F136" i="1" s="1"/>
  <c r="I136" i="1" s="1"/>
  <c r="E137" i="1" s="1"/>
  <c r="G137" i="1" l="1"/>
  <c r="F137" i="1" s="1"/>
  <c r="I137" i="1" s="1"/>
  <c r="E138" i="1" s="1"/>
  <c r="G141" i="4"/>
  <c r="F141" i="4" s="1"/>
  <c r="I141" i="4" s="1"/>
  <c r="E142" i="4" s="1"/>
  <c r="G142" i="4" l="1"/>
  <c r="F142" i="4" s="1"/>
  <c r="I142" i="4"/>
  <c r="E143" i="4" s="1"/>
  <c r="G138" i="1"/>
  <c r="F138" i="1" s="1"/>
  <c r="I138" i="1" s="1"/>
  <c r="E139" i="1" s="1"/>
  <c r="G139" i="1" l="1"/>
  <c r="F139" i="1" s="1"/>
  <c r="I139" i="1" s="1"/>
  <c r="E140" i="1" s="1"/>
  <c r="G143" i="4"/>
  <c r="F143" i="4" s="1"/>
  <c r="I143" i="4"/>
  <c r="E144" i="4" s="1"/>
  <c r="G140" i="1" l="1"/>
  <c r="F140" i="1" s="1"/>
  <c r="I140" i="1"/>
  <c r="E141" i="1" s="1"/>
  <c r="G144" i="4"/>
  <c r="F144" i="4" s="1"/>
  <c r="I144" i="4" s="1"/>
  <c r="E145" i="4" s="1"/>
  <c r="G145" i="4" l="1"/>
  <c r="F145" i="4" s="1"/>
  <c r="I145" i="4" s="1"/>
  <c r="E146" i="4" s="1"/>
  <c r="G141" i="1"/>
  <c r="F141" i="1" s="1"/>
  <c r="I141" i="1" s="1"/>
  <c r="E142" i="1" s="1"/>
  <c r="G142" i="1" l="1"/>
  <c r="F142" i="1" s="1"/>
  <c r="I142" i="1" s="1"/>
  <c r="E143" i="1" s="1"/>
  <c r="G146" i="4"/>
  <c r="F146" i="4" s="1"/>
  <c r="I146" i="4" s="1"/>
  <c r="E147" i="4" s="1"/>
  <c r="G147" i="4" l="1"/>
  <c r="F147" i="4" s="1"/>
  <c r="I147" i="4" s="1"/>
  <c r="E148" i="4" s="1"/>
  <c r="G143" i="1"/>
  <c r="F143" i="1" s="1"/>
  <c r="I143" i="1" s="1"/>
  <c r="E144" i="1" s="1"/>
  <c r="G144" i="1" l="1"/>
  <c r="F144" i="1" s="1"/>
  <c r="I144" i="1" s="1"/>
  <c r="E145" i="1" s="1"/>
  <c r="G148" i="4"/>
  <c r="F148" i="4" s="1"/>
  <c r="I148" i="4" s="1"/>
  <c r="E149" i="4" s="1"/>
  <c r="G149" i="4" l="1"/>
  <c r="F149" i="4" s="1"/>
  <c r="I149" i="4" s="1"/>
  <c r="E150" i="4" s="1"/>
  <c r="G145" i="1"/>
  <c r="F145" i="1" s="1"/>
  <c r="I145" i="1" s="1"/>
  <c r="E146" i="1" s="1"/>
  <c r="G146" i="1" l="1"/>
  <c r="F146" i="1" s="1"/>
  <c r="I146" i="1" s="1"/>
  <c r="E147" i="1" s="1"/>
  <c r="G150" i="4"/>
  <c r="F150" i="4" s="1"/>
  <c r="I150" i="4" s="1"/>
  <c r="E151" i="4" s="1"/>
  <c r="G151" i="4" l="1"/>
  <c r="F151" i="4" s="1"/>
  <c r="I151" i="4"/>
  <c r="E152" i="4" s="1"/>
  <c r="G147" i="1"/>
  <c r="F147" i="1" s="1"/>
  <c r="I147" i="1"/>
  <c r="E148" i="1" s="1"/>
  <c r="G148" i="1" l="1"/>
  <c r="F148" i="1" s="1"/>
  <c r="I148" i="1" s="1"/>
  <c r="E149" i="1" s="1"/>
  <c r="G152" i="4"/>
  <c r="F152" i="4" s="1"/>
  <c r="I152" i="4" s="1"/>
  <c r="E153" i="4" s="1"/>
  <c r="G153" i="4" l="1"/>
  <c r="F153" i="4" s="1"/>
  <c r="I153" i="4" s="1"/>
  <c r="E154" i="4" s="1"/>
  <c r="G149" i="1"/>
  <c r="F149" i="1" s="1"/>
  <c r="I149" i="1"/>
  <c r="E150" i="1" s="1"/>
  <c r="G154" i="4" l="1"/>
  <c r="F154" i="4" s="1"/>
  <c r="I154" i="4"/>
  <c r="E155" i="4" s="1"/>
  <c r="G150" i="1"/>
  <c r="F150" i="1" s="1"/>
  <c r="I150" i="1"/>
  <c r="E151" i="1" s="1"/>
  <c r="G151" i="1" l="1"/>
  <c r="F151" i="1" s="1"/>
  <c r="I151" i="1" s="1"/>
  <c r="E152" i="1" s="1"/>
  <c r="G155" i="4"/>
  <c r="F155" i="4" s="1"/>
  <c r="I155" i="4" s="1"/>
  <c r="E156" i="4" s="1"/>
  <c r="G156" i="4" l="1"/>
  <c r="F156" i="4" s="1"/>
  <c r="I156" i="4" s="1"/>
  <c r="E157" i="4" s="1"/>
  <c r="G152" i="1"/>
  <c r="F152" i="1" s="1"/>
  <c r="I152" i="1" s="1"/>
  <c r="E153" i="1" s="1"/>
  <c r="G153" i="1" l="1"/>
  <c r="F153" i="1" s="1"/>
  <c r="I153" i="1" s="1"/>
  <c r="E154" i="1" s="1"/>
  <c r="G157" i="4"/>
  <c r="F157" i="4" s="1"/>
  <c r="I157" i="4" s="1"/>
  <c r="E158" i="4" s="1"/>
  <c r="G158" i="4" l="1"/>
  <c r="F158" i="4" s="1"/>
  <c r="I158" i="4" s="1"/>
  <c r="E159" i="4" s="1"/>
  <c r="G154" i="1"/>
  <c r="F154" i="1" s="1"/>
  <c r="I154" i="1" s="1"/>
  <c r="E155" i="1" s="1"/>
  <c r="G155" i="1" l="1"/>
  <c r="F155" i="1" s="1"/>
  <c r="I155" i="1" s="1"/>
  <c r="E156" i="1" s="1"/>
  <c r="G159" i="4"/>
  <c r="F159" i="4" s="1"/>
  <c r="I159" i="4" s="1"/>
  <c r="E160" i="4" s="1"/>
  <c r="G160" i="4" l="1"/>
  <c r="F160" i="4" s="1"/>
  <c r="I160" i="4" s="1"/>
  <c r="E161" i="4" s="1"/>
  <c r="G156" i="1"/>
  <c r="F156" i="1" s="1"/>
  <c r="I156" i="1"/>
  <c r="E157" i="1" s="1"/>
  <c r="G161" i="4" l="1"/>
  <c r="F161" i="4" s="1"/>
  <c r="I161" i="4" s="1"/>
  <c r="E162" i="4" s="1"/>
  <c r="G157" i="1"/>
  <c r="F157" i="1" s="1"/>
  <c r="I157" i="1" s="1"/>
  <c r="E158" i="1" s="1"/>
  <c r="G158" i="1" l="1"/>
  <c r="F158" i="1" s="1"/>
  <c r="I158" i="1"/>
  <c r="E159" i="1" s="1"/>
  <c r="G162" i="4"/>
  <c r="F162" i="4" s="1"/>
  <c r="I162" i="4"/>
  <c r="E163" i="4" s="1"/>
  <c r="G163" i="4" l="1"/>
  <c r="F163" i="4" s="1"/>
  <c r="I163" i="4"/>
  <c r="E164" i="4" s="1"/>
  <c r="G159" i="1"/>
  <c r="F159" i="1" s="1"/>
  <c r="I159" i="1" s="1"/>
  <c r="E160" i="1" s="1"/>
  <c r="G160" i="1" l="1"/>
  <c r="F160" i="1" s="1"/>
  <c r="I160" i="1" s="1"/>
  <c r="E161" i="1" s="1"/>
  <c r="G164" i="4"/>
  <c r="F164" i="4" s="1"/>
  <c r="I164" i="4" s="1"/>
  <c r="E165" i="4" s="1"/>
  <c r="G165" i="4" l="1"/>
  <c r="F165" i="4" s="1"/>
  <c r="I165" i="4" s="1"/>
  <c r="E166" i="4" s="1"/>
  <c r="G161" i="1"/>
  <c r="F161" i="1" s="1"/>
  <c r="I161" i="1" s="1"/>
  <c r="E162" i="1" s="1"/>
  <c r="G162" i="1" l="1"/>
  <c r="F162" i="1" s="1"/>
  <c r="I162" i="1"/>
  <c r="E163" i="1" s="1"/>
  <c r="G166" i="4"/>
  <c r="F166" i="4" s="1"/>
  <c r="I166" i="4" s="1"/>
  <c r="E167" i="4" s="1"/>
  <c r="I167" i="4" l="1"/>
  <c r="E168" i="4" s="1"/>
  <c r="G167" i="4"/>
  <c r="F167" i="4" s="1"/>
  <c r="G163" i="1"/>
  <c r="F163" i="1" s="1"/>
  <c r="I163" i="1" s="1"/>
  <c r="E164" i="1" s="1"/>
  <c r="G164" i="1" l="1"/>
  <c r="F164" i="1" s="1"/>
  <c r="I164" i="1"/>
  <c r="E165" i="1" s="1"/>
  <c r="G168" i="4"/>
  <c r="F168" i="4" s="1"/>
  <c r="I168" i="4" s="1"/>
  <c r="E169" i="4" s="1"/>
  <c r="G169" i="4" l="1"/>
  <c r="F169" i="4" s="1"/>
  <c r="I169" i="4"/>
  <c r="E170" i="4" s="1"/>
  <c r="G165" i="1"/>
  <c r="F165" i="1" s="1"/>
  <c r="I165" i="1" s="1"/>
  <c r="E166" i="1" s="1"/>
  <c r="G166" i="1" l="1"/>
  <c r="F166" i="1" s="1"/>
  <c r="I166" i="1"/>
  <c r="E167" i="1" s="1"/>
  <c r="G170" i="4"/>
  <c r="F170" i="4" s="1"/>
  <c r="I170" i="4" s="1"/>
  <c r="E171" i="4" s="1"/>
  <c r="G171" i="4" l="1"/>
  <c r="F171" i="4" s="1"/>
  <c r="I171" i="4" s="1"/>
  <c r="E172" i="4" s="1"/>
  <c r="G167" i="1"/>
  <c r="F167" i="1" s="1"/>
  <c r="I167" i="1" s="1"/>
  <c r="E168" i="1" s="1"/>
  <c r="G168" i="1" l="1"/>
  <c r="F168" i="1" s="1"/>
  <c r="I168" i="1"/>
  <c r="E169" i="1" s="1"/>
  <c r="G172" i="4"/>
  <c r="F172" i="4" s="1"/>
  <c r="I172" i="4" s="1"/>
  <c r="E173" i="4" s="1"/>
  <c r="G173" i="4" l="1"/>
  <c r="F173" i="4" s="1"/>
  <c r="I173" i="4" s="1"/>
  <c r="E174" i="4" s="1"/>
  <c r="G169" i="1"/>
  <c r="F169" i="1" s="1"/>
  <c r="I169" i="1"/>
  <c r="E170" i="1" s="1"/>
  <c r="G174" i="4" l="1"/>
  <c r="F174" i="4" s="1"/>
  <c r="I174" i="4"/>
  <c r="E175" i="4" s="1"/>
  <c r="G170" i="1"/>
  <c r="F170" i="1" s="1"/>
  <c r="I170" i="1" s="1"/>
  <c r="E171" i="1" s="1"/>
  <c r="G171" i="1" l="1"/>
  <c r="F171" i="1" s="1"/>
  <c r="I171" i="1" s="1"/>
  <c r="E172" i="1" s="1"/>
  <c r="G175" i="4"/>
  <c r="F175" i="4" s="1"/>
  <c r="I175" i="4" s="1"/>
  <c r="E176" i="4" s="1"/>
  <c r="G176" i="4" l="1"/>
  <c r="F176" i="4" s="1"/>
  <c r="I176" i="4" s="1"/>
  <c r="E177" i="4" s="1"/>
  <c r="I172" i="1"/>
  <c r="E173" i="1" s="1"/>
  <c r="G172" i="1"/>
  <c r="F172" i="1" s="1"/>
  <c r="G177" i="4" l="1"/>
  <c r="F177" i="4" s="1"/>
  <c r="I177" i="4" s="1"/>
  <c r="E178" i="4" s="1"/>
  <c r="G173" i="1"/>
  <c r="F173" i="1" s="1"/>
  <c r="I173" i="1"/>
  <c r="E174" i="1" s="1"/>
  <c r="G178" i="4" l="1"/>
  <c r="F178" i="4" s="1"/>
  <c r="I178" i="4" s="1"/>
  <c r="E179" i="4" s="1"/>
  <c r="G174" i="1"/>
  <c r="F174" i="1" s="1"/>
  <c r="I174" i="1" s="1"/>
  <c r="E175" i="1" s="1"/>
  <c r="G175" i="1" l="1"/>
  <c r="F175" i="1" s="1"/>
  <c r="I175" i="1" s="1"/>
  <c r="E176" i="1" s="1"/>
  <c r="G179" i="4"/>
  <c r="F179" i="4" s="1"/>
  <c r="I179" i="4"/>
  <c r="E180" i="4" s="1"/>
  <c r="G176" i="1" l="1"/>
  <c r="F176" i="1" s="1"/>
  <c r="I176" i="1"/>
  <c r="E177" i="1" s="1"/>
  <c r="G180" i="4"/>
  <c r="F180" i="4" s="1"/>
  <c r="I180" i="4" s="1"/>
  <c r="E181" i="4" s="1"/>
  <c r="G181" i="4" l="1"/>
  <c r="F181" i="4" s="1"/>
  <c r="I181" i="4"/>
  <c r="E182" i="4" s="1"/>
  <c r="G177" i="1"/>
  <c r="F177" i="1" s="1"/>
  <c r="I177" i="1"/>
  <c r="E178" i="1" s="1"/>
  <c r="G178" i="1" l="1"/>
  <c r="F178" i="1" s="1"/>
  <c r="I178" i="1" s="1"/>
  <c r="E179" i="1" s="1"/>
  <c r="G182" i="4"/>
  <c r="F182" i="4" s="1"/>
  <c r="I182" i="4" s="1"/>
  <c r="E183" i="4" s="1"/>
  <c r="G183" i="4" l="1"/>
  <c r="F183" i="4" s="1"/>
  <c r="I183" i="4"/>
  <c r="E184" i="4" s="1"/>
  <c r="G179" i="1"/>
  <c r="F179" i="1" s="1"/>
  <c r="I179" i="1"/>
  <c r="E180" i="1" s="1"/>
  <c r="G180" i="1" l="1"/>
  <c r="F180" i="1" s="1"/>
  <c r="I180" i="1" s="1"/>
  <c r="E181" i="1" s="1"/>
  <c r="G184" i="4"/>
  <c r="F184" i="4" s="1"/>
  <c r="I184" i="4" s="1"/>
  <c r="E185" i="4" s="1"/>
  <c r="G185" i="4" l="1"/>
  <c r="F185" i="4" s="1"/>
  <c r="I185" i="4" s="1"/>
  <c r="E186" i="4" s="1"/>
  <c r="G181" i="1"/>
  <c r="F181" i="1" s="1"/>
  <c r="I181" i="1" s="1"/>
  <c r="E182" i="1" s="1"/>
  <c r="G182" i="1" l="1"/>
  <c r="F182" i="1" s="1"/>
  <c r="I182" i="1"/>
  <c r="E183" i="1" s="1"/>
  <c r="G186" i="4"/>
  <c r="F186" i="4" s="1"/>
  <c r="I186" i="4"/>
  <c r="E187" i="4" s="1"/>
  <c r="G187" i="4" l="1"/>
  <c r="F187" i="4" s="1"/>
  <c r="I187" i="4"/>
  <c r="E188" i="4" s="1"/>
  <c r="G183" i="1"/>
  <c r="F183" i="1" s="1"/>
  <c r="I183" i="1" s="1"/>
  <c r="E184" i="1" s="1"/>
  <c r="G184" i="1" l="1"/>
  <c r="F184" i="1" s="1"/>
  <c r="I184" i="1" s="1"/>
  <c r="E185" i="1" s="1"/>
  <c r="G188" i="4"/>
  <c r="F188" i="4" s="1"/>
  <c r="I188" i="4"/>
  <c r="E189" i="4" s="1"/>
  <c r="G185" i="1" l="1"/>
  <c r="F185" i="1" s="1"/>
  <c r="I185" i="1" s="1"/>
  <c r="E186" i="1" s="1"/>
  <c r="G189" i="4"/>
  <c r="F189" i="4" s="1"/>
  <c r="I189" i="4" s="1"/>
  <c r="E190" i="4" s="1"/>
  <c r="G190" i="4" l="1"/>
  <c r="F190" i="4" s="1"/>
  <c r="I190" i="4"/>
  <c r="E191" i="4" s="1"/>
  <c r="G186" i="1"/>
  <c r="F186" i="1" s="1"/>
  <c r="I186" i="1" s="1"/>
  <c r="E187" i="1" s="1"/>
  <c r="G187" i="1" l="1"/>
  <c r="F187" i="1" s="1"/>
  <c r="I187" i="1" s="1"/>
  <c r="E188" i="1" s="1"/>
  <c r="G191" i="4"/>
  <c r="F191" i="4" s="1"/>
  <c r="I191" i="4" s="1"/>
  <c r="E192" i="4" s="1"/>
  <c r="G192" i="4" l="1"/>
  <c r="F192" i="4" s="1"/>
  <c r="I192" i="4" s="1"/>
  <c r="E193" i="4" s="1"/>
  <c r="G188" i="1"/>
  <c r="F188" i="1" s="1"/>
  <c r="I188" i="1" s="1"/>
  <c r="E189" i="1" s="1"/>
  <c r="G189" i="1" l="1"/>
  <c r="F189" i="1" s="1"/>
  <c r="I189" i="1" s="1"/>
  <c r="E190" i="1" s="1"/>
  <c r="G193" i="4"/>
  <c r="F193" i="4" s="1"/>
  <c r="I193" i="4" s="1"/>
  <c r="E194" i="4" s="1"/>
  <c r="G190" i="1" l="1"/>
  <c r="F190" i="1" s="1"/>
  <c r="I190" i="1" s="1"/>
  <c r="E191" i="1" s="1"/>
  <c r="G194" i="4"/>
  <c r="F194" i="4" s="1"/>
  <c r="I194" i="4" s="1"/>
  <c r="E195" i="4" s="1"/>
  <c r="G195" i="4" l="1"/>
  <c r="F195" i="4" s="1"/>
  <c r="I195" i="4" s="1"/>
  <c r="E196" i="4" s="1"/>
  <c r="G191" i="1"/>
  <c r="F191" i="1" s="1"/>
  <c r="I191" i="1" s="1"/>
  <c r="E192" i="1" s="1"/>
  <c r="G192" i="1" l="1"/>
  <c r="F192" i="1" s="1"/>
  <c r="I192" i="1" s="1"/>
  <c r="E193" i="1" s="1"/>
  <c r="G196" i="4"/>
  <c r="F196" i="4" s="1"/>
  <c r="I196" i="4" s="1"/>
  <c r="E197" i="4" s="1"/>
  <c r="G197" i="4" l="1"/>
  <c r="F197" i="4" s="1"/>
  <c r="I197" i="4" s="1"/>
  <c r="E198" i="4" s="1"/>
  <c r="G193" i="1"/>
  <c r="F193" i="1" s="1"/>
  <c r="I193" i="1" s="1"/>
  <c r="E194" i="1" s="1"/>
  <c r="G194" i="1" l="1"/>
  <c r="F194" i="1" s="1"/>
  <c r="I194" i="1"/>
  <c r="E195" i="1" s="1"/>
  <c r="G198" i="4"/>
  <c r="F198" i="4" s="1"/>
  <c r="I198" i="4" s="1"/>
  <c r="E199" i="4" s="1"/>
  <c r="G199" i="4" l="1"/>
  <c r="F199" i="4" s="1"/>
  <c r="I199" i="4"/>
  <c r="E200" i="4" s="1"/>
  <c r="G195" i="1"/>
  <c r="F195" i="1" s="1"/>
  <c r="I195" i="1"/>
  <c r="E196" i="1" s="1"/>
  <c r="G196" i="1" l="1"/>
  <c r="F196" i="1" s="1"/>
  <c r="I196" i="1"/>
  <c r="E197" i="1" s="1"/>
  <c r="G200" i="4"/>
  <c r="F200" i="4" s="1"/>
  <c r="I200" i="4" s="1"/>
  <c r="E201" i="4" s="1"/>
  <c r="G201" i="4" l="1"/>
  <c r="F201" i="4" s="1"/>
  <c r="I201" i="4"/>
  <c r="E202" i="4" s="1"/>
  <c r="G197" i="1"/>
  <c r="F197" i="1" s="1"/>
  <c r="I197" i="1" s="1"/>
  <c r="E198" i="1" s="1"/>
  <c r="G198" i="1" l="1"/>
  <c r="F198" i="1" s="1"/>
  <c r="I198" i="1" s="1"/>
  <c r="E199" i="1" s="1"/>
  <c r="G202" i="4"/>
  <c r="F202" i="4" s="1"/>
  <c r="I202" i="4" s="1"/>
  <c r="E203" i="4" s="1"/>
  <c r="G203" i="4" l="1"/>
  <c r="F203" i="4" s="1"/>
  <c r="I203" i="4" s="1"/>
  <c r="E204" i="4" s="1"/>
  <c r="I199" i="1"/>
  <c r="E200" i="1" s="1"/>
  <c r="G199" i="1"/>
  <c r="F199" i="1" s="1"/>
  <c r="G204" i="4" l="1"/>
  <c r="F204" i="4" s="1"/>
  <c r="I204" i="4" s="1"/>
  <c r="E205" i="4" s="1"/>
  <c r="G200" i="1"/>
  <c r="F200" i="1" s="1"/>
  <c r="I200" i="1"/>
  <c r="E201" i="1" s="1"/>
  <c r="G205" i="4" l="1"/>
  <c r="F205" i="4" s="1"/>
  <c r="I205" i="4" s="1"/>
  <c r="E206" i="4" s="1"/>
  <c r="G201" i="1"/>
  <c r="F201" i="1" s="1"/>
  <c r="I201" i="1" s="1"/>
  <c r="E202" i="1" s="1"/>
  <c r="G202" i="1" l="1"/>
  <c r="F202" i="1" s="1"/>
  <c r="I202" i="1" s="1"/>
  <c r="E203" i="1" s="1"/>
  <c r="G206" i="4"/>
  <c r="F206" i="4" s="1"/>
  <c r="I206" i="4" s="1"/>
  <c r="E207" i="4" s="1"/>
  <c r="G207" i="4" l="1"/>
  <c r="F207" i="4" s="1"/>
  <c r="I207" i="4" s="1"/>
  <c r="E208" i="4" s="1"/>
  <c r="G203" i="1"/>
  <c r="F203" i="1" s="1"/>
  <c r="I203" i="1" s="1"/>
  <c r="E204" i="1" s="1"/>
  <c r="G204" i="1" l="1"/>
  <c r="F204" i="1" s="1"/>
  <c r="I204" i="1" s="1"/>
  <c r="E205" i="1" s="1"/>
  <c r="G208" i="4"/>
  <c r="F208" i="4" s="1"/>
  <c r="I208" i="4" s="1"/>
  <c r="E209" i="4" s="1"/>
  <c r="G209" i="4" l="1"/>
  <c r="F209" i="4" s="1"/>
  <c r="I209" i="4" s="1"/>
  <c r="E210" i="4" s="1"/>
  <c r="G205" i="1"/>
  <c r="F205" i="1" s="1"/>
  <c r="I205" i="1" s="1"/>
  <c r="E206" i="1" s="1"/>
  <c r="G206" i="1" l="1"/>
  <c r="F206" i="1" s="1"/>
  <c r="I206" i="1" s="1"/>
  <c r="E207" i="1" s="1"/>
  <c r="G210" i="4"/>
  <c r="F210" i="4" s="1"/>
  <c r="I210" i="4" s="1"/>
  <c r="E211" i="4" s="1"/>
  <c r="G211" i="4" l="1"/>
  <c r="F211" i="4" s="1"/>
  <c r="I211" i="4"/>
  <c r="E212" i="4" s="1"/>
  <c r="G207" i="1"/>
  <c r="F207" i="1" s="1"/>
  <c r="I207" i="1" s="1"/>
  <c r="E208" i="1" s="1"/>
  <c r="G208" i="1" l="1"/>
  <c r="F208" i="1" s="1"/>
  <c r="I208" i="1"/>
  <c r="E209" i="1" s="1"/>
  <c r="G212" i="4"/>
  <c r="F212" i="4" s="1"/>
  <c r="I212" i="4"/>
  <c r="E213" i="4" s="1"/>
  <c r="G213" i="4" l="1"/>
  <c r="F213" i="4" s="1"/>
  <c r="I213" i="4"/>
  <c r="E214" i="4" s="1"/>
  <c r="G209" i="1"/>
  <c r="F209" i="1" s="1"/>
  <c r="I209" i="1" s="1"/>
  <c r="E210" i="1" s="1"/>
  <c r="G210" i="1" l="1"/>
  <c r="F210" i="1" s="1"/>
  <c r="I210" i="1"/>
  <c r="E211" i="1" s="1"/>
  <c r="G214" i="4"/>
  <c r="F214" i="4" s="1"/>
  <c r="I214" i="4" s="1"/>
  <c r="E215" i="4" s="1"/>
  <c r="G215" i="4" l="1"/>
  <c r="F215" i="4" s="1"/>
  <c r="I215" i="4"/>
  <c r="E216" i="4" s="1"/>
  <c r="G211" i="1"/>
  <c r="F211" i="1" s="1"/>
  <c r="I211" i="1" s="1"/>
  <c r="E212" i="1" s="1"/>
  <c r="G212" i="1" l="1"/>
  <c r="F212" i="1" s="1"/>
  <c r="I212" i="1"/>
  <c r="E213" i="1" s="1"/>
  <c r="G216" i="4"/>
  <c r="F216" i="4" s="1"/>
  <c r="I216" i="4" s="1"/>
  <c r="E217" i="4" s="1"/>
  <c r="G217" i="4" l="1"/>
  <c r="F217" i="4" s="1"/>
  <c r="I217" i="4"/>
  <c r="E218" i="4" s="1"/>
  <c r="G213" i="1"/>
  <c r="F213" i="1" s="1"/>
  <c r="I213" i="1" s="1"/>
  <c r="E214" i="1" s="1"/>
  <c r="G214" i="1" l="1"/>
  <c r="F214" i="1" s="1"/>
  <c r="I214" i="1" s="1"/>
  <c r="E215" i="1" s="1"/>
  <c r="G218" i="4"/>
  <c r="F218" i="4" s="1"/>
  <c r="I218" i="4"/>
  <c r="E219" i="4" s="1"/>
  <c r="G215" i="1" l="1"/>
  <c r="F215" i="1" s="1"/>
  <c r="I215" i="1"/>
  <c r="E216" i="1" s="1"/>
  <c r="G219" i="4"/>
  <c r="F219" i="4" s="1"/>
  <c r="I219" i="4"/>
  <c r="E220" i="4" s="1"/>
  <c r="G220" i="4" l="1"/>
  <c r="F220" i="4" s="1"/>
  <c r="I220" i="4"/>
  <c r="E221" i="4" s="1"/>
  <c r="G216" i="1"/>
  <c r="F216" i="1" s="1"/>
  <c r="I216" i="1"/>
  <c r="E217" i="1" s="1"/>
  <c r="G217" i="1" l="1"/>
  <c r="F217" i="1" s="1"/>
  <c r="I217" i="1" s="1"/>
  <c r="E218" i="1" s="1"/>
  <c r="G221" i="4"/>
  <c r="F221" i="4" s="1"/>
  <c r="I221" i="4"/>
  <c r="E222" i="4" s="1"/>
  <c r="G218" i="1" l="1"/>
  <c r="F218" i="1" s="1"/>
  <c r="I218" i="1" s="1"/>
  <c r="E219" i="1" s="1"/>
  <c r="G222" i="4"/>
  <c r="F222" i="4" s="1"/>
  <c r="I222" i="4" s="1"/>
  <c r="E223" i="4" s="1"/>
  <c r="G223" i="4" l="1"/>
  <c r="F223" i="4" s="1"/>
  <c r="I223" i="4"/>
  <c r="E224" i="4" s="1"/>
  <c r="G219" i="1"/>
  <c r="F219" i="1" s="1"/>
  <c r="I219" i="1"/>
  <c r="E220" i="1" s="1"/>
  <c r="G220" i="1" l="1"/>
  <c r="F220" i="1" s="1"/>
  <c r="I220" i="1" s="1"/>
  <c r="E221" i="1" s="1"/>
  <c r="G224" i="4"/>
  <c r="F224" i="4" s="1"/>
  <c r="I224" i="4"/>
  <c r="E225" i="4" s="1"/>
  <c r="G221" i="1" l="1"/>
  <c r="F221" i="1" s="1"/>
  <c r="I221" i="1" s="1"/>
  <c r="E222" i="1" s="1"/>
  <c r="G225" i="4"/>
  <c r="F225" i="4" s="1"/>
  <c r="I225" i="4" s="1"/>
  <c r="E226" i="4" s="1"/>
  <c r="G226" i="4" l="1"/>
  <c r="F226" i="4" s="1"/>
  <c r="I226" i="4"/>
  <c r="E227" i="4" s="1"/>
  <c r="G222" i="1"/>
  <c r="F222" i="1" s="1"/>
  <c r="I222" i="1" s="1"/>
  <c r="E223" i="1" s="1"/>
  <c r="G223" i="1" l="1"/>
  <c r="F223" i="1" s="1"/>
  <c r="I223" i="1"/>
  <c r="E224" i="1" s="1"/>
  <c r="G227" i="4"/>
  <c r="F227" i="4" s="1"/>
  <c r="I227" i="4" s="1"/>
  <c r="E228" i="4" s="1"/>
  <c r="I228" i="4" l="1"/>
  <c r="E229" i="4" s="1"/>
  <c r="G228" i="4"/>
  <c r="F228" i="4" s="1"/>
  <c r="G224" i="1"/>
  <c r="F224" i="1" s="1"/>
  <c r="I224" i="1"/>
  <c r="E225" i="1" s="1"/>
  <c r="G225" i="1" l="1"/>
  <c r="F225" i="1" s="1"/>
  <c r="I225" i="1" s="1"/>
  <c r="E226" i="1" s="1"/>
  <c r="G229" i="4"/>
  <c r="F229" i="4" s="1"/>
  <c r="I229" i="4"/>
  <c r="E230" i="4" s="1"/>
  <c r="G226" i="1" l="1"/>
  <c r="F226" i="1" s="1"/>
  <c r="I226" i="1"/>
  <c r="E227" i="1" s="1"/>
  <c r="G230" i="4"/>
  <c r="F230" i="4" s="1"/>
  <c r="I230" i="4"/>
  <c r="E231" i="4" s="1"/>
  <c r="G231" i="4" l="1"/>
  <c r="F231" i="4" s="1"/>
  <c r="I231" i="4"/>
  <c r="E232" i="4" s="1"/>
  <c r="G227" i="1"/>
  <c r="F227" i="1" s="1"/>
  <c r="I227" i="1" s="1"/>
  <c r="E228" i="1" s="1"/>
  <c r="G228" i="1" l="1"/>
  <c r="F228" i="1" s="1"/>
  <c r="I228" i="1"/>
  <c r="E229" i="1" s="1"/>
  <c r="G232" i="4"/>
  <c r="F232" i="4" s="1"/>
  <c r="I232" i="4"/>
  <c r="E233" i="4" s="1"/>
  <c r="G233" i="4" l="1"/>
  <c r="F233" i="4" s="1"/>
  <c r="I233" i="4"/>
  <c r="E234" i="4" s="1"/>
  <c r="G229" i="1"/>
  <c r="F229" i="1" s="1"/>
  <c r="I229" i="1" s="1"/>
  <c r="E230" i="1" s="1"/>
  <c r="G230" i="1" l="1"/>
  <c r="F230" i="1" s="1"/>
  <c r="I230" i="1" s="1"/>
  <c r="E231" i="1" s="1"/>
  <c r="G234" i="4"/>
  <c r="F234" i="4" s="1"/>
  <c r="I234" i="4" s="1"/>
  <c r="E235" i="4" s="1"/>
  <c r="G235" i="4" l="1"/>
  <c r="F235" i="4" s="1"/>
  <c r="I235" i="4" s="1"/>
  <c r="E236" i="4" s="1"/>
  <c r="G231" i="1"/>
  <c r="F231" i="1" s="1"/>
  <c r="I231" i="1"/>
  <c r="E232" i="1" s="1"/>
  <c r="G236" i="4" l="1"/>
  <c r="F236" i="4" s="1"/>
  <c r="I236" i="4"/>
  <c r="E237" i="4" s="1"/>
  <c r="G232" i="1"/>
  <c r="F232" i="1" s="1"/>
  <c r="I232" i="1" s="1"/>
  <c r="E233" i="1" s="1"/>
  <c r="G233" i="1" l="1"/>
  <c r="F233" i="1" s="1"/>
  <c r="I233" i="1"/>
  <c r="E234" i="1" s="1"/>
  <c r="G237" i="4"/>
  <c r="F237" i="4" s="1"/>
  <c r="I237" i="4"/>
  <c r="E238" i="4" s="1"/>
  <c r="G238" i="4" l="1"/>
  <c r="F238" i="4" s="1"/>
  <c r="I238" i="4"/>
  <c r="E239" i="4" s="1"/>
  <c r="G234" i="1"/>
  <c r="F234" i="1" s="1"/>
  <c r="I234" i="1"/>
  <c r="E235" i="1" s="1"/>
  <c r="G235" i="1" l="1"/>
  <c r="F235" i="1" s="1"/>
  <c r="I235" i="1" s="1"/>
  <c r="E236" i="1" s="1"/>
  <c r="G239" i="4"/>
  <c r="F239" i="4" s="1"/>
  <c r="I239" i="4"/>
  <c r="E240" i="4" s="1"/>
  <c r="G236" i="1" l="1"/>
  <c r="F236" i="1" s="1"/>
  <c r="I236" i="1" s="1"/>
  <c r="E237" i="1" s="1"/>
  <c r="G240" i="4"/>
  <c r="F240" i="4" s="1"/>
  <c r="I240" i="4"/>
  <c r="E241" i="4" s="1"/>
  <c r="G237" i="1" l="1"/>
  <c r="F237" i="1" s="1"/>
  <c r="I237" i="1"/>
  <c r="E238" i="1" s="1"/>
  <c r="G241" i="4"/>
  <c r="F241" i="4" s="1"/>
  <c r="I241" i="4" s="1"/>
  <c r="E242" i="4" s="1"/>
  <c r="G242" i="4" l="1"/>
  <c r="F242" i="4" s="1"/>
  <c r="I242" i="4" s="1"/>
  <c r="E243" i="4" s="1"/>
  <c r="G238" i="1"/>
  <c r="F238" i="1" s="1"/>
  <c r="I238" i="1" s="1"/>
  <c r="E239" i="1" s="1"/>
  <c r="G239" i="1" l="1"/>
  <c r="F239" i="1" s="1"/>
  <c r="I239" i="1" s="1"/>
  <c r="E240" i="1" s="1"/>
  <c r="G243" i="4"/>
  <c r="F243" i="4" s="1"/>
  <c r="I243" i="4"/>
  <c r="E244" i="4" s="1"/>
  <c r="G240" i="1" l="1"/>
  <c r="F240" i="1" s="1"/>
  <c r="I240" i="1" s="1"/>
  <c r="E241" i="1" s="1"/>
  <c r="G244" i="4"/>
  <c r="F244" i="4" s="1"/>
  <c r="I244" i="4" s="1"/>
  <c r="E245" i="4" s="1"/>
  <c r="G245" i="4" l="1"/>
  <c r="F245" i="4" s="1"/>
  <c r="I245" i="4" s="1"/>
  <c r="E246" i="4" s="1"/>
  <c r="G241" i="1"/>
  <c r="F241" i="1" s="1"/>
  <c r="I241" i="1"/>
  <c r="E242" i="1" s="1"/>
  <c r="G246" i="4" l="1"/>
  <c r="F246" i="4" s="1"/>
  <c r="I246" i="4" s="1"/>
  <c r="E247" i="4" s="1"/>
  <c r="G242" i="1"/>
  <c r="F242" i="1" s="1"/>
  <c r="I242" i="1"/>
  <c r="E243" i="1" s="1"/>
  <c r="G247" i="4" l="1"/>
  <c r="F247" i="4" s="1"/>
  <c r="I247" i="4"/>
  <c r="E248" i="4" s="1"/>
  <c r="G243" i="1"/>
  <c r="F243" i="1" s="1"/>
  <c r="I243" i="1" s="1"/>
  <c r="E244" i="1" s="1"/>
  <c r="G244" i="1" l="1"/>
  <c r="F244" i="1" s="1"/>
  <c r="I244" i="1"/>
  <c r="E245" i="1" s="1"/>
  <c r="I248" i="4"/>
  <c r="E249" i="4" s="1"/>
  <c r="G248" i="4"/>
  <c r="F248" i="4" s="1"/>
  <c r="G245" i="1" l="1"/>
  <c r="F245" i="1" s="1"/>
  <c r="I245" i="1"/>
  <c r="E246" i="1" s="1"/>
  <c r="G249" i="4"/>
  <c r="F249" i="4" s="1"/>
  <c r="I249" i="4"/>
  <c r="E250" i="4" s="1"/>
  <c r="G250" i="4" l="1"/>
  <c r="F250" i="4" s="1"/>
  <c r="I250" i="4"/>
  <c r="E251" i="4" s="1"/>
  <c r="G246" i="1"/>
  <c r="F246" i="1" s="1"/>
  <c r="I246" i="1" s="1"/>
  <c r="E247" i="1" s="1"/>
  <c r="G247" i="1" l="1"/>
  <c r="F247" i="1" s="1"/>
  <c r="I247" i="1" s="1"/>
  <c r="E248" i="1" s="1"/>
  <c r="G251" i="4"/>
  <c r="F251" i="4" s="1"/>
  <c r="I251" i="4"/>
  <c r="E252" i="4" s="1"/>
  <c r="G248" i="1" l="1"/>
  <c r="F248" i="1" s="1"/>
  <c r="I248" i="1" s="1"/>
  <c r="E249" i="1" s="1"/>
  <c r="G252" i="4"/>
  <c r="F252" i="4" s="1"/>
  <c r="I252" i="4" s="1"/>
  <c r="E253" i="4" s="1"/>
  <c r="G253" i="4" l="1"/>
  <c r="F253" i="4" s="1"/>
  <c r="I253" i="4" s="1"/>
  <c r="E254" i="4" s="1"/>
  <c r="G249" i="1"/>
  <c r="F249" i="1" s="1"/>
  <c r="I249" i="1"/>
  <c r="E250" i="1" s="1"/>
  <c r="G254" i="4" l="1"/>
  <c r="F254" i="4" s="1"/>
  <c r="I254" i="4"/>
  <c r="E255" i="4" s="1"/>
  <c r="I250" i="1"/>
  <c r="E251" i="1" s="1"/>
  <c r="G250" i="1"/>
  <c r="F250" i="1" s="1"/>
  <c r="G255" i="4" l="1"/>
  <c r="F255" i="4" s="1"/>
  <c r="I255" i="4"/>
  <c r="E256" i="4" s="1"/>
  <c r="G251" i="1"/>
  <c r="F251" i="1" s="1"/>
  <c r="I251" i="1" s="1"/>
  <c r="E252" i="1" s="1"/>
  <c r="G252" i="1" l="1"/>
  <c r="F252" i="1" s="1"/>
  <c r="I252" i="1"/>
  <c r="E253" i="1" s="1"/>
  <c r="G256" i="4"/>
  <c r="F256" i="4" s="1"/>
  <c r="I256" i="4"/>
  <c r="E257" i="4" s="1"/>
  <c r="G257" i="4" l="1"/>
  <c r="F257" i="4" s="1"/>
  <c r="I257" i="4"/>
  <c r="E258" i="4" s="1"/>
  <c r="G253" i="1"/>
  <c r="F253" i="1" s="1"/>
  <c r="I253" i="1" s="1"/>
  <c r="E254" i="1" s="1"/>
  <c r="G254" i="1" l="1"/>
  <c r="F254" i="1" s="1"/>
  <c r="I254" i="1"/>
  <c r="E255" i="1" s="1"/>
  <c r="G258" i="4"/>
  <c r="F258" i="4" s="1"/>
  <c r="I258" i="4" s="1"/>
  <c r="E259" i="4" s="1"/>
  <c r="G259" i="4" l="1"/>
  <c r="F259" i="4" s="1"/>
  <c r="I259" i="4"/>
  <c r="E260" i="4" s="1"/>
  <c r="G255" i="1"/>
  <c r="F255" i="1" s="1"/>
  <c r="I255" i="1" s="1"/>
  <c r="E256" i="1" s="1"/>
  <c r="G256" i="1" l="1"/>
  <c r="F256" i="1" s="1"/>
  <c r="I256" i="1"/>
  <c r="E257" i="1" s="1"/>
  <c r="G260" i="4"/>
  <c r="F260" i="4" s="1"/>
  <c r="I260" i="4" s="1"/>
  <c r="E261" i="4" s="1"/>
  <c r="G261" i="4" l="1"/>
  <c r="F261" i="4" s="1"/>
  <c r="I261" i="4"/>
  <c r="E262" i="4" s="1"/>
  <c r="G257" i="1"/>
  <c r="F257" i="1" s="1"/>
  <c r="I257" i="1"/>
  <c r="E258" i="1" s="1"/>
  <c r="G258" i="1" l="1"/>
  <c r="F258" i="1" s="1"/>
  <c r="I258" i="1"/>
  <c r="E259" i="1" s="1"/>
  <c r="G262" i="4"/>
  <c r="F262" i="4" s="1"/>
  <c r="I262" i="4" s="1"/>
  <c r="E263" i="4" s="1"/>
  <c r="G263" i="4" l="1"/>
  <c r="F263" i="4" s="1"/>
  <c r="I263" i="4"/>
  <c r="E264" i="4" s="1"/>
  <c r="G259" i="1"/>
  <c r="F259" i="1" s="1"/>
  <c r="I259" i="1"/>
  <c r="E260" i="1" s="1"/>
  <c r="G260" i="1" l="1"/>
  <c r="F260" i="1" s="1"/>
  <c r="I260" i="1" s="1"/>
  <c r="E261" i="1" s="1"/>
  <c r="G264" i="4"/>
  <c r="F264" i="4" s="1"/>
  <c r="I264" i="4" s="1"/>
  <c r="E265" i="4" s="1"/>
  <c r="G265" i="4" l="1"/>
  <c r="F265" i="4" s="1"/>
  <c r="I265" i="4" s="1"/>
  <c r="E266" i="4" s="1"/>
  <c r="G261" i="1"/>
  <c r="F261" i="1" s="1"/>
  <c r="I261" i="1"/>
  <c r="E262" i="1" s="1"/>
  <c r="G266" i="4" l="1"/>
  <c r="F266" i="4" s="1"/>
  <c r="I266" i="4" s="1"/>
  <c r="E267" i="4" s="1"/>
  <c r="G262" i="1"/>
  <c r="F262" i="1" s="1"/>
  <c r="I262" i="1" s="1"/>
  <c r="E263" i="1" s="1"/>
  <c r="G263" i="1" l="1"/>
  <c r="F263" i="1" s="1"/>
  <c r="I263" i="1"/>
  <c r="E264" i="1" s="1"/>
  <c r="G267" i="4"/>
  <c r="F267" i="4" s="1"/>
  <c r="I267" i="4"/>
  <c r="E268" i="4" s="1"/>
  <c r="G268" i="4" l="1"/>
  <c r="F268" i="4" s="1"/>
  <c r="I268" i="4"/>
  <c r="E269" i="4" s="1"/>
  <c r="G264" i="1"/>
  <c r="F264" i="1" s="1"/>
  <c r="I264" i="1"/>
  <c r="E265" i="1" s="1"/>
  <c r="G265" i="1" l="1"/>
  <c r="F265" i="1" s="1"/>
  <c r="I265" i="1"/>
  <c r="E266" i="1" s="1"/>
  <c r="G269" i="4"/>
  <c r="F269" i="4" s="1"/>
  <c r="I269" i="4"/>
  <c r="E270" i="4" s="1"/>
  <c r="G270" i="4" l="1"/>
  <c r="F270" i="4" s="1"/>
  <c r="I270" i="4"/>
  <c r="E271" i="4" s="1"/>
  <c r="G266" i="1"/>
  <c r="F266" i="1" s="1"/>
  <c r="I266" i="1"/>
  <c r="E267" i="1" s="1"/>
  <c r="G267" i="1" l="1"/>
  <c r="F267" i="1" s="1"/>
  <c r="I267" i="1" s="1"/>
  <c r="E268" i="1" s="1"/>
  <c r="G271" i="4"/>
  <c r="F271" i="4" s="1"/>
  <c r="I271" i="4" s="1"/>
  <c r="E272" i="4" s="1"/>
  <c r="G272" i="4" l="1"/>
  <c r="F272" i="4" s="1"/>
  <c r="I272" i="4" s="1"/>
  <c r="E273" i="4" s="1"/>
  <c r="G268" i="1"/>
  <c r="F268" i="1" s="1"/>
  <c r="I268" i="1" s="1"/>
  <c r="E269" i="1" s="1"/>
  <c r="G269" i="1" l="1"/>
  <c r="F269" i="1" s="1"/>
  <c r="I269" i="1"/>
  <c r="E270" i="1" s="1"/>
  <c r="G273" i="4"/>
  <c r="F273" i="4" s="1"/>
  <c r="I273" i="4"/>
  <c r="E274" i="4" s="1"/>
  <c r="G274" i="4" l="1"/>
  <c r="F274" i="4" s="1"/>
  <c r="I274" i="4"/>
  <c r="E275" i="4" s="1"/>
  <c r="G270" i="1"/>
  <c r="F270" i="1" s="1"/>
  <c r="I270" i="1"/>
  <c r="E271" i="1" s="1"/>
  <c r="G271" i="1" l="1"/>
  <c r="F271" i="1" s="1"/>
  <c r="I271" i="1" s="1"/>
  <c r="E272" i="1" s="1"/>
  <c r="G275" i="4"/>
  <c r="F275" i="4" s="1"/>
  <c r="I275" i="4"/>
  <c r="E276" i="4" s="1"/>
  <c r="G272" i="1" l="1"/>
  <c r="F272" i="1" s="1"/>
  <c r="I272" i="1" s="1"/>
  <c r="E273" i="1" s="1"/>
  <c r="G276" i="4"/>
  <c r="F276" i="4" s="1"/>
  <c r="I276" i="4"/>
  <c r="E277" i="4" s="1"/>
  <c r="G273" i="1" l="1"/>
  <c r="F273" i="1" s="1"/>
  <c r="I273" i="1"/>
  <c r="E274" i="1" s="1"/>
  <c r="G277" i="4"/>
  <c r="F277" i="4" s="1"/>
  <c r="I277" i="4"/>
  <c r="E278" i="4" s="1"/>
  <c r="G278" i="4" l="1"/>
  <c r="F278" i="4" s="1"/>
  <c r="I278" i="4" s="1"/>
  <c r="E279" i="4" s="1"/>
  <c r="G274" i="1"/>
  <c r="F274" i="1" s="1"/>
  <c r="I274" i="1" s="1"/>
  <c r="E275" i="1" s="1"/>
  <c r="G275" i="1" l="1"/>
  <c r="F275" i="1" s="1"/>
  <c r="I275" i="1"/>
  <c r="E276" i="1" s="1"/>
  <c r="G279" i="4"/>
  <c r="F279" i="4" s="1"/>
  <c r="I279" i="4"/>
  <c r="E280" i="4" s="1"/>
  <c r="G280" i="4" l="1"/>
  <c r="F280" i="4" s="1"/>
  <c r="I280" i="4" s="1"/>
  <c r="E281" i="4" s="1"/>
  <c r="G276" i="1"/>
  <c r="F276" i="1" s="1"/>
  <c r="I276" i="1"/>
  <c r="E277" i="1" s="1"/>
  <c r="G281" i="4" l="1"/>
  <c r="F281" i="4" s="1"/>
  <c r="I281" i="4"/>
  <c r="E282" i="4" s="1"/>
  <c r="G277" i="1"/>
  <c r="F277" i="1" s="1"/>
  <c r="I277" i="1"/>
  <c r="E278" i="1" s="1"/>
  <c r="G278" i="1" l="1"/>
  <c r="F278" i="1" s="1"/>
  <c r="I278" i="1" s="1"/>
  <c r="E279" i="1" s="1"/>
  <c r="G282" i="4"/>
  <c r="F282" i="4" s="1"/>
  <c r="I282" i="4"/>
  <c r="E283" i="4" s="1"/>
  <c r="G279" i="1" l="1"/>
  <c r="F279" i="1" s="1"/>
  <c r="I279" i="1" s="1"/>
  <c r="E280" i="1" s="1"/>
  <c r="G283" i="4"/>
  <c r="F283" i="4" s="1"/>
  <c r="I283" i="4"/>
  <c r="E284" i="4" s="1"/>
  <c r="G280" i="1" l="1"/>
  <c r="F280" i="1" s="1"/>
  <c r="I280" i="1"/>
  <c r="E281" i="1" s="1"/>
  <c r="G284" i="4"/>
  <c r="F284" i="4" s="1"/>
  <c r="I284" i="4" s="1"/>
  <c r="E285" i="4" s="1"/>
  <c r="G285" i="4" l="1"/>
  <c r="F285" i="4" s="1"/>
  <c r="I285" i="4"/>
  <c r="E286" i="4" s="1"/>
  <c r="G281" i="1"/>
  <c r="F281" i="1" s="1"/>
  <c r="I281" i="1"/>
  <c r="E282" i="1" s="1"/>
  <c r="G282" i="1" l="1"/>
  <c r="F282" i="1" s="1"/>
  <c r="I282" i="1"/>
  <c r="E283" i="1" s="1"/>
  <c r="G286" i="4"/>
  <c r="F286" i="4" s="1"/>
  <c r="I286" i="4"/>
  <c r="E287" i="4" s="1"/>
  <c r="G287" i="4" l="1"/>
  <c r="F287" i="4" s="1"/>
  <c r="I287" i="4"/>
  <c r="E288" i="4" s="1"/>
  <c r="G283" i="1"/>
  <c r="F283" i="1" s="1"/>
  <c r="I283" i="1" s="1"/>
  <c r="E284" i="1" s="1"/>
  <c r="G284" i="1" l="1"/>
  <c r="F284" i="1" s="1"/>
  <c r="I284" i="1"/>
  <c r="E285" i="1" s="1"/>
  <c r="G288" i="4"/>
  <c r="F288" i="4" s="1"/>
  <c r="I288" i="4" s="1"/>
  <c r="E289" i="4" s="1"/>
  <c r="G289" i="4" l="1"/>
  <c r="F289" i="4" s="1"/>
  <c r="I289" i="4" s="1"/>
  <c r="E290" i="4" s="1"/>
  <c r="G285" i="1"/>
  <c r="F285" i="1" s="1"/>
  <c r="I285" i="1"/>
  <c r="E286" i="1" s="1"/>
  <c r="G290" i="4" l="1"/>
  <c r="F290" i="4" s="1"/>
  <c r="I290" i="4"/>
  <c r="E291" i="4" s="1"/>
  <c r="G286" i="1"/>
  <c r="F286" i="1" s="1"/>
  <c r="I286" i="1" s="1"/>
  <c r="E287" i="1" s="1"/>
  <c r="G287" i="1" l="1"/>
  <c r="F287" i="1" s="1"/>
  <c r="I287" i="1"/>
  <c r="E288" i="1" s="1"/>
  <c r="G291" i="4"/>
  <c r="F291" i="4" s="1"/>
  <c r="I291" i="4"/>
  <c r="E292" i="4" s="1"/>
  <c r="I292" i="4" l="1"/>
  <c r="E293" i="4" s="1"/>
  <c r="G292" i="4"/>
  <c r="F292" i="4" s="1"/>
  <c r="G288" i="1"/>
  <c r="F288" i="1" s="1"/>
  <c r="I288" i="1" s="1"/>
  <c r="E289" i="1" s="1"/>
  <c r="G289" i="1" l="1"/>
  <c r="F289" i="1" s="1"/>
  <c r="I289" i="1" s="1"/>
  <c r="E290" i="1" s="1"/>
  <c r="G293" i="4"/>
  <c r="F293" i="4" s="1"/>
  <c r="I293" i="4"/>
  <c r="E294" i="4" s="1"/>
  <c r="G290" i="1" l="1"/>
  <c r="F290" i="1" s="1"/>
  <c r="I290" i="1"/>
  <c r="E291" i="1" s="1"/>
  <c r="G294" i="4"/>
  <c r="F294" i="4" s="1"/>
  <c r="I294" i="4"/>
  <c r="E295" i="4" s="1"/>
  <c r="G295" i="4" l="1"/>
  <c r="F295" i="4" s="1"/>
  <c r="I295" i="4"/>
  <c r="E296" i="4" s="1"/>
  <c r="G291" i="1"/>
  <c r="F291" i="1" s="1"/>
  <c r="I291" i="1"/>
  <c r="E292" i="1" s="1"/>
  <c r="G292" i="1" l="1"/>
  <c r="F292" i="1" s="1"/>
  <c r="I292" i="1"/>
  <c r="E293" i="1" s="1"/>
  <c r="G296" i="4"/>
  <c r="F296" i="4" s="1"/>
  <c r="I296" i="4" s="1"/>
  <c r="E297" i="4" s="1"/>
  <c r="G297" i="4" l="1"/>
  <c r="F297" i="4" s="1"/>
  <c r="I297" i="4"/>
  <c r="E298" i="4" s="1"/>
  <c r="G293" i="1"/>
  <c r="F293" i="1" s="1"/>
  <c r="I293" i="1" s="1"/>
  <c r="E294" i="1" s="1"/>
  <c r="G294" i="1" l="1"/>
  <c r="F294" i="1" s="1"/>
  <c r="I294" i="1"/>
  <c r="E295" i="1" s="1"/>
  <c r="G298" i="4"/>
  <c r="F298" i="4" s="1"/>
  <c r="I298" i="4" s="1"/>
  <c r="E299" i="4" s="1"/>
  <c r="G299" i="4" l="1"/>
  <c r="F299" i="4" s="1"/>
  <c r="I299" i="4"/>
  <c r="E300" i="4" s="1"/>
  <c r="G295" i="1"/>
  <c r="F295" i="1" s="1"/>
  <c r="I295" i="1"/>
  <c r="E296" i="1" s="1"/>
  <c r="G296" i="1" l="1"/>
  <c r="F296" i="1" s="1"/>
  <c r="I296" i="1" s="1"/>
  <c r="E297" i="1" s="1"/>
  <c r="I300" i="4"/>
  <c r="E301" i="4" s="1"/>
  <c r="G300" i="4"/>
  <c r="F300" i="4" s="1"/>
  <c r="G297" i="1" l="1"/>
  <c r="F297" i="1" s="1"/>
  <c r="I297" i="1" s="1"/>
  <c r="E298" i="1" s="1"/>
  <c r="G301" i="4"/>
  <c r="F301" i="4" s="1"/>
  <c r="I301" i="4" s="1"/>
  <c r="E302" i="4" s="1"/>
  <c r="G302" i="4" l="1"/>
  <c r="F302" i="4" s="1"/>
  <c r="I302" i="4"/>
  <c r="E303" i="4" s="1"/>
  <c r="G298" i="1"/>
  <c r="F298" i="1" s="1"/>
  <c r="I298" i="1" s="1"/>
  <c r="E299" i="1" s="1"/>
  <c r="G299" i="1" l="1"/>
  <c r="F299" i="1" s="1"/>
  <c r="I299" i="1"/>
  <c r="E300" i="1" s="1"/>
  <c r="G303" i="4"/>
  <c r="F303" i="4" s="1"/>
  <c r="I303" i="4"/>
  <c r="E304" i="4" s="1"/>
  <c r="G304" i="4" l="1"/>
  <c r="F304" i="4" s="1"/>
  <c r="I304" i="4" s="1"/>
  <c r="E305" i="4" s="1"/>
  <c r="G300" i="1"/>
  <c r="F300" i="1" s="1"/>
  <c r="I300" i="1"/>
  <c r="E301" i="1" s="1"/>
  <c r="G305" i="4" l="1"/>
  <c r="F305" i="4" s="1"/>
  <c r="I305" i="4" s="1"/>
  <c r="E306" i="4" s="1"/>
  <c r="G301" i="1"/>
  <c r="F301" i="1" s="1"/>
  <c r="I301" i="1" s="1"/>
  <c r="E302" i="1" s="1"/>
  <c r="G302" i="1" l="1"/>
  <c r="F302" i="1" s="1"/>
  <c r="I302" i="1"/>
  <c r="E303" i="1" s="1"/>
  <c r="G306" i="4"/>
  <c r="F306" i="4" s="1"/>
  <c r="I306" i="4"/>
  <c r="E307" i="4" s="1"/>
  <c r="G307" i="4" l="1"/>
  <c r="F307" i="4" s="1"/>
  <c r="I307" i="4" s="1"/>
  <c r="E308" i="4" s="1"/>
  <c r="G303" i="1"/>
  <c r="F303" i="1" s="1"/>
  <c r="I303" i="1" s="1"/>
  <c r="E304" i="1" s="1"/>
  <c r="G304" i="1" l="1"/>
  <c r="F304" i="1" s="1"/>
  <c r="I304" i="1"/>
  <c r="E305" i="1" s="1"/>
  <c r="G308" i="4"/>
  <c r="F308" i="4" s="1"/>
  <c r="I308" i="4" s="1"/>
  <c r="E309" i="4" s="1"/>
  <c r="G309" i="4" l="1"/>
  <c r="F309" i="4" s="1"/>
  <c r="I309" i="4"/>
  <c r="E310" i="4" s="1"/>
  <c r="G305" i="1"/>
  <c r="F305" i="1" s="1"/>
  <c r="I305" i="1"/>
  <c r="E306" i="1" s="1"/>
  <c r="G306" i="1" l="1"/>
  <c r="F306" i="1" s="1"/>
  <c r="I306" i="1"/>
  <c r="E307" i="1" s="1"/>
  <c r="G310" i="4"/>
  <c r="F310" i="4" s="1"/>
  <c r="I310" i="4"/>
  <c r="E311" i="4" s="1"/>
  <c r="G311" i="4" l="1"/>
  <c r="F311" i="4" s="1"/>
  <c r="I311" i="4"/>
  <c r="E312" i="4" s="1"/>
  <c r="G307" i="1"/>
  <c r="F307" i="1" s="1"/>
  <c r="I307" i="1"/>
  <c r="E308" i="1" s="1"/>
  <c r="G308" i="1" l="1"/>
  <c r="F308" i="1" s="1"/>
  <c r="I308" i="1" s="1"/>
  <c r="E309" i="1" s="1"/>
  <c r="G312" i="4"/>
  <c r="F312" i="4" s="1"/>
  <c r="I312" i="4"/>
  <c r="E313" i="4" s="1"/>
  <c r="I309" i="1" l="1"/>
  <c r="E310" i="1" s="1"/>
  <c r="G309" i="1"/>
  <c r="F309" i="1" s="1"/>
  <c r="G313" i="4"/>
  <c r="F313" i="4" s="1"/>
  <c r="I313" i="4" s="1"/>
  <c r="E314" i="4" s="1"/>
  <c r="G314" i="4" l="1"/>
  <c r="F314" i="4" s="1"/>
  <c r="I314" i="4" s="1"/>
  <c r="E315" i="4" s="1"/>
  <c r="G310" i="1"/>
  <c r="F310" i="1" s="1"/>
  <c r="I310" i="1"/>
  <c r="E311" i="1" s="1"/>
  <c r="G315" i="4" l="1"/>
  <c r="F315" i="4" s="1"/>
  <c r="I315" i="4"/>
  <c r="E316" i="4" s="1"/>
  <c r="G311" i="1"/>
  <c r="F311" i="1" s="1"/>
  <c r="I311" i="1" s="1"/>
  <c r="E312" i="1" s="1"/>
  <c r="G312" i="1" l="1"/>
  <c r="F312" i="1" s="1"/>
  <c r="I312" i="1" s="1"/>
  <c r="E313" i="1" s="1"/>
  <c r="G316" i="4"/>
  <c r="F316" i="4" s="1"/>
  <c r="I316" i="4" s="1"/>
  <c r="E317" i="4" s="1"/>
  <c r="G317" i="4" l="1"/>
  <c r="F317" i="4" s="1"/>
  <c r="I317" i="4" s="1"/>
  <c r="E318" i="4" s="1"/>
  <c r="G313" i="1"/>
  <c r="F313" i="1" s="1"/>
  <c r="I313" i="1" s="1"/>
  <c r="E314" i="1" s="1"/>
  <c r="G314" i="1" l="1"/>
  <c r="F314" i="1" s="1"/>
  <c r="I314" i="1" s="1"/>
  <c r="E315" i="1" s="1"/>
  <c r="G318" i="4"/>
  <c r="F318" i="4" s="1"/>
  <c r="I318" i="4"/>
  <c r="E319" i="4" s="1"/>
  <c r="G315" i="1" l="1"/>
  <c r="F315" i="1" s="1"/>
  <c r="I315" i="1"/>
  <c r="E316" i="1" s="1"/>
  <c r="G319" i="4"/>
  <c r="F319" i="4" s="1"/>
  <c r="I319" i="4" s="1"/>
  <c r="E320" i="4" s="1"/>
  <c r="G320" i="4" l="1"/>
  <c r="F320" i="4" s="1"/>
  <c r="I320" i="4"/>
  <c r="E321" i="4" s="1"/>
  <c r="G316" i="1"/>
  <c r="F316" i="1" s="1"/>
  <c r="I316" i="1"/>
  <c r="E317" i="1" s="1"/>
  <c r="G317" i="1" l="1"/>
  <c r="F317" i="1" s="1"/>
  <c r="I317" i="1" s="1"/>
  <c r="E318" i="1" s="1"/>
  <c r="G321" i="4"/>
  <c r="F321" i="4" s="1"/>
  <c r="I321" i="4"/>
  <c r="E322" i="4" s="1"/>
  <c r="G318" i="1" l="1"/>
  <c r="F318" i="1" s="1"/>
  <c r="I318" i="1"/>
  <c r="E319" i="1" s="1"/>
  <c r="G322" i="4"/>
  <c r="F322" i="4" s="1"/>
  <c r="I322" i="4" s="1"/>
  <c r="E323" i="4" s="1"/>
  <c r="G323" i="4" l="1"/>
  <c r="F323" i="4" s="1"/>
  <c r="I323" i="4" s="1"/>
  <c r="E324" i="4" s="1"/>
  <c r="G319" i="1"/>
  <c r="F319" i="1" s="1"/>
  <c r="I319" i="1"/>
  <c r="E320" i="1" s="1"/>
  <c r="G324" i="4" l="1"/>
  <c r="F324" i="4" s="1"/>
  <c r="I324" i="4"/>
  <c r="E325" i="4" s="1"/>
  <c r="G320" i="1"/>
  <c r="F320" i="1" s="1"/>
  <c r="I320" i="1"/>
  <c r="E321" i="1" s="1"/>
  <c r="G321" i="1" l="1"/>
  <c r="F321" i="1" s="1"/>
  <c r="I321" i="1" s="1"/>
  <c r="E322" i="1" s="1"/>
  <c r="G325" i="4"/>
  <c r="F325" i="4" s="1"/>
  <c r="I325" i="4" s="1"/>
  <c r="E326" i="4" s="1"/>
  <c r="G326" i="4" l="1"/>
  <c r="F326" i="4" s="1"/>
  <c r="I326" i="4"/>
  <c r="E327" i="4" s="1"/>
  <c r="G322" i="1"/>
  <c r="F322" i="1" s="1"/>
  <c r="I322" i="1"/>
  <c r="E323" i="1" s="1"/>
  <c r="G323" i="1" l="1"/>
  <c r="F323" i="1" s="1"/>
  <c r="I323" i="1"/>
  <c r="E324" i="1" s="1"/>
  <c r="G327" i="4"/>
  <c r="F327" i="4" s="1"/>
  <c r="I327" i="4" s="1"/>
  <c r="E328" i="4" s="1"/>
  <c r="G328" i="4" l="1"/>
  <c r="F328" i="4" s="1"/>
  <c r="I328" i="4"/>
  <c r="E329" i="4" s="1"/>
  <c r="G324" i="1"/>
  <c r="F324" i="1" s="1"/>
  <c r="I324" i="1"/>
  <c r="E325" i="1" s="1"/>
  <c r="G325" i="1" l="1"/>
  <c r="F325" i="1" s="1"/>
  <c r="I325" i="1"/>
  <c r="E326" i="1" s="1"/>
  <c r="G329" i="4"/>
  <c r="F329" i="4" s="1"/>
  <c r="I329" i="4" s="1"/>
  <c r="E330" i="4" s="1"/>
  <c r="G330" i="4" l="1"/>
  <c r="F330" i="4" s="1"/>
  <c r="I330" i="4" s="1"/>
  <c r="E331" i="4" s="1"/>
  <c r="I326" i="1"/>
  <c r="E327" i="1" s="1"/>
  <c r="G326" i="1"/>
  <c r="F326" i="1" s="1"/>
  <c r="G331" i="4" l="1"/>
  <c r="F331" i="4" s="1"/>
  <c r="I331" i="4"/>
  <c r="E332" i="4" s="1"/>
  <c r="G327" i="1"/>
  <c r="F327" i="1" s="1"/>
  <c r="I327" i="1" s="1"/>
  <c r="E328" i="1" s="1"/>
  <c r="G328" i="1" l="1"/>
  <c r="F328" i="1" s="1"/>
  <c r="I328" i="1"/>
  <c r="E329" i="1" s="1"/>
  <c r="G332" i="4"/>
  <c r="F332" i="4" s="1"/>
  <c r="I332" i="4" s="1"/>
  <c r="E333" i="4" s="1"/>
  <c r="G333" i="4" l="1"/>
  <c r="F333" i="4" s="1"/>
  <c r="I333" i="4"/>
  <c r="E334" i="4" s="1"/>
  <c r="G329" i="1"/>
  <c r="F329" i="1" s="1"/>
  <c r="I329" i="1" s="1"/>
  <c r="E330" i="1" s="1"/>
  <c r="G330" i="1" l="1"/>
  <c r="F330" i="1" s="1"/>
  <c r="I330" i="1"/>
  <c r="E331" i="1" s="1"/>
  <c r="I334" i="4"/>
  <c r="E335" i="4" s="1"/>
  <c r="G334" i="4"/>
  <c r="F334" i="4" s="1"/>
  <c r="G335" i="4" l="1"/>
  <c r="F335" i="4" s="1"/>
  <c r="I335" i="4" s="1"/>
  <c r="E336" i="4" s="1"/>
  <c r="G331" i="1"/>
  <c r="F331" i="1" s="1"/>
  <c r="I331" i="1" s="1"/>
  <c r="E332" i="1" s="1"/>
  <c r="G332" i="1" l="1"/>
  <c r="F332" i="1" s="1"/>
  <c r="I332" i="1" s="1"/>
  <c r="E333" i="1" s="1"/>
  <c r="G336" i="4"/>
  <c r="F336" i="4" s="1"/>
  <c r="I336" i="4" s="1"/>
  <c r="E337" i="4" s="1"/>
  <c r="G337" i="4" l="1"/>
  <c r="F337" i="4" s="1"/>
  <c r="I337" i="4" s="1"/>
  <c r="E338" i="4" s="1"/>
  <c r="G333" i="1"/>
  <c r="F333" i="1" s="1"/>
  <c r="I333" i="1" s="1"/>
  <c r="E334" i="1" s="1"/>
  <c r="G334" i="1" l="1"/>
  <c r="F334" i="1" s="1"/>
  <c r="I334" i="1"/>
  <c r="E335" i="1" s="1"/>
  <c r="G338" i="4"/>
  <c r="F338" i="4" s="1"/>
  <c r="I338" i="4"/>
  <c r="E339" i="4" s="1"/>
  <c r="G339" i="4" l="1"/>
  <c r="F339" i="4" s="1"/>
  <c r="I339" i="4" s="1"/>
  <c r="E340" i="4" s="1"/>
  <c r="G335" i="1"/>
  <c r="F335" i="1" s="1"/>
  <c r="I335" i="1"/>
  <c r="E336" i="1" s="1"/>
  <c r="G340" i="4" l="1"/>
  <c r="F340" i="4" s="1"/>
  <c r="I340" i="4"/>
  <c r="E341" i="4" s="1"/>
  <c r="G336" i="1"/>
  <c r="F336" i="1" s="1"/>
  <c r="I336" i="1"/>
  <c r="E337" i="1" s="1"/>
  <c r="G337" i="1" l="1"/>
  <c r="F337" i="1" s="1"/>
  <c r="I337" i="1"/>
  <c r="E338" i="1" s="1"/>
  <c r="G341" i="4"/>
  <c r="F341" i="4" s="1"/>
  <c r="I341" i="4" s="1"/>
  <c r="E342" i="4" s="1"/>
  <c r="G342" i="4" l="1"/>
  <c r="F342" i="4" s="1"/>
  <c r="I342" i="4" s="1"/>
  <c r="E343" i="4" s="1"/>
  <c r="I338" i="1"/>
  <c r="E339" i="1" s="1"/>
  <c r="G338" i="1"/>
  <c r="F338" i="1" s="1"/>
  <c r="G343" i="4" l="1"/>
  <c r="F343" i="4" s="1"/>
  <c r="I343" i="4"/>
  <c r="E344" i="4" s="1"/>
  <c r="I339" i="1"/>
  <c r="E340" i="1" s="1"/>
  <c r="G339" i="1"/>
  <c r="F339" i="1" s="1"/>
  <c r="G340" i="1" l="1"/>
  <c r="F340" i="1" s="1"/>
  <c r="I340" i="1"/>
  <c r="E341" i="1" s="1"/>
  <c r="G344" i="4"/>
  <c r="F344" i="4" s="1"/>
  <c r="I344" i="4" s="1"/>
  <c r="E345" i="4" s="1"/>
  <c r="G345" i="4" l="1"/>
  <c r="F345" i="4" s="1"/>
  <c r="I345" i="4"/>
  <c r="E346" i="4" s="1"/>
  <c r="G341" i="1"/>
  <c r="F341" i="1" s="1"/>
  <c r="I341" i="1"/>
  <c r="E342" i="1" s="1"/>
  <c r="I342" i="1" l="1"/>
  <c r="E343" i="1" s="1"/>
  <c r="G342" i="1"/>
  <c r="F342" i="1" s="1"/>
  <c r="G346" i="4"/>
  <c r="F346" i="4" s="1"/>
  <c r="I346" i="4" s="1"/>
  <c r="E347" i="4" s="1"/>
  <c r="G347" i="4" l="1"/>
  <c r="F347" i="4" s="1"/>
  <c r="I347" i="4" s="1"/>
  <c r="E348" i="4" s="1"/>
  <c r="G343" i="1"/>
  <c r="F343" i="1" s="1"/>
  <c r="I343" i="1" s="1"/>
  <c r="E344" i="1" s="1"/>
  <c r="I344" i="1" l="1"/>
  <c r="E345" i="1" s="1"/>
  <c r="G344" i="1"/>
  <c r="F344" i="1" s="1"/>
  <c r="G348" i="4"/>
  <c r="F348" i="4" s="1"/>
  <c r="I348" i="4"/>
  <c r="E349" i="4" s="1"/>
  <c r="G345" i="1" l="1"/>
  <c r="F345" i="1" s="1"/>
  <c r="I345" i="1" s="1"/>
  <c r="E346" i="1" s="1"/>
  <c r="G349" i="4"/>
  <c r="F349" i="4" s="1"/>
  <c r="I349" i="4"/>
  <c r="E350" i="4" s="1"/>
  <c r="G346" i="1" l="1"/>
  <c r="F346" i="1" s="1"/>
  <c r="I346" i="1" s="1"/>
  <c r="E347" i="1" s="1"/>
  <c r="G350" i="4"/>
  <c r="F350" i="4" s="1"/>
  <c r="I350" i="4" s="1"/>
  <c r="E351" i="4" s="1"/>
  <c r="G351" i="4" l="1"/>
  <c r="F351" i="4" s="1"/>
  <c r="I351" i="4"/>
  <c r="E352" i="4" s="1"/>
  <c r="G347" i="1"/>
  <c r="F347" i="1" s="1"/>
  <c r="I347" i="1"/>
  <c r="E348" i="1" s="1"/>
  <c r="G348" i="1" l="1"/>
  <c r="F348" i="1" s="1"/>
  <c r="I348" i="1" s="1"/>
  <c r="E349" i="1" s="1"/>
  <c r="G352" i="4"/>
  <c r="F352" i="4" s="1"/>
  <c r="I352" i="4" s="1"/>
  <c r="E353" i="4" s="1"/>
  <c r="G353" i="4" l="1"/>
  <c r="F353" i="4" s="1"/>
  <c r="I353" i="4" s="1"/>
  <c r="E354" i="4" s="1"/>
  <c r="G349" i="1"/>
  <c r="F349" i="1" s="1"/>
  <c r="I349" i="1" s="1"/>
  <c r="E350" i="1" s="1"/>
  <c r="G350" i="1" l="1"/>
  <c r="F350" i="1" s="1"/>
  <c r="I350" i="1" s="1"/>
  <c r="E351" i="1" s="1"/>
  <c r="G354" i="4"/>
  <c r="F354" i="4" s="1"/>
  <c r="I354" i="4"/>
  <c r="E355" i="4" s="1"/>
  <c r="G351" i="1" l="1"/>
  <c r="F351" i="1" s="1"/>
  <c r="I351" i="1" s="1"/>
  <c r="E352" i="1" s="1"/>
  <c r="G355" i="4"/>
  <c r="F355" i="4" s="1"/>
  <c r="I355" i="4"/>
  <c r="E356" i="4" s="1"/>
  <c r="G352" i="1" l="1"/>
  <c r="F352" i="1" s="1"/>
  <c r="I352" i="1" s="1"/>
  <c r="E353" i="1" s="1"/>
  <c r="G356" i="4"/>
  <c r="F356" i="4" s="1"/>
  <c r="I356" i="4" s="1"/>
  <c r="E357" i="4" s="1"/>
  <c r="G357" i="4" l="1"/>
  <c r="F357" i="4" s="1"/>
  <c r="I357" i="4" s="1"/>
  <c r="E358" i="4" s="1"/>
  <c r="G353" i="1"/>
  <c r="F353" i="1" s="1"/>
  <c r="I353" i="1"/>
  <c r="E354" i="1" s="1"/>
  <c r="G358" i="4" l="1"/>
  <c r="F358" i="4" s="1"/>
  <c r="I358" i="4"/>
  <c r="E359" i="4" s="1"/>
  <c r="G354" i="1"/>
  <c r="F354" i="1" s="1"/>
  <c r="I354" i="1" s="1"/>
  <c r="E355" i="1" s="1"/>
  <c r="G355" i="1" l="1"/>
  <c r="F355" i="1" s="1"/>
  <c r="I355" i="1" s="1"/>
  <c r="E356" i="1" s="1"/>
  <c r="G359" i="4"/>
  <c r="F359" i="4" s="1"/>
  <c r="I359" i="4" s="1"/>
  <c r="E360" i="4" s="1"/>
  <c r="G360" i="4" l="1"/>
  <c r="F360" i="4" s="1"/>
  <c r="I360" i="4" s="1"/>
  <c r="E361" i="4" s="1"/>
  <c r="G356" i="1"/>
  <c r="F356" i="1" s="1"/>
  <c r="I356" i="1" s="1"/>
  <c r="E357" i="1" s="1"/>
  <c r="I357" i="1" l="1"/>
  <c r="E358" i="1" s="1"/>
  <c r="G357" i="1"/>
  <c r="F357" i="1" s="1"/>
  <c r="G361" i="4"/>
  <c r="F361" i="4" s="1"/>
  <c r="I361" i="4" s="1"/>
  <c r="E362" i="4" s="1"/>
  <c r="G362" i="4" l="1"/>
  <c r="G358" i="1"/>
  <c r="F358" i="1" s="1"/>
  <c r="I358" i="1"/>
  <c r="E359" i="1" s="1"/>
  <c r="G359" i="1" l="1"/>
  <c r="F359" i="1" s="1"/>
  <c r="I359" i="1" s="1"/>
  <c r="E360" i="1" s="1"/>
  <c r="F362" i="4"/>
  <c r="D37" i="3"/>
  <c r="E37" i="3"/>
  <c r="F37" i="3"/>
  <c r="G37" i="3"/>
  <c r="H37" i="3"/>
  <c r="I37" i="3"/>
  <c r="J37" i="3"/>
  <c r="K37" i="3"/>
  <c r="L37" i="3"/>
  <c r="M37" i="3"/>
  <c r="N36" i="3"/>
  <c r="N37" i="3"/>
  <c r="G360" i="1" l="1"/>
  <c r="F360" i="1" s="1"/>
  <c r="I360" i="1" s="1"/>
  <c r="E361" i="1" s="1"/>
  <c r="D36" i="3"/>
  <c r="E36" i="3"/>
  <c r="F36" i="3"/>
  <c r="G36" i="3"/>
  <c r="H36" i="3"/>
  <c r="I36" i="3"/>
  <c r="I39" i="3" s="1"/>
  <c r="I40" i="3" s="1"/>
  <c r="J36" i="3"/>
  <c r="J39" i="3" s="1"/>
  <c r="J40" i="3" s="1"/>
  <c r="K36" i="3"/>
  <c r="K39" i="3" s="1"/>
  <c r="K40" i="3" s="1"/>
  <c r="L36" i="3"/>
  <c r="L39" i="3" s="1"/>
  <c r="L40" i="3" s="1"/>
  <c r="M36" i="3"/>
  <c r="M39" i="3" s="1"/>
  <c r="M40" i="3" s="1"/>
  <c r="N35" i="3"/>
  <c r="I362" i="4"/>
  <c r="E363" i="4" s="1"/>
  <c r="G361" i="1" l="1"/>
  <c r="F361" i="1" s="1"/>
  <c r="I361" i="1"/>
  <c r="E362" i="1" s="1"/>
  <c r="H39" i="3"/>
  <c r="H40" i="3" s="1"/>
  <c r="H42" i="3"/>
  <c r="F19" i="6" s="1"/>
  <c r="F39" i="3"/>
  <c r="F40" i="3" s="1"/>
  <c r="F42" i="3"/>
  <c r="G39" i="3"/>
  <c r="G40" i="3" s="1"/>
  <c r="G42" i="3"/>
  <c r="D39" i="3"/>
  <c r="D40" i="3" s="1"/>
  <c r="D42" i="3"/>
  <c r="E39" i="3"/>
  <c r="E40" i="3" s="1"/>
  <c r="E42" i="3"/>
  <c r="G363" i="4"/>
  <c r="F363" i="4" s="1"/>
  <c r="I363" i="4"/>
  <c r="N38" i="3"/>
  <c r="N40" i="3" s="1"/>
  <c r="N39" i="3"/>
  <c r="C43" i="3" l="1"/>
  <c r="F24" i="6" s="1"/>
  <c r="C44" i="3"/>
  <c r="F21" i="6" s="1"/>
  <c r="C45" i="3"/>
  <c r="F22" i="6" s="1"/>
  <c r="G362" i="1"/>
  <c r="F362" i="1" s="1"/>
  <c r="I362" i="1"/>
  <c r="E363" i="1" s="1"/>
  <c r="G363" i="1" l="1"/>
  <c r="F363" i="1" l="1"/>
  <c r="D37" i="7"/>
  <c r="E37" i="7"/>
  <c r="F37" i="7"/>
  <c r="G37" i="7"/>
  <c r="H37" i="7"/>
  <c r="I37" i="7"/>
  <c r="J37" i="7"/>
  <c r="K37" i="7"/>
  <c r="L37" i="7"/>
  <c r="M37" i="7"/>
  <c r="N37" i="7"/>
  <c r="D36" i="7" l="1"/>
  <c r="E36" i="7"/>
  <c r="F36" i="7"/>
  <c r="G36" i="7"/>
  <c r="H36" i="7"/>
  <c r="I36" i="7"/>
  <c r="I39" i="7" s="1"/>
  <c r="I40" i="7" s="1"/>
  <c r="J36" i="7"/>
  <c r="J39" i="7" s="1"/>
  <c r="J40" i="7" s="1"/>
  <c r="K36" i="7"/>
  <c r="K39" i="7" s="1"/>
  <c r="K40" i="7" s="1"/>
  <c r="L36" i="7"/>
  <c r="L39" i="7" s="1"/>
  <c r="L40" i="7" s="1"/>
  <c r="M36" i="7"/>
  <c r="M39" i="7" s="1"/>
  <c r="M40" i="7" s="1"/>
  <c r="N36" i="7"/>
  <c r="N39" i="7" s="1"/>
  <c r="N40" i="7" s="1"/>
  <c r="I363" i="1"/>
  <c r="H39" i="7" l="1"/>
  <c r="H40" i="7" s="1"/>
  <c r="H42" i="7"/>
  <c r="E19" i="6" s="1"/>
  <c r="G39" i="7"/>
  <c r="G40" i="7" s="1"/>
  <c r="G42" i="7"/>
  <c r="F39" i="7"/>
  <c r="F40" i="7" s="1"/>
  <c r="F42" i="7"/>
  <c r="E39" i="7"/>
  <c r="E40" i="7" s="1"/>
  <c r="E42" i="7"/>
  <c r="D39" i="7"/>
  <c r="D40" i="7" s="1"/>
  <c r="D42" i="7"/>
  <c r="C43" i="7" l="1"/>
  <c r="C45" i="7"/>
  <c r="C44" i="7"/>
</calcChain>
</file>

<file path=xl/sharedStrings.xml><?xml version="1.0" encoding="utf-8"?>
<sst xmlns="http://schemas.openxmlformats.org/spreadsheetml/2006/main" count="234" uniqueCount="140">
  <si>
    <t>Loan Amount</t>
  </si>
  <si>
    <t>Interest Rate</t>
  </si>
  <si>
    <t>Term</t>
  </si>
  <si>
    <t>Payment</t>
  </si>
  <si>
    <t>Month</t>
  </si>
  <si>
    <t>Year</t>
  </si>
  <si>
    <t>Monthly Payment</t>
  </si>
  <si>
    <t>Current Balance</t>
  </si>
  <si>
    <t>Principal Reduction</t>
  </si>
  <si>
    <t>Interest Expense</t>
  </si>
  <si>
    <t>Balloon Payment</t>
  </si>
  <si>
    <t>Ending Balance</t>
  </si>
  <si>
    <t>Principle Reduction</t>
  </si>
  <si>
    <t>Years</t>
  </si>
  <si>
    <t>Loan Proceeds</t>
  </si>
  <si>
    <t>Origination Fee</t>
  </si>
  <si>
    <t>Scheduled Income</t>
  </si>
  <si>
    <t># of Units</t>
  </si>
  <si>
    <t>Unit Type</t>
  </si>
  <si>
    <t>Avg. SF</t>
  </si>
  <si>
    <t>Current Rent</t>
  </si>
  <si>
    <t>Market Rent</t>
  </si>
  <si>
    <t>Monthly</t>
  </si>
  <si>
    <t>Annual</t>
  </si>
  <si>
    <t>Rent Growth Rate</t>
  </si>
  <si>
    <t>Gross Potential Rent</t>
  </si>
  <si>
    <t>Operating Expenses</t>
  </si>
  <si>
    <t>Market</t>
  </si>
  <si>
    <t>Current</t>
  </si>
  <si>
    <t>Total Expenses</t>
  </si>
  <si>
    <t>Purchase Price</t>
  </si>
  <si>
    <t>Down Payment</t>
  </si>
  <si>
    <t>Downpayment</t>
  </si>
  <si>
    <t>Type</t>
  </si>
  <si>
    <t>SF</t>
  </si>
  <si>
    <t>Rent Schedule</t>
  </si>
  <si>
    <t>Real Estate Taxes</t>
  </si>
  <si>
    <t>Insurance</t>
  </si>
  <si>
    <t>Utilities</t>
  </si>
  <si>
    <t>Maintenance</t>
  </si>
  <si>
    <t>Grounds</t>
  </si>
  <si>
    <t>Reserves</t>
  </si>
  <si>
    <t>Property Tax Rate</t>
  </si>
  <si>
    <t>Insurance (Per Unit)</t>
  </si>
  <si>
    <t>Maintenance (Per Unit)</t>
  </si>
  <si>
    <t>Reserves (Per Unit)</t>
  </si>
  <si>
    <t>Total Debt Service</t>
  </si>
  <si>
    <t>Total SF</t>
  </si>
  <si>
    <t>Total Units</t>
  </si>
  <si>
    <t>General Vacancy</t>
  </si>
  <si>
    <t>Net Operating Income</t>
  </si>
  <si>
    <t>Levered Cash on Cash</t>
  </si>
  <si>
    <t>Unlevered Cash on Cash</t>
  </si>
  <si>
    <t>Expense Growth Rate</t>
  </si>
  <si>
    <t>Unlevered Cash Flows</t>
  </si>
  <si>
    <t>Levered Cash Flows</t>
  </si>
  <si>
    <t>Purchase</t>
  </si>
  <si>
    <t>Exit Value</t>
  </si>
  <si>
    <t>Closing Costs</t>
  </si>
  <si>
    <t>Exit Cap</t>
  </si>
  <si>
    <t>Unlevered IRR</t>
  </si>
  <si>
    <t>Levered IRR</t>
  </si>
  <si>
    <t>Renovation Cost</t>
  </si>
  <si>
    <t>Amortization Term</t>
  </si>
  <si>
    <t>*ONLY EDIT ASSUMPTIONS IN BLUE*</t>
  </si>
  <si>
    <t>Hold Period (in Years)</t>
  </si>
  <si>
    <t>Purchase Closing Costs</t>
  </si>
  <si>
    <t>Cap Rate</t>
  </si>
  <si>
    <t>Grounds (Per Unit)</t>
  </si>
  <si>
    <t>Other Income</t>
  </si>
  <si>
    <t>Utilities/Month/Unit</t>
  </si>
  <si>
    <t>Total Cash Required</t>
  </si>
  <si>
    <t>Renovation Cost/Unit</t>
  </si>
  <si>
    <t>OpEx Assumptions</t>
  </si>
  <si>
    <t>Property Assumptions</t>
  </si>
  <si>
    <t>Utility Billback/Unit</t>
  </si>
  <si>
    <t>(+) Utility Billback</t>
  </si>
  <si>
    <t>DSCR</t>
  </si>
  <si>
    <t>Total Renovation Cost</t>
  </si>
  <si>
    <t>Annual Debt Service</t>
  </si>
  <si>
    <t>Cash Flow</t>
  </si>
  <si>
    <t>Property Details</t>
  </si>
  <si>
    <t>Asking Price</t>
  </si>
  <si>
    <t>Return Assumptions</t>
  </si>
  <si>
    <t>Utility Bill Back</t>
  </si>
  <si>
    <t>Exit Closing Costs</t>
  </si>
  <si>
    <t>Price/Unit</t>
  </si>
  <si>
    <t>Price/SF</t>
  </si>
  <si>
    <t>Profit</t>
  </si>
  <si>
    <t>Equity Multiple</t>
  </si>
  <si>
    <t>Exit Price/Unit</t>
  </si>
  <si>
    <t>IRR</t>
  </si>
  <si>
    <t>Year Built</t>
  </si>
  <si>
    <t>Interest Only (Months)</t>
  </si>
  <si>
    <t>(+) Other Income</t>
  </si>
  <si>
    <t>Gross Potential Income</t>
  </si>
  <si>
    <t>Total Income</t>
  </si>
  <si>
    <t>(-) Property Taxes</t>
  </si>
  <si>
    <t>(-) Insurance</t>
  </si>
  <si>
    <t>(-) Utilities</t>
  </si>
  <si>
    <t>(-) Maintenance</t>
  </si>
  <si>
    <t>(-) Grounds</t>
  </si>
  <si>
    <t>(-) Admin</t>
  </si>
  <si>
    <t>(-) Reserves</t>
  </si>
  <si>
    <t>Rent</t>
  </si>
  <si>
    <t>Billback</t>
  </si>
  <si>
    <t>Total</t>
  </si>
  <si>
    <t>Interiors</t>
  </si>
  <si>
    <t>Renovation Budget</t>
  </si>
  <si>
    <t>Cost/Unit</t>
  </si>
  <si>
    <t>Exteriors</t>
  </si>
  <si>
    <t>Renovation Total</t>
  </si>
  <si>
    <t>(+) Closing Costs</t>
  </si>
  <si>
    <t>Gross Operating Income</t>
  </si>
  <si>
    <t>(+) Downpayment</t>
  </si>
  <si>
    <t>(+) Renovation Budget</t>
  </si>
  <si>
    <t>Total Budget</t>
  </si>
  <si>
    <t>Acquisition + CapEx Budget</t>
  </si>
  <si>
    <t>(+) Origination Fee</t>
  </si>
  <si>
    <t>Acquisition Fee</t>
  </si>
  <si>
    <t xml:space="preserve">Asset Management Fee </t>
  </si>
  <si>
    <t>Concessions</t>
  </si>
  <si>
    <t>Bad Debt</t>
  </si>
  <si>
    <t>(-) Real Estate Taxes</t>
  </si>
  <si>
    <t>Loan Terms</t>
  </si>
  <si>
    <t>Physical Vacancy</t>
  </si>
  <si>
    <t>(-) Physical Vacancy</t>
  </si>
  <si>
    <t>(-) Concessions</t>
  </si>
  <si>
    <t>(-) Bad Debt</t>
  </si>
  <si>
    <t>(-) Asset Management Fee</t>
  </si>
  <si>
    <t>(-) Payroll</t>
  </si>
  <si>
    <t>(-) Management</t>
  </si>
  <si>
    <t>Payroll</t>
  </si>
  <si>
    <t>Property Management</t>
  </si>
  <si>
    <t>Administrative</t>
  </si>
  <si>
    <t>Origination Fee + Buydown</t>
  </si>
  <si>
    <t>name</t>
  </si>
  <si>
    <t>address</t>
  </si>
  <si>
    <t>aski</t>
  </si>
  <si>
    <t>built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</si>
</sst>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#;\(&quot;$&quot;#,###\);\-"/>
    <numFmt numFmtId="165" formatCode="0.0%"/>
    <numFmt numFmtId="166" formatCode="#,###;\(#,###\);\-"/>
    <numFmt numFmtId="167" formatCode="#,###.00%;\(#,###.00%\);\-"/>
    <numFmt numFmtId="168" formatCode="#,###.0%;\(#,###.0%\);\-"/>
    <numFmt numFmtId="169" formatCode="&quot;$&quot;#,##0"/>
    <numFmt numFmtId="170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.1"/>
      <color rgb="FF0070C0"/>
      <name val="Calibri"/>
      <family val="2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</font>
    <font>
      <sz val="11"/>
      <color theme="1"/>
      <name val="Aptos Narrow"/>
    </font>
    <font>
      <i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14" fontId="0" fillId="0" borderId="0" xfId="0" applyNumberFormat="1"/>
    <xf numFmtId="9" fontId="0" fillId="0" borderId="0" xfId="0" applyNumberFormat="1"/>
    <xf numFmtId="6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5" xfId="0" applyBorder="1"/>
    <xf numFmtId="0" fontId="2" fillId="0" borderId="0" xfId="0" applyFont="1"/>
    <xf numFmtId="164" fontId="0" fillId="0" borderId="9" xfId="0" applyNumberFormat="1" applyBorder="1"/>
    <xf numFmtId="164" fontId="0" fillId="0" borderId="8" xfId="0" applyNumberFormat="1" applyBorder="1"/>
    <xf numFmtId="0" fontId="0" fillId="0" borderId="10" xfId="0" applyBorder="1"/>
    <xf numFmtId="164" fontId="0" fillId="0" borderId="10" xfId="0" applyNumberFormat="1" applyBorder="1"/>
    <xf numFmtId="165" fontId="0" fillId="0" borderId="0" xfId="0" applyNumberForma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6" fontId="2" fillId="0" borderId="0" xfId="0" applyNumberFormat="1" applyFont="1"/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4" fillId="0" borderId="0" xfId="0" applyNumberFormat="1" applyFont="1" applyAlignment="1">
      <alignment horizontal="right"/>
    </xf>
    <xf numFmtId="0" fontId="2" fillId="0" borderId="7" xfId="0" applyFont="1" applyBorder="1"/>
    <xf numFmtId="166" fontId="4" fillId="0" borderId="3" xfId="0" applyNumberFormat="1" applyFont="1" applyBorder="1" applyAlignment="1">
      <alignment horizontal="right"/>
    </xf>
    <xf numFmtId="166" fontId="4" fillId="0" borderId="0" xfId="0" applyNumberFormat="1" applyFont="1" applyAlignment="1">
      <alignment horizontal="right"/>
    </xf>
    <xf numFmtId="166" fontId="4" fillId="0" borderId="5" xfId="0" applyNumberFormat="1" applyFont="1" applyBorder="1" applyAlignment="1">
      <alignment horizontal="right"/>
    </xf>
    <xf numFmtId="166" fontId="4" fillId="0" borderId="10" xfId="0" applyNumberFormat="1" applyFont="1" applyBorder="1" applyAlignment="1">
      <alignment horizontal="right"/>
    </xf>
    <xf numFmtId="0" fontId="2" fillId="0" borderId="5" xfId="0" applyFont="1" applyBorder="1"/>
    <xf numFmtId="0" fontId="0" fillId="0" borderId="1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2" fillId="0" borderId="9" xfId="0" applyNumberFormat="1" applyFont="1" applyBorder="1"/>
    <xf numFmtId="164" fontId="2" fillId="0" borderId="8" xfId="0" applyNumberFormat="1" applyFont="1" applyBorder="1"/>
    <xf numFmtId="167" fontId="0" fillId="0" borderId="0" xfId="0" applyNumberFormat="1"/>
    <xf numFmtId="164" fontId="2" fillId="0" borderId="0" xfId="0" applyNumberFormat="1" applyFont="1"/>
    <xf numFmtId="0" fontId="2" fillId="2" borderId="7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4" fillId="0" borderId="1" xfId="0" applyNumberFormat="1" applyFont="1" applyBorder="1"/>
    <xf numFmtId="164" fontId="4" fillId="0" borderId="2" xfId="0" applyNumberFormat="1" applyFont="1" applyBorder="1"/>
    <xf numFmtId="0" fontId="6" fillId="0" borderId="0" xfId="0" applyFont="1"/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2" fillId="0" borderId="1" xfId="0" applyFont="1" applyBorder="1"/>
    <xf numFmtId="164" fontId="3" fillId="3" borderId="13" xfId="0" applyNumberFormat="1" applyFont="1" applyFill="1" applyBorder="1" applyAlignment="1">
      <alignment horizontal="center"/>
    </xf>
    <xf numFmtId="9" fontId="3" fillId="3" borderId="13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9" fontId="3" fillId="3" borderId="12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0" fontId="3" fillId="3" borderId="7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6" fontId="3" fillId="3" borderId="0" xfId="0" applyNumberFormat="1" applyFont="1" applyFill="1" applyAlignment="1">
      <alignment horizontal="center"/>
    </xf>
    <xf numFmtId="164" fontId="0" fillId="0" borderId="9" xfId="1" applyNumberFormat="1" applyFont="1" applyBorder="1"/>
    <xf numFmtId="164" fontId="0" fillId="0" borderId="8" xfId="1" applyNumberFormat="1" applyFont="1" applyBorder="1"/>
    <xf numFmtId="0" fontId="0" fillId="0" borderId="13" xfId="0" applyBorder="1"/>
    <xf numFmtId="0" fontId="2" fillId="0" borderId="0" xfId="0" applyFont="1" applyAlignment="1">
      <alignment horizontal="center"/>
    </xf>
    <xf numFmtId="3" fontId="2" fillId="0" borderId="2" xfId="0" applyNumberFormat="1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1" fillId="0" borderId="0" xfId="2"/>
    <xf numFmtId="165" fontId="1" fillId="0" borderId="0" xfId="2" applyNumberFormat="1"/>
    <xf numFmtId="0" fontId="2" fillId="0" borderId="0" xfId="2" applyFont="1"/>
    <xf numFmtId="167" fontId="1" fillId="0" borderId="0" xfId="2" applyNumberFormat="1"/>
    <xf numFmtId="6" fontId="1" fillId="0" borderId="0" xfId="2" applyNumberFormat="1"/>
    <xf numFmtId="164" fontId="2" fillId="0" borderId="8" xfId="2" applyNumberFormat="1" applyFont="1" applyBorder="1"/>
    <xf numFmtId="164" fontId="2" fillId="0" borderId="9" xfId="2" applyNumberFormat="1" applyFont="1" applyBorder="1"/>
    <xf numFmtId="0" fontId="2" fillId="0" borderId="7" xfId="2" applyFont="1" applyBorder="1"/>
    <xf numFmtId="164" fontId="1" fillId="0" borderId="10" xfId="2" applyNumberFormat="1" applyBorder="1"/>
    <xf numFmtId="0" fontId="1" fillId="0" borderId="10" xfId="2" applyBorder="1"/>
    <xf numFmtId="164" fontId="1" fillId="0" borderId="0" xfId="2" applyNumberFormat="1"/>
    <xf numFmtId="0" fontId="1" fillId="0" borderId="3" xfId="2" applyBorder="1"/>
    <xf numFmtId="0" fontId="2" fillId="2" borderId="8" xfId="2" applyFont="1" applyFill="1" applyBorder="1" applyAlignment="1">
      <alignment horizontal="center"/>
    </xf>
    <xf numFmtId="0" fontId="2" fillId="2" borderId="9" xfId="2" applyFont="1" applyFill="1" applyBorder="1" applyAlignment="1">
      <alignment horizontal="center"/>
    </xf>
    <xf numFmtId="0" fontId="2" fillId="2" borderId="7" xfId="2" applyFont="1" applyFill="1" applyBorder="1"/>
    <xf numFmtId="0" fontId="5" fillId="0" borderId="0" xfId="2" applyFont="1"/>
    <xf numFmtId="6" fontId="1" fillId="0" borderId="4" xfId="2" applyNumberFormat="1" applyBorder="1"/>
    <xf numFmtId="6" fontId="2" fillId="0" borderId="0" xfId="2" applyNumberFormat="1" applyFont="1"/>
    <xf numFmtId="0" fontId="4" fillId="0" borderId="4" xfId="2" applyFont="1" applyBorder="1"/>
    <xf numFmtId="166" fontId="4" fillId="0" borderId="10" xfId="2" applyNumberFormat="1" applyFont="1" applyBorder="1" applyAlignment="1">
      <alignment horizontal="right"/>
    </xf>
    <xf numFmtId="164" fontId="4" fillId="0" borderId="0" xfId="2" applyNumberFormat="1" applyFont="1" applyAlignment="1">
      <alignment horizontal="right"/>
    </xf>
    <xf numFmtId="166" fontId="4" fillId="0" borderId="0" xfId="2" applyNumberFormat="1" applyFont="1" applyAlignment="1">
      <alignment horizontal="right"/>
    </xf>
    <xf numFmtId="166" fontId="4" fillId="0" borderId="3" xfId="2" applyNumberFormat="1" applyFont="1" applyBorder="1" applyAlignment="1">
      <alignment horizontal="right"/>
    </xf>
    <xf numFmtId="0" fontId="2" fillId="3" borderId="9" xfId="2" applyFont="1" applyFill="1" applyBorder="1" applyAlignment="1">
      <alignment horizontal="center"/>
    </xf>
    <xf numFmtId="0" fontId="2" fillId="3" borderId="7" xfId="2" applyFont="1" applyFill="1" applyBorder="1" applyAlignment="1">
      <alignment horizontal="center"/>
    </xf>
    <xf numFmtId="0" fontId="2" fillId="0" borderId="14" xfId="0" applyFont="1" applyBorder="1"/>
    <xf numFmtId="0" fontId="3" fillId="3" borderId="10" xfId="0" applyFont="1" applyFill="1" applyBorder="1" applyAlignment="1">
      <alignment horizontal="center"/>
    </xf>
    <xf numFmtId="0" fontId="2" fillId="0" borderId="13" xfId="0" applyFont="1" applyBorder="1"/>
    <xf numFmtId="165" fontId="2" fillId="5" borderId="0" xfId="0" applyNumberFormat="1" applyFont="1" applyFill="1"/>
    <xf numFmtId="165" fontId="2" fillId="5" borderId="4" xfId="0" applyNumberFormat="1" applyFont="1" applyFill="1" applyBorder="1"/>
    <xf numFmtId="165" fontId="2" fillId="5" borderId="1" xfId="0" applyNumberFormat="1" applyFont="1" applyFill="1" applyBorder="1"/>
    <xf numFmtId="6" fontId="4" fillId="3" borderId="10" xfId="0" applyNumberFormat="1" applyFont="1" applyFill="1" applyBorder="1" applyAlignment="1">
      <alignment horizontal="center"/>
    </xf>
    <xf numFmtId="164" fontId="2" fillId="0" borderId="7" xfId="0" applyNumberFormat="1" applyFont="1" applyBorder="1"/>
    <xf numFmtId="164" fontId="2" fillId="0" borderId="2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  <xf numFmtId="0" fontId="5" fillId="0" borderId="3" xfId="0" applyFont="1" applyBorder="1"/>
    <xf numFmtId="4" fontId="0" fillId="0" borderId="4" xfId="0" applyNumberFormat="1" applyBorder="1"/>
    <xf numFmtId="164" fontId="2" fillId="0" borderId="1" xfId="0" applyNumberFormat="1" applyFont="1" applyBorder="1"/>
    <xf numFmtId="164" fontId="2" fillId="0" borderId="3" xfId="0" applyNumberFormat="1" applyFont="1" applyBorder="1"/>
    <xf numFmtId="4" fontId="0" fillId="0" borderId="3" xfId="0" applyNumberFormat="1" applyBorder="1"/>
    <xf numFmtId="164" fontId="2" fillId="0" borderId="5" xfId="0" applyNumberFormat="1" applyFont="1" applyBorder="1"/>
    <xf numFmtId="0" fontId="4" fillId="3" borderId="5" xfId="0" applyFont="1" applyFill="1" applyBorder="1" applyAlignment="1">
      <alignment horizontal="left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6" fontId="3" fillId="3" borderId="0" xfId="0" applyNumberFormat="1" applyFont="1" applyFill="1" applyAlignment="1">
      <alignment horizontal="center"/>
    </xf>
    <xf numFmtId="6" fontId="4" fillId="3" borderId="6" xfId="0" applyNumberFormat="1" applyFont="1" applyFill="1" applyBorder="1" applyAlignment="1">
      <alignment horizontal="center"/>
    </xf>
    <xf numFmtId="165" fontId="2" fillId="5" borderId="3" xfId="0" applyNumberFormat="1" applyFont="1" applyFill="1" applyBorder="1"/>
    <xf numFmtId="0" fontId="0" fillId="0" borderId="14" xfId="0" applyBorder="1"/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164" fontId="0" fillId="0" borderId="15" xfId="1" applyNumberFormat="1" applyFont="1" applyBorder="1"/>
    <xf numFmtId="164" fontId="0" fillId="0" borderId="0" xfId="1" applyNumberFormat="1" applyFont="1" applyBorder="1"/>
    <xf numFmtId="0" fontId="0" fillId="0" borderId="12" xfId="0" applyBorder="1"/>
    <xf numFmtId="0" fontId="4" fillId="3" borderId="14" xfId="1" applyNumberFormat="1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0" borderId="9" xfId="0" applyFont="1" applyBorder="1"/>
    <xf numFmtId="168" fontId="0" fillId="0" borderId="0" xfId="0" applyNumberFormat="1"/>
    <xf numFmtId="0" fontId="6" fillId="0" borderId="7" xfId="0" applyFont="1" applyBorder="1"/>
    <xf numFmtId="6" fontId="2" fillId="0" borderId="12" xfId="0" applyNumberFormat="1" applyFon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169" fontId="2" fillId="3" borderId="11" xfId="0" applyNumberFormat="1" applyFont="1" applyFill="1" applyBorder="1" applyAlignment="1">
      <alignment horizontal="center"/>
    </xf>
    <xf numFmtId="10" fontId="2" fillId="0" borderId="7" xfId="0" applyNumberFormat="1" applyFont="1" applyBorder="1"/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164" fontId="2" fillId="5" borderId="0" xfId="0" applyNumberFormat="1" applyFont="1" applyFill="1"/>
    <xf numFmtId="0" fontId="2" fillId="0" borderId="0" xfId="0" applyFont="1" applyAlignment="1">
      <alignment horizontal="left"/>
    </xf>
    <xf numFmtId="10" fontId="2" fillId="0" borderId="7" xfId="0" applyNumberFormat="1" applyFont="1" applyBorder="1" applyAlignment="1">
      <alignment horizontal="left"/>
    </xf>
    <xf numFmtId="10" fontId="2" fillId="0" borderId="9" xfId="0" applyNumberFormat="1" applyFont="1" applyBorder="1" applyAlignment="1">
      <alignment horizontal="left"/>
    </xf>
    <xf numFmtId="164" fontId="4" fillId="3" borderId="1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4" fontId="2" fillId="5" borderId="9" xfId="0" applyNumberFormat="1" applyFont="1" applyFill="1" applyBorder="1"/>
    <xf numFmtId="0" fontId="2" fillId="0" borderId="15" xfId="0" applyFont="1" applyBorder="1"/>
    <xf numFmtId="168" fontId="2" fillId="0" borderId="15" xfId="0" applyNumberFormat="1" applyFont="1" applyBorder="1"/>
    <xf numFmtId="0" fontId="2" fillId="0" borderId="10" xfId="0" applyFont="1" applyBorder="1"/>
    <xf numFmtId="9" fontId="2" fillId="5" borderId="0" xfId="0" applyNumberFormat="1" applyFont="1" applyFill="1"/>
    <xf numFmtId="4" fontId="2" fillId="5" borderId="10" xfId="0" applyNumberFormat="1" applyFont="1" applyFill="1" applyBorder="1"/>
    <xf numFmtId="164" fontId="9" fillId="0" borderId="2" xfId="0" applyNumberFormat="1" applyFont="1" applyBorder="1"/>
    <xf numFmtId="164" fontId="9" fillId="0" borderId="4" xfId="0" applyNumberFormat="1" applyFont="1" applyBorder="1"/>
    <xf numFmtId="8" fontId="4" fillId="3" borderId="0" xfId="0" applyNumberFormat="1" applyFont="1" applyFill="1" applyAlignment="1">
      <alignment horizontal="center"/>
    </xf>
    <xf numFmtId="8" fontId="4" fillId="3" borderId="4" xfId="0" applyNumberFormat="1" applyFont="1" applyFill="1" applyBorder="1" applyAlignment="1">
      <alignment horizontal="center"/>
    </xf>
    <xf numFmtId="0" fontId="2" fillId="0" borderId="9" xfId="2" applyFont="1" applyBorder="1"/>
    <xf numFmtId="0" fontId="4" fillId="0" borderId="1" xfId="0" applyFont="1" applyBorder="1"/>
    <xf numFmtId="0" fontId="4" fillId="0" borderId="3" xfId="0" applyFont="1" applyBorder="1"/>
    <xf numFmtId="10" fontId="3" fillId="3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/>
    <xf numFmtId="0" fontId="5" fillId="0" borderId="0" xfId="0" applyFont="1" applyAlignment="1">
      <alignment horizontal="left"/>
    </xf>
    <xf numFmtId="164" fontId="2" fillId="0" borderId="11" xfId="0" applyNumberFormat="1" applyFont="1" applyBorder="1" applyAlignment="1">
      <alignment horizontal="center"/>
    </xf>
    <xf numFmtId="0" fontId="2" fillId="0" borderId="11" xfId="0" applyFont="1" applyBorder="1"/>
    <xf numFmtId="6" fontId="4" fillId="3" borderId="0" xfId="0" applyNumberFormat="1" applyFont="1" applyFill="1" applyAlignment="1">
      <alignment horizontal="center"/>
    </xf>
    <xf numFmtId="0" fontId="10" fillId="0" borderId="0" xfId="0" applyFont="1"/>
    <xf numFmtId="169" fontId="10" fillId="0" borderId="0" xfId="0" applyNumberFormat="1" applyFont="1"/>
    <xf numFmtId="3" fontId="10" fillId="0" borderId="0" xfId="0" applyNumberFormat="1" applyFont="1"/>
    <xf numFmtId="164" fontId="2" fillId="0" borderId="11" xfId="0" applyNumberFormat="1" applyFont="1" applyBorder="1"/>
    <xf numFmtId="0" fontId="0" fillId="0" borderId="15" xfId="0" applyBorder="1"/>
    <xf numFmtId="164" fontId="4" fillId="0" borderId="4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2" fillId="3" borderId="8" xfId="2" applyFont="1" applyFill="1" applyBorder="1" applyAlignment="1">
      <alignment horizontal="center"/>
    </xf>
    <xf numFmtId="164" fontId="4" fillId="0" borderId="4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169" fontId="4" fillId="3" borderId="12" xfId="1" applyNumberFormat="1" applyFont="1" applyFill="1" applyBorder="1" applyAlignment="1">
      <alignment horizontal="center"/>
    </xf>
    <xf numFmtId="10" fontId="3" fillId="3" borderId="6" xfId="0" applyNumberFormat="1" applyFont="1" applyFill="1" applyBorder="1" applyAlignment="1">
      <alignment horizontal="center"/>
    </xf>
    <xf numFmtId="170" fontId="4" fillId="3" borderId="10" xfId="0" applyNumberFormat="1" applyFont="1" applyFill="1" applyBorder="1" applyAlignment="1">
      <alignment horizontal="center"/>
    </xf>
    <xf numFmtId="164" fontId="2" fillId="0" borderId="10" xfId="0" applyNumberFormat="1" applyFont="1" applyBorder="1"/>
    <xf numFmtId="0" fontId="0" fillId="0" borderId="4" xfId="0" applyBorder="1"/>
    <xf numFmtId="0" fontId="0" fillId="0" borderId="6" xfId="0" applyBorder="1"/>
    <xf numFmtId="164" fontId="2" fillId="0" borderId="0" xfId="2" applyNumberFormat="1" applyFont="1"/>
    <xf numFmtId="164" fontId="2" fillId="5" borderId="9" xfId="2" applyNumberFormat="1" applyFont="1" applyFill="1" applyBorder="1"/>
    <xf numFmtId="0" fontId="2" fillId="0" borderId="1" xfId="2" applyFont="1" applyBorder="1"/>
    <xf numFmtId="0" fontId="2" fillId="0" borderId="15" xfId="2" applyFont="1" applyBorder="1"/>
    <xf numFmtId="167" fontId="2" fillId="0" borderId="15" xfId="2" applyNumberFormat="1" applyFont="1" applyBorder="1"/>
    <xf numFmtId="0" fontId="2" fillId="0" borderId="3" xfId="2" applyFont="1" applyBorder="1"/>
    <xf numFmtId="165" fontId="2" fillId="5" borderId="0" xfId="2" applyNumberFormat="1" applyFont="1" applyFill="1"/>
    <xf numFmtId="0" fontId="2" fillId="0" borderId="4" xfId="2" applyFont="1" applyBorder="1"/>
    <xf numFmtId="164" fontId="2" fillId="5" borderId="0" xfId="2" applyNumberFormat="1" applyFont="1" applyFill="1"/>
    <xf numFmtId="0" fontId="2" fillId="0" borderId="5" xfId="2" applyFont="1" applyBorder="1"/>
    <xf numFmtId="4" fontId="2" fillId="5" borderId="10" xfId="2" applyNumberFormat="1" applyFont="1" applyFill="1" applyBorder="1"/>
    <xf numFmtId="0" fontId="2" fillId="0" borderId="10" xfId="2" applyFont="1" applyBorder="1"/>
    <xf numFmtId="0" fontId="2" fillId="0" borderId="6" xfId="2" applyFont="1" applyBorder="1"/>
    <xf numFmtId="165" fontId="2" fillId="5" borderId="2" xfId="3" applyNumberFormat="1" applyFont="1" applyFill="1" applyBorder="1"/>
    <xf numFmtId="166" fontId="4" fillId="0" borderId="5" xfId="2" applyNumberFormat="1" applyFont="1" applyBorder="1" applyAlignment="1">
      <alignment horizontal="left"/>
    </xf>
    <xf numFmtId="167" fontId="0" fillId="0" borderId="4" xfId="0" applyNumberFormat="1" applyBorder="1"/>
    <xf numFmtId="0" fontId="0" fillId="4" borderId="7" xfId="0" applyFill="1" applyBorder="1" applyAlignment="1">
      <alignment horizontal="center"/>
    </xf>
    <xf numFmtId="0" fontId="1" fillId="0" borderId="15" xfId="2" applyBorder="1"/>
    <xf numFmtId="0" fontId="2" fillId="0" borderId="4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0" borderId="2" xfId="0" applyFont="1" applyBorder="1"/>
    <xf numFmtId="14" fontId="4" fillId="0" borderId="0" xfId="2" applyNumberFormat="1" applyFont="1" applyAlignment="1">
      <alignment horizontal="right"/>
    </xf>
    <xf numFmtId="0" fontId="4" fillId="0" borderId="15" xfId="2" applyFont="1" applyBorder="1"/>
    <xf numFmtId="168" fontId="2" fillId="0" borderId="2" xfId="0" applyNumberFormat="1" applyFont="1" applyBorder="1"/>
    <xf numFmtId="164" fontId="2" fillId="0" borderId="15" xfId="0" applyNumberFormat="1" applyFont="1" applyBorder="1"/>
    <xf numFmtId="9" fontId="3" fillId="3" borderId="14" xfId="0" applyNumberFormat="1" applyFon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6" fontId="12" fillId="0" borderId="0" xfId="0" applyNumberFormat="1" applyFont="1"/>
    <xf numFmtId="3" fontId="12" fillId="0" borderId="0" xfId="0" applyNumberFormat="1" applyFont="1"/>
    <xf numFmtId="0" fontId="1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2AD2766C-4241-41C9-BD0F-A1CF3D9927C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73B5-9801-4C44-9A79-BFBABE786BBF}">
  <sheetPr>
    <pageSetUpPr fitToPage="1"/>
  </sheetPr>
  <dimension ref="A1:T39"/>
  <sheetViews>
    <sheetView tabSelected="1" topLeftCell="A3" zoomScale="125" zoomScaleNormal="125" zoomScaleSheetLayoutView="112" workbookViewId="0">
      <selection activeCell="B23" sqref="B23"/>
    </sheetView>
  </sheetViews>
  <sheetFormatPr baseColWidth="10" defaultColWidth="8.83203125" defaultRowHeight="15" outlineLevelRow="1" x14ac:dyDescent="0.2"/>
  <cols>
    <col min="1" max="1" width="21.6640625" bestFit="1" customWidth="1"/>
    <col min="2" max="2" width="13.6640625" bestFit="1" customWidth="1"/>
    <col min="3" max="3" width="1.33203125" customWidth="1"/>
    <col min="4" max="4" width="22.83203125" bestFit="1" customWidth="1"/>
    <col min="5" max="5" width="11.1640625" bestFit="1" customWidth="1"/>
    <col min="6" max="6" width="12.5" bestFit="1" customWidth="1"/>
    <col min="7" max="7" width="1" customWidth="1"/>
    <col min="8" max="8" width="16.83203125" bestFit="1" customWidth="1"/>
    <col min="9" max="9" width="14.1640625" bestFit="1" customWidth="1"/>
    <col min="10" max="10" width="5.5" bestFit="1" customWidth="1"/>
    <col min="11" max="11" width="12.1640625" bestFit="1" customWidth="1"/>
    <col min="12" max="12" width="12.83203125" bestFit="1" customWidth="1"/>
    <col min="13" max="13" width="11.83203125" bestFit="1" customWidth="1"/>
    <col min="14" max="14" width="8.1640625" bestFit="1" customWidth="1"/>
    <col min="15" max="15" width="15.6640625" customWidth="1"/>
    <col min="16" max="16" width="3.1640625" bestFit="1" customWidth="1"/>
    <col min="17" max="17" width="15.6640625" bestFit="1" customWidth="1"/>
    <col min="18" max="18" width="10.33203125" bestFit="1" customWidth="1"/>
    <col min="19" max="19" width="13.83203125" bestFit="1" customWidth="1"/>
    <col min="20" max="20" width="7.1640625" bestFit="1" customWidth="1"/>
  </cols>
  <sheetData>
    <row r="1" spans="1:20" ht="16" hidden="1" outlineLevel="1" x14ac:dyDescent="0.2">
      <c r="A1" s="218" t="s">
        <v>64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20" collapsed="1" x14ac:dyDescent="0.2">
      <c r="A2" s="216" t="s">
        <v>81</v>
      </c>
      <c r="B2" s="217"/>
      <c r="D2" s="43"/>
      <c r="E2" s="14" t="s">
        <v>28</v>
      </c>
      <c r="F2" s="15" t="s">
        <v>27</v>
      </c>
      <c r="G2" s="2"/>
      <c r="H2" s="43" t="s">
        <v>35</v>
      </c>
      <c r="P2" s="107"/>
    </row>
    <row r="3" spans="1:20" x14ac:dyDescent="0.2">
      <c r="A3" s="219" t="s">
        <v>136</v>
      </c>
      <c r="B3" s="220"/>
      <c r="D3" s="29" t="s">
        <v>30</v>
      </c>
      <c r="E3" s="41">
        <f>+B9</f>
        <v>0</v>
      </c>
      <c r="F3" s="42">
        <f>+B9</f>
        <v>0</v>
      </c>
      <c r="H3" s="16" t="s">
        <v>17</v>
      </c>
      <c r="I3" s="17" t="s">
        <v>33</v>
      </c>
      <c r="J3" s="17" t="s">
        <v>34</v>
      </c>
      <c r="K3" s="17" t="s">
        <v>20</v>
      </c>
      <c r="L3" s="17" t="s">
        <v>87</v>
      </c>
      <c r="M3" s="17" t="s">
        <v>21</v>
      </c>
      <c r="N3" s="18" t="s">
        <v>87</v>
      </c>
      <c r="O3" s="169"/>
      <c r="P3" s="167"/>
      <c r="Q3" s="167"/>
      <c r="R3" s="168"/>
    </row>
    <row r="4" spans="1:20" x14ac:dyDescent="0.2">
      <c r="A4" s="221" t="s">
        <v>137</v>
      </c>
      <c r="B4" s="222"/>
      <c r="D4" s="5" t="s">
        <v>31</v>
      </c>
      <c r="E4" s="30">
        <f>+E3*$B$10</f>
        <v>0</v>
      </c>
      <c r="F4" s="31">
        <f>+F3*$B$10</f>
        <v>0</v>
      </c>
      <c r="H4" s="215"/>
      <c r="I4" s="109"/>
      <c r="J4" s="55"/>
      <c r="K4" s="56"/>
      <c r="L4" s="156" t="e">
        <f>+K4/J4</f>
        <v>#DIV/0!</v>
      </c>
      <c r="M4" s="166">
        <f>+K4*(1+$B$20)^$B$8</f>
        <v>0</v>
      </c>
      <c r="N4" s="157" t="e">
        <f>+M4/J4</f>
        <v>#DIV/0!</v>
      </c>
      <c r="O4" s="167"/>
      <c r="P4" s="210"/>
      <c r="Q4" s="210"/>
      <c r="R4" s="210"/>
      <c r="S4" s="210"/>
      <c r="T4" s="210"/>
    </row>
    <row r="5" spans="1:20" x14ac:dyDescent="0.2">
      <c r="A5" s="119" t="s">
        <v>82</v>
      </c>
      <c r="B5" s="177" t="s">
        <v>138</v>
      </c>
      <c r="D5" s="5" t="s">
        <v>0</v>
      </c>
      <c r="E5" s="30">
        <f>+E3-E4</f>
        <v>0</v>
      </c>
      <c r="F5" s="31">
        <f>+F3-F4</f>
        <v>0</v>
      </c>
      <c r="H5" s="54"/>
      <c r="I5" s="109"/>
      <c r="J5" s="55"/>
      <c r="K5" s="56"/>
      <c r="L5" s="156"/>
      <c r="M5" s="166"/>
      <c r="N5" s="157"/>
      <c r="O5" s="167"/>
      <c r="P5" s="211"/>
      <c r="Q5" s="211"/>
      <c r="R5" s="211"/>
      <c r="S5" s="211"/>
      <c r="T5" s="212"/>
    </row>
    <row r="6" spans="1:20" x14ac:dyDescent="0.2">
      <c r="A6" s="6" t="s">
        <v>92</v>
      </c>
      <c r="B6" s="120" t="s">
        <v>139</v>
      </c>
      <c r="D6" s="28" t="s">
        <v>1</v>
      </c>
      <c r="E6" s="53">
        <v>0.06</v>
      </c>
      <c r="F6" s="53">
        <v>0.06</v>
      </c>
      <c r="G6" s="5"/>
      <c r="H6" s="54"/>
      <c r="I6" s="55"/>
      <c r="J6" s="55"/>
      <c r="K6" s="56"/>
      <c r="L6" s="156"/>
      <c r="M6" s="166"/>
      <c r="N6" s="157"/>
      <c r="O6" s="167"/>
      <c r="P6" s="211"/>
      <c r="Q6" s="211"/>
      <c r="R6" s="211"/>
      <c r="S6" s="211"/>
      <c r="T6" s="212"/>
    </row>
    <row r="7" spans="1:20" x14ac:dyDescent="0.2">
      <c r="A7" s="216" t="s">
        <v>74</v>
      </c>
      <c r="B7" s="217"/>
      <c r="D7" s="47" t="s">
        <v>72</v>
      </c>
      <c r="E7" s="52">
        <v>0</v>
      </c>
      <c r="F7" s="141" t="e">
        <f>+F8/I16</f>
        <v>#DIV/0!</v>
      </c>
      <c r="H7" s="214"/>
      <c r="I7" s="55"/>
      <c r="J7" s="55"/>
      <c r="K7" s="56"/>
      <c r="L7" s="156"/>
      <c r="M7" s="166"/>
      <c r="N7" s="157"/>
      <c r="O7" s="169"/>
      <c r="P7" s="211"/>
      <c r="Q7" s="211"/>
      <c r="R7" s="211"/>
      <c r="S7" s="211"/>
      <c r="T7" s="212"/>
    </row>
    <row r="8" spans="1:20" x14ac:dyDescent="0.2">
      <c r="A8" s="47" t="s">
        <v>65</v>
      </c>
      <c r="B8" s="46">
        <v>5</v>
      </c>
      <c r="D8" s="89" t="s">
        <v>78</v>
      </c>
      <c r="E8" s="113">
        <f>+E7*$I$16</f>
        <v>0</v>
      </c>
      <c r="F8" s="114">
        <f>+I21</f>
        <v>0</v>
      </c>
      <c r="H8" s="214"/>
      <c r="I8" s="55"/>
      <c r="J8" s="55"/>
      <c r="K8" s="56"/>
      <c r="L8" s="156"/>
      <c r="M8" s="166"/>
      <c r="N8" s="157"/>
      <c r="O8" s="167"/>
      <c r="P8" s="211"/>
      <c r="Q8" s="211"/>
      <c r="R8" s="211"/>
      <c r="S8" s="211"/>
      <c r="T8" s="212"/>
    </row>
    <row r="9" spans="1:20" x14ac:dyDescent="0.2">
      <c r="A9" s="5" t="s">
        <v>30</v>
      </c>
      <c r="B9" s="48"/>
      <c r="D9" s="28" t="s">
        <v>71</v>
      </c>
      <c r="E9" s="96">
        <f>-Current!C40</f>
        <v>0</v>
      </c>
      <c r="F9" s="162" t="e">
        <f>-Market!C40</f>
        <v>#DIV/0!</v>
      </c>
      <c r="H9" s="54"/>
      <c r="I9" s="55"/>
      <c r="J9" s="55"/>
      <c r="K9" s="56"/>
      <c r="L9" s="156"/>
      <c r="M9" s="166"/>
      <c r="N9" s="157"/>
      <c r="O9" s="167"/>
      <c r="P9" s="211"/>
      <c r="Q9" s="211"/>
      <c r="R9" s="211"/>
      <c r="S9" s="211"/>
      <c r="T9" s="212"/>
    </row>
    <row r="10" spans="1:20" x14ac:dyDescent="0.2">
      <c r="A10" s="5" t="s">
        <v>32</v>
      </c>
      <c r="B10" s="49">
        <v>0.25</v>
      </c>
      <c r="D10" s="28" t="s">
        <v>116</v>
      </c>
      <c r="E10" s="96">
        <f>+$B$9+($B$9*$B$16)+($B$9*(1-$B$10)*$B$15)+E8</f>
        <v>0</v>
      </c>
      <c r="F10" s="170">
        <f>+$B$9+($B$9*$B$16)+($B$9*(1-$B$10)*$B$15)+F8</f>
        <v>0</v>
      </c>
      <c r="H10" s="54"/>
      <c r="I10" s="55"/>
      <c r="J10" s="55"/>
      <c r="K10" s="56"/>
      <c r="L10" s="156"/>
      <c r="M10" s="166"/>
      <c r="N10" s="157"/>
      <c r="O10" s="167"/>
      <c r="P10" s="211"/>
      <c r="Q10" s="211"/>
      <c r="R10" s="211"/>
      <c r="S10" s="211"/>
      <c r="T10" s="212"/>
    </row>
    <row r="11" spans="1:20" x14ac:dyDescent="0.2">
      <c r="A11" s="5" t="s">
        <v>49</v>
      </c>
      <c r="B11" s="49">
        <v>0.05</v>
      </c>
      <c r="D11" s="13" t="s">
        <v>109</v>
      </c>
      <c r="E11" s="4" t="e">
        <f>E10/I16</f>
        <v>#DIV/0!</v>
      </c>
      <c r="F11" s="4" t="e">
        <f>F10/I16</f>
        <v>#DIV/0!</v>
      </c>
      <c r="H11" s="54"/>
      <c r="I11" s="55"/>
      <c r="J11" s="55"/>
      <c r="K11" s="56"/>
      <c r="L11" s="156"/>
      <c r="M11" s="166"/>
      <c r="N11" s="157"/>
      <c r="O11" s="167"/>
      <c r="P11" s="211"/>
      <c r="Q11" s="211"/>
      <c r="R11" s="211"/>
      <c r="S11" s="211"/>
      <c r="T11" s="212"/>
    </row>
    <row r="12" spans="1:20" x14ac:dyDescent="0.2">
      <c r="A12" s="5" t="s">
        <v>121</v>
      </c>
      <c r="B12" s="161">
        <v>5.0000000000000001E-3</v>
      </c>
      <c r="D12" s="47" t="s">
        <v>113</v>
      </c>
      <c r="E12" s="102" t="e">
        <f>+SUMIFS(Current!$D$15:$N$15,Current!$D$3:$N$3,Summary!$B$8)</f>
        <v>#DIV/0!</v>
      </c>
      <c r="F12" s="97" t="e">
        <f>+SUMIFS(Market!$D$15:$N$15,Market!$D$3:$N$3,Summary!$B$8)</f>
        <v>#DIV/0!</v>
      </c>
      <c r="H12" s="106" t="s">
        <v>75</v>
      </c>
      <c r="I12" s="90"/>
      <c r="J12" s="90"/>
      <c r="K12" s="179" t="e">
        <f>26751/I16/12</f>
        <v>#DIV/0!</v>
      </c>
      <c r="L12" s="95"/>
      <c r="M12" s="95" t="e">
        <f>B23*B24</f>
        <v>#DIV/0!</v>
      </c>
      <c r="N12" s="110"/>
      <c r="O12" s="169"/>
      <c r="P12" s="211"/>
      <c r="Q12" s="211"/>
      <c r="R12" s="211"/>
      <c r="S12" s="211"/>
      <c r="T12" s="212"/>
    </row>
    <row r="13" spans="1:20" x14ac:dyDescent="0.2">
      <c r="A13" s="5" t="s">
        <v>122</v>
      </c>
      <c r="B13" s="161">
        <v>5.0000000000000001E-3</v>
      </c>
      <c r="D13" s="98" t="s">
        <v>50</v>
      </c>
      <c r="E13" s="103" t="e">
        <f>+SUMIFS(Current!$C$27:$M$27,Current!$C$3:$M$3,Summary!$B$8)</f>
        <v>#DIV/0!</v>
      </c>
      <c r="F13" s="99" t="e">
        <f>+SUMIFS(Market!$C$27:$M$27,Market!$C$3:$M$3,Summary!$B$8)</f>
        <v>#DIV/0!</v>
      </c>
      <c r="O13" s="167"/>
      <c r="P13" s="211"/>
      <c r="Q13" s="211"/>
      <c r="R13" s="211"/>
      <c r="S13" s="211"/>
      <c r="T13" s="212"/>
    </row>
    <row r="14" spans="1:20" x14ac:dyDescent="0.2">
      <c r="A14" s="5" t="s">
        <v>63</v>
      </c>
      <c r="B14" s="50">
        <v>360</v>
      </c>
      <c r="D14" s="98" t="s">
        <v>79</v>
      </c>
      <c r="E14" s="103">
        <f>-SUMIFS('Current Amortization Table'!$D$3:$D$363,'Current Amortization Table'!$C$3:$C$363,Summary!$B$8)</f>
        <v>0</v>
      </c>
      <c r="F14" s="99">
        <f>-SUMIFS('Market Amortization Table'!$D$3:$D$363,'Market Amortization Table'!$C$3:$C$363,Summary!$B$8)</f>
        <v>0</v>
      </c>
      <c r="H14" s="47" t="s">
        <v>47</v>
      </c>
      <c r="I14" s="61">
        <f>+SUMPRODUCT($H$4:$H$7,$J$4:$J$7)</f>
        <v>0</v>
      </c>
      <c r="K14" s="125" t="s">
        <v>22</v>
      </c>
      <c r="L14" s="108"/>
      <c r="M14" s="125" t="s">
        <v>22</v>
      </c>
      <c r="O14" s="169"/>
      <c r="P14" s="211"/>
      <c r="Q14" s="211"/>
      <c r="R14" s="211"/>
      <c r="S14" s="211"/>
      <c r="T14" s="212"/>
    </row>
    <row r="15" spans="1:20" x14ac:dyDescent="0.2">
      <c r="A15" s="5" t="s">
        <v>135</v>
      </c>
      <c r="B15" s="161">
        <v>0.01</v>
      </c>
      <c r="D15" s="100" t="s">
        <v>77</v>
      </c>
      <c r="E15" s="104" t="e">
        <f>-E13/E14</f>
        <v>#DIV/0!</v>
      </c>
      <c r="F15" s="101" t="e">
        <f>-F13/F14</f>
        <v>#DIV/0!</v>
      </c>
      <c r="H15" s="98" t="s">
        <v>87</v>
      </c>
      <c r="I15" s="99" t="e">
        <f>+B9/I14</f>
        <v>#DIV/0!</v>
      </c>
      <c r="K15" s="126">
        <f>+SUMPRODUCT($K$4:$K$11,$H$4:$H$11)</f>
        <v>0</v>
      </c>
      <c r="L15" s="107" t="s">
        <v>104</v>
      </c>
      <c r="M15" s="126">
        <f>+SUMPRODUCT($M$4:$M$11,$H$4:$H$11)</f>
        <v>0</v>
      </c>
      <c r="O15" s="169"/>
      <c r="P15" s="211"/>
      <c r="Q15" s="211"/>
      <c r="R15" s="211"/>
      <c r="S15" s="211"/>
      <c r="T15" s="212"/>
    </row>
    <row r="16" spans="1:20" x14ac:dyDescent="0.2">
      <c r="A16" s="59" t="s">
        <v>66</v>
      </c>
      <c r="B16" s="161">
        <v>0.01</v>
      </c>
      <c r="D16" s="28" t="s">
        <v>80</v>
      </c>
      <c r="E16" s="105" t="e">
        <f>+E13+E14</f>
        <v>#DIV/0!</v>
      </c>
      <c r="F16" s="63" t="e">
        <f>+F13+F14</f>
        <v>#DIV/0!</v>
      </c>
      <c r="H16" s="28" t="s">
        <v>48</v>
      </c>
      <c r="I16" s="62">
        <f>+SUM(H4:H11)</f>
        <v>0</v>
      </c>
      <c r="K16" s="127" t="e">
        <f>+$K$12*$I$16</f>
        <v>#DIV/0!</v>
      </c>
      <c r="L16" s="107" t="s">
        <v>105</v>
      </c>
      <c r="M16" s="127" t="e">
        <f>+$M$12*$I$16</f>
        <v>#DIV/0!</v>
      </c>
      <c r="O16" s="167"/>
      <c r="P16" s="211"/>
      <c r="Q16" s="211"/>
      <c r="R16" s="211"/>
      <c r="S16" s="211"/>
      <c r="T16" s="212"/>
    </row>
    <row r="17" spans="1:20" x14ac:dyDescent="0.2">
      <c r="A17" s="112" t="s">
        <v>93</v>
      </c>
      <c r="B17" s="121">
        <v>0</v>
      </c>
      <c r="D17" s="47" t="s">
        <v>67</v>
      </c>
      <c r="E17" s="94" t="e">
        <f>+Current!D27/Summary!E3</f>
        <v>#DIV/0!</v>
      </c>
      <c r="F17" s="196" t="e">
        <f>+SUMIFS(Market!$D$27:$N$27,Market!$D$3:$N$3,Summary!$B$8)/$B$9</f>
        <v>#DIV/0!</v>
      </c>
      <c r="K17" s="128">
        <f>+$B$30/12</f>
        <v>0</v>
      </c>
      <c r="L17" s="107" t="s">
        <v>69</v>
      </c>
      <c r="M17" s="128">
        <f>+$B$30/12</f>
        <v>0</v>
      </c>
      <c r="N17" s="7"/>
      <c r="O17" s="169"/>
      <c r="P17" s="211"/>
      <c r="Q17" s="211"/>
      <c r="R17" s="211"/>
      <c r="S17" s="211"/>
      <c r="T17" s="212"/>
    </row>
    <row r="18" spans="1:20" x14ac:dyDescent="0.2">
      <c r="D18" s="91" t="str">
        <f>+"Year " &amp;$B$8&amp; " Cap on Cost"</f>
        <v>Year 5 Cap on Cost</v>
      </c>
      <c r="E18" s="92" t="e">
        <f>+SUMIFS(Current!$C$30:$M$30,Current!$C$3:$M$3,Summary!$B$8)</f>
        <v>#DIV/0!</v>
      </c>
      <c r="F18" s="93" t="e">
        <f>+SUMIFS(Market!$D$30:$N$30,Market!$D$3:$N$3,Summary!$B$8)</f>
        <v>#DIV/0!</v>
      </c>
      <c r="H18" s="216" t="s">
        <v>117</v>
      </c>
      <c r="I18" s="217"/>
      <c r="J18" s="43"/>
      <c r="K18" s="129" t="e">
        <f>+SUM(K15:K17)</f>
        <v>#DIV/0!</v>
      </c>
      <c r="L18" s="60" t="s">
        <v>106</v>
      </c>
      <c r="M18" s="129" t="e">
        <f>+SUM(M15:M17)</f>
        <v>#DIV/0!</v>
      </c>
      <c r="O18" s="167"/>
      <c r="P18" s="211"/>
      <c r="Q18" s="211"/>
      <c r="R18" s="211"/>
      <c r="S18" s="211"/>
      <c r="T18" s="212"/>
    </row>
    <row r="19" spans="1:20" x14ac:dyDescent="0.2">
      <c r="A19" s="216" t="s">
        <v>73</v>
      </c>
      <c r="B19" s="217"/>
      <c r="D19" s="91" t="str">
        <f>+"Year "&amp;$B$8&amp;" Cash on Cash"</f>
        <v>Year 5 Cash on Cash</v>
      </c>
      <c r="E19" s="111" t="e">
        <f>+SUMIFS(Current!$C$42:$M$42,Current!$C$3:$M$3,Summary!$B$8)</f>
        <v>#DIV/0!</v>
      </c>
      <c r="F19" s="93" t="e">
        <f>+SUMIFS(Market!$D$42:$N$42,Market!$D$3:$N$3,Summary!$B$8)</f>
        <v>#DIV/0!</v>
      </c>
      <c r="H19" s="159" t="s">
        <v>107</v>
      </c>
      <c r="I19" s="154">
        <f>+I16*6500</f>
        <v>0</v>
      </c>
      <c r="K19" s="129" t="e">
        <f>+K18*12</f>
        <v>#DIV/0!</v>
      </c>
      <c r="L19" s="60" t="s">
        <v>23</v>
      </c>
      <c r="M19" s="129" t="e">
        <f>+M18*12</f>
        <v>#DIV/0!</v>
      </c>
      <c r="O19" s="169"/>
      <c r="P19" s="211"/>
      <c r="Q19" s="211"/>
      <c r="R19" s="211"/>
      <c r="S19" s="211"/>
      <c r="T19" s="212"/>
    </row>
    <row r="20" spans="1:20" x14ac:dyDescent="0.2">
      <c r="A20" s="5" t="s">
        <v>24</v>
      </c>
      <c r="B20" s="209">
        <v>8.0000000000000002E-3</v>
      </c>
      <c r="D20" s="23" t="str">
        <f>+"Year " &amp;B8&amp; " Exit Value"</f>
        <v>Year 5 Exit Value</v>
      </c>
      <c r="E20" s="57"/>
      <c r="F20" s="58" t="e">
        <f>+MROUND(SUMIFS(Market!$C$29:$M$29,Market!$C$3:$M$3,Summary!$B$8),1000)</f>
        <v>#DIV/0!</v>
      </c>
      <c r="H20" s="160" t="s">
        <v>110</v>
      </c>
      <c r="I20" s="155">
        <f>1000*0</f>
        <v>0</v>
      </c>
      <c r="O20" s="169"/>
      <c r="P20" s="211"/>
      <c r="Q20" s="211"/>
      <c r="R20" s="211"/>
      <c r="S20" s="211"/>
      <c r="T20" s="212"/>
    </row>
    <row r="21" spans="1:20" x14ac:dyDescent="0.2">
      <c r="A21" s="5" t="s">
        <v>42</v>
      </c>
      <c r="B21" s="161">
        <v>0.01</v>
      </c>
      <c r="D21" s="13" t="s">
        <v>88</v>
      </c>
      <c r="E21" s="117"/>
      <c r="F21" s="116" t="e">
        <f>+MROUND(Market!C44,10000)</f>
        <v>#DIV/0!</v>
      </c>
      <c r="H21" s="130" t="s">
        <v>111</v>
      </c>
      <c r="I21" s="35">
        <f>+SUM(I19:I20)</f>
        <v>0</v>
      </c>
      <c r="O21" s="167"/>
      <c r="P21" s="211"/>
      <c r="Q21" s="211"/>
      <c r="R21" s="211"/>
      <c r="S21" s="211"/>
      <c r="T21" s="212"/>
    </row>
    <row r="22" spans="1:20" x14ac:dyDescent="0.2">
      <c r="A22" s="5" t="s">
        <v>43</v>
      </c>
      <c r="B22" s="48">
        <v>800</v>
      </c>
      <c r="D22" s="13" t="s">
        <v>89</v>
      </c>
      <c r="E22" s="118"/>
      <c r="F22" s="115" t="e">
        <f>+Market!C45</f>
        <v>#DIV/0!</v>
      </c>
      <c r="H22" s="29" t="s">
        <v>32</v>
      </c>
      <c r="I22" s="32">
        <f>+$B$10*$B$9</f>
        <v>0</v>
      </c>
      <c r="O22" s="167"/>
      <c r="P22" s="211"/>
      <c r="Q22" s="211"/>
      <c r="R22" s="211"/>
      <c r="S22" s="211"/>
      <c r="T22" s="212"/>
    </row>
    <row r="23" spans="1:20" x14ac:dyDescent="0.2">
      <c r="A23" s="5" t="s">
        <v>70</v>
      </c>
      <c r="B23" s="48" t="e">
        <f>(65660)/I16/12</f>
        <v>#DIV/0!</v>
      </c>
      <c r="D23" s="13" t="s">
        <v>90</v>
      </c>
      <c r="E23" s="118"/>
      <c r="F23" s="116" t="e">
        <f>+MROUND(F20/I16,1000)</f>
        <v>#DIV/0!</v>
      </c>
      <c r="H23" s="5" t="s">
        <v>58</v>
      </c>
      <c r="I23" s="31">
        <f>+$B$16*$B$9</f>
        <v>0</v>
      </c>
      <c r="P23" s="211"/>
      <c r="Q23" s="211"/>
      <c r="R23" s="211"/>
      <c r="S23" s="211"/>
      <c r="T23" s="212"/>
    </row>
    <row r="24" spans="1:20" x14ac:dyDescent="0.2">
      <c r="A24" s="5" t="s">
        <v>84</v>
      </c>
      <c r="B24" s="49">
        <v>0.9</v>
      </c>
      <c r="D24" s="13" t="s">
        <v>91</v>
      </c>
      <c r="F24" s="12" t="e">
        <f>+Market!C43</f>
        <v>#VALUE!</v>
      </c>
      <c r="H24" s="5" t="s">
        <v>15</v>
      </c>
      <c r="I24" s="31">
        <f>-Market!C35</f>
        <v>0</v>
      </c>
      <c r="P24" s="211"/>
      <c r="Q24" s="211"/>
      <c r="R24" s="211"/>
      <c r="S24" s="211"/>
      <c r="T24" s="212"/>
    </row>
    <row r="25" spans="1:20" x14ac:dyDescent="0.2">
      <c r="A25" s="5" t="s">
        <v>133</v>
      </c>
      <c r="B25" s="49">
        <v>0.05</v>
      </c>
      <c r="D25" s="124" t="s">
        <v>26</v>
      </c>
      <c r="E25" s="17" t="s">
        <v>28</v>
      </c>
      <c r="F25" s="18" t="s">
        <v>27</v>
      </c>
      <c r="H25" s="23" t="s">
        <v>71</v>
      </c>
      <c r="I25" s="162">
        <f>+SUM(I21:I24)</f>
        <v>0</v>
      </c>
      <c r="P25" s="211"/>
      <c r="Q25" s="211"/>
      <c r="R25" s="211"/>
      <c r="S25" s="211"/>
      <c r="T25" s="212"/>
    </row>
    <row r="26" spans="1:20" x14ac:dyDescent="0.2">
      <c r="A26" s="5" t="s">
        <v>132</v>
      </c>
      <c r="B26" s="48" t="e">
        <f>E29</f>
        <v>#DIV/0!</v>
      </c>
      <c r="D26" s="5" t="s">
        <v>36</v>
      </c>
      <c r="E26" s="4">
        <f>+E$3*$B$21</f>
        <v>0</v>
      </c>
      <c r="F26" s="32">
        <f>+F$3*$B$21</f>
        <v>0</v>
      </c>
      <c r="P26" s="211"/>
      <c r="Q26" s="211"/>
      <c r="R26" s="211"/>
      <c r="S26" s="211"/>
      <c r="T26" s="212"/>
    </row>
    <row r="27" spans="1:20" x14ac:dyDescent="0.2">
      <c r="A27" s="5" t="s">
        <v>44</v>
      </c>
      <c r="B27" s="48">
        <v>1000</v>
      </c>
      <c r="D27" s="5" t="s">
        <v>37</v>
      </c>
      <c r="E27" s="4">
        <f>+$I$16*$B$22</f>
        <v>0</v>
      </c>
      <c r="F27" s="31">
        <f>+$I$16*$B$22</f>
        <v>0</v>
      </c>
      <c r="I27" s="4"/>
      <c r="N27" s="4"/>
      <c r="P27" s="211"/>
      <c r="Q27" s="211"/>
      <c r="R27" s="211"/>
      <c r="S27" s="211"/>
      <c r="T27" s="212"/>
    </row>
    <row r="28" spans="1:20" x14ac:dyDescent="0.2">
      <c r="A28" s="5" t="s">
        <v>68</v>
      </c>
      <c r="B28" s="48">
        <v>200</v>
      </c>
      <c r="D28" s="5" t="s">
        <v>38</v>
      </c>
      <c r="E28" s="4" t="e">
        <f>+$B$23*$I$16*12</f>
        <v>#DIV/0!</v>
      </c>
      <c r="F28" s="31" t="e">
        <f>+$B$23*$I$16*12</f>
        <v>#DIV/0!</v>
      </c>
      <c r="P28" s="211"/>
      <c r="Q28" s="211"/>
      <c r="R28" s="211"/>
      <c r="S28" s="211"/>
      <c r="T28" s="212"/>
    </row>
    <row r="29" spans="1:20" x14ac:dyDescent="0.2">
      <c r="A29" s="5" t="s">
        <v>134</v>
      </c>
      <c r="B29" s="48">
        <v>5000</v>
      </c>
      <c r="D29" s="5" t="s">
        <v>133</v>
      </c>
      <c r="E29" s="4" t="e">
        <f>+SUMIFS(Current!$D$19:$N$19,Current!$D$3:$N$3,Summary!$B$8)</f>
        <v>#DIV/0!</v>
      </c>
      <c r="F29" s="31" t="e">
        <f>+SUMIFS(Market!$D$19:$N$19,Market!$D$3:$N$3,Summary!$B$8)</f>
        <v>#DIV/0!</v>
      </c>
      <c r="N29" s="37"/>
      <c r="P29" s="211"/>
      <c r="Q29" s="211"/>
      <c r="R29" s="213"/>
      <c r="S29" s="211"/>
      <c r="T29" s="212"/>
    </row>
    <row r="30" spans="1:20" x14ac:dyDescent="0.2">
      <c r="A30" s="5" t="s">
        <v>69</v>
      </c>
      <c r="B30" s="48">
        <v>0</v>
      </c>
      <c r="D30" s="5" t="s">
        <v>132</v>
      </c>
      <c r="E30" s="4" t="e">
        <f>+SUMIFS(Current!$D$20:$N$20,Current!$D$3:$N$3,Summary!$B$8)</f>
        <v>#DIV/0!</v>
      </c>
      <c r="F30" s="31" t="e">
        <f>+SUMIFS(Market!$D$20:$N$20,Market!$D$3:$N$3,Summary!$B$8)</f>
        <v>#DIV/0!</v>
      </c>
      <c r="P30" s="211"/>
      <c r="Q30" s="211"/>
      <c r="R30" s="213"/>
      <c r="S30" s="211"/>
      <c r="T30" s="212"/>
    </row>
    <row r="31" spans="1:20" x14ac:dyDescent="0.2">
      <c r="A31" s="5" t="s">
        <v>45</v>
      </c>
      <c r="B31" s="48">
        <v>250</v>
      </c>
      <c r="D31" s="5" t="s">
        <v>39</v>
      </c>
      <c r="E31" s="4">
        <f>+$I$16*$B$27</f>
        <v>0</v>
      </c>
      <c r="F31" s="31">
        <f>+$I$16*$B$27</f>
        <v>0</v>
      </c>
      <c r="N31" s="12"/>
      <c r="P31" s="211"/>
      <c r="Q31" s="211"/>
      <c r="R31" s="213"/>
      <c r="S31" s="211"/>
      <c r="T31" s="212"/>
    </row>
    <row r="32" spans="1:20" x14ac:dyDescent="0.2">
      <c r="A32" s="5" t="s">
        <v>119</v>
      </c>
      <c r="B32" s="49">
        <v>0</v>
      </c>
      <c r="D32" s="5" t="s">
        <v>40</v>
      </c>
      <c r="E32" s="4">
        <f>+$B$28*$I$16</f>
        <v>0</v>
      </c>
      <c r="F32" s="31">
        <f>+$B$28*$I$16</f>
        <v>0</v>
      </c>
      <c r="N32" s="12"/>
      <c r="P32" s="211"/>
      <c r="Q32" s="211"/>
      <c r="R32" s="213"/>
      <c r="S32" s="211"/>
      <c r="T32" s="212"/>
    </row>
    <row r="33" spans="1:20" x14ac:dyDescent="0.2">
      <c r="A33" s="5" t="s">
        <v>120</v>
      </c>
      <c r="B33" s="49">
        <v>0</v>
      </c>
      <c r="D33" s="5" t="s">
        <v>134</v>
      </c>
      <c r="E33" s="4">
        <f>+$B$29</f>
        <v>5000</v>
      </c>
      <c r="F33" s="31">
        <f>+$B$29*(1+B34)</f>
        <v>5000</v>
      </c>
      <c r="P33" s="211"/>
      <c r="Q33" s="211"/>
      <c r="R33" s="213"/>
      <c r="S33" s="211"/>
      <c r="T33" s="212"/>
    </row>
    <row r="34" spans="1:20" x14ac:dyDescent="0.2">
      <c r="A34" s="6" t="s">
        <v>53</v>
      </c>
      <c r="B34" s="208">
        <v>0</v>
      </c>
      <c r="D34" s="5" t="s">
        <v>41</v>
      </c>
      <c r="E34" s="11">
        <f>+$B$31*$I$16</f>
        <v>0</v>
      </c>
      <c r="F34" s="33">
        <f>+$B$31*$I$16</f>
        <v>0</v>
      </c>
      <c r="P34" s="211"/>
      <c r="Q34" s="211"/>
      <c r="R34" s="213"/>
      <c r="S34" s="211"/>
      <c r="T34" s="212"/>
    </row>
    <row r="35" spans="1:20" x14ac:dyDescent="0.2">
      <c r="D35" s="23" t="s">
        <v>29</v>
      </c>
      <c r="E35" s="8" t="e">
        <f>SUM(E26:E34)</f>
        <v>#DIV/0!</v>
      </c>
      <c r="F35" s="9" t="e">
        <f>SUM(F26:F34)</f>
        <v>#DIV/0!</v>
      </c>
      <c r="P35" s="211"/>
      <c r="Q35" s="211"/>
      <c r="R35" s="213"/>
      <c r="S35" s="211"/>
      <c r="T35" s="212"/>
    </row>
    <row r="36" spans="1:20" x14ac:dyDescent="0.2">
      <c r="A36" s="216" t="s">
        <v>83</v>
      </c>
      <c r="B36" s="217"/>
    </row>
    <row r="37" spans="1:20" x14ac:dyDescent="0.2">
      <c r="A37" s="5" t="s">
        <v>85</v>
      </c>
      <c r="B37" s="51">
        <v>0.05</v>
      </c>
    </row>
    <row r="38" spans="1:20" ht="15" customHeight="1" x14ac:dyDescent="0.2">
      <c r="A38" s="112" t="s">
        <v>59</v>
      </c>
      <c r="B38" s="178">
        <v>0.06</v>
      </c>
    </row>
    <row r="39" spans="1:20" ht="15" customHeight="1" x14ac:dyDescent="0.2"/>
  </sheetData>
  <mergeCells count="8">
    <mergeCell ref="A36:B36"/>
    <mergeCell ref="A19:B19"/>
    <mergeCell ref="A7:B7"/>
    <mergeCell ref="A1:N1"/>
    <mergeCell ref="A2:B2"/>
    <mergeCell ref="A3:B3"/>
    <mergeCell ref="A4:B4"/>
    <mergeCell ref="H18:I18"/>
  </mergeCells>
  <pageMargins left="0.25" right="0.2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70A7-814A-4DCE-B6CA-FFE5EB0A78F5}">
  <sheetPr>
    <pageSetUpPr fitToPage="1"/>
  </sheetPr>
  <dimension ref="B2:W45"/>
  <sheetViews>
    <sheetView view="pageBreakPreview" zoomScale="91" zoomScaleNormal="115" workbookViewId="0">
      <selection activeCell="C44" sqref="C44"/>
    </sheetView>
  </sheetViews>
  <sheetFormatPr baseColWidth="10" defaultColWidth="14.6640625" defaultRowHeight="15" outlineLevelCol="1" x14ac:dyDescent="0.2"/>
  <cols>
    <col min="1" max="1" width="3.6640625" customWidth="1"/>
    <col min="2" max="2" width="24.33203125" bestFit="1" customWidth="1"/>
    <col min="7" max="7" width="16.5" bestFit="1" customWidth="1"/>
    <col min="11" max="14" width="14.6640625" hidden="1" customWidth="1" outlineLevel="1"/>
    <col min="15" max="15" width="3.6640625" customWidth="1" collapsed="1"/>
    <col min="16" max="19" width="14.6640625" hidden="1" customWidth="1" outlineLevel="1"/>
    <col min="20" max="20" width="2.83203125" hidden="1" customWidth="1" outlineLevel="1"/>
    <col min="21" max="21" width="21" bestFit="1" customWidth="1" collapsed="1"/>
  </cols>
  <sheetData>
    <row r="2" spans="2:23" x14ac:dyDescent="0.2">
      <c r="B2" s="13" t="s">
        <v>54</v>
      </c>
      <c r="P2" s="13" t="s">
        <v>16</v>
      </c>
    </row>
    <row r="3" spans="2:23" x14ac:dyDescent="0.2">
      <c r="B3" s="38" t="s">
        <v>13</v>
      </c>
      <c r="C3" s="39">
        <v>0</v>
      </c>
      <c r="D3" s="39">
        <v>1</v>
      </c>
      <c r="E3" s="39">
        <v>2</v>
      </c>
      <c r="F3" s="39">
        <v>3</v>
      </c>
      <c r="G3" s="39">
        <v>4</v>
      </c>
      <c r="H3" s="39">
        <v>5</v>
      </c>
      <c r="I3" s="39">
        <v>6</v>
      </c>
      <c r="J3" s="39">
        <v>7</v>
      </c>
      <c r="K3" s="39">
        <v>8</v>
      </c>
      <c r="L3" s="39">
        <v>9</v>
      </c>
      <c r="M3" s="39">
        <v>10</v>
      </c>
      <c r="N3" s="40">
        <v>11</v>
      </c>
      <c r="P3" s="20" t="s">
        <v>17</v>
      </c>
      <c r="Q3" s="21" t="s">
        <v>18</v>
      </c>
      <c r="R3" s="21" t="s">
        <v>19</v>
      </c>
      <c r="S3" s="202" t="s">
        <v>27</v>
      </c>
      <c r="T3" s="201"/>
      <c r="U3" s="131" t="s">
        <v>108</v>
      </c>
      <c r="V3" s="132"/>
      <c r="W3" s="3"/>
    </row>
    <row r="4" spans="2:23" x14ac:dyDescent="0.2">
      <c r="B4" t="s">
        <v>56</v>
      </c>
      <c r="C4" s="4">
        <f>-Summary!$F$3</f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P4" s="24">
        <f>+Summary!H4</f>
        <v>0</v>
      </c>
      <c r="Q4" s="25">
        <f>+Summary!I4</f>
        <v>0</v>
      </c>
      <c r="R4" s="25">
        <f>+Summary!J4</f>
        <v>0</v>
      </c>
      <c r="S4" s="175">
        <f>+Summary!K4</f>
        <v>0</v>
      </c>
      <c r="T4" s="84"/>
      <c r="U4" s="133" t="s">
        <v>107</v>
      </c>
      <c r="V4" s="134"/>
      <c r="W4" s="32">
        <f>+Summary!I19</f>
        <v>0</v>
      </c>
    </row>
    <row r="5" spans="2:23" x14ac:dyDescent="0.2">
      <c r="B5" t="s">
        <v>58</v>
      </c>
      <c r="C5" s="4">
        <f>+Summary!$B$16*-Summary!$F$3</f>
        <v>0</v>
      </c>
      <c r="J5" s="4"/>
      <c r="K5" s="4"/>
      <c r="P5" s="24">
        <f>+Summary!H5</f>
        <v>0</v>
      </c>
      <c r="Q5" s="25">
        <f>+Summary!I5</f>
        <v>0</v>
      </c>
      <c r="R5" s="25">
        <f>+Summary!J5</f>
        <v>0</v>
      </c>
      <c r="S5" s="175">
        <f>+Summary!K5</f>
        <v>0</v>
      </c>
      <c r="T5" s="84"/>
      <c r="U5" s="135" t="s">
        <v>110</v>
      </c>
      <c r="V5" s="136"/>
      <c r="W5" s="31">
        <v>0</v>
      </c>
    </row>
    <row r="6" spans="2:23" x14ac:dyDescent="0.2">
      <c r="B6" t="s">
        <v>119</v>
      </c>
      <c r="C6" s="4">
        <f>-Summary!$B$9*Summary!$B$32</f>
        <v>0</v>
      </c>
      <c r="P6" s="24">
        <f>+Summary!H6</f>
        <v>0</v>
      </c>
      <c r="Q6" s="25">
        <f>+Summary!I6</f>
        <v>0</v>
      </c>
      <c r="R6" s="25">
        <f>+Summary!J6</f>
        <v>0</v>
      </c>
      <c r="S6" s="172">
        <f>+Summary!M6</f>
        <v>0</v>
      </c>
      <c r="T6" s="22"/>
      <c r="U6" s="139" t="s">
        <v>111</v>
      </c>
      <c r="V6" s="140"/>
      <c r="W6" s="35">
        <f>+SUM(W4:W5)</f>
        <v>0</v>
      </c>
    </row>
    <row r="7" spans="2:23" x14ac:dyDescent="0.2">
      <c r="B7" t="s">
        <v>62</v>
      </c>
      <c r="C7" s="4" t="e">
        <f>-Summary!F7*Summary!$I$16</f>
        <v>#DIV/0!</v>
      </c>
      <c r="J7" s="4"/>
      <c r="K7" s="4"/>
      <c r="P7" s="24">
        <f>+Summary!H7</f>
        <v>0</v>
      </c>
      <c r="Q7" s="25">
        <f>+Summary!I7</f>
        <v>0</v>
      </c>
      <c r="R7" s="25">
        <f>+Summary!J7</f>
        <v>0</v>
      </c>
      <c r="S7" s="172">
        <f>+Summary!M7</f>
        <v>0</v>
      </c>
      <c r="T7" s="22"/>
      <c r="U7" s="163" t="s">
        <v>109</v>
      </c>
      <c r="V7" s="138"/>
      <c r="W7" s="4" t="e">
        <f>+W6/Summary!$I$16</f>
        <v>#DIV/0!</v>
      </c>
    </row>
    <row r="8" spans="2:23" x14ac:dyDescent="0.2">
      <c r="B8" t="s">
        <v>25</v>
      </c>
      <c r="C8" s="4"/>
      <c r="D8" s="4">
        <f>+S13+(Summary!$B$20*Summary!$I$16*12)</f>
        <v>0</v>
      </c>
      <c r="E8" s="4">
        <f>+D8*(1+Summary!$B$20)</f>
        <v>0</v>
      </c>
      <c r="F8" s="4">
        <f>+E8*(1+Summary!$B$20)</f>
        <v>0</v>
      </c>
      <c r="G8" s="4">
        <f>+F8*(1+Summary!$B$20)</f>
        <v>0</v>
      </c>
      <c r="H8" s="4">
        <f>+G8*(1+Summary!$B$20)</f>
        <v>0</v>
      </c>
      <c r="I8" s="4">
        <f>+H8*(1+Summary!$B$20)</f>
        <v>0</v>
      </c>
      <c r="J8" s="4">
        <f>+I8*(1+Summary!$B$20)</f>
        <v>0</v>
      </c>
      <c r="K8" s="4">
        <f>+J8*(1+Summary!$B$20)</f>
        <v>0</v>
      </c>
      <c r="L8" s="4">
        <f>+K8*(1+Summary!$B$20)</f>
        <v>0</v>
      </c>
      <c r="M8" s="4">
        <f>+L8*(1+Summary!$B$20)</f>
        <v>0</v>
      </c>
      <c r="N8" s="4">
        <f>+M8*(1+Summary!$B$20)</f>
        <v>0</v>
      </c>
      <c r="P8" s="24">
        <f>+Summary!H8</f>
        <v>0</v>
      </c>
      <c r="Q8" s="25">
        <f>+Summary!I8</f>
        <v>0</v>
      </c>
      <c r="R8" s="25">
        <f>+Summary!J8</f>
        <v>0</v>
      </c>
      <c r="S8" s="172">
        <f>+Summary!M8</f>
        <v>0</v>
      </c>
      <c r="T8" s="22"/>
      <c r="U8" s="43"/>
      <c r="V8" s="14" t="s">
        <v>28</v>
      </c>
      <c r="W8" s="15" t="s">
        <v>27</v>
      </c>
    </row>
    <row r="9" spans="2:23" x14ac:dyDescent="0.2">
      <c r="B9" t="s">
        <v>94</v>
      </c>
      <c r="C9" s="4"/>
      <c r="D9" s="4">
        <f>+Summary!$B$30</f>
        <v>0</v>
      </c>
      <c r="E9" s="4">
        <f>+D9*(1+Summary!$B$20)</f>
        <v>0</v>
      </c>
      <c r="F9" s="4">
        <f>+E9*(1+Summary!$B$20)</f>
        <v>0</v>
      </c>
      <c r="G9" s="4">
        <f>+F9*(1+Summary!$B$20)</f>
        <v>0</v>
      </c>
      <c r="H9" s="4">
        <f>+G9*(1+Summary!$B$20)</f>
        <v>0</v>
      </c>
      <c r="I9" s="4">
        <f>+H9*(1+Summary!$B$20)</f>
        <v>0</v>
      </c>
      <c r="J9" s="4">
        <f>+I9*(1+Summary!$B$20)</f>
        <v>0</v>
      </c>
      <c r="K9" s="4">
        <f>+J9*(1+Summary!$B$20)</f>
        <v>0</v>
      </c>
      <c r="L9" s="4">
        <f>+K9*(1+Summary!$B$20)</f>
        <v>0</v>
      </c>
      <c r="M9" s="4">
        <f>+L9*(1+Summary!$B$20)</f>
        <v>0</v>
      </c>
      <c r="N9" s="4">
        <f>+M9*(1+Summary!$B$20)</f>
        <v>0</v>
      </c>
      <c r="P9" s="24">
        <f>+Summary!H9</f>
        <v>0</v>
      </c>
      <c r="Q9" s="25">
        <f>+Summary!I9</f>
        <v>0</v>
      </c>
      <c r="R9" s="25">
        <f>+Summary!J9</f>
        <v>0</v>
      </c>
      <c r="S9" s="172">
        <f>+Summary!M9</f>
        <v>0</v>
      </c>
      <c r="T9" s="22"/>
      <c r="U9" s="171" t="s">
        <v>114</v>
      </c>
      <c r="V9" s="142">
        <f>+Summary!$B$9*Summary!$B$10</f>
        <v>0</v>
      </c>
      <c r="W9" s="143">
        <f>+Summary!$B$9*Summary!$B$10</f>
        <v>0</v>
      </c>
    </row>
    <row r="10" spans="2:23" x14ac:dyDescent="0.2">
      <c r="B10" s="10" t="s">
        <v>76</v>
      </c>
      <c r="C10" s="10"/>
      <c r="D10" s="11" t="e">
        <f>+Summary!$M$12*Summary!$I$16*12</f>
        <v>#DIV/0!</v>
      </c>
      <c r="E10" s="11" t="e">
        <f>+D10*(1+Summary!$B$20)</f>
        <v>#DIV/0!</v>
      </c>
      <c r="F10" s="11" t="e">
        <f>+E10*(1+Summary!$B$20)</f>
        <v>#DIV/0!</v>
      </c>
      <c r="G10" s="11" t="e">
        <f>+F10*(1+Summary!$B$20)</f>
        <v>#DIV/0!</v>
      </c>
      <c r="H10" s="11" t="e">
        <f>+G10*(1+Summary!$B$20)</f>
        <v>#DIV/0!</v>
      </c>
      <c r="I10" s="11" t="e">
        <f>+H10*(1+Summary!$B$20)</f>
        <v>#DIV/0!</v>
      </c>
      <c r="J10" s="11" t="e">
        <f>+I10*(1+Summary!$B$20)</f>
        <v>#DIV/0!</v>
      </c>
      <c r="K10" s="11" t="e">
        <f>+J10*(1+Summary!$B$20)</f>
        <v>#DIV/0!</v>
      </c>
      <c r="L10" s="11" t="e">
        <f>+K10*(1+Summary!$B$20)</f>
        <v>#DIV/0!</v>
      </c>
      <c r="M10" s="11" t="e">
        <f>+L10*(1+Summary!$B$20)</f>
        <v>#DIV/0!</v>
      </c>
      <c r="N10" s="11" t="e">
        <f>+M10*(1+Summary!$B$20)</f>
        <v>#DIV/0!</v>
      </c>
      <c r="P10" s="24">
        <f>+Summary!H10</f>
        <v>0</v>
      </c>
      <c r="Q10" s="25">
        <f>+Summary!I10</f>
        <v>0</v>
      </c>
      <c r="R10" s="25">
        <f>+Summary!J10</f>
        <v>0</v>
      </c>
      <c r="S10" s="172">
        <f>+Summary!M10</f>
        <v>0</v>
      </c>
      <c r="T10" s="22"/>
      <c r="U10" t="s">
        <v>112</v>
      </c>
      <c r="V10" s="144">
        <f>-$C$5</f>
        <v>0</v>
      </c>
      <c r="W10" s="145">
        <f>-$C$5</f>
        <v>0</v>
      </c>
    </row>
    <row r="11" spans="2:23" x14ac:dyDescent="0.2">
      <c r="B11" s="149" t="s">
        <v>95</v>
      </c>
      <c r="C11" s="207"/>
      <c r="D11" s="207" t="e">
        <f>+SUM(D8:D10)</f>
        <v>#DIV/0!</v>
      </c>
      <c r="E11" s="207" t="e">
        <f t="shared" ref="E11:N11" si="0">+SUM(E8:E10)</f>
        <v>#DIV/0!</v>
      </c>
      <c r="F11" s="207" t="e">
        <f t="shared" si="0"/>
        <v>#DIV/0!</v>
      </c>
      <c r="G11" s="207" t="e">
        <f t="shared" si="0"/>
        <v>#DIV/0!</v>
      </c>
      <c r="H11" s="207" t="e">
        <f t="shared" si="0"/>
        <v>#DIV/0!</v>
      </c>
      <c r="I11" s="207" t="e">
        <f t="shared" si="0"/>
        <v>#DIV/0!</v>
      </c>
      <c r="J11" s="207" t="e">
        <f t="shared" si="0"/>
        <v>#DIV/0!</v>
      </c>
      <c r="K11" s="207" t="e">
        <f t="shared" si="0"/>
        <v>#DIV/0!</v>
      </c>
      <c r="L11" s="207" t="e">
        <f t="shared" si="0"/>
        <v>#DIV/0!</v>
      </c>
      <c r="M11" s="207" t="e">
        <f t="shared" si="0"/>
        <v>#DIV/0!</v>
      </c>
      <c r="N11" s="207" t="e">
        <f t="shared" si="0"/>
        <v>#DIV/0!</v>
      </c>
      <c r="P11" s="26">
        <f>+Summary!H11</f>
        <v>0</v>
      </c>
      <c r="Q11" s="27">
        <f>+Summary!I11</f>
        <v>0</v>
      </c>
      <c r="R11" s="27">
        <f>+Summary!J11</f>
        <v>0</v>
      </c>
      <c r="S11" s="173">
        <f>+Summary!M11</f>
        <v>0</v>
      </c>
      <c r="T11" s="22"/>
      <c r="U11" t="s">
        <v>115</v>
      </c>
      <c r="V11" s="144">
        <f>+Summary!E8</f>
        <v>0</v>
      </c>
      <c r="W11" s="145">
        <f>+$W$6</f>
        <v>0</v>
      </c>
    </row>
    <row r="12" spans="2:23" x14ac:dyDescent="0.2">
      <c r="B12" t="s">
        <v>126</v>
      </c>
      <c r="C12" s="4"/>
      <c r="D12" s="4" t="e">
        <f>+SUM(D8:D10)*Summary!$B$11</f>
        <v>#DIV/0!</v>
      </c>
      <c r="E12" s="4" t="e">
        <f>+SUM(E8:E10)*Summary!$B$11</f>
        <v>#DIV/0!</v>
      </c>
      <c r="F12" s="4" t="e">
        <f>+SUM(F8:F10)*Summary!$B$11</f>
        <v>#DIV/0!</v>
      </c>
      <c r="G12" s="4" t="e">
        <f>+SUM(G8:G10)*Summary!$B$11</f>
        <v>#DIV/0!</v>
      </c>
      <c r="H12" s="4" t="e">
        <f>+SUM(H8:H10)*Summary!$B$11</f>
        <v>#DIV/0!</v>
      </c>
      <c r="I12" s="4" t="e">
        <f>+SUM(I8:I10)*Summary!$B$11</f>
        <v>#DIV/0!</v>
      </c>
      <c r="J12" s="4" t="e">
        <f>+SUM(J8:J10)*Summary!$B$11</f>
        <v>#DIV/0!</v>
      </c>
      <c r="K12" s="4" t="e">
        <f>+SUM(K8:K10)*Summary!$B$11</f>
        <v>#DIV/0!</v>
      </c>
      <c r="L12" s="4" t="e">
        <f>+SUM(L8:L10)*Summary!$B$11</f>
        <v>#DIV/0!</v>
      </c>
      <c r="M12" s="4" t="e">
        <f>+SUM(M8:M10)*Summary!$B$11</f>
        <v>#DIV/0!</v>
      </c>
      <c r="N12" s="4" t="e">
        <f>+SUM(N8:N10)*Summary!$B$11</f>
        <v>#DIV/0!</v>
      </c>
      <c r="P12" s="7" t="s">
        <v>22</v>
      </c>
      <c r="S12" s="3">
        <f>+SUMPRODUCT(S4:S11,$P$4:$P$11)</f>
        <v>0</v>
      </c>
      <c r="T12" s="22"/>
      <c r="U12" t="s">
        <v>118</v>
      </c>
      <c r="V12" s="144">
        <f>-Current!C35</f>
        <v>0</v>
      </c>
      <c r="W12" s="145">
        <f>-C35</f>
        <v>0</v>
      </c>
    </row>
    <row r="13" spans="2:23" x14ac:dyDescent="0.2">
      <c r="B13" t="s">
        <v>127</v>
      </c>
      <c r="D13" s="4" t="e">
        <f>D11*Summary!$B$12</f>
        <v>#DIV/0!</v>
      </c>
      <c r="E13" s="4" t="e">
        <f>E11*Summary!$B$12</f>
        <v>#DIV/0!</v>
      </c>
      <c r="F13" s="4" t="e">
        <f>F11*Summary!$B$12</f>
        <v>#DIV/0!</v>
      </c>
      <c r="G13" s="4" t="e">
        <f>G11*Summary!$B$12</f>
        <v>#DIV/0!</v>
      </c>
      <c r="H13" s="4" t="e">
        <f>H11*Summary!$B$12</f>
        <v>#DIV/0!</v>
      </c>
      <c r="I13" s="4" t="e">
        <f>I11*Summary!$B$12</f>
        <v>#DIV/0!</v>
      </c>
      <c r="J13" s="4" t="e">
        <f>J11*Summary!$B$12</f>
        <v>#DIV/0!</v>
      </c>
      <c r="K13" s="4" t="e">
        <f>K11*Summary!$B$12</f>
        <v>#DIV/0!</v>
      </c>
      <c r="L13" s="4" t="e">
        <f>L11*Summary!$B$12</f>
        <v>#DIV/0!</v>
      </c>
      <c r="M13" s="4" t="e">
        <f>M11*Summary!$B$12</f>
        <v>#DIV/0!</v>
      </c>
      <c r="N13" s="4" t="e">
        <f>N11*Summary!$B$12</f>
        <v>#DIV/0!</v>
      </c>
      <c r="P13" s="19" t="s">
        <v>23</v>
      </c>
      <c r="S13" s="3">
        <f>+S12*12</f>
        <v>0</v>
      </c>
      <c r="U13" s="165" t="s">
        <v>71</v>
      </c>
      <c r="V13" s="164">
        <f>+SUM(V9:V12)</f>
        <v>0</v>
      </c>
      <c r="W13" s="147">
        <f>+SUM(W9:W12)</f>
        <v>0</v>
      </c>
    </row>
    <row r="14" spans="2:23" x14ac:dyDescent="0.2">
      <c r="B14" t="s">
        <v>128</v>
      </c>
      <c r="D14" s="4" t="e">
        <f>D11*Summary!$B$13</f>
        <v>#DIV/0!</v>
      </c>
      <c r="E14" s="4" t="e">
        <f>E11*Summary!$B$13</f>
        <v>#DIV/0!</v>
      </c>
      <c r="F14" s="4" t="e">
        <f>F11*Summary!$B$13</f>
        <v>#DIV/0!</v>
      </c>
      <c r="G14" s="4" t="e">
        <f>G11*Summary!$B$13</f>
        <v>#DIV/0!</v>
      </c>
      <c r="H14" s="4" t="e">
        <f>H11*Summary!$B$13</f>
        <v>#DIV/0!</v>
      </c>
      <c r="I14" s="4" t="e">
        <f>I11*Summary!$B$13</f>
        <v>#DIV/0!</v>
      </c>
      <c r="J14" s="4" t="e">
        <f>J11*Summary!$B$13</f>
        <v>#DIV/0!</v>
      </c>
      <c r="K14" s="4" t="e">
        <f>K11*Summary!$B$13</f>
        <v>#DIV/0!</v>
      </c>
      <c r="L14" s="4" t="e">
        <f>L11*Summary!$B$13</f>
        <v>#DIV/0!</v>
      </c>
      <c r="M14" s="4" t="e">
        <f>M11*Summary!$B$13</f>
        <v>#DIV/0!</v>
      </c>
      <c r="N14" s="4" t="e">
        <f>N11*Summary!$B$13</f>
        <v>#DIV/0!</v>
      </c>
      <c r="T14" s="3"/>
      <c r="U14" s="13" t="s">
        <v>86</v>
      </c>
      <c r="V14" s="146" t="e">
        <f>+Summary!$B$9/Summary!$I$16</f>
        <v>#DIV/0!</v>
      </c>
      <c r="W14" s="146" t="e">
        <f>+(-$C$4+$W$6)/Summary!$I$16</f>
        <v>#DIV/0!</v>
      </c>
    </row>
    <row r="15" spans="2:23" x14ac:dyDescent="0.2">
      <c r="B15" s="122" t="s">
        <v>96</v>
      </c>
      <c r="C15" s="122"/>
      <c r="D15" s="34" t="e">
        <f>+D11-SUM(D12:D14)</f>
        <v>#DIV/0!</v>
      </c>
      <c r="E15" s="34" t="e">
        <f t="shared" ref="E15:N15" si="1">+E11-SUM(E12:E14)</f>
        <v>#DIV/0!</v>
      </c>
      <c r="F15" s="34" t="e">
        <f t="shared" si="1"/>
        <v>#DIV/0!</v>
      </c>
      <c r="G15" s="34" t="e">
        <f t="shared" si="1"/>
        <v>#DIV/0!</v>
      </c>
      <c r="H15" s="34" t="e">
        <f t="shared" si="1"/>
        <v>#DIV/0!</v>
      </c>
      <c r="I15" s="34" t="e">
        <f t="shared" si="1"/>
        <v>#DIV/0!</v>
      </c>
      <c r="J15" s="34" t="e">
        <f t="shared" si="1"/>
        <v>#DIV/0!</v>
      </c>
      <c r="K15" s="34" t="e">
        <f t="shared" si="1"/>
        <v>#DIV/0!</v>
      </c>
      <c r="L15" s="34" t="e">
        <f t="shared" si="1"/>
        <v>#DIV/0!</v>
      </c>
      <c r="M15" s="34" t="e">
        <f t="shared" si="1"/>
        <v>#DIV/0!</v>
      </c>
      <c r="N15" s="34" t="e">
        <f t="shared" si="1"/>
        <v>#DIV/0!</v>
      </c>
    </row>
    <row r="16" spans="2:23" x14ac:dyDescent="0.2">
      <c r="B16" t="s">
        <v>97</v>
      </c>
      <c r="D16" s="4">
        <f>+Summary!$B$21*Summary!$B$9</f>
        <v>0</v>
      </c>
      <c r="E16" s="4">
        <f>+D16*(1+Summary!$B$34)</f>
        <v>0</v>
      </c>
      <c r="F16" s="4">
        <f>+E16*(1+Summary!$B$34)</f>
        <v>0</v>
      </c>
      <c r="G16" s="4">
        <f>+F16*(1+Summary!$B$34)</f>
        <v>0</v>
      </c>
      <c r="H16" s="4">
        <f>+G16*(1+Summary!$B$34)</f>
        <v>0</v>
      </c>
      <c r="I16" s="4">
        <f>+H16*(1+Summary!$B$34)</f>
        <v>0</v>
      </c>
      <c r="J16" s="4">
        <f>+I16*(1+Summary!$B$34)</f>
        <v>0</v>
      </c>
      <c r="K16" s="4">
        <f>+J16*(1+Summary!$B$34)</f>
        <v>0</v>
      </c>
      <c r="L16" s="4">
        <f>+K16*(1+Summary!$B$34)</f>
        <v>0</v>
      </c>
      <c r="M16" s="4">
        <f>+L16*(1+Summary!$B$34)</f>
        <v>0</v>
      </c>
      <c r="N16" s="4">
        <f>+M16*(1+Summary!$B$34)</f>
        <v>0</v>
      </c>
    </row>
    <row r="17" spans="2:14" x14ac:dyDescent="0.2">
      <c r="B17" t="s">
        <v>98</v>
      </c>
      <c r="C17" s="4"/>
      <c r="D17" s="4">
        <f>+Summary!$B$22*Summary!$I$16</f>
        <v>0</v>
      </c>
      <c r="E17" s="4">
        <f>+D17*(1+Summary!$B$34)</f>
        <v>0</v>
      </c>
      <c r="F17" s="4">
        <f>+E17*(1+Summary!$B$34)</f>
        <v>0</v>
      </c>
      <c r="G17" s="4">
        <f>+F17*(1+Summary!$B$34)</f>
        <v>0</v>
      </c>
      <c r="H17" s="4">
        <f>+G17*(1+Summary!$B$34)</f>
        <v>0</v>
      </c>
      <c r="I17" s="4">
        <f>+H17*(1+Summary!$B$34)</f>
        <v>0</v>
      </c>
      <c r="J17" s="4">
        <f>+I17*(1+Summary!$B$34)</f>
        <v>0</v>
      </c>
      <c r="K17" s="4">
        <f>+J17*(1+Summary!$B$34)</f>
        <v>0</v>
      </c>
      <c r="L17" s="4">
        <f>+K17*(1+Summary!$B$34)</f>
        <v>0</v>
      </c>
      <c r="M17" s="4">
        <f>+L17*(1+Summary!$B$34)</f>
        <v>0</v>
      </c>
      <c r="N17" s="4">
        <f>+M17*(1+Summary!$B$34)</f>
        <v>0</v>
      </c>
    </row>
    <row r="18" spans="2:14" x14ac:dyDescent="0.2">
      <c r="B18" t="s">
        <v>99</v>
      </c>
      <c r="D18" s="4" t="e">
        <f>+Summary!$B$23*Summary!$I$16*12</f>
        <v>#DIV/0!</v>
      </c>
      <c r="E18" s="4" t="e">
        <f>+D18*(1+Summary!$B$34)</f>
        <v>#DIV/0!</v>
      </c>
      <c r="F18" s="4" t="e">
        <f>+E18*(1+Summary!$B$34)</f>
        <v>#DIV/0!</v>
      </c>
      <c r="G18" s="4" t="e">
        <f>+F18*(1+Summary!$B$34)</f>
        <v>#DIV/0!</v>
      </c>
      <c r="H18" s="4" t="e">
        <f>+G18*(1+Summary!$B$34)</f>
        <v>#DIV/0!</v>
      </c>
      <c r="I18" s="4" t="e">
        <f>+H18*(1+Summary!$B$34)</f>
        <v>#DIV/0!</v>
      </c>
      <c r="J18" s="4" t="e">
        <f>+I18*(1+Summary!$B$34)</f>
        <v>#DIV/0!</v>
      </c>
      <c r="K18" s="4" t="e">
        <f>+J18*(1+Summary!$B$34)</f>
        <v>#DIV/0!</v>
      </c>
      <c r="L18" s="4" t="e">
        <f>+K18*(1+Summary!$B$34)</f>
        <v>#DIV/0!</v>
      </c>
      <c r="M18" s="4" t="e">
        <f>+L18*(1+Summary!$B$34)</f>
        <v>#DIV/0!</v>
      </c>
      <c r="N18" s="4" t="e">
        <f>+M18*(1+Summary!$B$34)</f>
        <v>#DIV/0!</v>
      </c>
    </row>
    <row r="19" spans="2:14" x14ac:dyDescent="0.2">
      <c r="B19" t="s">
        <v>131</v>
      </c>
      <c r="D19" s="4" t="e">
        <f>+D15*Summary!$B$25</f>
        <v>#DIV/0!</v>
      </c>
      <c r="E19" s="4" t="e">
        <f>+E15*Summary!$B$25</f>
        <v>#DIV/0!</v>
      </c>
      <c r="F19" s="4" t="e">
        <f>+F15*Summary!$B$25</f>
        <v>#DIV/0!</v>
      </c>
      <c r="G19" s="4" t="e">
        <f>+G15*Summary!$B$25</f>
        <v>#DIV/0!</v>
      </c>
      <c r="H19" s="4" t="e">
        <f>+H15*Summary!$B$25</f>
        <v>#DIV/0!</v>
      </c>
      <c r="I19" s="4" t="e">
        <f>+I15*Summary!$B$25</f>
        <v>#DIV/0!</v>
      </c>
      <c r="J19" s="4" t="e">
        <f>+J15*Summary!$B$25</f>
        <v>#DIV/0!</v>
      </c>
      <c r="K19" s="4" t="e">
        <f>+K15*Summary!$B$25</f>
        <v>#DIV/0!</v>
      </c>
      <c r="L19" s="4" t="e">
        <f>+L15*Summary!$B$25</f>
        <v>#DIV/0!</v>
      </c>
      <c r="M19" s="4" t="e">
        <f>+M15*Summary!$B$25</f>
        <v>#DIV/0!</v>
      </c>
      <c r="N19" s="4" t="e">
        <f>+N15*Summary!$B$25</f>
        <v>#DIV/0!</v>
      </c>
    </row>
    <row r="20" spans="2:14" x14ac:dyDescent="0.2">
      <c r="B20" t="s">
        <v>130</v>
      </c>
      <c r="D20" s="4" t="e">
        <f>+Summary!$B$26</f>
        <v>#DIV/0!</v>
      </c>
      <c r="E20" s="4" t="e">
        <f>+D20*(1+Summary!$B$34)</f>
        <v>#DIV/0!</v>
      </c>
      <c r="F20" s="4" t="e">
        <f>+E20*(1+Summary!$B$34)</f>
        <v>#DIV/0!</v>
      </c>
      <c r="G20" s="4" t="e">
        <f>+F20*(1+Summary!$B$34)</f>
        <v>#DIV/0!</v>
      </c>
      <c r="H20" s="4" t="e">
        <f>+G20*(1+Summary!$B$34)</f>
        <v>#DIV/0!</v>
      </c>
      <c r="I20" s="4" t="e">
        <f>+H20*(1+Summary!$B$34)</f>
        <v>#DIV/0!</v>
      </c>
      <c r="J20" s="4" t="e">
        <f>+I20*(1+Summary!$B$34)</f>
        <v>#DIV/0!</v>
      </c>
      <c r="K20" s="4" t="e">
        <f>+J20*(1+Summary!$B$34)</f>
        <v>#DIV/0!</v>
      </c>
      <c r="L20" s="4" t="e">
        <f>+K20*(1+Summary!$B$34)</f>
        <v>#DIV/0!</v>
      </c>
      <c r="M20" s="4" t="e">
        <f>+L20*(1+Summary!$B$34)</f>
        <v>#DIV/0!</v>
      </c>
      <c r="N20" s="4" t="e">
        <f>+M20*(1+Summary!$B$34)</f>
        <v>#DIV/0!</v>
      </c>
    </row>
    <row r="21" spans="2:14" x14ac:dyDescent="0.2">
      <c r="B21" t="s">
        <v>100</v>
      </c>
      <c r="D21" s="4">
        <f>+Summary!$B$27*Summary!$I$16</f>
        <v>0</v>
      </c>
      <c r="E21" s="4">
        <f>+D21*(1+Summary!$B$34)</f>
        <v>0</v>
      </c>
      <c r="F21" s="4">
        <f>+E21*(1+Summary!$B$34)</f>
        <v>0</v>
      </c>
      <c r="G21" s="4">
        <f>+F21*(1+Summary!$B$34)</f>
        <v>0</v>
      </c>
      <c r="H21" s="4">
        <f>+G21*(1+Summary!$B$34)</f>
        <v>0</v>
      </c>
      <c r="I21" s="4">
        <f>+H21*(1+Summary!$B$34)</f>
        <v>0</v>
      </c>
      <c r="J21" s="4">
        <f>+I21*(1+Summary!$B$34)</f>
        <v>0</v>
      </c>
      <c r="K21" s="4">
        <f>+J21*(1+Summary!$B$34)</f>
        <v>0</v>
      </c>
      <c r="L21" s="4">
        <f>+K21*(1+Summary!$B$34)</f>
        <v>0</v>
      </c>
      <c r="M21" s="4">
        <f>+L21*(1+Summary!$B$34)</f>
        <v>0</v>
      </c>
      <c r="N21" s="4">
        <f>+M21*(1+Summary!$B$34)</f>
        <v>0</v>
      </c>
    </row>
    <row r="22" spans="2:14" x14ac:dyDescent="0.2">
      <c r="B22" t="s">
        <v>101</v>
      </c>
      <c r="D22" s="4">
        <f>+Summary!$B$28*Summary!$I$16</f>
        <v>0</v>
      </c>
      <c r="E22" s="4">
        <f>+D22*(1+Summary!$B$34)</f>
        <v>0</v>
      </c>
      <c r="F22" s="4">
        <f>+E22*(1+Summary!$B$34)</f>
        <v>0</v>
      </c>
      <c r="G22" s="4">
        <f>+F22*(1+Summary!$B$34)</f>
        <v>0</v>
      </c>
      <c r="H22" s="4">
        <f>+G22*(1+Summary!$B$34)</f>
        <v>0</v>
      </c>
      <c r="I22" s="4">
        <f>+H22*(1+Summary!$B$34)</f>
        <v>0</v>
      </c>
      <c r="J22" s="4">
        <f>+I22*(1+Summary!$B$34)</f>
        <v>0</v>
      </c>
      <c r="K22" s="4">
        <f>+J22*(1+Summary!$B$34)</f>
        <v>0</v>
      </c>
      <c r="L22" s="4">
        <f>+K22*(1+Summary!$B$34)</f>
        <v>0</v>
      </c>
      <c r="M22" s="4">
        <f>+L22*(1+Summary!$B$34)</f>
        <v>0</v>
      </c>
      <c r="N22" s="4">
        <f>+M22*(1+Summary!$B$34)</f>
        <v>0</v>
      </c>
    </row>
    <row r="23" spans="2:14" x14ac:dyDescent="0.2">
      <c r="B23" t="s">
        <v>102</v>
      </c>
      <c r="D23" s="4">
        <f>+Summary!$B$29</f>
        <v>5000</v>
      </c>
      <c r="E23" s="4">
        <f>+D23*(1+Summary!$B$34)</f>
        <v>5000</v>
      </c>
      <c r="F23" s="4">
        <f>+E23*(1+Summary!$B$34)</f>
        <v>5000</v>
      </c>
      <c r="G23" s="4">
        <f>+F23*(1+Summary!$B$34)</f>
        <v>5000</v>
      </c>
      <c r="H23" s="4">
        <f>+G23*(1+Summary!$B$34)</f>
        <v>5000</v>
      </c>
      <c r="I23" s="4">
        <f>+H23*(1+Summary!$B$34)</f>
        <v>5000</v>
      </c>
      <c r="J23" s="4">
        <f>+I23*(1+Summary!$B$34)</f>
        <v>5000</v>
      </c>
      <c r="K23" s="4">
        <f>+J23*(1+Summary!$B$34)</f>
        <v>5000</v>
      </c>
      <c r="L23" s="4">
        <f>+K23*(1+Summary!$B$34)</f>
        <v>5000</v>
      </c>
      <c r="M23" s="4">
        <f>+L23*(1+Summary!$B$34)</f>
        <v>5000</v>
      </c>
      <c r="N23" s="4">
        <f>+M23*(1+Summary!$B$34)</f>
        <v>5000</v>
      </c>
    </row>
    <row r="24" spans="2:14" x14ac:dyDescent="0.2">
      <c r="B24" t="s">
        <v>103</v>
      </c>
      <c r="D24" s="4">
        <f>+Summary!$B$31*Summary!$I$16</f>
        <v>0</v>
      </c>
      <c r="E24" s="4">
        <f>+D24*(1+Summary!$B$34)</f>
        <v>0</v>
      </c>
      <c r="F24" s="4">
        <f>+E24*(1+Summary!$B$34)</f>
        <v>0</v>
      </c>
      <c r="G24" s="4">
        <f>+F24*(1+Summary!$B$34)</f>
        <v>0</v>
      </c>
      <c r="H24" s="4">
        <f>+G24*(1+Summary!$B$34)</f>
        <v>0</v>
      </c>
      <c r="I24" s="4">
        <f>+H24*(1+Summary!$B$34)</f>
        <v>0</v>
      </c>
      <c r="J24" s="4">
        <f>+I24*(1+Summary!$B$34)</f>
        <v>0</v>
      </c>
      <c r="K24" s="4">
        <f>+J24*(1+Summary!$B$34)</f>
        <v>0</v>
      </c>
      <c r="L24" s="4">
        <f>+K24*(1+Summary!$B$34)</f>
        <v>0</v>
      </c>
      <c r="M24" s="4">
        <f>+L24*(1+Summary!$B$34)</f>
        <v>0</v>
      </c>
      <c r="N24" s="4">
        <f>+M24*(1+Summary!$B$34)</f>
        <v>0</v>
      </c>
    </row>
    <row r="25" spans="2:14" x14ac:dyDescent="0.2">
      <c r="B25" t="s">
        <v>129</v>
      </c>
      <c r="D25" s="4" t="e">
        <f>+Summary!$F$9*Summary!$B$33</f>
        <v>#DIV/0!</v>
      </c>
      <c r="E25" s="4" t="e">
        <f>+Summary!$F$9*Summary!$B$33</f>
        <v>#DIV/0!</v>
      </c>
      <c r="F25" s="4" t="e">
        <f>+Summary!$F$9*Summary!$B$33</f>
        <v>#DIV/0!</v>
      </c>
      <c r="G25" s="4" t="e">
        <f>+Summary!$F$9*Summary!$B$33</f>
        <v>#DIV/0!</v>
      </c>
      <c r="H25" s="4" t="e">
        <f>+Summary!$F$9*Summary!$B$33</f>
        <v>#DIV/0!</v>
      </c>
      <c r="I25" s="4" t="e">
        <f>+Summary!$F$9*Summary!$B$33</f>
        <v>#DIV/0!</v>
      </c>
      <c r="J25" s="4" t="e">
        <f>+Summary!$F$9*Summary!$B$33</f>
        <v>#DIV/0!</v>
      </c>
      <c r="K25" s="4" t="e">
        <f>+Summary!$F$9*Summary!$B$33</f>
        <v>#DIV/0!</v>
      </c>
      <c r="L25" s="4" t="e">
        <f>+Summary!$F$9*Summary!$B$33</f>
        <v>#DIV/0!</v>
      </c>
      <c r="M25" s="4" t="e">
        <f>+Summary!$F$9*Summary!$B$33</f>
        <v>#DIV/0!</v>
      </c>
      <c r="N25" s="4" t="e">
        <f>+Summary!$F$9*Summary!$B$33</f>
        <v>#DIV/0!</v>
      </c>
    </row>
    <row r="26" spans="2:14" x14ac:dyDescent="0.2">
      <c r="B26" s="7" t="s">
        <v>29</v>
      </c>
      <c r="C26" s="7"/>
      <c r="D26" s="37" t="e">
        <f>+SUM(D16:D25)</f>
        <v>#DIV/0!</v>
      </c>
      <c r="E26" s="37" t="e">
        <f t="shared" ref="E26:N26" si="2">+SUM(E16:E25)</f>
        <v>#DIV/0!</v>
      </c>
      <c r="F26" s="37" t="e">
        <f t="shared" si="2"/>
        <v>#DIV/0!</v>
      </c>
      <c r="G26" s="37" t="e">
        <f t="shared" si="2"/>
        <v>#DIV/0!</v>
      </c>
      <c r="H26" s="37" t="e">
        <f t="shared" si="2"/>
        <v>#DIV/0!</v>
      </c>
      <c r="I26" s="37" t="e">
        <f t="shared" si="2"/>
        <v>#DIV/0!</v>
      </c>
      <c r="J26" s="37" t="e">
        <f t="shared" si="2"/>
        <v>#DIV/0!</v>
      </c>
      <c r="K26" s="37" t="e">
        <f t="shared" si="2"/>
        <v>#DIV/0!</v>
      </c>
      <c r="L26" s="37" t="e">
        <f t="shared" si="2"/>
        <v>#DIV/0!</v>
      </c>
      <c r="M26" s="37" t="e">
        <f t="shared" si="2"/>
        <v>#DIV/0!</v>
      </c>
      <c r="N26" s="37" t="e">
        <f t="shared" si="2"/>
        <v>#DIV/0!</v>
      </c>
    </row>
    <row r="27" spans="2:14" x14ac:dyDescent="0.2">
      <c r="B27" s="23" t="s">
        <v>50</v>
      </c>
      <c r="C27" s="34" t="e">
        <f>+SUM(C4:C7)</f>
        <v>#DIV/0!</v>
      </c>
      <c r="D27" s="34" t="e">
        <f>+D15-D26</f>
        <v>#DIV/0!</v>
      </c>
      <c r="E27" s="34" t="e">
        <f t="shared" ref="E27:N27" si="3">+E15-E26</f>
        <v>#DIV/0!</v>
      </c>
      <c r="F27" s="34" t="e">
        <f t="shared" si="3"/>
        <v>#DIV/0!</v>
      </c>
      <c r="G27" s="34" t="e">
        <f t="shared" si="3"/>
        <v>#DIV/0!</v>
      </c>
      <c r="H27" s="34" t="e">
        <f t="shared" si="3"/>
        <v>#DIV/0!</v>
      </c>
      <c r="I27" s="34" t="e">
        <f t="shared" si="3"/>
        <v>#DIV/0!</v>
      </c>
      <c r="J27" s="34" t="e">
        <f t="shared" si="3"/>
        <v>#DIV/0!</v>
      </c>
      <c r="K27" s="34" t="e">
        <f t="shared" si="3"/>
        <v>#DIV/0!</v>
      </c>
      <c r="L27" s="34" t="e">
        <f t="shared" si="3"/>
        <v>#DIV/0!</v>
      </c>
      <c r="M27" s="34" t="e">
        <f t="shared" si="3"/>
        <v>#DIV/0!</v>
      </c>
      <c r="N27" s="34" t="e">
        <f t="shared" si="3"/>
        <v>#DIV/0!</v>
      </c>
    </row>
    <row r="28" spans="2:14" x14ac:dyDescent="0.2">
      <c r="B28" t="s">
        <v>57</v>
      </c>
      <c r="C28" s="4">
        <f>+IF(Summary!$B$8=C3,((1-Summary!$B$37)*C27)/Summary!$B$38,0)</f>
        <v>0</v>
      </c>
      <c r="D28" s="4">
        <f>+IF(Summary!$B$8=D3,((1-Summary!$B$37)*D27)/Summary!$B$38,0)</f>
        <v>0</v>
      </c>
      <c r="E28" s="4">
        <f>+IF(Summary!$B$8=E3,((1-Summary!$B$37)*E27)/Summary!$B$38,0)</f>
        <v>0</v>
      </c>
      <c r="F28" s="4">
        <f>+IF(Summary!$B$8=F3,((1-Summary!$B$37)*F27)/Summary!$B$38,0)</f>
        <v>0</v>
      </c>
      <c r="G28" s="4">
        <f>+IF(Summary!$B$8=G3,((1-Summary!$B$37)*G27)/Summary!$B$38,0)</f>
        <v>0</v>
      </c>
      <c r="H28" s="4" t="e">
        <f>+IF(Summary!$B$8=H3,((1-Summary!$B$37)*H27)/Summary!$B$38,0)</f>
        <v>#DIV/0!</v>
      </c>
      <c r="I28" s="4">
        <f>+IF(Summary!$B$8=I3,((1-Summary!$B$37)*I27)/Summary!$B$38,0)</f>
        <v>0</v>
      </c>
      <c r="J28" s="4">
        <f>+IF(Summary!$B$8=J3,((1-Summary!$B$37)*J27)/Summary!$B$38,0)</f>
        <v>0</v>
      </c>
      <c r="K28" s="4">
        <f>+IF(Summary!$B$8=K3,((1-Summary!$B$37)*K27)/Summary!$B$38,0)</f>
        <v>0</v>
      </c>
      <c r="L28" s="4">
        <f>+IF(Summary!$B$8=L3,((1-Summary!$B$37)*L27)/Summary!$B$38,0)</f>
        <v>0</v>
      </c>
      <c r="M28" s="4">
        <f>+IF(Summary!$B$8=M3,((1-Summary!$B$37)*M27)/Summary!$B$38,0)</f>
        <v>0</v>
      </c>
      <c r="N28" s="4">
        <f>+IF(Summary!$B$8=N3,((1-Summary!$B$37)*N27)/Summary!$B$38,0)</f>
        <v>0</v>
      </c>
    </row>
    <row r="29" spans="2:14" x14ac:dyDescent="0.2">
      <c r="B29" s="23" t="s">
        <v>54</v>
      </c>
      <c r="C29" s="34" t="e">
        <f>+IF(C3&gt;Summary!$B$8,0,C27+C28)</f>
        <v>#DIV/0!</v>
      </c>
      <c r="D29" s="34" t="e">
        <f>+IF(D3&gt;Summary!$B$8,0,D27+D28)</f>
        <v>#DIV/0!</v>
      </c>
      <c r="E29" s="34" t="e">
        <f>+IF(E3&gt;Summary!$B$8,0,E27+E28)</f>
        <v>#DIV/0!</v>
      </c>
      <c r="F29" s="34" t="e">
        <f>+IF(F3&gt;Summary!$B$8,0,F27+F28)</f>
        <v>#DIV/0!</v>
      </c>
      <c r="G29" s="34" t="e">
        <f>+IF(G3&gt;Summary!$B$8,0,G27+G28)</f>
        <v>#DIV/0!</v>
      </c>
      <c r="H29" s="34" t="e">
        <f>+IF(H3&gt;Summary!$B$8,0,H27+H28)</f>
        <v>#DIV/0!</v>
      </c>
      <c r="I29" s="34">
        <f>+IF(I3&gt;Summary!$B$8,0,I27+I28)</f>
        <v>0</v>
      </c>
      <c r="J29" s="34">
        <f>+IF(J3&gt;Summary!$B$8,0,J27+J28)</f>
        <v>0</v>
      </c>
      <c r="K29" s="34">
        <f>+IF(K3&gt;Summary!$B$8,0,K27+K28)</f>
        <v>0</v>
      </c>
      <c r="L29" s="34">
        <f>+IF(L3&gt;Summary!$B$8,0,L27+L28)</f>
        <v>0</v>
      </c>
      <c r="M29" s="34">
        <f>+IF(M3&gt;Summary!$B$8,0,M27+M28)</f>
        <v>0</v>
      </c>
      <c r="N29" s="34">
        <f>+IF(N3&gt;Summary!$B$8,0,N27+N28)</f>
        <v>0</v>
      </c>
    </row>
    <row r="30" spans="2:14" x14ac:dyDescent="0.2">
      <c r="B30" s="7" t="s">
        <v>52</v>
      </c>
      <c r="D30" s="123" t="e">
        <f t="shared" ref="D30:N30" si="4">+(D29-D28)/-$C$29</f>
        <v>#DIV/0!</v>
      </c>
      <c r="E30" s="123" t="e">
        <f t="shared" si="4"/>
        <v>#DIV/0!</v>
      </c>
      <c r="F30" s="123" t="e">
        <f t="shared" si="4"/>
        <v>#DIV/0!</v>
      </c>
      <c r="G30" s="123" t="e">
        <f t="shared" si="4"/>
        <v>#DIV/0!</v>
      </c>
      <c r="H30" s="123" t="e">
        <f t="shared" si="4"/>
        <v>#DIV/0!</v>
      </c>
      <c r="I30" s="36" t="e">
        <f t="shared" si="4"/>
        <v>#DIV/0!</v>
      </c>
      <c r="J30" s="36" t="e">
        <f t="shared" si="4"/>
        <v>#DIV/0!</v>
      </c>
      <c r="K30" s="36" t="e">
        <f t="shared" si="4"/>
        <v>#DIV/0!</v>
      </c>
      <c r="L30" s="36" t="e">
        <f t="shared" si="4"/>
        <v>#DIV/0!</v>
      </c>
      <c r="M30" s="36" t="e">
        <f t="shared" si="4"/>
        <v>#DIV/0!</v>
      </c>
      <c r="N30" s="36" t="e">
        <f t="shared" si="4"/>
        <v>#DIV/0!</v>
      </c>
    </row>
    <row r="31" spans="2:14" x14ac:dyDescent="0.2">
      <c r="B31" s="7" t="s">
        <v>60</v>
      </c>
      <c r="C31" s="12" t="e">
        <f>+IRR($C$29:$M$29)</f>
        <v>#VALUE!</v>
      </c>
      <c r="K31" s="12"/>
      <c r="L31" s="12"/>
      <c r="M31" s="12"/>
      <c r="N31" s="12"/>
    </row>
    <row r="32" spans="2:14" x14ac:dyDescent="0.2">
      <c r="B32" s="13" t="s">
        <v>55</v>
      </c>
      <c r="K32" s="36"/>
      <c r="L32" s="36"/>
      <c r="M32" s="36"/>
      <c r="N32" s="36" t="e">
        <f>+(N30-N29)/-$C$29</f>
        <v>#DIV/0!</v>
      </c>
    </row>
    <row r="33" spans="2:14" x14ac:dyDescent="0.2">
      <c r="B33" s="38" t="s">
        <v>13</v>
      </c>
      <c r="C33" s="39">
        <v>0</v>
      </c>
      <c r="D33" s="39">
        <v>1</v>
      </c>
      <c r="E33" s="39">
        <v>2</v>
      </c>
      <c r="F33" s="39">
        <v>3</v>
      </c>
      <c r="G33" s="39">
        <v>4</v>
      </c>
      <c r="H33" s="39">
        <v>5</v>
      </c>
      <c r="I33" s="39">
        <v>6</v>
      </c>
      <c r="J33" s="39">
        <v>7</v>
      </c>
      <c r="K33" s="39">
        <v>8</v>
      </c>
      <c r="L33" s="39">
        <v>9</v>
      </c>
      <c r="M33" s="39">
        <v>10</v>
      </c>
      <c r="N33" s="40">
        <v>11</v>
      </c>
    </row>
    <row r="34" spans="2:14" x14ac:dyDescent="0.2">
      <c r="B34" t="s">
        <v>14</v>
      </c>
      <c r="C34" s="4">
        <f>+Summary!$F$5</f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2:14" x14ac:dyDescent="0.2">
      <c r="B35" t="s">
        <v>15</v>
      </c>
      <c r="C35" s="74">
        <f>-Summary!B15*Summary!B9*(1-Summary!B10)</f>
        <v>0</v>
      </c>
      <c r="N35" s="4">
        <f>+-SUMIFS('Market Amortization Table'!$F$2:$F$362,'Market Amortization Table'!$C$2:$C$362,Market!N$33)</f>
        <v>0</v>
      </c>
    </row>
    <row r="36" spans="2:14" x14ac:dyDescent="0.2">
      <c r="B36" s="3" t="s">
        <v>12</v>
      </c>
      <c r="C36" s="4">
        <f>+-SUMIFS('Current Amortization Table'!$F$3:$F$363,'Current Amortization Table'!$C$3:$C$363,Current!C$33)</f>
        <v>0</v>
      </c>
      <c r="D36" s="4">
        <f>+-SUMIFS('Market Amortization Table'!$F$2:$F$362,'Market Amortization Table'!$C$2:$C$362,Market!D$33)</f>
        <v>0</v>
      </c>
      <c r="E36" s="4">
        <f>+-SUMIFS('Market Amortization Table'!$F$2:$F$362,'Market Amortization Table'!$C$2:$C$362,Market!E$33)</f>
        <v>0</v>
      </c>
      <c r="F36" s="4">
        <f>+-SUMIFS('Market Amortization Table'!$F$2:$F$362,'Market Amortization Table'!$C$2:$C$362,Market!F$33)</f>
        <v>0</v>
      </c>
      <c r="G36" s="4">
        <f>+-SUMIFS('Market Amortization Table'!$F$2:$F$362,'Market Amortization Table'!$C$2:$C$362,Market!G$33)</f>
        <v>0</v>
      </c>
      <c r="H36" s="4">
        <f>+-SUMIFS('Market Amortization Table'!$F$2:$F$362,'Market Amortization Table'!$C$2:$C$362,Market!H$33)</f>
        <v>0</v>
      </c>
      <c r="I36" s="4">
        <f>+-SUMIFS('Market Amortization Table'!$F$2:$F$362,'Market Amortization Table'!$C$2:$C$362,Market!I$33)</f>
        <v>0</v>
      </c>
      <c r="J36" s="4">
        <f>+-SUMIFS('Market Amortization Table'!$F$2:$F$362,'Market Amortization Table'!$C$2:$C$362,Market!J$33)</f>
        <v>0</v>
      </c>
      <c r="K36" s="4">
        <f>+-SUMIFS('Market Amortization Table'!$F$2:$F$362,'Market Amortization Table'!$C$2:$C$362,Market!K$33)</f>
        <v>0</v>
      </c>
      <c r="L36" s="4">
        <f>+-SUMIFS('Market Amortization Table'!$F$2:$F$362,'Market Amortization Table'!$C$2:$C$362,Market!L$33)</f>
        <v>0</v>
      </c>
      <c r="M36" s="4">
        <f>+-SUMIFS('Market Amortization Table'!$F$2:$F$362,'Market Amortization Table'!$C$2:$C$362,Market!M$33)</f>
        <v>0</v>
      </c>
      <c r="N36" s="4">
        <f>+-SUMIFS('Market Amortization Table'!$G$2:$G$362,'Market Amortization Table'!$C$2:$C$362,Market!N$33)</f>
        <v>0</v>
      </c>
    </row>
    <row r="37" spans="2:14" x14ac:dyDescent="0.2">
      <c r="B37" s="3" t="s">
        <v>9</v>
      </c>
      <c r="C37" s="4">
        <f>+-SUMIFS('Current Amortization Table'!$G$3:$G$363,'Current Amortization Table'!$C$3:$C$363,Current!C$33)</f>
        <v>0</v>
      </c>
      <c r="D37" s="4">
        <f>-SUMIFS('Market Amortization Table'!$G$2:$G$362,'Market Amortization Table'!$C$2:$C$362,Market!D$33)</f>
        <v>0</v>
      </c>
      <c r="E37" s="4">
        <f>-SUMIFS('Market Amortization Table'!$G$2:$G$362,'Market Amortization Table'!$C$2:$C$362,Market!E$33)</f>
        <v>0</v>
      </c>
      <c r="F37" s="4">
        <f>-SUMIFS('Market Amortization Table'!$G$2:$G$362,'Market Amortization Table'!$C$2:$C$362,Market!F$33)</f>
        <v>0</v>
      </c>
      <c r="G37" s="4">
        <f>-SUMIFS('Market Amortization Table'!$G$2:$G$362,'Market Amortization Table'!$C$2:$C$362,Market!G$33)</f>
        <v>0</v>
      </c>
      <c r="H37" s="4">
        <f>-SUMIFS('Market Amortization Table'!$G$2:$G$362,'Market Amortization Table'!$C$2:$C$362,Market!H$33)</f>
        <v>0</v>
      </c>
      <c r="I37" s="4">
        <f>-SUMIFS('Market Amortization Table'!$G$2:$G$362,'Market Amortization Table'!$C$2:$C$362,Market!I$33)</f>
        <v>0</v>
      </c>
      <c r="J37" s="4">
        <f>-SUMIFS('Market Amortization Table'!$G$2:$G$362,'Market Amortization Table'!$C$2:$C$362,Market!J$33)</f>
        <v>0</v>
      </c>
      <c r="K37" s="4">
        <f>-SUMIFS('Market Amortization Table'!$G$2:$G$362,'Market Amortization Table'!$C$2:$C$362,Market!K$33)</f>
        <v>0</v>
      </c>
      <c r="L37" s="4">
        <f>-SUMIFS('Market Amortization Table'!$G$2:$G$362,'Market Amortization Table'!$C$2:$C$362,Market!L$33)</f>
        <v>0</v>
      </c>
      <c r="M37" s="4">
        <f>-SUMIFS('Market Amortization Table'!$G$2:$G$362,'Market Amortization Table'!$C$2:$C$362,Market!M$33)</f>
        <v>0</v>
      </c>
      <c r="N37" s="4">
        <f>-SUMIFS('Market Amortization Table'!$G$2:$G$362,'Market Amortization Table'!$C$2:$C$362,Market!N$33)</f>
        <v>0</v>
      </c>
    </row>
    <row r="38" spans="2:14" x14ac:dyDescent="0.2">
      <c r="B38" s="10" t="s">
        <v>10</v>
      </c>
      <c r="C38" s="11">
        <f>+-SUMIFS('Market Amortization Table'!$H$2:$H$362,'Market Amortization Table'!$C$2:$C$362,Market!C$33)</f>
        <v>0</v>
      </c>
      <c r="D38" s="11">
        <f>+-SUMIFS('Market Amortization Table'!$H$2:$H$362,'Market Amortization Table'!$C$2:$C$362,Market!D$33)</f>
        <v>0</v>
      </c>
      <c r="E38" s="11">
        <f>+-SUMIFS('Market Amortization Table'!$H$2:$H$362,'Market Amortization Table'!$C$2:$C$362,Market!E$33)</f>
        <v>0</v>
      </c>
      <c r="F38" s="11">
        <f>+-SUMIFS('Market Amortization Table'!$H$2:$H$362,'Market Amortization Table'!$C$2:$C$362,Market!F$33)</f>
        <v>0</v>
      </c>
      <c r="G38" s="11">
        <f>+-SUMIFS('Market Amortization Table'!$H$2:$H$362,'Market Amortization Table'!$C$2:$C$362,Market!G$33)</f>
        <v>0</v>
      </c>
      <c r="H38" s="11">
        <f>+-SUMIFS('Market Amortization Table'!$H$2:$H$362,'Market Amortization Table'!$C$2:$C$362,Market!H$33)</f>
        <v>0</v>
      </c>
      <c r="I38" s="11">
        <f>+-SUMIFS('Market Amortization Table'!$H$2:$H$362,'Market Amortization Table'!$C$2:$C$362,Market!I$33)</f>
        <v>0</v>
      </c>
      <c r="J38" s="11">
        <f>+-SUMIFS('Market Amortization Table'!$H$2:$H$362,'Market Amortization Table'!$C$2:$C$362,Market!J$33)</f>
        <v>0</v>
      </c>
      <c r="K38" s="11">
        <f>+-SUMIFS('Market Amortization Table'!$H$2:$H$362,'Market Amortization Table'!$C$2:$C$362,Market!K$33)</f>
        <v>0</v>
      </c>
      <c r="L38" s="11">
        <f>+-SUMIFS('Market Amortization Table'!$H$2:$H$362,'Market Amortization Table'!$C$2:$C$362,Market!L$33)</f>
        <v>0</v>
      </c>
      <c r="M38" s="11">
        <f>+-SUMIFS('Market Amortization Table'!$H$2:$H$362,'Market Amortization Table'!$C$2:$C$362,Market!M$33)</f>
        <v>0</v>
      </c>
      <c r="N38" s="180">
        <f t="shared" ref="N38" si="5">+SUM(N34:N37)</f>
        <v>0</v>
      </c>
    </row>
    <row r="39" spans="2:14" x14ac:dyDescent="0.2">
      <c r="B39" s="23" t="s">
        <v>46</v>
      </c>
      <c r="C39" s="34">
        <f t="shared" ref="C39:J39" si="6">+SUM(C34:C38)</f>
        <v>0</v>
      </c>
      <c r="D39" s="34">
        <f t="shared" si="6"/>
        <v>0</v>
      </c>
      <c r="E39" s="34">
        <f t="shared" si="6"/>
        <v>0</v>
      </c>
      <c r="F39" s="34">
        <f t="shared" si="6"/>
        <v>0</v>
      </c>
      <c r="G39" s="34">
        <f t="shared" si="6"/>
        <v>0</v>
      </c>
      <c r="H39" s="34">
        <f t="shared" si="6"/>
        <v>0</v>
      </c>
      <c r="I39" s="34">
        <f t="shared" si="6"/>
        <v>0</v>
      </c>
      <c r="J39" s="34">
        <f t="shared" si="6"/>
        <v>0</v>
      </c>
      <c r="K39" s="180">
        <f>+SUM(K34:K38)</f>
        <v>0</v>
      </c>
      <c r="L39" s="180">
        <f>+SUM(L34:L38)</f>
        <v>0</v>
      </c>
      <c r="M39" s="180">
        <f>+SUM(M34:M38)</f>
        <v>0</v>
      </c>
      <c r="N39" s="180">
        <f>+SUM(N34:N38)</f>
        <v>0</v>
      </c>
    </row>
    <row r="40" spans="2:14" x14ac:dyDescent="0.2">
      <c r="B40" s="23" t="s">
        <v>55</v>
      </c>
      <c r="C40" s="148" t="e">
        <f t="shared" ref="C40:M40" si="7">+C29+C39</f>
        <v>#DIV/0!</v>
      </c>
      <c r="D40" s="34" t="e">
        <f t="shared" si="7"/>
        <v>#DIV/0!</v>
      </c>
      <c r="E40" s="34" t="e">
        <f t="shared" si="7"/>
        <v>#DIV/0!</v>
      </c>
      <c r="F40" s="34" t="e">
        <f t="shared" si="7"/>
        <v>#DIV/0!</v>
      </c>
      <c r="G40" s="34" t="e">
        <f t="shared" si="7"/>
        <v>#DIV/0!</v>
      </c>
      <c r="H40" s="34" t="e">
        <f t="shared" si="7"/>
        <v>#DIV/0!</v>
      </c>
      <c r="I40" s="34">
        <f t="shared" si="7"/>
        <v>0</v>
      </c>
      <c r="J40" s="34">
        <f t="shared" si="7"/>
        <v>0</v>
      </c>
      <c r="K40" s="34">
        <f t="shared" si="7"/>
        <v>0</v>
      </c>
      <c r="L40" s="34">
        <f t="shared" si="7"/>
        <v>0</v>
      </c>
      <c r="M40" s="34">
        <f t="shared" si="7"/>
        <v>0</v>
      </c>
      <c r="N40" s="35" t="e">
        <f>+N30+N38</f>
        <v>#DIV/0!</v>
      </c>
    </row>
    <row r="42" spans="2:14" x14ac:dyDescent="0.2">
      <c r="B42" s="47" t="s">
        <v>51</v>
      </c>
      <c r="C42" s="149"/>
      <c r="D42" s="150" t="e">
        <f>+IF(D33&gt;Summary!$B$8,0,-(D27+SUM(D36:D37))/$C$40)</f>
        <v>#DIV/0!</v>
      </c>
      <c r="E42" s="150" t="e">
        <f>+IF(E33&gt;Summary!$B$8,0,-(E27+SUM(E36:E37))/$C$40)</f>
        <v>#DIV/0!</v>
      </c>
      <c r="F42" s="150" t="e">
        <f>+IF(F33&gt;Summary!$B$8,0,-(F27+SUM(F36:F37))/$C$40)</f>
        <v>#DIV/0!</v>
      </c>
      <c r="G42" s="150" t="e">
        <f>+IF(G33&gt;Summary!$B$8,0,-(G27+SUM(G36:G37))/$C$40)</f>
        <v>#DIV/0!</v>
      </c>
      <c r="H42" s="150" t="e">
        <f>+IF(H33&gt;Summary!$B$8,0,-(H27+SUM(H36:H37))/$C$40)</f>
        <v>#DIV/0!</v>
      </c>
      <c r="I42" s="150">
        <f>+IF(I33&gt;Summary!$B$8,0,-(I27+SUM(I36:I37))/$C$40)</f>
        <v>0</v>
      </c>
      <c r="J42" s="150">
        <f>+IF(J33&gt;Summary!$B$8,0,-(J27+SUM(J36:J37))/$C$40)</f>
        <v>0</v>
      </c>
      <c r="K42" s="150">
        <f>+IF(K33&gt;Summary!$B$8,0,-(K27+SUM(K36:K37))/$C$40)</f>
        <v>0</v>
      </c>
      <c r="L42" s="150">
        <f>+IF(L33&gt;Summary!$B$8,0,-(L27+SUM(L36:L37))/$C$40)</f>
        <v>0</v>
      </c>
      <c r="M42" s="150">
        <f>+IF(M33&gt;Summary!$B$8,0,-(M27+SUM(M36:M37))/$C$40)</f>
        <v>0</v>
      </c>
      <c r="N42" s="206">
        <f>+IF(N33&gt;Summary!$B$8,0,-(N27+SUM(N36:N37))/$C$40)</f>
        <v>0</v>
      </c>
    </row>
    <row r="43" spans="2:14" x14ac:dyDescent="0.2">
      <c r="B43" s="98" t="s">
        <v>61</v>
      </c>
      <c r="C43" s="152" t="e">
        <f>IRR(C40:M40)</f>
        <v>#VALUE!</v>
      </c>
      <c r="D43" s="7"/>
      <c r="E43" s="7"/>
      <c r="F43" s="7"/>
      <c r="G43" s="7"/>
      <c r="H43" s="7"/>
      <c r="I43" s="7"/>
      <c r="J43" s="7"/>
      <c r="N43" s="181"/>
    </row>
    <row r="44" spans="2:14" x14ac:dyDescent="0.2">
      <c r="B44" s="98" t="s">
        <v>88</v>
      </c>
      <c r="C44" s="137" t="e">
        <f>+MROUND(SUM(C40:N40),10000)</f>
        <v>#DIV/0!</v>
      </c>
      <c r="D44" s="7"/>
      <c r="E44" s="7"/>
      <c r="F44" s="7"/>
      <c r="G44" s="7"/>
      <c r="H44" s="7"/>
      <c r="I44" s="7"/>
      <c r="J44" s="7"/>
      <c r="N44" s="198"/>
    </row>
    <row r="45" spans="2:14" x14ac:dyDescent="0.2">
      <c r="B45" s="28" t="s">
        <v>89</v>
      </c>
      <c r="C45" s="153" t="e">
        <f>+SUM($D$40:$N$40)/-$C$40</f>
        <v>#DIV/0!</v>
      </c>
      <c r="D45" s="151"/>
      <c r="E45" s="151"/>
      <c r="F45" s="151"/>
      <c r="G45" s="151"/>
      <c r="H45" s="151"/>
      <c r="I45" s="151"/>
      <c r="J45" s="151"/>
      <c r="K45" s="10"/>
      <c r="L45" s="10"/>
      <c r="M45" s="10"/>
      <c r="N45" s="182"/>
    </row>
  </sheetData>
  <pageMargins left="0.25" right="0.25" top="0.75" bottom="0.75" header="0.3" footer="0.3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7E8F-569E-41F7-9601-3B7ECF01A700}">
  <dimension ref="B2:XFB45"/>
  <sheetViews>
    <sheetView zoomScale="116" zoomScaleNormal="100" workbookViewId="0"/>
  </sheetViews>
  <sheetFormatPr baseColWidth="10" defaultColWidth="14.6640625" defaultRowHeight="15" outlineLevelCol="1" x14ac:dyDescent="0.2"/>
  <cols>
    <col min="1" max="1" width="3.6640625" style="64" customWidth="1"/>
    <col min="2" max="2" width="23.5" style="64" bestFit="1" customWidth="1"/>
    <col min="3" max="6" width="14.6640625" style="64"/>
    <col min="7" max="7" width="16.5" style="64" bestFit="1" customWidth="1"/>
    <col min="8" max="10" width="14.6640625" style="64"/>
    <col min="11" max="14" width="14.6640625" style="64" customWidth="1" outlineLevel="1"/>
    <col min="15" max="15" width="3.6640625" style="64" customWidth="1"/>
    <col min="16" max="16" width="16.6640625" style="64" customWidth="1"/>
    <col min="17" max="16384" width="14.6640625" style="64"/>
  </cols>
  <sheetData>
    <row r="2" spans="2:19" x14ac:dyDescent="0.2">
      <c r="B2" s="79" t="s">
        <v>54</v>
      </c>
      <c r="P2" s="79" t="s">
        <v>16</v>
      </c>
    </row>
    <row r="3" spans="2:19" x14ac:dyDescent="0.2">
      <c r="B3" s="78" t="s">
        <v>13</v>
      </c>
      <c r="C3" s="77">
        <v>0</v>
      </c>
      <c r="D3" s="77">
        <v>1</v>
      </c>
      <c r="E3" s="77">
        <v>2</v>
      </c>
      <c r="F3" s="77">
        <v>3</v>
      </c>
      <c r="G3" s="77">
        <v>4</v>
      </c>
      <c r="H3" s="77">
        <v>5</v>
      </c>
      <c r="I3" s="77">
        <v>6</v>
      </c>
      <c r="J3" s="77">
        <v>7</v>
      </c>
      <c r="K3" s="77">
        <v>8</v>
      </c>
      <c r="L3" s="77">
        <v>9</v>
      </c>
      <c r="M3" s="77">
        <v>10</v>
      </c>
      <c r="N3" s="76">
        <v>11</v>
      </c>
      <c r="P3" s="88" t="s">
        <v>17</v>
      </c>
      <c r="Q3" s="87" t="s">
        <v>18</v>
      </c>
      <c r="R3" s="87" t="s">
        <v>19</v>
      </c>
      <c r="S3" s="174" t="s">
        <v>20</v>
      </c>
    </row>
    <row r="4" spans="2:19" x14ac:dyDescent="0.2">
      <c r="B4" s="64" t="s">
        <v>56</v>
      </c>
      <c r="C4" s="74">
        <f>-Summary!$E$3</f>
        <v>0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P4" s="86">
        <f>+Summary!H4</f>
        <v>0</v>
      </c>
      <c r="Q4" s="85">
        <f>+Summary!I4</f>
        <v>0</v>
      </c>
      <c r="R4" s="85">
        <f>+Summary!J4</f>
        <v>0</v>
      </c>
      <c r="S4" s="175">
        <f>+Summary!K4</f>
        <v>0</v>
      </c>
    </row>
    <row r="5" spans="2:19" x14ac:dyDescent="0.2">
      <c r="B5" s="64" t="s">
        <v>58</v>
      </c>
      <c r="C5" s="74">
        <f>+Summary!$B$16*-Summary!$E$3</f>
        <v>0</v>
      </c>
      <c r="P5" s="86">
        <f>+Summary!H5</f>
        <v>0</v>
      </c>
      <c r="Q5" s="85">
        <f>+Summary!I5</f>
        <v>0</v>
      </c>
      <c r="R5" s="85">
        <f>+Summary!J5</f>
        <v>0</v>
      </c>
      <c r="S5" s="175">
        <f>+Summary!K5</f>
        <v>0</v>
      </c>
    </row>
    <row r="6" spans="2:19" x14ac:dyDescent="0.2">
      <c r="B6" s="64" t="s">
        <v>119</v>
      </c>
      <c r="C6" s="74">
        <f>-Summary!$B$9*Summary!$B$32</f>
        <v>0</v>
      </c>
      <c r="P6" s="86">
        <f>+Summary!H6</f>
        <v>0</v>
      </c>
      <c r="Q6" s="85">
        <f>+Summary!I6</f>
        <v>0</v>
      </c>
      <c r="R6" s="85">
        <f>+Summary!J6</f>
        <v>0</v>
      </c>
      <c r="S6" s="175">
        <f>+Summary!K6</f>
        <v>0</v>
      </c>
    </row>
    <row r="7" spans="2:19" x14ac:dyDescent="0.2">
      <c r="B7" s="64" t="s">
        <v>62</v>
      </c>
      <c r="C7" s="74">
        <f>-Summary!E7*Summary!$I$16</f>
        <v>0</v>
      </c>
      <c r="P7" s="86">
        <f>+Summary!H7</f>
        <v>0</v>
      </c>
      <c r="Q7" s="85">
        <f>+Summary!I7</f>
        <v>0</v>
      </c>
      <c r="R7" s="85">
        <f>+Summary!J7</f>
        <v>0</v>
      </c>
      <c r="S7" s="175">
        <f>+Summary!K7</f>
        <v>0</v>
      </c>
    </row>
    <row r="8" spans="2:19" x14ac:dyDescent="0.2">
      <c r="B8" s="64" t="s">
        <v>25</v>
      </c>
      <c r="C8" s="74"/>
      <c r="D8" s="74">
        <f>+S14</f>
        <v>0</v>
      </c>
      <c r="E8" s="74">
        <f>+D8</f>
        <v>0</v>
      </c>
      <c r="F8" s="74">
        <f t="shared" ref="F8:N8" si="0">+E8</f>
        <v>0</v>
      </c>
      <c r="G8" s="74">
        <f t="shared" si="0"/>
        <v>0</v>
      </c>
      <c r="H8" s="74">
        <f t="shared" si="0"/>
        <v>0</v>
      </c>
      <c r="I8" s="74">
        <f t="shared" si="0"/>
        <v>0</v>
      </c>
      <c r="J8" s="74">
        <f t="shared" si="0"/>
        <v>0</v>
      </c>
      <c r="K8" s="74">
        <f t="shared" si="0"/>
        <v>0</v>
      </c>
      <c r="L8" s="74">
        <f t="shared" si="0"/>
        <v>0</v>
      </c>
      <c r="M8" s="74">
        <f t="shared" si="0"/>
        <v>0</v>
      </c>
      <c r="N8" s="74">
        <f t="shared" si="0"/>
        <v>0</v>
      </c>
      <c r="P8" s="86">
        <f>+Summary!H8</f>
        <v>0</v>
      </c>
      <c r="Q8" s="85">
        <f>+Summary!I8</f>
        <v>0</v>
      </c>
      <c r="R8" s="85">
        <f>+Summary!J8</f>
        <v>0</v>
      </c>
      <c r="S8" s="175">
        <f>+Summary!K8</f>
        <v>0</v>
      </c>
    </row>
    <row r="9" spans="2:19" x14ac:dyDescent="0.2">
      <c r="B9" s="64" t="s">
        <v>69</v>
      </c>
      <c r="C9" s="74"/>
      <c r="D9" s="74">
        <f>+Summary!$B$30</f>
        <v>0</v>
      </c>
      <c r="E9" s="74">
        <f>+Summary!$B$30</f>
        <v>0</v>
      </c>
      <c r="F9" s="74">
        <f>+Summary!$B$30</f>
        <v>0</v>
      </c>
      <c r="G9" s="74">
        <f>+Summary!$B$30</f>
        <v>0</v>
      </c>
      <c r="H9" s="74">
        <f>+Summary!$B$30</f>
        <v>0</v>
      </c>
      <c r="I9" s="74">
        <f>+Summary!$B$30</f>
        <v>0</v>
      </c>
      <c r="J9" s="74">
        <f>+Summary!$B$30</f>
        <v>0</v>
      </c>
      <c r="K9" s="74">
        <f>+Summary!$B$30</f>
        <v>0</v>
      </c>
      <c r="L9" s="74">
        <f>+Summary!$B$30</f>
        <v>0</v>
      </c>
      <c r="M9" s="74">
        <f>+Summary!$B$30</f>
        <v>0</v>
      </c>
      <c r="N9" s="74">
        <f>+Summary!$B$30</f>
        <v>0</v>
      </c>
      <c r="P9" s="86">
        <f>+Summary!H9</f>
        <v>0</v>
      </c>
      <c r="Q9" s="85">
        <f>+Summary!I9</f>
        <v>0</v>
      </c>
      <c r="R9" s="85">
        <f>+Summary!J9</f>
        <v>0</v>
      </c>
      <c r="S9" s="175">
        <f>+Summary!K9</f>
        <v>0</v>
      </c>
    </row>
    <row r="10" spans="2:19" x14ac:dyDescent="0.2">
      <c r="B10" s="10" t="s">
        <v>76</v>
      </c>
      <c r="C10" s="10"/>
      <c r="D10" s="11" t="e">
        <f>+Summary!$K$12*Summary!$I$16*12</f>
        <v>#DIV/0!</v>
      </c>
      <c r="E10" s="11" t="e">
        <f>+Summary!$K$12*Summary!$I$16*12</f>
        <v>#DIV/0!</v>
      </c>
      <c r="F10" s="11" t="e">
        <f>+Summary!$K$12*Summary!$I$16*12</f>
        <v>#DIV/0!</v>
      </c>
      <c r="G10" s="11" t="e">
        <f>+Summary!$K$12*Summary!$I$16*12</f>
        <v>#DIV/0!</v>
      </c>
      <c r="H10" s="11" t="e">
        <f>+Summary!$K$12*Summary!$I$16*12</f>
        <v>#DIV/0!</v>
      </c>
      <c r="I10" s="11" t="e">
        <f>+Summary!$K$12*Summary!$I$16*12</f>
        <v>#DIV/0!</v>
      </c>
      <c r="J10" s="11" t="e">
        <f>+Summary!$K$12*Summary!$I$16*12</f>
        <v>#DIV/0!</v>
      </c>
      <c r="K10" s="11" t="e">
        <f>+Summary!$K$12*Summary!$I$16*12</f>
        <v>#DIV/0!</v>
      </c>
      <c r="L10" s="11" t="e">
        <f>+Summary!$K$12*Summary!$I$16*12</f>
        <v>#DIV/0!</v>
      </c>
      <c r="M10" s="11" t="e">
        <f>+Summary!$K$12*Summary!$I$16*12</f>
        <v>#DIV/0!</v>
      </c>
      <c r="N10" s="11" t="e">
        <f>+Summary!$K$12*Summary!$I$16*12</f>
        <v>#DIV/0!</v>
      </c>
      <c r="P10" s="86">
        <f>+Summary!H10</f>
        <v>0</v>
      </c>
      <c r="Q10" s="85">
        <f>+Summary!I10</f>
        <v>0</v>
      </c>
      <c r="R10" s="85">
        <f>+Summary!J10</f>
        <v>0</v>
      </c>
      <c r="S10" s="175">
        <f>+Summary!K10</f>
        <v>0</v>
      </c>
    </row>
    <row r="11" spans="2:19" x14ac:dyDescent="0.2">
      <c r="B11" s="64" t="s">
        <v>95</v>
      </c>
      <c r="C11" s="74"/>
      <c r="D11" s="74" t="e">
        <f>+SUM(D8:D10)</f>
        <v>#DIV/0!</v>
      </c>
      <c r="E11" s="74" t="e">
        <f t="shared" ref="E11:N11" si="1">+SUM(E8:E10)</f>
        <v>#DIV/0!</v>
      </c>
      <c r="F11" s="74" t="e">
        <f t="shared" si="1"/>
        <v>#DIV/0!</v>
      </c>
      <c r="G11" s="74" t="e">
        <f t="shared" si="1"/>
        <v>#DIV/0!</v>
      </c>
      <c r="H11" s="74" t="e">
        <f t="shared" si="1"/>
        <v>#DIV/0!</v>
      </c>
      <c r="I11" s="74" t="e">
        <f t="shared" si="1"/>
        <v>#DIV/0!</v>
      </c>
      <c r="J11" s="74" t="e">
        <f t="shared" si="1"/>
        <v>#DIV/0!</v>
      </c>
      <c r="K11" s="74" t="e">
        <f t="shared" si="1"/>
        <v>#DIV/0!</v>
      </c>
      <c r="L11" s="74" t="e">
        <f t="shared" si="1"/>
        <v>#DIV/0!</v>
      </c>
      <c r="M11" s="74" t="e">
        <f t="shared" si="1"/>
        <v>#DIV/0!</v>
      </c>
      <c r="N11" s="74" t="e">
        <f t="shared" si="1"/>
        <v>#DIV/0!</v>
      </c>
      <c r="P11" s="86">
        <f>+Summary!H11</f>
        <v>0</v>
      </c>
      <c r="Q11" s="85">
        <f>+Summary!I11</f>
        <v>0</v>
      </c>
      <c r="R11" s="85">
        <f>+Summary!J11</f>
        <v>0</v>
      </c>
      <c r="S11" s="175">
        <f>+Summary!K11</f>
        <v>0</v>
      </c>
    </row>
    <row r="12" spans="2:19" x14ac:dyDescent="0.2">
      <c r="B12" s="64" t="s">
        <v>125</v>
      </c>
      <c r="C12" s="74"/>
      <c r="D12" s="74" t="e">
        <f>D11*Summary!$B$11</f>
        <v>#DIV/0!</v>
      </c>
      <c r="E12" s="74" t="e">
        <f>E11*Summary!$B$11</f>
        <v>#DIV/0!</v>
      </c>
      <c r="F12" s="74" t="e">
        <f>F11*Summary!$B$11</f>
        <v>#DIV/0!</v>
      </c>
      <c r="G12" s="74" t="e">
        <f>G11*Summary!$B$11</f>
        <v>#DIV/0!</v>
      </c>
      <c r="H12" s="74" t="e">
        <f>H11*Summary!$B$11</f>
        <v>#DIV/0!</v>
      </c>
      <c r="I12" s="74" t="e">
        <f>I11*Summary!$B$11</f>
        <v>#DIV/0!</v>
      </c>
      <c r="J12" s="74" t="e">
        <f>J11*Summary!$B$11</f>
        <v>#DIV/0!</v>
      </c>
      <c r="K12" s="74" t="e">
        <f>K11*Summary!$B$11</f>
        <v>#DIV/0!</v>
      </c>
      <c r="L12" s="74" t="e">
        <f>L11*Summary!$B$11</f>
        <v>#DIV/0!</v>
      </c>
      <c r="M12" s="74" t="e">
        <f>M11*Summary!$B$11</f>
        <v>#DIV/0!</v>
      </c>
      <c r="N12" s="74" t="e">
        <f>N11*Summary!$B$11</f>
        <v>#DIV/0!</v>
      </c>
      <c r="P12" s="197" t="str">
        <f>+Summary!H12</f>
        <v>Utility Billback/Unit</v>
      </c>
      <c r="Q12" s="83">
        <f>+Summary!I12</f>
        <v>0</v>
      </c>
      <c r="R12" s="83">
        <f>+Summary!J12</f>
        <v>0</v>
      </c>
      <c r="S12" s="176" t="e">
        <f>+Summary!K12</f>
        <v>#DIV/0!</v>
      </c>
    </row>
    <row r="13" spans="2:19" x14ac:dyDescent="0.2">
      <c r="B13" s="64" t="s">
        <v>121</v>
      </c>
      <c r="D13" s="74" t="e">
        <f>D11*Summary!$B$12</f>
        <v>#DIV/0!</v>
      </c>
      <c r="E13" s="74" t="e">
        <f>E11*Summary!$B$12</f>
        <v>#DIV/0!</v>
      </c>
      <c r="F13" s="74" t="e">
        <f>F11*Summary!$B$12</f>
        <v>#DIV/0!</v>
      </c>
      <c r="G13" s="74" t="e">
        <f>G11*Summary!$B$12</f>
        <v>#DIV/0!</v>
      </c>
      <c r="H13" s="74" t="e">
        <f>H11*Summary!$B$12</f>
        <v>#DIV/0!</v>
      </c>
      <c r="I13" s="74" t="e">
        <f>I11*Summary!$B$12</f>
        <v>#DIV/0!</v>
      </c>
      <c r="J13" s="74" t="e">
        <f>J11*Summary!$B$12</f>
        <v>#DIV/0!</v>
      </c>
      <c r="K13" s="74" t="e">
        <f>K11*Summary!$B$12</f>
        <v>#DIV/0!</v>
      </c>
      <c r="L13" s="74" t="e">
        <f>L11*Summary!$B$12</f>
        <v>#DIV/0!</v>
      </c>
      <c r="M13" s="74" t="e">
        <f>M11*Summary!$B$12</f>
        <v>#DIV/0!</v>
      </c>
      <c r="N13" s="74" t="e">
        <f>N11*Summary!$B$12</f>
        <v>#DIV/0!</v>
      </c>
      <c r="P13" s="66" t="s">
        <v>22</v>
      </c>
      <c r="S13" s="68">
        <f>+SUMPRODUCT(S4:S11,$P$4:$P$11)</f>
        <v>0</v>
      </c>
    </row>
    <row r="14" spans="2:19" x14ac:dyDescent="0.2">
      <c r="B14" s="64" t="s">
        <v>122</v>
      </c>
      <c r="D14" s="74" t="e">
        <f>D11*Summary!$B$13</f>
        <v>#DIV/0!</v>
      </c>
      <c r="E14" s="74" t="e">
        <f>E11*Summary!$B$13</f>
        <v>#DIV/0!</v>
      </c>
      <c r="F14" s="74" t="e">
        <f>F11*Summary!$B$13</f>
        <v>#DIV/0!</v>
      </c>
      <c r="G14" s="74" t="e">
        <f>G11*Summary!$B$13</f>
        <v>#DIV/0!</v>
      </c>
      <c r="H14" s="74" t="e">
        <f>H11*Summary!$B$13</f>
        <v>#DIV/0!</v>
      </c>
      <c r="I14" s="74" t="e">
        <f>I11*Summary!$B$13</f>
        <v>#DIV/0!</v>
      </c>
      <c r="J14" s="74" t="e">
        <f>J11*Summary!$B$13</f>
        <v>#DIV/0!</v>
      </c>
      <c r="K14" s="74" t="e">
        <f>K11*Summary!$B$13</f>
        <v>#DIV/0!</v>
      </c>
      <c r="L14" s="74" t="e">
        <f>L11*Summary!$B$13</f>
        <v>#DIV/0!</v>
      </c>
      <c r="M14" s="74" t="e">
        <f>M11*Summary!$B$13</f>
        <v>#DIV/0!</v>
      </c>
      <c r="N14" s="74" t="e">
        <f>N11*Summary!$B$13</f>
        <v>#DIV/0!</v>
      </c>
      <c r="P14" s="81" t="s">
        <v>23</v>
      </c>
      <c r="S14" s="68">
        <f>+S13*12</f>
        <v>0</v>
      </c>
    </row>
    <row r="15" spans="2:19" x14ac:dyDescent="0.2">
      <c r="B15" s="71" t="s">
        <v>96</v>
      </c>
      <c r="C15" s="158"/>
      <c r="D15" s="70" t="e">
        <f>+D11-SUM(D12:D14)</f>
        <v>#DIV/0!</v>
      </c>
      <c r="E15" s="70" t="e">
        <f t="shared" ref="E15:N15" si="2">+E11-SUM(E12:E14)</f>
        <v>#DIV/0!</v>
      </c>
      <c r="F15" s="70" t="e">
        <f t="shared" si="2"/>
        <v>#DIV/0!</v>
      </c>
      <c r="G15" s="70" t="e">
        <f t="shared" si="2"/>
        <v>#DIV/0!</v>
      </c>
      <c r="H15" s="70" t="e">
        <f t="shared" si="2"/>
        <v>#DIV/0!</v>
      </c>
      <c r="I15" s="70" t="e">
        <f t="shared" si="2"/>
        <v>#DIV/0!</v>
      </c>
      <c r="J15" s="70" t="e">
        <f t="shared" si="2"/>
        <v>#DIV/0!</v>
      </c>
      <c r="K15" s="70" t="e">
        <f t="shared" si="2"/>
        <v>#DIV/0!</v>
      </c>
      <c r="L15" s="70" t="e">
        <f t="shared" si="2"/>
        <v>#DIV/0!</v>
      </c>
      <c r="M15" s="70" t="e">
        <f t="shared" si="2"/>
        <v>#DIV/0!</v>
      </c>
      <c r="N15" s="70" t="e">
        <f t="shared" si="2"/>
        <v>#DIV/0!</v>
      </c>
      <c r="P15" s="85"/>
      <c r="Q15" s="85"/>
      <c r="R15" s="85"/>
      <c r="S15" s="84"/>
    </row>
    <row r="16" spans="2:19" x14ac:dyDescent="0.2">
      <c r="B16" s="171" t="s">
        <v>123</v>
      </c>
      <c r="C16" s="66"/>
      <c r="D16" s="74">
        <f>+Summary!E26</f>
        <v>0</v>
      </c>
      <c r="E16" s="74">
        <f>+D16*(1+Summary!$B$34)</f>
        <v>0</v>
      </c>
      <c r="F16" s="74">
        <f>+E16*(1+Summary!$B$34)</f>
        <v>0</v>
      </c>
      <c r="G16" s="74">
        <f>+F16*(1+Summary!$B$34)</f>
        <v>0</v>
      </c>
      <c r="H16" s="74">
        <f>+G16*(1+Summary!$B$34)</f>
        <v>0</v>
      </c>
      <c r="I16" s="74">
        <f>+H16*(1+Summary!$B$34)</f>
        <v>0</v>
      </c>
      <c r="J16" s="74">
        <f>+I16*(1+Summary!$B$34)</f>
        <v>0</v>
      </c>
      <c r="K16" s="74">
        <f>+J16*(1+Summary!$B$34)</f>
        <v>0</v>
      </c>
      <c r="L16" s="74">
        <f>+K16*(1+Summary!$B$34)</f>
        <v>0</v>
      </c>
      <c r="M16" s="74">
        <f>+L16*(1+Summary!$B$34)</f>
        <v>0</v>
      </c>
      <c r="N16" s="74">
        <f>+M16*(1+Summary!$B$34)</f>
        <v>0</v>
      </c>
      <c r="P16" s="85"/>
      <c r="Q16" s="85"/>
      <c r="R16" s="85"/>
      <c r="S16" s="84"/>
    </row>
    <row r="17" spans="2:19 16382:16382" x14ac:dyDescent="0.2">
      <c r="B17" t="s">
        <v>98</v>
      </c>
      <c r="C17" s="66"/>
      <c r="D17" s="74">
        <f>+Summary!E27</f>
        <v>0</v>
      </c>
      <c r="E17" s="74">
        <f>+D17*(1+Summary!$B$34)</f>
        <v>0</v>
      </c>
      <c r="F17" s="74">
        <f>+E17*(1+Summary!$B$34)</f>
        <v>0</v>
      </c>
      <c r="G17" s="74">
        <f>+F17*(1+Summary!$B$34)</f>
        <v>0</v>
      </c>
      <c r="H17" s="74">
        <f>+G17*(1+Summary!$B$34)</f>
        <v>0</v>
      </c>
      <c r="I17" s="74">
        <f>+H17*(1+Summary!$B$34)</f>
        <v>0</v>
      </c>
      <c r="J17" s="74">
        <f>+I17*(1+Summary!$B$34)</f>
        <v>0</v>
      </c>
      <c r="K17" s="74">
        <f>+J17*(1+Summary!$B$34)</f>
        <v>0</v>
      </c>
      <c r="L17" s="74">
        <f>+K17*(1+Summary!$B$34)</f>
        <v>0</v>
      </c>
      <c r="M17" s="74">
        <f>+L17*(1+Summary!$B$34)</f>
        <v>0</v>
      </c>
      <c r="N17" s="74">
        <f>+M17*(1+Summary!$B$34)</f>
        <v>0</v>
      </c>
      <c r="P17" s="85"/>
      <c r="Q17" s="85"/>
      <c r="R17" s="85"/>
      <c r="S17" s="84"/>
    </row>
    <row r="18" spans="2:19 16382:16382" x14ac:dyDescent="0.2">
      <c r="B18" t="s">
        <v>99</v>
      </c>
      <c r="C18" s="66"/>
      <c r="D18" s="74" t="e">
        <f>+Summary!E28</f>
        <v>#DIV/0!</v>
      </c>
      <c r="E18" s="74" t="e">
        <f>+D18*(1+Summary!$B$34)</f>
        <v>#DIV/0!</v>
      </c>
      <c r="F18" s="74" t="e">
        <f>+E18*(1+Summary!$B$34)</f>
        <v>#DIV/0!</v>
      </c>
      <c r="G18" s="74" t="e">
        <f>+F18*(1+Summary!$B$34)</f>
        <v>#DIV/0!</v>
      </c>
      <c r="H18" s="74" t="e">
        <f>+G18*(1+Summary!$B$34)</f>
        <v>#DIV/0!</v>
      </c>
      <c r="I18" s="74" t="e">
        <f>+H18*(1+Summary!$B$34)</f>
        <v>#DIV/0!</v>
      </c>
      <c r="J18" s="74" t="e">
        <f>+I18*(1+Summary!$B$34)</f>
        <v>#DIV/0!</v>
      </c>
      <c r="K18" s="74" t="e">
        <f>+J18*(1+Summary!$B$34)</f>
        <v>#DIV/0!</v>
      </c>
      <c r="L18" s="74" t="e">
        <f>+K18*(1+Summary!$B$34)</f>
        <v>#DIV/0!</v>
      </c>
      <c r="M18" s="74" t="e">
        <f>+L18*(1+Summary!$B$34)</f>
        <v>#DIV/0!</v>
      </c>
      <c r="N18" s="74" t="e">
        <f>+M18*(1+Summary!$B$34)</f>
        <v>#DIV/0!</v>
      </c>
      <c r="P18" s="85"/>
      <c r="Q18" s="85"/>
      <c r="R18" s="85"/>
      <c r="S18" s="84"/>
    </row>
    <row r="19" spans="2:19 16382:16382" x14ac:dyDescent="0.2">
      <c r="B19" t="s">
        <v>131</v>
      </c>
      <c r="C19" s="66"/>
      <c r="D19" s="74" t="e">
        <f>+D15*Summary!$B$25</f>
        <v>#DIV/0!</v>
      </c>
      <c r="E19" s="74" t="e">
        <f>+E15*Summary!$B$25</f>
        <v>#DIV/0!</v>
      </c>
      <c r="F19" s="74" t="e">
        <f>+F15*Summary!$B$25</f>
        <v>#DIV/0!</v>
      </c>
      <c r="G19" s="74" t="e">
        <f>+G15*Summary!$B$25</f>
        <v>#DIV/0!</v>
      </c>
      <c r="H19" s="74" t="e">
        <f>+H15*Summary!$B$25</f>
        <v>#DIV/0!</v>
      </c>
      <c r="I19" s="74" t="e">
        <f>+I15*Summary!$B$25</f>
        <v>#DIV/0!</v>
      </c>
      <c r="J19" s="74" t="e">
        <f>+J15*Summary!$B$25</f>
        <v>#DIV/0!</v>
      </c>
      <c r="K19" s="74" t="e">
        <f>+K15*Summary!$B$25</f>
        <v>#DIV/0!</v>
      </c>
      <c r="L19" s="74" t="e">
        <f>+L15*Summary!$B$25</f>
        <v>#DIV/0!</v>
      </c>
      <c r="M19" s="74" t="e">
        <f>+M15*Summary!$B$25</f>
        <v>#DIV/0!</v>
      </c>
      <c r="N19" s="74" t="e">
        <f>+N15*Summary!$B$25</f>
        <v>#DIV/0!</v>
      </c>
      <c r="P19" s="85"/>
      <c r="Q19" s="85"/>
      <c r="R19" s="85"/>
      <c r="S19" s="84"/>
    </row>
    <row r="20" spans="2:19 16382:16382" x14ac:dyDescent="0.2">
      <c r="B20" t="s">
        <v>130</v>
      </c>
      <c r="C20" s="66"/>
      <c r="D20" s="74" t="e">
        <f>+Summary!$B$26</f>
        <v>#DIV/0!</v>
      </c>
      <c r="E20" s="74" t="e">
        <f>+D20*(1+Summary!$B$34)</f>
        <v>#DIV/0!</v>
      </c>
      <c r="F20" s="74" t="e">
        <f>+E20*(1+Summary!$B$34)</f>
        <v>#DIV/0!</v>
      </c>
      <c r="G20" s="74" t="e">
        <f>+F20*(1+Summary!$B$34)</f>
        <v>#DIV/0!</v>
      </c>
      <c r="H20" s="74" t="e">
        <f>+G20*(1+Summary!$B$34)</f>
        <v>#DIV/0!</v>
      </c>
      <c r="I20" s="74" t="e">
        <f>+H20*(1+Summary!$B$34)</f>
        <v>#DIV/0!</v>
      </c>
      <c r="J20" s="74" t="e">
        <f>+I20*(1+Summary!$B$34)</f>
        <v>#DIV/0!</v>
      </c>
      <c r="K20" s="74" t="e">
        <f>+J20*(1+Summary!$B$34)</f>
        <v>#DIV/0!</v>
      </c>
      <c r="L20" s="74" t="e">
        <f>+K20*(1+Summary!$B$34)</f>
        <v>#DIV/0!</v>
      </c>
      <c r="M20" s="74" t="e">
        <f>+L20*(1+Summary!$B$34)</f>
        <v>#DIV/0!</v>
      </c>
      <c r="N20" s="74" t="e">
        <f>+M20*(1+Summary!$B$34)</f>
        <v>#DIV/0!</v>
      </c>
      <c r="P20" s="85"/>
      <c r="Q20" s="85"/>
      <c r="R20" s="85"/>
      <c r="S20" s="84"/>
    </row>
    <row r="21" spans="2:19 16382:16382" x14ac:dyDescent="0.2">
      <c r="B21" t="s">
        <v>100</v>
      </c>
      <c r="C21" s="66"/>
      <c r="D21" s="74">
        <f>+Summary!E31</f>
        <v>0</v>
      </c>
      <c r="E21" s="74">
        <f>+D21*(1+Summary!$B$34)</f>
        <v>0</v>
      </c>
      <c r="F21" s="74">
        <f>+E21*(1+Summary!$B$34)</f>
        <v>0</v>
      </c>
      <c r="G21" s="74">
        <f>+F21*(1+Summary!$B$34)</f>
        <v>0</v>
      </c>
      <c r="H21" s="74">
        <f>+G21*(1+Summary!$B$34)</f>
        <v>0</v>
      </c>
      <c r="I21" s="74">
        <f>+H21*(1+Summary!$B$34)</f>
        <v>0</v>
      </c>
      <c r="J21" s="74">
        <f>+I21*(1+Summary!$B$34)</f>
        <v>0</v>
      </c>
      <c r="K21" s="74">
        <f>+J21*(1+Summary!$B$34)</f>
        <v>0</v>
      </c>
      <c r="L21" s="74">
        <f>+K21*(1+Summary!$B$34)</f>
        <v>0</v>
      </c>
      <c r="M21" s="74">
        <f>+L21*(1+Summary!$B$34)</f>
        <v>0</v>
      </c>
      <c r="N21" s="74">
        <f>+M21*(1+Summary!$B$34)</f>
        <v>0</v>
      </c>
      <c r="XFB21" s="74">
        <f>+SUM(XFB13:XFD19)</f>
        <v>0</v>
      </c>
    </row>
    <row r="22" spans="2:19 16382:16382" x14ac:dyDescent="0.2">
      <c r="B22" t="s">
        <v>101</v>
      </c>
      <c r="C22" s="66"/>
      <c r="D22" s="74">
        <f>+Summary!E32</f>
        <v>0</v>
      </c>
      <c r="E22" s="74">
        <f>+D22*(1+Summary!$B$34)</f>
        <v>0</v>
      </c>
      <c r="F22" s="74">
        <f>+E22*(1+Summary!$B$34)</f>
        <v>0</v>
      </c>
      <c r="G22" s="74">
        <f>+F22*(1+Summary!$B$34)</f>
        <v>0</v>
      </c>
      <c r="H22" s="74">
        <f>+G22*(1+Summary!$B$34)</f>
        <v>0</v>
      </c>
      <c r="I22" s="74">
        <f>+H22*(1+Summary!$B$34)</f>
        <v>0</v>
      </c>
      <c r="J22" s="74">
        <f>+I22*(1+Summary!$B$34)</f>
        <v>0</v>
      </c>
      <c r="K22" s="74">
        <f>+J22*(1+Summary!$B$34)</f>
        <v>0</v>
      </c>
      <c r="L22" s="74">
        <f>+K22*(1+Summary!$B$34)</f>
        <v>0</v>
      </c>
      <c r="M22" s="74">
        <f>+L22*(1+Summary!$B$34)</f>
        <v>0</v>
      </c>
      <c r="N22" s="74">
        <f>+M22*(1+Summary!$B$34)</f>
        <v>0</v>
      </c>
    </row>
    <row r="23" spans="2:19 16382:16382" x14ac:dyDescent="0.2">
      <c r="B23" t="s">
        <v>102</v>
      </c>
      <c r="C23" s="66"/>
      <c r="D23" s="74">
        <f>+Summary!E33</f>
        <v>5000</v>
      </c>
      <c r="E23" s="74">
        <f>+D23*(1+Summary!$B$34)</f>
        <v>5000</v>
      </c>
      <c r="F23" s="74">
        <f>+E23*(1+Summary!$B$34)</f>
        <v>5000</v>
      </c>
      <c r="G23" s="74">
        <f>+F23*(1+Summary!$B$34)</f>
        <v>5000</v>
      </c>
      <c r="H23" s="74">
        <f>+G23*(1+Summary!$B$34)</f>
        <v>5000</v>
      </c>
      <c r="I23" s="74">
        <f>+H23*(1+Summary!$B$34)</f>
        <v>5000</v>
      </c>
      <c r="J23" s="74">
        <f>+I23*(1+Summary!$B$34)</f>
        <v>5000</v>
      </c>
      <c r="K23" s="74">
        <f>+J23*(1+Summary!$B$34)</f>
        <v>5000</v>
      </c>
      <c r="L23" s="74">
        <f>+K23*(1+Summary!$B$34)</f>
        <v>5000</v>
      </c>
      <c r="M23" s="74">
        <f>+L23*(1+Summary!$B$34)</f>
        <v>5000</v>
      </c>
      <c r="N23" s="74">
        <f>+M23*(1+Summary!$B$34)</f>
        <v>5000</v>
      </c>
    </row>
    <row r="24" spans="2:19 16382:16382" x14ac:dyDescent="0.2">
      <c r="B24" t="s">
        <v>103</v>
      </c>
      <c r="C24" s="66"/>
      <c r="D24" s="74">
        <f>+Summary!E34</f>
        <v>0</v>
      </c>
      <c r="E24" s="74">
        <f>+D24*(1+Summary!$B$34)</f>
        <v>0</v>
      </c>
      <c r="F24" s="74">
        <f>+E24*(1+Summary!$B$34)</f>
        <v>0</v>
      </c>
      <c r="G24" s="74">
        <f>+F24*(1+Summary!$B$34)</f>
        <v>0</v>
      </c>
      <c r="H24" s="74">
        <f>+G24*(1+Summary!$B$34)</f>
        <v>0</v>
      </c>
      <c r="I24" s="74">
        <f>+H24*(1+Summary!$B$34)</f>
        <v>0</v>
      </c>
      <c r="J24" s="74">
        <f>+I24*(1+Summary!$B$34)</f>
        <v>0</v>
      </c>
      <c r="K24" s="74">
        <f>+J24*(1+Summary!$B$34)</f>
        <v>0</v>
      </c>
      <c r="L24" s="74">
        <f>+K24*(1+Summary!$B$34)</f>
        <v>0</v>
      </c>
      <c r="M24" s="74">
        <f>+L24*(1+Summary!$B$34)</f>
        <v>0</v>
      </c>
      <c r="N24" s="74">
        <f>+M24*(1+Summary!$B$34)</f>
        <v>0</v>
      </c>
    </row>
    <row r="25" spans="2:19 16382:16382" x14ac:dyDescent="0.2">
      <c r="B25" s="64" t="s">
        <v>129</v>
      </c>
      <c r="D25" s="74">
        <f>+Summary!$E$9*Summary!$B$33</f>
        <v>0</v>
      </c>
      <c r="E25" s="74">
        <f>+Summary!$E$9*Summary!$B$33</f>
        <v>0</v>
      </c>
      <c r="F25" s="74">
        <f>+Summary!$E$9*Summary!$B$33</f>
        <v>0</v>
      </c>
      <c r="G25" s="74">
        <f>+Summary!$E$9*Summary!$B$33</f>
        <v>0</v>
      </c>
      <c r="H25" s="74">
        <f>+Summary!$E$9*Summary!$B$33</f>
        <v>0</v>
      </c>
      <c r="I25" s="74">
        <f>+Summary!$E$9*Summary!$B$33</f>
        <v>0</v>
      </c>
      <c r="J25" s="74">
        <f>+Summary!$E$9*Summary!$B$33</f>
        <v>0</v>
      </c>
      <c r="K25" s="74">
        <f>+Summary!$E$9*Summary!$B$33</f>
        <v>0</v>
      </c>
      <c r="L25" s="74">
        <f>+Summary!$E$9*Summary!$B$33</f>
        <v>0</v>
      </c>
      <c r="M25" s="74">
        <f>+Summary!$E$9*Summary!$B$33</f>
        <v>0</v>
      </c>
      <c r="N25" s="74">
        <f>+Summary!$E$9*Summary!$B$33</f>
        <v>0</v>
      </c>
    </row>
    <row r="26" spans="2:19 16382:16382" x14ac:dyDescent="0.2">
      <c r="B26" s="194" t="s">
        <v>29</v>
      </c>
      <c r="C26" s="74"/>
      <c r="D26" s="183" t="e">
        <f>+SUM(D16:D25)</f>
        <v>#DIV/0!</v>
      </c>
      <c r="E26" s="183" t="e">
        <f t="shared" ref="E26:N26" si="3">+SUM(E16:E25)</f>
        <v>#DIV/0!</v>
      </c>
      <c r="F26" s="183" t="e">
        <f t="shared" si="3"/>
        <v>#DIV/0!</v>
      </c>
      <c r="G26" s="183" t="e">
        <f t="shared" si="3"/>
        <v>#DIV/0!</v>
      </c>
      <c r="H26" s="183" t="e">
        <f t="shared" si="3"/>
        <v>#DIV/0!</v>
      </c>
      <c r="I26" s="183" t="e">
        <f t="shared" si="3"/>
        <v>#DIV/0!</v>
      </c>
      <c r="J26" s="183" t="e">
        <f t="shared" si="3"/>
        <v>#DIV/0!</v>
      </c>
      <c r="K26" s="183" t="e">
        <f t="shared" si="3"/>
        <v>#DIV/0!</v>
      </c>
      <c r="L26" s="183" t="e">
        <f t="shared" si="3"/>
        <v>#DIV/0!</v>
      </c>
      <c r="M26" s="183" t="e">
        <f t="shared" si="3"/>
        <v>#DIV/0!</v>
      </c>
      <c r="N26" s="183" t="e">
        <f t="shared" si="3"/>
        <v>#DIV/0!</v>
      </c>
    </row>
    <row r="27" spans="2:19 16382:16382" x14ac:dyDescent="0.2">
      <c r="B27" s="71" t="s">
        <v>50</v>
      </c>
      <c r="C27" s="70">
        <f>+SUM(C4:C7)+SUM(C10:C26)</f>
        <v>0</v>
      </c>
      <c r="D27" s="70" t="e">
        <f t="shared" ref="D27:N27" si="4">+D15-D26</f>
        <v>#DIV/0!</v>
      </c>
      <c r="E27" s="70" t="e">
        <f t="shared" si="4"/>
        <v>#DIV/0!</v>
      </c>
      <c r="F27" s="70" t="e">
        <f t="shared" si="4"/>
        <v>#DIV/0!</v>
      </c>
      <c r="G27" s="70" t="e">
        <f t="shared" si="4"/>
        <v>#DIV/0!</v>
      </c>
      <c r="H27" s="70" t="e">
        <f t="shared" si="4"/>
        <v>#DIV/0!</v>
      </c>
      <c r="I27" s="70" t="e">
        <f t="shared" si="4"/>
        <v>#DIV/0!</v>
      </c>
      <c r="J27" s="70" t="e">
        <f t="shared" si="4"/>
        <v>#DIV/0!</v>
      </c>
      <c r="K27" s="70" t="e">
        <f t="shared" si="4"/>
        <v>#DIV/0!</v>
      </c>
      <c r="L27" s="70" t="e">
        <f t="shared" si="4"/>
        <v>#DIV/0!</v>
      </c>
      <c r="M27" s="70" t="e">
        <f t="shared" si="4"/>
        <v>#DIV/0!</v>
      </c>
      <c r="N27" s="70" t="e">
        <f t="shared" si="4"/>
        <v>#DIV/0!</v>
      </c>
    </row>
    <row r="28" spans="2:19 16382:16382" x14ac:dyDescent="0.2">
      <c r="B28" s="64" t="s">
        <v>57</v>
      </c>
      <c r="C28" s="74">
        <f>+IF(Summary!$B$8=C3,((1-Summary!$B$37)*D27)/Summary!$B$38,0)</f>
        <v>0</v>
      </c>
      <c r="D28" s="74">
        <f>+IF(Summary!$B$8=D3,((1-Summary!$B$37)*E27)/Summary!$B$38,0)</f>
        <v>0</v>
      </c>
      <c r="E28" s="74">
        <f>+IF(Summary!$B$8=E3,((1-Summary!$B$37)*F27)/Summary!$B$38,0)</f>
        <v>0</v>
      </c>
      <c r="F28" s="74">
        <f>+IF(Summary!$B$8=F3,((1-Summary!$B$37)*G27)/Summary!$B$38,0)</f>
        <v>0</v>
      </c>
      <c r="G28" s="74">
        <f>+IF(Summary!$B$8=G3,((1-Summary!$B$37)*H27)/Summary!$B$38,0)</f>
        <v>0</v>
      </c>
      <c r="H28" s="74" t="e">
        <f>+IF(Summary!$B$8=H3,((1-Summary!$B$37)*I27)/Summary!$B$38,0)</f>
        <v>#DIV/0!</v>
      </c>
      <c r="I28" s="74">
        <f>+IF(Summary!$B$8=I3,((1-Summary!$B$37)*J27)/Summary!$B$38,0)</f>
        <v>0</v>
      </c>
      <c r="J28" s="74">
        <f>+IF(Summary!$B$8=J3,((1-Summary!$B$37)*K27)/Summary!$B$38,0)</f>
        <v>0</v>
      </c>
      <c r="K28" s="74">
        <f>+IF(Summary!$B$8=K3,((1-Summary!$B$37)*L27)/Summary!$B$38,0)</f>
        <v>0</v>
      </c>
      <c r="L28" s="74">
        <f>+IF(Summary!$B$8=L3,((1-Summary!$B$37)*M27)/Summary!$B$38,0)</f>
        <v>0</v>
      </c>
      <c r="M28" s="74">
        <f>+IF(Summary!$B$8=M3,((1-Summary!$B$37)*N27)/Summary!$B$38,0)</f>
        <v>0</v>
      </c>
      <c r="N28" s="74">
        <f>+IF(Summary!$B$8=N3,((1-Summary!$B$37)*O22)/Summary!$B$38,0)</f>
        <v>0</v>
      </c>
    </row>
    <row r="29" spans="2:19 16382:16382" x14ac:dyDescent="0.2">
      <c r="B29" s="71" t="s">
        <v>54</v>
      </c>
      <c r="C29" s="70">
        <f>+IF(C3&gt;Summary!$B$8,0,C27+C28)</f>
        <v>0</v>
      </c>
      <c r="D29" s="70" t="e">
        <f>+IF(D3&gt;Summary!$B$8,0,D27+D28)</f>
        <v>#DIV/0!</v>
      </c>
      <c r="E29" s="70" t="e">
        <f>+IF(E3&gt;Summary!$B$8,0,E27+E28)</f>
        <v>#DIV/0!</v>
      </c>
      <c r="F29" s="70" t="e">
        <f>+IF(F3&gt;Summary!$B$8,0,F27+F28)</f>
        <v>#DIV/0!</v>
      </c>
      <c r="G29" s="70" t="e">
        <f>+IF(G3&gt;Summary!$B$8,0,G27+G28)</f>
        <v>#DIV/0!</v>
      </c>
      <c r="H29" s="70" t="e">
        <f>+IF(H3&gt;Summary!$B$8,0,H27+H28)</f>
        <v>#DIV/0!</v>
      </c>
      <c r="I29" s="70">
        <f>+IF(I3&gt;Summary!$B$8,0,I27+I28)</f>
        <v>0</v>
      </c>
      <c r="J29" s="70">
        <f>+IF(J3&gt;Summary!$B$8,0,J27+J28)</f>
        <v>0</v>
      </c>
      <c r="K29" s="70">
        <f>+IF(K3&gt;Summary!$B$8,0,K27+K28)</f>
        <v>0</v>
      </c>
      <c r="L29" s="70">
        <f>+IF(L3&gt;Summary!$B$8,0,L27+L28)</f>
        <v>0</v>
      </c>
      <c r="M29" s="70">
        <f>+IF(M3&gt;Summary!$B$8,0,M27+M28)</f>
        <v>0</v>
      </c>
      <c r="N29" s="70">
        <f>+IF(N3&gt;Summary!$B$8,0,N27+N28)</f>
        <v>0</v>
      </c>
    </row>
    <row r="30" spans="2:19 16382:16382" x14ac:dyDescent="0.2">
      <c r="B30" s="66" t="s">
        <v>52</v>
      </c>
      <c r="D30" s="67" t="e">
        <f>-IF(D3&gt;Summary!$B$8,0,D27/$C$29)</f>
        <v>#DIV/0!</v>
      </c>
      <c r="E30" s="67" t="e">
        <f>-IF(E3&gt;Summary!$B$8,0,E27/$C$29)</f>
        <v>#DIV/0!</v>
      </c>
      <c r="F30" s="67" t="e">
        <f>-IF(F3&gt;Summary!$B$8,0,F27/$C$29)</f>
        <v>#DIV/0!</v>
      </c>
      <c r="G30" s="67" t="e">
        <f>-IF(G3&gt;Summary!$B$8,0,G27/$C$29)</f>
        <v>#DIV/0!</v>
      </c>
      <c r="H30" s="67" t="e">
        <f>-IF(H3&gt;Summary!$B$8,0,H27/$C$29)</f>
        <v>#DIV/0!</v>
      </c>
      <c r="I30" s="67">
        <f>-IF(I3&gt;Summary!$B$8,0,I27/$C$29)</f>
        <v>0</v>
      </c>
      <c r="J30" s="67">
        <f>-IF(J3&gt;Summary!$B$8,0,J27/$C$29)</f>
        <v>0</v>
      </c>
      <c r="K30" s="67">
        <f>-IF(K3&gt;Summary!$B$8,0,K27/$C$29)</f>
        <v>0</v>
      </c>
      <c r="L30" s="67">
        <f>-IF(L3&gt;Summary!$B$8,0,L27/$C$29)</f>
        <v>0</v>
      </c>
      <c r="M30" s="67">
        <f>-IF(M3&gt;Summary!$B$8,0,M27/$C$29)</f>
        <v>0</v>
      </c>
      <c r="N30" s="67">
        <f>-IF(N3&gt;Summary!$B$8,0,N27/$C$29)</f>
        <v>0</v>
      </c>
    </row>
    <row r="31" spans="2:19 16382:16382" x14ac:dyDescent="0.2">
      <c r="B31" s="66" t="s">
        <v>60</v>
      </c>
      <c r="C31" s="65" t="e">
        <f>+IRR(C29:M29)</f>
        <v>#VALUE!</v>
      </c>
    </row>
    <row r="32" spans="2:19 16382:16382" x14ac:dyDescent="0.2">
      <c r="B32" s="79" t="s">
        <v>55</v>
      </c>
    </row>
    <row r="33" spans="2:14" x14ac:dyDescent="0.2">
      <c r="B33" s="78" t="s">
        <v>13</v>
      </c>
      <c r="C33" s="77">
        <v>0</v>
      </c>
      <c r="D33" s="77">
        <v>1</v>
      </c>
      <c r="E33" s="77">
        <v>2</v>
      </c>
      <c r="F33" s="77">
        <v>3</v>
      </c>
      <c r="G33" s="77">
        <v>4</v>
      </c>
      <c r="H33" s="77">
        <v>5</v>
      </c>
      <c r="I33" s="77">
        <v>6</v>
      </c>
      <c r="J33" s="77">
        <v>7</v>
      </c>
      <c r="K33" s="77">
        <v>8</v>
      </c>
      <c r="L33" s="77">
        <v>9</v>
      </c>
      <c r="M33" s="77">
        <v>10</v>
      </c>
      <c r="N33" s="76">
        <v>11</v>
      </c>
    </row>
    <row r="34" spans="2:14" x14ac:dyDescent="0.2">
      <c r="B34" s="64" t="s">
        <v>14</v>
      </c>
      <c r="C34" s="74">
        <f>+Summary!E5</f>
        <v>0</v>
      </c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</row>
    <row r="35" spans="2:14" x14ac:dyDescent="0.2">
      <c r="B35" s="64" t="s">
        <v>15</v>
      </c>
      <c r="C35" s="74">
        <f>+C34*Summary!$B$15</f>
        <v>0</v>
      </c>
      <c r="D35" s="74">
        <v>0</v>
      </c>
      <c r="E35" s="74">
        <v>0</v>
      </c>
      <c r="F35" s="74">
        <v>0</v>
      </c>
      <c r="G35" s="74">
        <v>0</v>
      </c>
      <c r="H35" s="74">
        <v>0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</row>
    <row r="36" spans="2:14" x14ac:dyDescent="0.2">
      <c r="B36" s="68" t="s">
        <v>12</v>
      </c>
      <c r="C36" s="74">
        <f>+-SUMIFS('Current Amortization Table'!$F$3:$F$363,'Current Amortization Table'!$C$3:$C$363,Current!C$33)</f>
        <v>0</v>
      </c>
      <c r="D36" s="74">
        <f>+-SUMIFS('Current Amortization Table'!$F$3:$F$363,'Current Amortization Table'!$C$3:$C$363,Current!D$33)</f>
        <v>0</v>
      </c>
      <c r="E36" s="74">
        <f>+-SUMIFS('Current Amortization Table'!$F$3:$F$363,'Current Amortization Table'!$C$3:$C$363,Current!E$33)</f>
        <v>0</v>
      </c>
      <c r="F36" s="74">
        <f>+-SUMIFS('Current Amortization Table'!$F$3:$F$363,'Current Amortization Table'!$C$3:$C$363,Current!F$33)</f>
        <v>0</v>
      </c>
      <c r="G36" s="74">
        <f>+-SUMIFS('Current Amortization Table'!$F$3:$F$363,'Current Amortization Table'!$C$3:$C$363,Current!G$33)</f>
        <v>0</v>
      </c>
      <c r="H36" s="74">
        <f>+-SUMIFS('Current Amortization Table'!$F$3:$F$363,'Current Amortization Table'!$C$3:$C$363,Current!H$33)</f>
        <v>0</v>
      </c>
      <c r="I36" s="74">
        <f>+-SUMIFS('Current Amortization Table'!$F$3:$F$363,'Current Amortization Table'!$C$3:$C$363,Current!I$33)</f>
        <v>0</v>
      </c>
      <c r="J36" s="74">
        <f>+-SUMIFS('Current Amortization Table'!$F$3:$F$363,'Current Amortization Table'!$C$3:$C$363,Current!J$33)</f>
        <v>0</v>
      </c>
      <c r="K36" s="74">
        <f>+-SUMIFS('Current Amortization Table'!$F$3:$F$363,'Current Amortization Table'!$C$3:$C$363,Current!K$33)</f>
        <v>0</v>
      </c>
      <c r="L36" s="74">
        <f>+-SUMIFS('Current Amortization Table'!$F$3:$F$363,'Current Amortization Table'!$C$3:$C$363,Current!L$33)</f>
        <v>0</v>
      </c>
      <c r="M36" s="74">
        <f>+-SUMIFS('Current Amortization Table'!$F$3:$F$363,'Current Amortization Table'!$C$3:$C$363,Current!M$33)</f>
        <v>0</v>
      </c>
      <c r="N36" s="74">
        <f>+-SUMIFS('Current Amortization Table'!$F$3:$F$363,'Current Amortization Table'!$C$3:$C$363,Current!N$33)</f>
        <v>0</v>
      </c>
    </row>
    <row r="37" spans="2:14" x14ac:dyDescent="0.2">
      <c r="B37" s="68" t="s">
        <v>9</v>
      </c>
      <c r="C37" s="74">
        <f>+-SUMIFS('Current Amortization Table'!$G$3:$G$363,'Current Amortization Table'!$C$3:$C$363,Current!C$33)</f>
        <v>0</v>
      </c>
      <c r="D37" s="74">
        <f>+-SUMIFS('Current Amortization Table'!$G$3:$G$363,'Current Amortization Table'!$C$3:$C$363,Current!D$33)</f>
        <v>0</v>
      </c>
      <c r="E37" s="74">
        <f>+-SUMIFS('Current Amortization Table'!$G$3:$G$363,'Current Amortization Table'!$C$3:$C$363,Current!E$33)</f>
        <v>0</v>
      </c>
      <c r="F37" s="74">
        <f>+-SUMIFS('Current Amortization Table'!$G$3:$G$363,'Current Amortization Table'!$C$3:$C$363,Current!F$33)</f>
        <v>0</v>
      </c>
      <c r="G37" s="74">
        <f>+-SUMIFS('Current Amortization Table'!$G$3:$G$363,'Current Amortization Table'!$C$3:$C$363,Current!G$33)</f>
        <v>0</v>
      </c>
      <c r="H37" s="74">
        <f>+-SUMIFS('Current Amortization Table'!$G$3:$G$363,'Current Amortization Table'!$C$3:$C$363,Current!H$33)</f>
        <v>0</v>
      </c>
      <c r="I37" s="74">
        <f>+-SUMIFS('Current Amortization Table'!$G$3:$G$363,'Current Amortization Table'!$C$3:$C$363,Current!I$33)</f>
        <v>0</v>
      </c>
      <c r="J37" s="74">
        <f>+-SUMIFS('Current Amortization Table'!$G$3:$G$363,'Current Amortization Table'!$C$3:$C$363,Current!J$33)</f>
        <v>0</v>
      </c>
      <c r="K37" s="74">
        <f>+-SUMIFS('Current Amortization Table'!$G$3:$G$363,'Current Amortization Table'!$C$3:$C$363,Current!K$33)</f>
        <v>0</v>
      </c>
      <c r="L37" s="74">
        <f>+-SUMIFS('Current Amortization Table'!$G$3:$G$363,'Current Amortization Table'!$C$3:$C$363,Current!L$33)</f>
        <v>0</v>
      </c>
      <c r="M37" s="74">
        <f>+-SUMIFS('Current Amortization Table'!$G$3:$G$363,'Current Amortization Table'!$C$3:$C$363,Current!M$33)</f>
        <v>0</v>
      </c>
      <c r="N37" s="74">
        <f>+-SUMIFS('Current Amortization Table'!$G$3:$G$363,'Current Amortization Table'!$C$3:$C$363,Current!N$33)</f>
        <v>0</v>
      </c>
    </row>
    <row r="38" spans="2:14" x14ac:dyDescent="0.2">
      <c r="B38" s="73" t="s">
        <v>10</v>
      </c>
      <c r="C38" s="72">
        <f>+-SUMIFS('Current Amortization Table'!$H$3:$H$363,'Current Amortization Table'!$C$3:$C$363,Current!C$33)</f>
        <v>0</v>
      </c>
      <c r="D38" s="72">
        <f>+-SUMIFS('Current Amortization Table'!$H$3:$H$363,'Current Amortization Table'!$C$3:$C$363,Current!D$33)</f>
        <v>0</v>
      </c>
      <c r="E38" s="72">
        <f>+-SUMIFS('Current Amortization Table'!$H$3:$H$363,'Current Amortization Table'!$C$3:$C$363,Current!E$33)</f>
        <v>0</v>
      </c>
      <c r="F38" s="72">
        <f>+-SUMIFS('Current Amortization Table'!$H$3:$H$363,'Current Amortization Table'!$C$3:$C$363,Current!F$33)</f>
        <v>0</v>
      </c>
      <c r="G38" s="72">
        <f>+-SUMIFS('Current Amortization Table'!$H$3:$H$363,'Current Amortization Table'!$C$3:$C$363,Current!G$33)</f>
        <v>0</v>
      </c>
      <c r="H38" s="72">
        <f>+-SUMIFS('Current Amortization Table'!$H$3:$H$363,'Current Amortization Table'!$C$3:$C$363,Current!H$33)</f>
        <v>0</v>
      </c>
      <c r="I38" s="72">
        <f>+-SUMIFS('Current Amortization Table'!$H$3:$H$363,'Current Amortization Table'!$C$3:$C$363,Current!I$33)</f>
        <v>0</v>
      </c>
      <c r="J38" s="72">
        <f>+-SUMIFS('Current Amortization Table'!$H$3:$H$363,'Current Amortization Table'!$C$3:$C$363,Current!J$33)</f>
        <v>0</v>
      </c>
      <c r="K38" s="72">
        <f>+-SUMIFS('Current Amortization Table'!$H$3:$H$363,'Current Amortization Table'!$C$3:$C$363,Current!K$33)</f>
        <v>0</v>
      </c>
      <c r="L38" s="72">
        <f>+-SUMIFS('Current Amortization Table'!$H$3:$H$363,'Current Amortization Table'!$C$3:$C$363,Current!L$33)</f>
        <v>0</v>
      </c>
      <c r="M38" s="72">
        <f>+-SUMIFS('Current Amortization Table'!$H$3:$H$363,'Current Amortization Table'!$C$3:$C$363,Current!M$33)</f>
        <v>0</v>
      </c>
      <c r="N38" s="72">
        <f>+-SUMIFS('Current Amortization Table'!$H$3:$H$363,'Current Amortization Table'!$C$3:$C$363,Current!N$33)</f>
        <v>0</v>
      </c>
    </row>
    <row r="39" spans="2:14" x14ac:dyDescent="0.2">
      <c r="B39" s="71" t="s">
        <v>46</v>
      </c>
      <c r="C39" s="70">
        <f t="shared" ref="C39:N39" si="5">+SUM(C34:C38)</f>
        <v>0</v>
      </c>
      <c r="D39" s="70">
        <f t="shared" si="5"/>
        <v>0</v>
      </c>
      <c r="E39" s="70">
        <f t="shared" si="5"/>
        <v>0</v>
      </c>
      <c r="F39" s="70">
        <f t="shared" si="5"/>
        <v>0</v>
      </c>
      <c r="G39" s="70">
        <f t="shared" si="5"/>
        <v>0</v>
      </c>
      <c r="H39" s="70">
        <f t="shared" si="5"/>
        <v>0</v>
      </c>
      <c r="I39" s="70">
        <f t="shared" si="5"/>
        <v>0</v>
      </c>
      <c r="J39" s="70">
        <f t="shared" si="5"/>
        <v>0</v>
      </c>
      <c r="K39" s="70">
        <f t="shared" si="5"/>
        <v>0</v>
      </c>
      <c r="L39" s="70">
        <f t="shared" si="5"/>
        <v>0</v>
      </c>
      <c r="M39" s="70">
        <f t="shared" si="5"/>
        <v>0</v>
      </c>
      <c r="N39" s="70">
        <f t="shared" si="5"/>
        <v>0</v>
      </c>
    </row>
    <row r="40" spans="2:14" x14ac:dyDescent="0.2">
      <c r="B40" s="71" t="s">
        <v>55</v>
      </c>
      <c r="C40" s="184">
        <f t="shared" ref="C40:N40" si="6">+C29+C39</f>
        <v>0</v>
      </c>
      <c r="D40" s="70" t="e">
        <f t="shared" si="6"/>
        <v>#DIV/0!</v>
      </c>
      <c r="E40" s="70" t="e">
        <f t="shared" si="6"/>
        <v>#DIV/0!</v>
      </c>
      <c r="F40" s="70" t="e">
        <f t="shared" si="6"/>
        <v>#DIV/0!</v>
      </c>
      <c r="G40" s="70" t="e">
        <f t="shared" si="6"/>
        <v>#DIV/0!</v>
      </c>
      <c r="H40" s="70" t="e">
        <f t="shared" si="6"/>
        <v>#DIV/0!</v>
      </c>
      <c r="I40" s="70">
        <f t="shared" si="6"/>
        <v>0</v>
      </c>
      <c r="J40" s="70">
        <f t="shared" si="6"/>
        <v>0</v>
      </c>
      <c r="K40" s="70">
        <f t="shared" si="6"/>
        <v>0</v>
      </c>
      <c r="L40" s="70">
        <f t="shared" si="6"/>
        <v>0</v>
      </c>
      <c r="M40" s="70">
        <f t="shared" si="6"/>
        <v>0</v>
      </c>
      <c r="N40" s="69">
        <f t="shared" si="6"/>
        <v>0</v>
      </c>
    </row>
    <row r="42" spans="2:14" x14ac:dyDescent="0.2">
      <c r="B42" s="185" t="s">
        <v>51</v>
      </c>
      <c r="C42" s="186"/>
      <c r="D42" s="187" t="e">
        <f>+IF(D33&gt;Summary!$B$8,0,-(D27+SUM(D36:D37))/$C$40)</f>
        <v>#DIV/0!</v>
      </c>
      <c r="E42" s="187" t="e">
        <f>+IF(E33&gt;Summary!$B$8,0,-(E27+SUM(E36:E37))/$C$40)</f>
        <v>#DIV/0!</v>
      </c>
      <c r="F42" s="187" t="e">
        <f>+IF(F33&gt;Summary!$B$8,0,-(F27+SUM(F36:F37))/$C$40)</f>
        <v>#DIV/0!</v>
      </c>
      <c r="G42" s="187" t="e">
        <f>+IF(G33&gt;Summary!$B$8,0,-(G27+SUM(G36:G37))/$C$40)</f>
        <v>#DIV/0!</v>
      </c>
      <c r="H42" s="187" t="e">
        <f>+IF(H33&gt;Summary!$B$8,0,-(H27+SUM(H36:H37))/$C$40)</f>
        <v>#DIV/0!</v>
      </c>
      <c r="I42" s="187">
        <f>+IF(I33&gt;Summary!$B$8,0,-(I27+SUM(I36:I37))/$C$40)</f>
        <v>0</v>
      </c>
      <c r="J42" s="187">
        <f>+IF(J33&gt;Summary!$B$8,0,-(J27+SUM(J36:J37))/$C$40)</f>
        <v>0</v>
      </c>
      <c r="K42" s="187">
        <f>+IF(K33&gt;Summary!$B$8,0,-(K27+SUM(K36:K37))/$C$40)</f>
        <v>0</v>
      </c>
      <c r="L42" s="187">
        <f>+IF(L33&gt;Summary!$B$8,0,-(L27+SUM(L36:L37))/$C$40)</f>
        <v>0</v>
      </c>
      <c r="M42" s="187">
        <f>+IF(M33&gt;Summary!$B$8,0,-(M27+SUM(M36:M37))/$C$40)</f>
        <v>0</v>
      </c>
      <c r="N42" s="187">
        <f>+IF(N33&gt;Summary!$B$8,0,-(N27+SUM(N36:N37))/$C$40)</f>
        <v>0</v>
      </c>
    </row>
    <row r="43" spans="2:14" x14ac:dyDescent="0.2">
      <c r="B43" s="188" t="s">
        <v>61</v>
      </c>
      <c r="C43" s="189" t="e">
        <f>IRR($C$40:$M$40)</f>
        <v>#VALUE!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190"/>
    </row>
    <row r="44" spans="2:14" x14ac:dyDescent="0.2">
      <c r="B44" s="188" t="s">
        <v>88</v>
      </c>
      <c r="C44" s="191" t="e">
        <f>+SUM($C$40:$N$40)</f>
        <v>#DIV/0!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190"/>
    </row>
    <row r="45" spans="2:14" x14ac:dyDescent="0.2">
      <c r="B45" s="192" t="s">
        <v>89</v>
      </c>
      <c r="C45" s="193" t="e">
        <f>+SUM($D$40:$N$40)/-$C$40</f>
        <v>#DIV/0!</v>
      </c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82D0-08E0-4269-A679-B6F63BBC3CF8}">
  <dimension ref="A2:L363"/>
  <sheetViews>
    <sheetView workbookViewId="0"/>
  </sheetViews>
  <sheetFormatPr baseColWidth="10" defaultColWidth="8.83203125" defaultRowHeight="15" x14ac:dyDescent="0.2"/>
  <cols>
    <col min="1" max="1" width="2.83203125" customWidth="1"/>
    <col min="2" max="3" width="12.6640625" customWidth="1"/>
    <col min="4" max="9" width="18.6640625" customWidth="1"/>
    <col min="10" max="10" width="2.83203125" customWidth="1"/>
    <col min="11" max="11" width="7.83203125" bestFit="1" customWidth="1"/>
    <col min="12" max="12" width="8.1640625" bestFit="1" customWidth="1"/>
  </cols>
  <sheetData>
    <row r="2" spans="1:12" x14ac:dyDescent="0.2">
      <c r="A2" s="3"/>
      <c r="B2" s="199" t="s">
        <v>4</v>
      </c>
      <c r="C2" s="44" t="s">
        <v>5</v>
      </c>
      <c r="D2" s="44" t="s">
        <v>6</v>
      </c>
      <c r="E2" s="44" t="s">
        <v>7</v>
      </c>
      <c r="F2" s="44" t="s">
        <v>8</v>
      </c>
      <c r="G2" s="44" t="s">
        <v>9</v>
      </c>
      <c r="H2" s="44" t="s">
        <v>10</v>
      </c>
      <c r="I2" s="45" t="s">
        <v>11</v>
      </c>
      <c r="K2" s="223" t="s">
        <v>124</v>
      </c>
      <c r="L2" s="224"/>
    </row>
    <row r="3" spans="1:12" x14ac:dyDescent="0.2">
      <c r="A3" s="2"/>
      <c r="B3">
        <v>0</v>
      </c>
      <c r="C3">
        <f>+ROUNDUP(B3/12,1)</f>
        <v>0</v>
      </c>
      <c r="D3" s="4"/>
      <c r="E3" s="4">
        <f>+Summary!$E$5</f>
        <v>0</v>
      </c>
      <c r="F3" s="4">
        <v>0</v>
      </c>
      <c r="G3" s="4">
        <v>0</v>
      </c>
      <c r="H3" s="4">
        <f>+IF(Summary!$B$8*12=B3,E3-F3,0)</f>
        <v>0</v>
      </c>
      <c r="I3" s="4">
        <f>+E3-F3-H3</f>
        <v>0</v>
      </c>
      <c r="K3" s="75" t="s">
        <v>2</v>
      </c>
      <c r="L3" s="82">
        <f>+Summary!$B$14</f>
        <v>360</v>
      </c>
    </row>
    <row r="4" spans="1:12" x14ac:dyDescent="0.2">
      <c r="B4">
        <v>1</v>
      </c>
      <c r="C4">
        <f>+ROUNDUP(B4/12,0)</f>
        <v>1</v>
      </c>
      <c r="D4" s="4">
        <f>+IF(B4&lt;=Summary!$B$17,'Current Amortization Table'!E4*Summary!$E$6/12,-IF(C4&gt;Summary!$B$8,0,-'Current Amortization Table'!$L$4))</f>
        <v>0</v>
      </c>
      <c r="E4" s="4">
        <f t="shared" ref="E4:E11" si="0">+I3</f>
        <v>0</v>
      </c>
      <c r="F4" s="4">
        <f>+D4-G4</f>
        <v>0</v>
      </c>
      <c r="G4" s="4">
        <f>E4*Summary!$E$6/12</f>
        <v>0</v>
      </c>
      <c r="H4" s="4">
        <f>+IF(Summary!$B$8*12=B4,E4-F4,0)</f>
        <v>0</v>
      </c>
      <c r="I4" s="4">
        <f t="shared" ref="I4:I67" si="1">+E4-F4-H4</f>
        <v>0</v>
      </c>
      <c r="K4" s="75" t="s">
        <v>3</v>
      </c>
      <c r="L4" s="80">
        <f>+-PMT(Summary!$E$6/12,L3,Summary!$E$5,0,0)</f>
        <v>0</v>
      </c>
    </row>
    <row r="5" spans="1:12" x14ac:dyDescent="0.2">
      <c r="B5">
        <v>2</v>
      </c>
      <c r="C5">
        <f t="shared" ref="C5:C68" si="2">+ROUNDUP(B5/12,0)</f>
        <v>1</v>
      </c>
      <c r="D5" s="4">
        <f>+IF(B5&lt;=Summary!$B$17,'Current Amortization Table'!E5*Summary!$E$6/12,-IF(C5&gt;Summary!$B$8,0,-'Current Amortization Table'!$L$4))</f>
        <v>0</v>
      </c>
      <c r="E5" s="4">
        <f t="shared" si="0"/>
        <v>0</v>
      </c>
      <c r="F5" s="4">
        <f t="shared" ref="F5:F11" si="3">+D5-G5</f>
        <v>0</v>
      </c>
      <c r="G5" s="4">
        <f>E5*Summary!$E$6/12</f>
        <v>0</v>
      </c>
      <c r="H5" s="4">
        <f>+IF(Summary!$B$8*12=B5,E5-F5,0)</f>
        <v>0</v>
      </c>
      <c r="I5" s="4">
        <f t="shared" si="1"/>
        <v>0</v>
      </c>
      <c r="K5" s="200"/>
      <c r="L5" s="205"/>
    </row>
    <row r="6" spans="1:12" x14ac:dyDescent="0.2">
      <c r="B6">
        <v>3</v>
      </c>
      <c r="C6">
        <f t="shared" si="2"/>
        <v>1</v>
      </c>
      <c r="D6" s="4">
        <f>+IF(B6&lt;=Summary!$B$17,'Current Amortization Table'!E6*Summary!$E$6/12,-IF(C6&gt;Summary!$B$8,0,-'Current Amortization Table'!$L$4))</f>
        <v>0</v>
      </c>
      <c r="E6" s="4">
        <f t="shared" si="0"/>
        <v>0</v>
      </c>
      <c r="F6" s="4">
        <f t="shared" si="3"/>
        <v>0</v>
      </c>
      <c r="G6" s="4">
        <f>E6*Summary!$E$6/12</f>
        <v>0</v>
      </c>
      <c r="H6" s="4">
        <f>+IF(Summary!$B$8*12=B6,E6-F6,0)</f>
        <v>0</v>
      </c>
      <c r="I6" s="4">
        <f t="shared" si="1"/>
        <v>0</v>
      </c>
      <c r="K6" s="64"/>
      <c r="L6" s="204"/>
    </row>
    <row r="7" spans="1:12" x14ac:dyDescent="0.2">
      <c r="A7" s="1"/>
      <c r="B7">
        <v>4</v>
      </c>
      <c r="C7">
        <f t="shared" si="2"/>
        <v>1</v>
      </c>
      <c r="D7" s="4">
        <f>+IF(B7&lt;=Summary!$B$17,'Current Amortization Table'!E7*Summary!$E$6/12,-IF(C7&gt;Summary!$B$8,0,-'Current Amortization Table'!$L$4))</f>
        <v>0</v>
      </c>
      <c r="E7" s="4">
        <f t="shared" si="0"/>
        <v>0</v>
      </c>
      <c r="F7" s="4">
        <f t="shared" si="3"/>
        <v>0</v>
      </c>
      <c r="G7" s="4">
        <f>E7*Summary!$E$6/12</f>
        <v>0</v>
      </c>
      <c r="H7" s="4">
        <f>+IF(Summary!$B$8*12=B7,E7-F7,0)</f>
        <v>0</v>
      </c>
      <c r="I7" s="4">
        <f t="shared" si="1"/>
        <v>0</v>
      </c>
    </row>
    <row r="8" spans="1:12" x14ac:dyDescent="0.2">
      <c r="B8">
        <v>5</v>
      </c>
      <c r="C8">
        <f t="shared" si="2"/>
        <v>1</v>
      </c>
      <c r="D8" s="4">
        <f>+IF(B8&lt;=Summary!$B$17,'Current Amortization Table'!E8*Summary!$E$6/12,-IF(C8&gt;Summary!$B$8,0,-'Current Amortization Table'!$L$4))</f>
        <v>0</v>
      </c>
      <c r="E8" s="4">
        <f t="shared" si="0"/>
        <v>0</v>
      </c>
      <c r="F8" s="4">
        <f t="shared" si="3"/>
        <v>0</v>
      </c>
      <c r="G8" s="4">
        <f>E8*Summary!$E$6/12</f>
        <v>0</v>
      </c>
      <c r="H8" s="4">
        <f>+IF(Summary!$B$8*12=B8,E8-F8,0)</f>
        <v>0</v>
      </c>
      <c r="I8" s="4">
        <f t="shared" si="1"/>
        <v>0</v>
      </c>
    </row>
    <row r="9" spans="1:12" x14ac:dyDescent="0.2">
      <c r="B9">
        <v>6</v>
      </c>
      <c r="C9">
        <f t="shared" si="2"/>
        <v>1</v>
      </c>
      <c r="D9" s="4">
        <f>+IF(B9&lt;=Summary!$B$17,'Current Amortization Table'!E9*Summary!$E$6/12,-IF(C9&gt;Summary!$B$8,0,-'Current Amortization Table'!$L$4))</f>
        <v>0</v>
      </c>
      <c r="E9" s="4">
        <f t="shared" si="0"/>
        <v>0</v>
      </c>
      <c r="F9" s="4">
        <f t="shared" si="3"/>
        <v>0</v>
      </c>
      <c r="G9" s="4">
        <f>E9*Summary!$E$6/12</f>
        <v>0</v>
      </c>
      <c r="H9" s="4">
        <f>+IF(Summary!$B$8*12=B9,E9-F9,0)</f>
        <v>0</v>
      </c>
      <c r="I9" s="4">
        <f t="shared" si="1"/>
        <v>0</v>
      </c>
    </row>
    <row r="10" spans="1:12" x14ac:dyDescent="0.2">
      <c r="B10">
        <v>7</v>
      </c>
      <c r="C10">
        <f t="shared" si="2"/>
        <v>1</v>
      </c>
      <c r="D10" s="4">
        <f>+IF(B10&lt;=Summary!$B$17,'Current Amortization Table'!E10*Summary!$E$6/12,-IF(C10&gt;Summary!$B$8,0,-'Current Amortization Table'!$L$4))</f>
        <v>0</v>
      </c>
      <c r="E10" s="4">
        <f t="shared" si="0"/>
        <v>0</v>
      </c>
      <c r="F10" s="4">
        <f t="shared" si="3"/>
        <v>0</v>
      </c>
      <c r="G10" s="4">
        <f>E10*Summary!$E$6/12</f>
        <v>0</v>
      </c>
      <c r="H10" s="4">
        <f>+IF(Summary!$B$8*12=B10,E10-F10,0)</f>
        <v>0</v>
      </c>
      <c r="I10" s="4">
        <f t="shared" si="1"/>
        <v>0</v>
      </c>
    </row>
    <row r="11" spans="1:12" x14ac:dyDescent="0.2">
      <c r="B11">
        <v>8</v>
      </c>
      <c r="C11">
        <f t="shared" si="2"/>
        <v>1</v>
      </c>
      <c r="D11" s="4">
        <f>+IF(B11&lt;=Summary!$B$17,'Current Amortization Table'!E11*Summary!$E$6/12,-IF(C11&gt;Summary!$B$8,0,-'Current Amortization Table'!$L$4))</f>
        <v>0</v>
      </c>
      <c r="E11" s="4">
        <f t="shared" si="0"/>
        <v>0</v>
      </c>
      <c r="F11" s="4">
        <f t="shared" si="3"/>
        <v>0</v>
      </c>
      <c r="G11" s="4">
        <f>E11*Summary!$E$6/12</f>
        <v>0</v>
      </c>
      <c r="H11" s="4">
        <f>+IF(Summary!$B$8*12=B11,E11-F11,0)</f>
        <v>0</v>
      </c>
      <c r="I11" s="4">
        <f t="shared" si="1"/>
        <v>0</v>
      </c>
    </row>
    <row r="12" spans="1:12" x14ac:dyDescent="0.2">
      <c r="B12">
        <v>9</v>
      </c>
      <c r="C12">
        <f t="shared" si="2"/>
        <v>1</v>
      </c>
      <c r="D12" s="4">
        <f>+IF(B12&lt;=Summary!$B$17,'Current Amortization Table'!E12*Summary!$E$6/12,-IF(C12&gt;Summary!$B$8,0,-'Current Amortization Table'!$L$4))</f>
        <v>0</v>
      </c>
      <c r="E12" s="4">
        <f t="shared" ref="E12:E24" si="4">+I11</f>
        <v>0</v>
      </c>
      <c r="F12" s="4">
        <f t="shared" ref="F12:F24" si="5">+D12-G12</f>
        <v>0</v>
      </c>
      <c r="G12" s="4">
        <f>E12*Summary!$E$6/12</f>
        <v>0</v>
      </c>
      <c r="H12" s="4">
        <f>+IF(Summary!$B$8*12=B12,E12-F12,0)</f>
        <v>0</v>
      </c>
      <c r="I12" s="4">
        <f t="shared" si="1"/>
        <v>0</v>
      </c>
    </row>
    <row r="13" spans="1:12" x14ac:dyDescent="0.2">
      <c r="B13">
        <v>10</v>
      </c>
      <c r="C13">
        <f t="shared" si="2"/>
        <v>1</v>
      </c>
      <c r="D13" s="4">
        <f>+IF(B13&lt;=Summary!$B$17,'Current Amortization Table'!E13*Summary!$E$6/12,-IF(C13&gt;Summary!$B$8,0,-'Current Amortization Table'!$L$4))</f>
        <v>0</v>
      </c>
      <c r="E13" s="4">
        <f t="shared" si="4"/>
        <v>0</v>
      </c>
      <c r="F13" s="4">
        <f t="shared" si="5"/>
        <v>0</v>
      </c>
      <c r="G13" s="4">
        <f>E13*Summary!$E$6/12</f>
        <v>0</v>
      </c>
      <c r="H13" s="4">
        <f>+IF(Summary!$B$8*12=B13,E13-F13,0)</f>
        <v>0</v>
      </c>
      <c r="I13" s="4">
        <f t="shared" si="1"/>
        <v>0</v>
      </c>
    </row>
    <row r="14" spans="1:12" x14ac:dyDescent="0.2">
      <c r="B14">
        <v>11</v>
      </c>
      <c r="C14">
        <f t="shared" si="2"/>
        <v>1</v>
      </c>
      <c r="D14" s="4">
        <f>+IF(B14&lt;=Summary!$B$17,'Current Amortization Table'!E14*Summary!$E$6/12,-IF(C14&gt;Summary!$B$8,0,-'Current Amortization Table'!$L$4))</f>
        <v>0</v>
      </c>
      <c r="E14" s="4">
        <f t="shared" si="4"/>
        <v>0</v>
      </c>
      <c r="F14" s="4">
        <f t="shared" si="5"/>
        <v>0</v>
      </c>
      <c r="G14" s="4">
        <f>E14*Summary!$E$6/12</f>
        <v>0</v>
      </c>
      <c r="H14" s="4">
        <f>+IF(Summary!$B$8*12=B14,E14-F14,0)</f>
        <v>0</v>
      </c>
      <c r="I14" s="4">
        <f t="shared" si="1"/>
        <v>0</v>
      </c>
    </row>
    <row r="15" spans="1:12" x14ac:dyDescent="0.2">
      <c r="B15">
        <v>12</v>
      </c>
      <c r="C15">
        <f t="shared" si="2"/>
        <v>1</v>
      </c>
      <c r="D15" s="4">
        <f>+IF(B15&lt;=Summary!$B$17,'Current Amortization Table'!E15*Summary!$E$6/12,-IF(C15&gt;Summary!$B$8,0,-'Current Amortization Table'!$L$4))</f>
        <v>0</v>
      </c>
      <c r="E15" s="4">
        <f t="shared" si="4"/>
        <v>0</v>
      </c>
      <c r="F15" s="4">
        <f t="shared" si="5"/>
        <v>0</v>
      </c>
      <c r="G15" s="4">
        <f>E15*Summary!$E$6/12</f>
        <v>0</v>
      </c>
      <c r="H15" s="4">
        <f>+IF(Summary!$B$8*12=B15,E15-F15,0)</f>
        <v>0</v>
      </c>
      <c r="I15" s="4">
        <f t="shared" si="1"/>
        <v>0</v>
      </c>
    </row>
    <row r="16" spans="1:12" x14ac:dyDescent="0.2">
      <c r="B16">
        <v>13</v>
      </c>
      <c r="C16">
        <f t="shared" si="2"/>
        <v>2</v>
      </c>
      <c r="D16" s="4">
        <f>+IF(B16&lt;=Summary!$B$17,'Current Amortization Table'!E16*Summary!$E$6/12,-IF(C16&gt;Summary!$B$8,0,-'Current Amortization Table'!$L$4))</f>
        <v>0</v>
      </c>
      <c r="E16" s="4">
        <f t="shared" si="4"/>
        <v>0</v>
      </c>
      <c r="F16" s="4">
        <f t="shared" si="5"/>
        <v>0</v>
      </c>
      <c r="G16" s="4">
        <f>E16*Summary!$E$6/12</f>
        <v>0</v>
      </c>
      <c r="H16" s="4">
        <f>+IF(Summary!$B$8*12=B16,E16-F16,0)</f>
        <v>0</v>
      </c>
      <c r="I16" s="4">
        <f t="shared" si="1"/>
        <v>0</v>
      </c>
    </row>
    <row r="17" spans="2:9" x14ac:dyDescent="0.2">
      <c r="B17">
        <v>14</v>
      </c>
      <c r="C17">
        <f t="shared" si="2"/>
        <v>2</v>
      </c>
      <c r="D17" s="4">
        <f>+IF(B17&lt;=Summary!$B$17,'Current Amortization Table'!E17*Summary!$E$6/12,-IF(C17&gt;Summary!$B$8,0,-'Current Amortization Table'!$L$4))</f>
        <v>0</v>
      </c>
      <c r="E17" s="4">
        <f t="shared" si="4"/>
        <v>0</v>
      </c>
      <c r="F17" s="4">
        <f t="shared" si="5"/>
        <v>0</v>
      </c>
      <c r="G17" s="4">
        <f>E17*Summary!$E$6/12</f>
        <v>0</v>
      </c>
      <c r="H17" s="4">
        <f>+IF(Summary!$B$8*12=B17,E17-F17,0)</f>
        <v>0</v>
      </c>
      <c r="I17" s="4">
        <f t="shared" si="1"/>
        <v>0</v>
      </c>
    </row>
    <row r="18" spans="2:9" x14ac:dyDescent="0.2">
      <c r="B18">
        <v>15</v>
      </c>
      <c r="C18">
        <f t="shared" si="2"/>
        <v>2</v>
      </c>
      <c r="D18" s="4">
        <f>+IF(B18&lt;=Summary!$B$17,'Current Amortization Table'!E18*Summary!$E$6/12,-IF(C18&gt;Summary!$B$8,0,-'Current Amortization Table'!$L$4))</f>
        <v>0</v>
      </c>
      <c r="E18" s="4">
        <f t="shared" si="4"/>
        <v>0</v>
      </c>
      <c r="F18" s="4">
        <f t="shared" si="5"/>
        <v>0</v>
      </c>
      <c r="G18" s="4">
        <f>E18*Summary!$E$6/12</f>
        <v>0</v>
      </c>
      <c r="H18" s="4">
        <f>+IF(Summary!$B$8*12=B18,E18-F18,0)</f>
        <v>0</v>
      </c>
      <c r="I18" s="4">
        <f t="shared" si="1"/>
        <v>0</v>
      </c>
    </row>
    <row r="19" spans="2:9" x14ac:dyDescent="0.2">
      <c r="B19">
        <v>16</v>
      </c>
      <c r="C19">
        <f t="shared" si="2"/>
        <v>2</v>
      </c>
      <c r="D19" s="4">
        <f>+IF(B19&lt;=Summary!$B$17,'Current Amortization Table'!E19*Summary!$E$6/12,-IF(C19&gt;Summary!$B$8,0,-'Current Amortization Table'!$L$4))</f>
        <v>0</v>
      </c>
      <c r="E19" s="4">
        <f t="shared" si="4"/>
        <v>0</v>
      </c>
      <c r="F19" s="4">
        <f t="shared" si="5"/>
        <v>0</v>
      </c>
      <c r="G19" s="4">
        <f>E19*Summary!$E$6/12</f>
        <v>0</v>
      </c>
      <c r="H19" s="4">
        <f>+IF(Summary!$B$8*12=B19,E19-F19,0)</f>
        <v>0</v>
      </c>
      <c r="I19" s="4">
        <f t="shared" si="1"/>
        <v>0</v>
      </c>
    </row>
    <row r="20" spans="2:9" x14ac:dyDescent="0.2">
      <c r="B20">
        <v>17</v>
      </c>
      <c r="C20">
        <f t="shared" si="2"/>
        <v>2</v>
      </c>
      <c r="D20" s="4">
        <f>+IF(B20&lt;=Summary!$B$17,'Current Amortization Table'!E20*Summary!$E$6/12,-IF(C20&gt;Summary!$B$8,0,-'Current Amortization Table'!$L$4))</f>
        <v>0</v>
      </c>
      <c r="E20" s="4">
        <f t="shared" si="4"/>
        <v>0</v>
      </c>
      <c r="F20" s="4">
        <f t="shared" si="5"/>
        <v>0</v>
      </c>
      <c r="G20" s="4">
        <f>E20*Summary!$E$6/12</f>
        <v>0</v>
      </c>
      <c r="H20" s="4">
        <f>+IF(Summary!$B$8*12=B20,E20-F20,0)</f>
        <v>0</v>
      </c>
      <c r="I20" s="4">
        <f t="shared" si="1"/>
        <v>0</v>
      </c>
    </row>
    <row r="21" spans="2:9" x14ac:dyDescent="0.2">
      <c r="B21">
        <v>18</v>
      </c>
      <c r="C21">
        <f t="shared" si="2"/>
        <v>2</v>
      </c>
      <c r="D21" s="4">
        <f>+IF(B21&lt;=Summary!$B$17,'Current Amortization Table'!E21*Summary!$E$6/12,-IF(C21&gt;Summary!$B$8,0,-'Current Amortization Table'!$L$4))</f>
        <v>0</v>
      </c>
      <c r="E21" s="4">
        <f t="shared" si="4"/>
        <v>0</v>
      </c>
      <c r="F21" s="4">
        <f t="shared" si="5"/>
        <v>0</v>
      </c>
      <c r="G21" s="4">
        <f>E21*Summary!$E$6/12</f>
        <v>0</v>
      </c>
      <c r="H21" s="4">
        <f>+IF(Summary!$B$8*12=B21,E21-F21,0)</f>
        <v>0</v>
      </c>
      <c r="I21" s="4">
        <f t="shared" si="1"/>
        <v>0</v>
      </c>
    </row>
    <row r="22" spans="2:9" x14ac:dyDescent="0.2">
      <c r="B22">
        <v>19</v>
      </c>
      <c r="C22">
        <f t="shared" si="2"/>
        <v>2</v>
      </c>
      <c r="D22" s="4">
        <f>+IF(B22&lt;=Summary!$B$17,'Current Amortization Table'!E22*Summary!$E$6/12,-IF(C22&gt;Summary!$B$8,0,-'Current Amortization Table'!$L$4))</f>
        <v>0</v>
      </c>
      <c r="E22" s="4">
        <f t="shared" si="4"/>
        <v>0</v>
      </c>
      <c r="F22" s="4">
        <f t="shared" si="5"/>
        <v>0</v>
      </c>
      <c r="G22" s="4">
        <f>E22*Summary!$E$6/12</f>
        <v>0</v>
      </c>
      <c r="H22" s="4">
        <f>+IF(Summary!$B$8*12=B22,E22-F22,0)</f>
        <v>0</v>
      </c>
      <c r="I22" s="4">
        <f t="shared" si="1"/>
        <v>0</v>
      </c>
    </row>
    <row r="23" spans="2:9" x14ac:dyDescent="0.2">
      <c r="B23">
        <v>20</v>
      </c>
      <c r="C23">
        <f t="shared" si="2"/>
        <v>2</v>
      </c>
      <c r="D23" s="4">
        <f>+IF(B23&lt;=Summary!$B$17,'Current Amortization Table'!E23*Summary!$E$6/12,-IF(C23&gt;Summary!$B$8,0,-'Current Amortization Table'!$L$4))</f>
        <v>0</v>
      </c>
      <c r="E23" s="4">
        <f t="shared" si="4"/>
        <v>0</v>
      </c>
      <c r="F23" s="4">
        <f t="shared" si="5"/>
        <v>0</v>
      </c>
      <c r="G23" s="4">
        <f>E23*Summary!$E$6/12</f>
        <v>0</v>
      </c>
      <c r="H23" s="4">
        <f>+IF(Summary!$B$8*12=B23,E23-F23,0)</f>
        <v>0</v>
      </c>
      <c r="I23" s="4">
        <f t="shared" si="1"/>
        <v>0</v>
      </c>
    </row>
    <row r="24" spans="2:9" x14ac:dyDescent="0.2">
      <c r="B24">
        <v>21</v>
      </c>
      <c r="C24">
        <f t="shared" si="2"/>
        <v>2</v>
      </c>
      <c r="D24" s="4">
        <f>+IF(B24&lt;=Summary!$B$17,'Current Amortization Table'!E24*Summary!$E$6/12,-IF(C24&gt;Summary!$B$8,0,-'Current Amortization Table'!$L$4))</f>
        <v>0</v>
      </c>
      <c r="E24" s="4">
        <f t="shared" si="4"/>
        <v>0</v>
      </c>
      <c r="F24" s="4">
        <f t="shared" si="5"/>
        <v>0</v>
      </c>
      <c r="G24" s="4">
        <f>E24*Summary!$E$6/12</f>
        <v>0</v>
      </c>
      <c r="H24" s="4">
        <f>+IF(Summary!$B$8*12=B24,E24-F24,0)</f>
        <v>0</v>
      </c>
      <c r="I24" s="4">
        <f t="shared" si="1"/>
        <v>0</v>
      </c>
    </row>
    <row r="25" spans="2:9" x14ac:dyDescent="0.2">
      <c r="B25">
        <v>22</v>
      </c>
      <c r="C25">
        <f t="shared" si="2"/>
        <v>2</v>
      </c>
      <c r="D25" s="4">
        <f>+IF(B25&lt;=Summary!$B$17,'Current Amortization Table'!E25*Summary!$E$6/12,-IF(C25&gt;Summary!$B$8,0,-'Current Amortization Table'!$L$4))</f>
        <v>0</v>
      </c>
      <c r="E25" s="4">
        <f t="shared" ref="E25:E88" si="6">+I24</f>
        <v>0</v>
      </c>
      <c r="F25" s="4">
        <f t="shared" ref="F25:F88" si="7">+D25-G25</f>
        <v>0</v>
      </c>
      <c r="G25" s="4">
        <f>E25*Summary!$E$6/12</f>
        <v>0</v>
      </c>
      <c r="H25" s="4">
        <f>+IF(Summary!$B$8*12=B25,E25-F25,0)</f>
        <v>0</v>
      </c>
      <c r="I25" s="4">
        <f t="shared" si="1"/>
        <v>0</v>
      </c>
    </row>
    <row r="26" spans="2:9" x14ac:dyDescent="0.2">
      <c r="B26">
        <v>23</v>
      </c>
      <c r="C26">
        <f t="shared" si="2"/>
        <v>2</v>
      </c>
      <c r="D26" s="4">
        <f>+IF(B26&lt;=Summary!$B$17,'Current Amortization Table'!E26*Summary!$E$6/12,-IF(C26&gt;Summary!$B$8,0,-'Current Amortization Table'!$L$4))</f>
        <v>0</v>
      </c>
      <c r="E26" s="4">
        <f t="shared" si="6"/>
        <v>0</v>
      </c>
      <c r="F26" s="4">
        <f t="shared" si="7"/>
        <v>0</v>
      </c>
      <c r="G26" s="4">
        <f>E26*Summary!$E$6/12</f>
        <v>0</v>
      </c>
      <c r="H26" s="4">
        <f>+IF(Summary!$B$8*12=B26,E26-F26,0)</f>
        <v>0</v>
      </c>
      <c r="I26" s="4">
        <f t="shared" si="1"/>
        <v>0</v>
      </c>
    </row>
    <row r="27" spans="2:9" x14ac:dyDescent="0.2">
      <c r="B27">
        <v>24</v>
      </c>
      <c r="C27">
        <f t="shared" si="2"/>
        <v>2</v>
      </c>
      <c r="D27" s="4">
        <f>+IF(B27&lt;=Summary!$B$17,'Current Amortization Table'!E27*Summary!$E$6/12,-IF(C27&gt;Summary!$B$8,0,-'Current Amortization Table'!$L$4))</f>
        <v>0</v>
      </c>
      <c r="E27" s="4">
        <f t="shared" si="6"/>
        <v>0</v>
      </c>
      <c r="F27" s="4">
        <f t="shared" si="7"/>
        <v>0</v>
      </c>
      <c r="G27" s="4">
        <f>E27*Summary!$E$6/12</f>
        <v>0</v>
      </c>
      <c r="H27" s="4">
        <f>+IF(Summary!$B$8*12=B27,E27-F27,0)</f>
        <v>0</v>
      </c>
      <c r="I27" s="4">
        <f t="shared" si="1"/>
        <v>0</v>
      </c>
    </row>
    <row r="28" spans="2:9" x14ac:dyDescent="0.2">
      <c r="B28">
        <v>25</v>
      </c>
      <c r="C28">
        <f t="shared" si="2"/>
        <v>3</v>
      </c>
      <c r="D28" s="4">
        <f>+IF(B28&lt;=Summary!$B$17,'Current Amortization Table'!E28*Summary!$E$6/12,-IF(C28&gt;Summary!$B$8,0,-'Current Amortization Table'!$L$4))</f>
        <v>0</v>
      </c>
      <c r="E28" s="4">
        <f t="shared" si="6"/>
        <v>0</v>
      </c>
      <c r="F28" s="4">
        <f t="shared" si="7"/>
        <v>0</v>
      </c>
      <c r="G28" s="4">
        <f>E28*Summary!$E$6/12</f>
        <v>0</v>
      </c>
      <c r="H28" s="4">
        <f>+IF(Summary!$B$8*12=B28,E28-F28,0)</f>
        <v>0</v>
      </c>
      <c r="I28" s="4">
        <f t="shared" si="1"/>
        <v>0</v>
      </c>
    </row>
    <row r="29" spans="2:9" x14ac:dyDescent="0.2">
      <c r="B29">
        <v>26</v>
      </c>
      <c r="C29">
        <f t="shared" si="2"/>
        <v>3</v>
      </c>
      <c r="D29" s="4">
        <f>+IF(B29&lt;=Summary!$B$17,'Current Amortization Table'!E29*Summary!$E$6/12,-IF(C29&gt;Summary!$B$8,0,-'Current Amortization Table'!$L$4))</f>
        <v>0</v>
      </c>
      <c r="E29" s="4">
        <f t="shared" si="6"/>
        <v>0</v>
      </c>
      <c r="F29" s="4">
        <f t="shared" si="7"/>
        <v>0</v>
      </c>
      <c r="G29" s="4">
        <f>E29*Summary!$E$6/12</f>
        <v>0</v>
      </c>
      <c r="H29" s="4">
        <f>+IF(Summary!$B$8*12=B29,E29-F29,0)</f>
        <v>0</v>
      </c>
      <c r="I29" s="4">
        <f t="shared" si="1"/>
        <v>0</v>
      </c>
    </row>
    <row r="30" spans="2:9" x14ac:dyDescent="0.2">
      <c r="B30">
        <v>27</v>
      </c>
      <c r="C30">
        <f t="shared" si="2"/>
        <v>3</v>
      </c>
      <c r="D30" s="4">
        <f>+IF(B30&lt;=Summary!$B$17,'Current Amortization Table'!E30*Summary!$E$6/12,-IF(C30&gt;Summary!$B$8,0,-'Current Amortization Table'!$L$4))</f>
        <v>0</v>
      </c>
      <c r="E30" s="4">
        <f t="shared" si="6"/>
        <v>0</v>
      </c>
      <c r="F30" s="4">
        <f t="shared" si="7"/>
        <v>0</v>
      </c>
      <c r="G30" s="4">
        <f>E30*Summary!$E$6/12</f>
        <v>0</v>
      </c>
      <c r="H30" s="4">
        <f>+IF(Summary!$B$8*12=B30,E30-F30,0)</f>
        <v>0</v>
      </c>
      <c r="I30" s="4">
        <f t="shared" si="1"/>
        <v>0</v>
      </c>
    </row>
    <row r="31" spans="2:9" x14ac:dyDescent="0.2">
      <c r="B31">
        <v>28</v>
      </c>
      <c r="C31">
        <f t="shared" si="2"/>
        <v>3</v>
      </c>
      <c r="D31" s="4">
        <f>+IF(B31&lt;=Summary!$B$17,'Current Amortization Table'!E31*Summary!$E$6/12,-IF(C31&gt;Summary!$B$8,0,-'Current Amortization Table'!$L$4))</f>
        <v>0</v>
      </c>
      <c r="E31" s="4">
        <f t="shared" si="6"/>
        <v>0</v>
      </c>
      <c r="F31" s="4">
        <f t="shared" si="7"/>
        <v>0</v>
      </c>
      <c r="G31" s="4">
        <f>E31*Summary!$E$6/12</f>
        <v>0</v>
      </c>
      <c r="H31" s="4">
        <f>+IF(Summary!$B$8*12=B31,E31-F31,0)</f>
        <v>0</v>
      </c>
      <c r="I31" s="4">
        <f t="shared" si="1"/>
        <v>0</v>
      </c>
    </row>
    <row r="32" spans="2:9" x14ac:dyDescent="0.2">
      <c r="B32">
        <v>29</v>
      </c>
      <c r="C32">
        <f t="shared" si="2"/>
        <v>3</v>
      </c>
      <c r="D32" s="4">
        <f>+IF(B32&lt;=Summary!$B$17,'Current Amortization Table'!E32*Summary!$E$6/12,-IF(C32&gt;Summary!$B$8,0,-'Current Amortization Table'!$L$4))</f>
        <v>0</v>
      </c>
      <c r="E32" s="4">
        <f t="shared" si="6"/>
        <v>0</v>
      </c>
      <c r="F32" s="4">
        <f t="shared" si="7"/>
        <v>0</v>
      </c>
      <c r="G32" s="4">
        <f>E32*Summary!$E$6/12</f>
        <v>0</v>
      </c>
      <c r="H32" s="4">
        <f>+IF(Summary!$B$8*12=B32,E32-F32,0)</f>
        <v>0</v>
      </c>
      <c r="I32" s="4">
        <f t="shared" si="1"/>
        <v>0</v>
      </c>
    </row>
    <row r="33" spans="2:9" x14ac:dyDescent="0.2">
      <c r="B33">
        <v>30</v>
      </c>
      <c r="C33">
        <f t="shared" si="2"/>
        <v>3</v>
      </c>
      <c r="D33" s="4">
        <f>+IF(B33&lt;=Summary!$B$17,'Current Amortization Table'!E33*Summary!$E$6/12,-IF(C33&gt;Summary!$B$8,0,-'Current Amortization Table'!$L$4))</f>
        <v>0</v>
      </c>
      <c r="E33" s="4">
        <f t="shared" si="6"/>
        <v>0</v>
      </c>
      <c r="F33" s="4">
        <f t="shared" si="7"/>
        <v>0</v>
      </c>
      <c r="G33" s="4">
        <f>E33*Summary!$E$6/12</f>
        <v>0</v>
      </c>
      <c r="H33" s="4">
        <f>+IF(Summary!$B$8*12=B33,E33-F33,0)</f>
        <v>0</v>
      </c>
      <c r="I33" s="4">
        <f t="shared" si="1"/>
        <v>0</v>
      </c>
    </row>
    <row r="34" spans="2:9" x14ac:dyDescent="0.2">
      <c r="B34">
        <v>31</v>
      </c>
      <c r="C34">
        <f t="shared" si="2"/>
        <v>3</v>
      </c>
      <c r="D34" s="4">
        <f>+IF(B34&lt;=Summary!$B$17,'Current Amortization Table'!E34*Summary!$E$6/12,-IF(C34&gt;Summary!$B$8,0,-'Current Amortization Table'!$L$4))</f>
        <v>0</v>
      </c>
      <c r="E34" s="4">
        <f t="shared" si="6"/>
        <v>0</v>
      </c>
      <c r="F34" s="4">
        <f t="shared" si="7"/>
        <v>0</v>
      </c>
      <c r="G34" s="4">
        <f>E34*Summary!$E$6/12</f>
        <v>0</v>
      </c>
      <c r="H34" s="4">
        <f>+IF(Summary!$B$8*12=B34,E34-F34,0)</f>
        <v>0</v>
      </c>
      <c r="I34" s="4">
        <f t="shared" si="1"/>
        <v>0</v>
      </c>
    </row>
    <row r="35" spans="2:9" x14ac:dyDescent="0.2">
      <c r="B35">
        <v>32</v>
      </c>
      <c r="C35">
        <f t="shared" si="2"/>
        <v>3</v>
      </c>
      <c r="D35" s="4">
        <f>+IF(B35&lt;=Summary!$B$17,'Current Amortization Table'!E35*Summary!$E$6/12,-IF(C35&gt;Summary!$B$8,0,-'Current Amortization Table'!$L$4))</f>
        <v>0</v>
      </c>
      <c r="E35" s="4">
        <f t="shared" si="6"/>
        <v>0</v>
      </c>
      <c r="F35" s="4">
        <f t="shared" si="7"/>
        <v>0</v>
      </c>
      <c r="G35" s="4">
        <f>E35*Summary!$E$6/12</f>
        <v>0</v>
      </c>
      <c r="H35" s="4">
        <f>+IF(Summary!$B$8*12=B35,E35-F35,0)</f>
        <v>0</v>
      </c>
      <c r="I35" s="4">
        <f t="shared" si="1"/>
        <v>0</v>
      </c>
    </row>
    <row r="36" spans="2:9" x14ac:dyDescent="0.2">
      <c r="B36">
        <v>33</v>
      </c>
      <c r="C36">
        <f t="shared" si="2"/>
        <v>3</v>
      </c>
      <c r="D36" s="4">
        <f>+IF(B36&lt;=Summary!$B$17,'Current Amortization Table'!E36*Summary!$E$6/12,-IF(C36&gt;Summary!$B$8,0,-'Current Amortization Table'!$L$4))</f>
        <v>0</v>
      </c>
      <c r="E36" s="4">
        <f t="shared" si="6"/>
        <v>0</v>
      </c>
      <c r="F36" s="4">
        <f t="shared" si="7"/>
        <v>0</v>
      </c>
      <c r="G36" s="4">
        <f>E36*Summary!$E$6/12</f>
        <v>0</v>
      </c>
      <c r="H36" s="4">
        <f>+IF(Summary!$B$8*12=B36,E36-F36,0)</f>
        <v>0</v>
      </c>
      <c r="I36" s="4">
        <f t="shared" si="1"/>
        <v>0</v>
      </c>
    </row>
    <row r="37" spans="2:9" x14ac:dyDescent="0.2">
      <c r="B37">
        <v>34</v>
      </c>
      <c r="C37">
        <f t="shared" si="2"/>
        <v>3</v>
      </c>
      <c r="D37" s="4">
        <f>+IF(B37&lt;=Summary!$B$17,'Current Amortization Table'!E37*Summary!$E$6/12,-IF(C37&gt;Summary!$B$8,0,-'Current Amortization Table'!$L$4))</f>
        <v>0</v>
      </c>
      <c r="E37" s="4">
        <f t="shared" si="6"/>
        <v>0</v>
      </c>
      <c r="F37" s="4">
        <f t="shared" si="7"/>
        <v>0</v>
      </c>
      <c r="G37" s="4">
        <f>E37*Summary!$E$6/12</f>
        <v>0</v>
      </c>
      <c r="H37" s="4">
        <f>+IF(Summary!$B$8*12=B37,E37-F37,0)</f>
        <v>0</v>
      </c>
      <c r="I37" s="4">
        <f t="shared" si="1"/>
        <v>0</v>
      </c>
    </row>
    <row r="38" spans="2:9" x14ac:dyDescent="0.2">
      <c r="B38">
        <v>35</v>
      </c>
      <c r="C38">
        <f t="shared" si="2"/>
        <v>3</v>
      </c>
      <c r="D38" s="4">
        <f>+IF(B38&lt;=Summary!$B$17,'Current Amortization Table'!E38*Summary!$E$6/12,-IF(C38&gt;Summary!$B$8,0,-'Current Amortization Table'!$L$4))</f>
        <v>0</v>
      </c>
      <c r="E38" s="4">
        <f t="shared" si="6"/>
        <v>0</v>
      </c>
      <c r="F38" s="4">
        <f t="shared" si="7"/>
        <v>0</v>
      </c>
      <c r="G38" s="4">
        <f>E38*Summary!$E$6/12</f>
        <v>0</v>
      </c>
      <c r="H38" s="4">
        <f>+IF(Summary!$B$8*12=B38,E38-F38,0)</f>
        <v>0</v>
      </c>
      <c r="I38" s="4">
        <f t="shared" si="1"/>
        <v>0</v>
      </c>
    </row>
    <row r="39" spans="2:9" x14ac:dyDescent="0.2">
      <c r="B39">
        <v>36</v>
      </c>
      <c r="C39">
        <f t="shared" si="2"/>
        <v>3</v>
      </c>
      <c r="D39" s="4">
        <f>+IF(B39&lt;=Summary!$B$17,'Current Amortization Table'!E39*Summary!$E$6/12,-IF(C39&gt;Summary!$B$8,0,-'Current Amortization Table'!$L$4))</f>
        <v>0</v>
      </c>
      <c r="E39" s="4">
        <f t="shared" si="6"/>
        <v>0</v>
      </c>
      <c r="F39" s="4">
        <f t="shared" si="7"/>
        <v>0</v>
      </c>
      <c r="G39" s="4">
        <f>E39*Summary!$E$6/12</f>
        <v>0</v>
      </c>
      <c r="H39" s="4">
        <f>+IF(Summary!$B$8*12=B39,E39-F39,0)</f>
        <v>0</v>
      </c>
      <c r="I39" s="4">
        <f t="shared" si="1"/>
        <v>0</v>
      </c>
    </row>
    <row r="40" spans="2:9" x14ac:dyDescent="0.2">
      <c r="B40">
        <v>37</v>
      </c>
      <c r="C40">
        <f t="shared" si="2"/>
        <v>4</v>
      </c>
      <c r="D40" s="4">
        <f>+IF(B40&lt;=Summary!$B$17,'Current Amortization Table'!E40*Summary!$E$6/12,-IF(C40&gt;Summary!$B$8,0,-'Current Amortization Table'!$L$4))</f>
        <v>0</v>
      </c>
      <c r="E40" s="4">
        <f t="shared" si="6"/>
        <v>0</v>
      </c>
      <c r="F40" s="4">
        <f t="shared" si="7"/>
        <v>0</v>
      </c>
      <c r="G40" s="4">
        <f>E40*Summary!$E$6/12</f>
        <v>0</v>
      </c>
      <c r="H40" s="4">
        <f>+IF(Summary!$B$8*12=B40,E40-F40,0)</f>
        <v>0</v>
      </c>
      <c r="I40" s="4">
        <f t="shared" si="1"/>
        <v>0</v>
      </c>
    </row>
    <row r="41" spans="2:9" x14ac:dyDescent="0.2">
      <c r="B41">
        <v>38</v>
      </c>
      <c r="C41">
        <f t="shared" si="2"/>
        <v>4</v>
      </c>
      <c r="D41" s="4">
        <f>+IF(B41&lt;=Summary!$B$17,'Current Amortization Table'!E41*Summary!$E$6/12,-IF(C41&gt;Summary!$B$8,0,-'Current Amortization Table'!$L$4))</f>
        <v>0</v>
      </c>
      <c r="E41" s="4">
        <f t="shared" si="6"/>
        <v>0</v>
      </c>
      <c r="F41" s="4">
        <f t="shared" si="7"/>
        <v>0</v>
      </c>
      <c r="G41" s="4">
        <f>E41*Summary!$E$6/12</f>
        <v>0</v>
      </c>
      <c r="H41" s="4">
        <f>+IF(Summary!$B$8*12=B41,E41-F41,0)</f>
        <v>0</v>
      </c>
      <c r="I41" s="4">
        <f t="shared" si="1"/>
        <v>0</v>
      </c>
    </row>
    <row r="42" spans="2:9" x14ac:dyDescent="0.2">
      <c r="B42">
        <v>39</v>
      </c>
      <c r="C42">
        <f t="shared" si="2"/>
        <v>4</v>
      </c>
      <c r="D42" s="4">
        <f>+IF(B42&lt;=Summary!$B$17,'Current Amortization Table'!E42*Summary!$E$6/12,-IF(C42&gt;Summary!$B$8,0,-'Current Amortization Table'!$L$4))</f>
        <v>0</v>
      </c>
      <c r="E42" s="4">
        <f t="shared" si="6"/>
        <v>0</v>
      </c>
      <c r="F42" s="4">
        <f t="shared" si="7"/>
        <v>0</v>
      </c>
      <c r="G42" s="4">
        <f>E42*Summary!$E$6/12</f>
        <v>0</v>
      </c>
      <c r="H42" s="4">
        <f>+IF(Summary!$B$8*12=B42,E42-F42,0)</f>
        <v>0</v>
      </c>
      <c r="I42" s="4">
        <f t="shared" si="1"/>
        <v>0</v>
      </c>
    </row>
    <row r="43" spans="2:9" x14ac:dyDescent="0.2">
      <c r="B43">
        <v>40</v>
      </c>
      <c r="C43">
        <f t="shared" si="2"/>
        <v>4</v>
      </c>
      <c r="D43" s="4">
        <f>+IF(B43&lt;=Summary!$B$17,'Current Amortization Table'!E43*Summary!$E$6/12,-IF(C43&gt;Summary!$B$8,0,-'Current Amortization Table'!$L$4))</f>
        <v>0</v>
      </c>
      <c r="E43" s="4">
        <f t="shared" si="6"/>
        <v>0</v>
      </c>
      <c r="F43" s="4">
        <f t="shared" si="7"/>
        <v>0</v>
      </c>
      <c r="G43" s="4">
        <f>E43*Summary!$E$6/12</f>
        <v>0</v>
      </c>
      <c r="H43" s="4">
        <f>+IF(Summary!$B$8*12=B43,E43-F43,0)</f>
        <v>0</v>
      </c>
      <c r="I43" s="4">
        <f t="shared" si="1"/>
        <v>0</v>
      </c>
    </row>
    <row r="44" spans="2:9" x14ac:dyDescent="0.2">
      <c r="B44">
        <v>41</v>
      </c>
      <c r="C44">
        <f t="shared" si="2"/>
        <v>4</v>
      </c>
      <c r="D44" s="4">
        <f>+IF(B44&lt;=Summary!$B$17,'Current Amortization Table'!E44*Summary!$E$6/12,-IF(C44&gt;Summary!$B$8,0,-'Current Amortization Table'!$L$4))</f>
        <v>0</v>
      </c>
      <c r="E44" s="4">
        <f t="shared" si="6"/>
        <v>0</v>
      </c>
      <c r="F44" s="4">
        <f t="shared" si="7"/>
        <v>0</v>
      </c>
      <c r="G44" s="4">
        <f>E44*Summary!$E$6/12</f>
        <v>0</v>
      </c>
      <c r="H44" s="4">
        <f>+IF(Summary!$B$8*12=B44,E44-F44,0)</f>
        <v>0</v>
      </c>
      <c r="I44" s="4">
        <f t="shared" si="1"/>
        <v>0</v>
      </c>
    </row>
    <row r="45" spans="2:9" x14ac:dyDescent="0.2">
      <c r="B45">
        <v>42</v>
      </c>
      <c r="C45">
        <f t="shared" si="2"/>
        <v>4</v>
      </c>
      <c r="D45" s="4">
        <f>+IF(B45&lt;=Summary!$B$17,'Current Amortization Table'!E45*Summary!$E$6/12,-IF(C45&gt;Summary!$B$8,0,-'Current Amortization Table'!$L$4))</f>
        <v>0</v>
      </c>
      <c r="E45" s="4">
        <f t="shared" si="6"/>
        <v>0</v>
      </c>
      <c r="F45" s="4">
        <f t="shared" si="7"/>
        <v>0</v>
      </c>
      <c r="G45" s="4">
        <f>E45*Summary!$E$6/12</f>
        <v>0</v>
      </c>
      <c r="H45" s="4">
        <f>+IF(Summary!$B$8*12=B45,E45-F45,0)</f>
        <v>0</v>
      </c>
      <c r="I45" s="4">
        <f t="shared" si="1"/>
        <v>0</v>
      </c>
    </row>
    <row r="46" spans="2:9" x14ac:dyDescent="0.2">
      <c r="B46">
        <v>43</v>
      </c>
      <c r="C46">
        <f t="shared" si="2"/>
        <v>4</v>
      </c>
      <c r="D46" s="4">
        <f>+IF(B46&lt;=Summary!$B$17,'Current Amortization Table'!E46*Summary!$E$6/12,-IF(C46&gt;Summary!$B$8,0,-'Current Amortization Table'!$L$4))</f>
        <v>0</v>
      </c>
      <c r="E46" s="4">
        <f t="shared" si="6"/>
        <v>0</v>
      </c>
      <c r="F46" s="4">
        <f t="shared" si="7"/>
        <v>0</v>
      </c>
      <c r="G46" s="4">
        <f>E46*Summary!$E$6/12</f>
        <v>0</v>
      </c>
      <c r="H46" s="4">
        <f>+IF(Summary!$B$8*12=B46,E46-F46,0)</f>
        <v>0</v>
      </c>
      <c r="I46" s="4">
        <f t="shared" si="1"/>
        <v>0</v>
      </c>
    </row>
    <row r="47" spans="2:9" x14ac:dyDescent="0.2">
      <c r="B47">
        <v>44</v>
      </c>
      <c r="C47">
        <f t="shared" si="2"/>
        <v>4</v>
      </c>
      <c r="D47" s="4">
        <f>+IF(B47&lt;=Summary!$B$17,'Current Amortization Table'!E47*Summary!$E$6/12,-IF(C47&gt;Summary!$B$8,0,-'Current Amortization Table'!$L$4))</f>
        <v>0</v>
      </c>
      <c r="E47" s="4">
        <f t="shared" si="6"/>
        <v>0</v>
      </c>
      <c r="F47" s="4">
        <f t="shared" si="7"/>
        <v>0</v>
      </c>
      <c r="G47" s="4">
        <f>E47*Summary!$E$6/12</f>
        <v>0</v>
      </c>
      <c r="H47" s="4">
        <f>+IF(Summary!$B$8*12=B47,E47-F47,0)</f>
        <v>0</v>
      </c>
      <c r="I47" s="4">
        <f t="shared" si="1"/>
        <v>0</v>
      </c>
    </row>
    <row r="48" spans="2:9" x14ac:dyDescent="0.2">
      <c r="B48">
        <v>45</v>
      </c>
      <c r="C48">
        <f t="shared" si="2"/>
        <v>4</v>
      </c>
      <c r="D48" s="4">
        <f>+IF(B48&lt;=Summary!$B$17,'Current Amortization Table'!E48*Summary!$E$6/12,-IF(C48&gt;Summary!$B$8,0,-'Current Amortization Table'!$L$4))</f>
        <v>0</v>
      </c>
      <c r="E48" s="4">
        <f t="shared" si="6"/>
        <v>0</v>
      </c>
      <c r="F48" s="4">
        <f t="shared" si="7"/>
        <v>0</v>
      </c>
      <c r="G48" s="4">
        <f>E48*Summary!$E$6/12</f>
        <v>0</v>
      </c>
      <c r="H48" s="4">
        <f>+IF(Summary!$B$8*12=B48,E48-F48,0)</f>
        <v>0</v>
      </c>
      <c r="I48" s="4">
        <f t="shared" si="1"/>
        <v>0</v>
      </c>
    </row>
    <row r="49" spans="2:9" x14ac:dyDescent="0.2">
      <c r="B49">
        <v>46</v>
      </c>
      <c r="C49">
        <f t="shared" si="2"/>
        <v>4</v>
      </c>
      <c r="D49" s="4">
        <f>+IF(B49&lt;=Summary!$B$17,'Current Amortization Table'!E49*Summary!$E$6/12,-IF(C49&gt;Summary!$B$8,0,-'Current Amortization Table'!$L$4))</f>
        <v>0</v>
      </c>
      <c r="E49" s="4">
        <f t="shared" si="6"/>
        <v>0</v>
      </c>
      <c r="F49" s="4">
        <f t="shared" si="7"/>
        <v>0</v>
      </c>
      <c r="G49" s="4">
        <f>E49*Summary!$E$6/12</f>
        <v>0</v>
      </c>
      <c r="H49" s="4">
        <f>+IF(Summary!$B$8*12=B49,E49-F49,0)</f>
        <v>0</v>
      </c>
      <c r="I49" s="4">
        <f t="shared" si="1"/>
        <v>0</v>
      </c>
    </row>
    <row r="50" spans="2:9" x14ac:dyDescent="0.2">
      <c r="B50">
        <v>47</v>
      </c>
      <c r="C50">
        <f t="shared" si="2"/>
        <v>4</v>
      </c>
      <c r="D50" s="4">
        <f>+IF(B50&lt;=Summary!$B$17,'Current Amortization Table'!E50*Summary!$E$6/12,-IF(C50&gt;Summary!$B$8,0,-'Current Amortization Table'!$L$4))</f>
        <v>0</v>
      </c>
      <c r="E50" s="4">
        <f t="shared" si="6"/>
        <v>0</v>
      </c>
      <c r="F50" s="4">
        <f t="shared" si="7"/>
        <v>0</v>
      </c>
      <c r="G50" s="4">
        <f>E50*Summary!$E$6/12</f>
        <v>0</v>
      </c>
      <c r="H50" s="4">
        <f>+IF(Summary!$B$8*12=B50,E50-F50,0)</f>
        <v>0</v>
      </c>
      <c r="I50" s="4">
        <f t="shared" si="1"/>
        <v>0</v>
      </c>
    </row>
    <row r="51" spans="2:9" x14ac:dyDescent="0.2">
      <c r="B51">
        <v>48</v>
      </c>
      <c r="C51">
        <f t="shared" si="2"/>
        <v>4</v>
      </c>
      <c r="D51" s="4">
        <f>+IF(B51&lt;=Summary!$B$17,'Current Amortization Table'!E51*Summary!$E$6/12,-IF(C51&gt;Summary!$B$8,0,-'Current Amortization Table'!$L$4))</f>
        <v>0</v>
      </c>
      <c r="E51" s="4">
        <f t="shared" si="6"/>
        <v>0</v>
      </c>
      <c r="F51" s="4">
        <f t="shared" si="7"/>
        <v>0</v>
      </c>
      <c r="G51" s="4">
        <f>E51*Summary!$E$6/12</f>
        <v>0</v>
      </c>
      <c r="H51" s="4">
        <f>+IF(Summary!$B$8*12=B51,E51-F51,0)</f>
        <v>0</v>
      </c>
      <c r="I51" s="4">
        <f t="shared" si="1"/>
        <v>0</v>
      </c>
    </row>
    <row r="52" spans="2:9" x14ac:dyDescent="0.2">
      <c r="B52">
        <v>49</v>
      </c>
      <c r="C52">
        <f t="shared" si="2"/>
        <v>5</v>
      </c>
      <c r="D52" s="4">
        <f>+IF(B52&lt;=Summary!$B$17,'Current Amortization Table'!E52*Summary!$E$6/12,-IF(C52&gt;Summary!$B$8,0,-'Current Amortization Table'!$L$4))</f>
        <v>0</v>
      </c>
      <c r="E52" s="4">
        <f t="shared" si="6"/>
        <v>0</v>
      </c>
      <c r="F52" s="4">
        <f t="shared" si="7"/>
        <v>0</v>
      </c>
      <c r="G52" s="4">
        <f>E52*Summary!$E$6/12</f>
        <v>0</v>
      </c>
      <c r="H52" s="4">
        <f>+IF(Summary!$B$8*12=B52,E52-F52,0)</f>
        <v>0</v>
      </c>
      <c r="I52" s="4">
        <f t="shared" si="1"/>
        <v>0</v>
      </c>
    </row>
    <row r="53" spans="2:9" x14ac:dyDescent="0.2">
      <c r="B53">
        <v>50</v>
      </c>
      <c r="C53">
        <f t="shared" si="2"/>
        <v>5</v>
      </c>
      <c r="D53" s="4">
        <f>+IF(B53&lt;=Summary!$B$17,'Current Amortization Table'!E53*Summary!$E$6/12,-IF(C53&gt;Summary!$B$8,0,-'Current Amortization Table'!$L$4))</f>
        <v>0</v>
      </c>
      <c r="E53" s="4">
        <f t="shared" si="6"/>
        <v>0</v>
      </c>
      <c r="F53" s="4">
        <f t="shared" si="7"/>
        <v>0</v>
      </c>
      <c r="G53" s="4">
        <f>E53*Summary!$E$6/12</f>
        <v>0</v>
      </c>
      <c r="H53" s="4">
        <f>+IF(Summary!$B$8*12=B53,E53-F53,0)</f>
        <v>0</v>
      </c>
      <c r="I53" s="4">
        <f t="shared" si="1"/>
        <v>0</v>
      </c>
    </row>
    <row r="54" spans="2:9" x14ac:dyDescent="0.2">
      <c r="B54">
        <v>51</v>
      </c>
      <c r="C54">
        <f t="shared" si="2"/>
        <v>5</v>
      </c>
      <c r="D54" s="4">
        <f>+IF(B54&lt;=Summary!$B$17,'Current Amortization Table'!E54*Summary!$E$6/12,-IF(C54&gt;Summary!$B$8,0,-'Current Amortization Table'!$L$4))</f>
        <v>0</v>
      </c>
      <c r="E54" s="4">
        <f t="shared" si="6"/>
        <v>0</v>
      </c>
      <c r="F54" s="4">
        <f t="shared" si="7"/>
        <v>0</v>
      </c>
      <c r="G54" s="4">
        <f>E54*Summary!$E$6/12</f>
        <v>0</v>
      </c>
      <c r="H54" s="4">
        <f>+IF(Summary!$B$8*12=B54,E54-F54,0)</f>
        <v>0</v>
      </c>
      <c r="I54" s="4">
        <f t="shared" si="1"/>
        <v>0</v>
      </c>
    </row>
    <row r="55" spans="2:9" x14ac:dyDescent="0.2">
      <c r="B55">
        <v>52</v>
      </c>
      <c r="C55">
        <f t="shared" si="2"/>
        <v>5</v>
      </c>
      <c r="D55" s="4">
        <f>+IF(B55&lt;=Summary!$B$17,'Current Amortization Table'!E55*Summary!$E$6/12,-IF(C55&gt;Summary!$B$8,0,-'Current Amortization Table'!$L$4))</f>
        <v>0</v>
      </c>
      <c r="E55" s="4">
        <f t="shared" si="6"/>
        <v>0</v>
      </c>
      <c r="F55" s="4">
        <f t="shared" si="7"/>
        <v>0</v>
      </c>
      <c r="G55" s="4">
        <f>E55*Summary!$E$6/12</f>
        <v>0</v>
      </c>
      <c r="H55" s="4">
        <f>+IF(Summary!$B$8*12=B55,E55-F55,0)</f>
        <v>0</v>
      </c>
      <c r="I55" s="4">
        <f t="shared" si="1"/>
        <v>0</v>
      </c>
    </row>
    <row r="56" spans="2:9" x14ac:dyDescent="0.2">
      <c r="B56">
        <v>53</v>
      </c>
      <c r="C56">
        <f t="shared" si="2"/>
        <v>5</v>
      </c>
      <c r="D56" s="4">
        <f>+IF(B56&lt;=Summary!$B$17,'Current Amortization Table'!E56*Summary!$E$6/12,-IF(C56&gt;Summary!$B$8,0,-'Current Amortization Table'!$L$4))</f>
        <v>0</v>
      </c>
      <c r="E56" s="4">
        <f t="shared" si="6"/>
        <v>0</v>
      </c>
      <c r="F56" s="4">
        <f t="shared" si="7"/>
        <v>0</v>
      </c>
      <c r="G56" s="4">
        <f>E56*Summary!$E$6/12</f>
        <v>0</v>
      </c>
      <c r="H56" s="4">
        <f>+IF(Summary!$B$8*12=B56,E56-F56,0)</f>
        <v>0</v>
      </c>
      <c r="I56" s="4">
        <f t="shared" si="1"/>
        <v>0</v>
      </c>
    </row>
    <row r="57" spans="2:9" x14ac:dyDescent="0.2">
      <c r="B57">
        <v>54</v>
      </c>
      <c r="C57">
        <f t="shared" si="2"/>
        <v>5</v>
      </c>
      <c r="D57" s="4">
        <f>+IF(B57&lt;=Summary!$B$17,'Current Amortization Table'!E57*Summary!$E$6/12,-IF(C57&gt;Summary!$B$8,0,-'Current Amortization Table'!$L$4))</f>
        <v>0</v>
      </c>
      <c r="E57" s="4">
        <f t="shared" si="6"/>
        <v>0</v>
      </c>
      <c r="F57" s="4">
        <f t="shared" si="7"/>
        <v>0</v>
      </c>
      <c r="G57" s="4">
        <f>E57*Summary!$E$6/12</f>
        <v>0</v>
      </c>
      <c r="H57" s="4">
        <f>+IF(Summary!$B$8*12=B57,E57-F57,0)</f>
        <v>0</v>
      </c>
      <c r="I57" s="4">
        <f t="shared" si="1"/>
        <v>0</v>
      </c>
    </row>
    <row r="58" spans="2:9" x14ac:dyDescent="0.2">
      <c r="B58">
        <v>55</v>
      </c>
      <c r="C58">
        <f t="shared" si="2"/>
        <v>5</v>
      </c>
      <c r="D58" s="4">
        <f>+IF(B58&lt;=Summary!$B$17,'Current Amortization Table'!E58*Summary!$E$6/12,-IF(C58&gt;Summary!$B$8,0,-'Current Amortization Table'!$L$4))</f>
        <v>0</v>
      </c>
      <c r="E58" s="4">
        <f t="shared" si="6"/>
        <v>0</v>
      </c>
      <c r="F58" s="4">
        <f t="shared" si="7"/>
        <v>0</v>
      </c>
      <c r="G58" s="4">
        <f>E58*Summary!$E$6/12</f>
        <v>0</v>
      </c>
      <c r="H58" s="4">
        <f>+IF(Summary!$B$8*12=B58,E58-F58,0)</f>
        <v>0</v>
      </c>
      <c r="I58" s="4">
        <f t="shared" si="1"/>
        <v>0</v>
      </c>
    </row>
    <row r="59" spans="2:9" x14ac:dyDescent="0.2">
      <c r="B59">
        <v>56</v>
      </c>
      <c r="C59">
        <f t="shared" si="2"/>
        <v>5</v>
      </c>
      <c r="D59" s="4">
        <f>+IF(B59&lt;=Summary!$B$17,'Current Amortization Table'!E59*Summary!$E$6/12,-IF(C59&gt;Summary!$B$8,0,-'Current Amortization Table'!$L$4))</f>
        <v>0</v>
      </c>
      <c r="E59" s="4">
        <f t="shared" si="6"/>
        <v>0</v>
      </c>
      <c r="F59" s="4">
        <f t="shared" si="7"/>
        <v>0</v>
      </c>
      <c r="G59" s="4">
        <f>E59*Summary!$E$6/12</f>
        <v>0</v>
      </c>
      <c r="H59" s="4">
        <f>+IF(Summary!$B$8*12=B59,E59-F59,0)</f>
        <v>0</v>
      </c>
      <c r="I59" s="4">
        <f t="shared" si="1"/>
        <v>0</v>
      </c>
    </row>
    <row r="60" spans="2:9" x14ac:dyDescent="0.2">
      <c r="B60">
        <v>57</v>
      </c>
      <c r="C60">
        <f t="shared" si="2"/>
        <v>5</v>
      </c>
      <c r="D60" s="4">
        <f>+IF(B60&lt;=Summary!$B$17,'Current Amortization Table'!E60*Summary!$E$6/12,-IF(C60&gt;Summary!$B$8,0,-'Current Amortization Table'!$L$4))</f>
        <v>0</v>
      </c>
      <c r="E60" s="4">
        <f t="shared" si="6"/>
        <v>0</v>
      </c>
      <c r="F60" s="4">
        <f t="shared" si="7"/>
        <v>0</v>
      </c>
      <c r="G60" s="4">
        <f>E60*Summary!$E$6/12</f>
        <v>0</v>
      </c>
      <c r="H60" s="4">
        <f>+IF(Summary!$B$8*12=B60,E60-F60,0)</f>
        <v>0</v>
      </c>
      <c r="I60" s="4">
        <f t="shared" si="1"/>
        <v>0</v>
      </c>
    </row>
    <row r="61" spans="2:9" x14ac:dyDescent="0.2">
      <c r="B61">
        <v>58</v>
      </c>
      <c r="C61">
        <f t="shared" si="2"/>
        <v>5</v>
      </c>
      <c r="D61" s="4">
        <f>+IF(B61&lt;=Summary!$B$17,'Current Amortization Table'!E61*Summary!$E$6/12,-IF(C61&gt;Summary!$B$8,0,-'Current Amortization Table'!$L$4))</f>
        <v>0</v>
      </c>
      <c r="E61" s="4">
        <f t="shared" si="6"/>
        <v>0</v>
      </c>
      <c r="F61" s="4">
        <f t="shared" si="7"/>
        <v>0</v>
      </c>
      <c r="G61" s="4">
        <f>E61*Summary!$E$6/12</f>
        <v>0</v>
      </c>
      <c r="H61" s="4">
        <f>+IF(Summary!$B$8*12=B61,E61-F61,0)</f>
        <v>0</v>
      </c>
      <c r="I61" s="4">
        <f t="shared" si="1"/>
        <v>0</v>
      </c>
    </row>
    <row r="62" spans="2:9" x14ac:dyDescent="0.2">
      <c r="B62">
        <v>59</v>
      </c>
      <c r="C62">
        <f t="shared" si="2"/>
        <v>5</v>
      </c>
      <c r="D62" s="4">
        <f>+IF(B62&lt;=Summary!$B$17,'Current Amortization Table'!E62*Summary!$E$6/12,-IF(C62&gt;Summary!$B$8,0,-'Current Amortization Table'!$L$4))</f>
        <v>0</v>
      </c>
      <c r="E62" s="4">
        <f t="shared" si="6"/>
        <v>0</v>
      </c>
      <c r="F62" s="4">
        <f t="shared" si="7"/>
        <v>0</v>
      </c>
      <c r="G62" s="4">
        <f>E62*Summary!$E$6/12</f>
        <v>0</v>
      </c>
      <c r="H62" s="4">
        <f>+IF(Summary!$B$8*12=B62,E62-F62,0)</f>
        <v>0</v>
      </c>
      <c r="I62" s="4">
        <f t="shared" si="1"/>
        <v>0</v>
      </c>
    </row>
    <row r="63" spans="2:9" x14ac:dyDescent="0.2">
      <c r="B63">
        <v>60</v>
      </c>
      <c r="C63">
        <f t="shared" si="2"/>
        <v>5</v>
      </c>
      <c r="D63" s="4">
        <f>+IF(B63&lt;=Summary!$B$17,'Current Amortization Table'!E63*Summary!$E$6/12,-IF(C63&gt;Summary!$B$8,0,-'Current Amortization Table'!$L$4))</f>
        <v>0</v>
      </c>
      <c r="E63" s="4">
        <f t="shared" si="6"/>
        <v>0</v>
      </c>
      <c r="F63" s="4">
        <f t="shared" si="7"/>
        <v>0</v>
      </c>
      <c r="G63" s="4">
        <f>E63*Summary!$E$6/12</f>
        <v>0</v>
      </c>
      <c r="H63" s="4">
        <f>+IF(Summary!$B$8*12=B63,E63-F63,0)</f>
        <v>0</v>
      </c>
      <c r="I63" s="4">
        <f t="shared" si="1"/>
        <v>0</v>
      </c>
    </row>
    <row r="64" spans="2:9" x14ac:dyDescent="0.2">
      <c r="B64">
        <v>61</v>
      </c>
      <c r="C64">
        <f t="shared" si="2"/>
        <v>6</v>
      </c>
      <c r="D64" s="4">
        <f>+IF(B64&lt;=Summary!$B$17,'Current Amortization Table'!E64*Summary!$E$6/12,-IF(C64&gt;Summary!$B$8,0,-'Current Amortization Table'!$L$4))</f>
        <v>0</v>
      </c>
      <c r="E64" s="4">
        <f t="shared" si="6"/>
        <v>0</v>
      </c>
      <c r="F64" s="4">
        <f t="shared" si="7"/>
        <v>0</v>
      </c>
      <c r="G64" s="4">
        <f>E64*Summary!$E$6/12</f>
        <v>0</v>
      </c>
      <c r="H64" s="4">
        <f>+IF(Summary!$B$8*12=B64,E64-F64,0)</f>
        <v>0</v>
      </c>
      <c r="I64" s="4">
        <f t="shared" si="1"/>
        <v>0</v>
      </c>
    </row>
    <row r="65" spans="2:9" x14ac:dyDescent="0.2">
      <c r="B65">
        <v>62</v>
      </c>
      <c r="C65">
        <f t="shared" si="2"/>
        <v>6</v>
      </c>
      <c r="D65" s="4">
        <f>+IF(B65&lt;=Summary!$B$17,'Current Amortization Table'!E65*Summary!$E$6/12,-IF(C65&gt;Summary!$B$8,0,-'Current Amortization Table'!$L$4))</f>
        <v>0</v>
      </c>
      <c r="E65" s="4">
        <f t="shared" si="6"/>
        <v>0</v>
      </c>
      <c r="F65" s="4">
        <f t="shared" si="7"/>
        <v>0</v>
      </c>
      <c r="G65" s="4">
        <f>E65*Summary!$E$6/12</f>
        <v>0</v>
      </c>
      <c r="H65" s="4">
        <f>+IF(Summary!$B$8*12=B65,E65-F65,0)</f>
        <v>0</v>
      </c>
      <c r="I65" s="4">
        <f t="shared" si="1"/>
        <v>0</v>
      </c>
    </row>
    <row r="66" spans="2:9" x14ac:dyDescent="0.2">
      <c r="B66">
        <v>63</v>
      </c>
      <c r="C66">
        <f t="shared" si="2"/>
        <v>6</v>
      </c>
      <c r="D66" s="4">
        <f>+IF(B66&lt;=Summary!$B$17,'Current Amortization Table'!E66*Summary!$E$6/12,-IF(C66&gt;Summary!$B$8,0,-'Current Amortization Table'!$L$4))</f>
        <v>0</v>
      </c>
      <c r="E66" s="4">
        <f t="shared" si="6"/>
        <v>0</v>
      </c>
      <c r="F66" s="4">
        <f t="shared" si="7"/>
        <v>0</v>
      </c>
      <c r="G66" s="4">
        <f>E66*Summary!$E$6/12</f>
        <v>0</v>
      </c>
      <c r="H66" s="4">
        <f>+IF(Summary!$B$8*12=B66,E66-F66,0)</f>
        <v>0</v>
      </c>
      <c r="I66" s="4">
        <f t="shared" si="1"/>
        <v>0</v>
      </c>
    </row>
    <row r="67" spans="2:9" x14ac:dyDescent="0.2">
      <c r="B67">
        <v>64</v>
      </c>
      <c r="C67">
        <f t="shared" si="2"/>
        <v>6</v>
      </c>
      <c r="D67" s="4">
        <f>+IF(B67&lt;=Summary!$B$17,'Current Amortization Table'!E67*Summary!$E$6/12,-IF(C67&gt;Summary!$B$8,0,-'Current Amortization Table'!$L$4))</f>
        <v>0</v>
      </c>
      <c r="E67" s="4">
        <f t="shared" si="6"/>
        <v>0</v>
      </c>
      <c r="F67" s="4">
        <f t="shared" si="7"/>
        <v>0</v>
      </c>
      <c r="G67" s="4">
        <f>E67*Summary!$E$6/12</f>
        <v>0</v>
      </c>
      <c r="H67" s="4">
        <f>+IF(Summary!$B$8*12=B67,E67-F67,0)</f>
        <v>0</v>
      </c>
      <c r="I67" s="4">
        <f t="shared" si="1"/>
        <v>0</v>
      </c>
    </row>
    <row r="68" spans="2:9" x14ac:dyDescent="0.2">
      <c r="B68">
        <v>65</v>
      </c>
      <c r="C68">
        <f t="shared" si="2"/>
        <v>6</v>
      </c>
      <c r="D68" s="4">
        <f>+IF(B68&lt;=Summary!$B$17,'Current Amortization Table'!E68*Summary!$E$6/12,-IF(C68&gt;Summary!$B$8,0,-'Current Amortization Table'!$L$4))</f>
        <v>0</v>
      </c>
      <c r="E68" s="4">
        <f t="shared" si="6"/>
        <v>0</v>
      </c>
      <c r="F68" s="4">
        <f t="shared" si="7"/>
        <v>0</v>
      </c>
      <c r="G68" s="4">
        <f>E68*Summary!$E$6/12</f>
        <v>0</v>
      </c>
      <c r="H68" s="4">
        <f>+IF(Summary!$B$8*12=B68,E68-F68,0)</f>
        <v>0</v>
      </c>
      <c r="I68" s="4">
        <f t="shared" ref="I68:I127" si="8">+E68-F68-H68</f>
        <v>0</v>
      </c>
    </row>
    <row r="69" spans="2:9" x14ac:dyDescent="0.2">
      <c r="B69">
        <v>66</v>
      </c>
      <c r="C69">
        <f t="shared" ref="C69:C132" si="9">+ROUNDUP(B69/12,0)</f>
        <v>6</v>
      </c>
      <c r="D69" s="4">
        <f>+IF(B69&lt;=Summary!$B$17,'Current Amortization Table'!E69*Summary!$E$6/12,-IF(C69&gt;Summary!$B$8,0,-'Current Amortization Table'!$L$4))</f>
        <v>0</v>
      </c>
      <c r="E69" s="4">
        <f t="shared" si="6"/>
        <v>0</v>
      </c>
      <c r="F69" s="4">
        <f t="shared" si="7"/>
        <v>0</v>
      </c>
      <c r="G69" s="4">
        <f>E69*Summary!$E$6/12</f>
        <v>0</v>
      </c>
      <c r="H69" s="4">
        <f>+IF(Summary!$B$8*12=B69,E69-F69,0)</f>
        <v>0</v>
      </c>
      <c r="I69" s="4">
        <f t="shared" si="8"/>
        <v>0</v>
      </c>
    </row>
    <row r="70" spans="2:9" x14ac:dyDescent="0.2">
      <c r="B70">
        <v>67</v>
      </c>
      <c r="C70">
        <f t="shared" si="9"/>
        <v>6</v>
      </c>
      <c r="D70" s="4">
        <f>+IF(B70&lt;=Summary!$B$17,'Current Amortization Table'!E70*Summary!$E$6/12,-IF(C70&gt;Summary!$B$8,0,-'Current Amortization Table'!$L$4))</f>
        <v>0</v>
      </c>
      <c r="E70" s="4">
        <f t="shared" si="6"/>
        <v>0</v>
      </c>
      <c r="F70" s="4">
        <f t="shared" si="7"/>
        <v>0</v>
      </c>
      <c r="G70" s="4">
        <f>E70*Summary!$E$6/12</f>
        <v>0</v>
      </c>
      <c r="H70" s="4">
        <f>+IF(Summary!$B$8*12=B70,E70-F70,0)</f>
        <v>0</v>
      </c>
      <c r="I70" s="4">
        <f t="shared" si="8"/>
        <v>0</v>
      </c>
    </row>
    <row r="71" spans="2:9" x14ac:dyDescent="0.2">
      <c r="B71">
        <v>68</v>
      </c>
      <c r="C71">
        <f t="shared" si="9"/>
        <v>6</v>
      </c>
      <c r="D71" s="4">
        <f>+IF(B71&lt;=Summary!$B$17,'Current Amortization Table'!E71*Summary!$E$6/12,-IF(C71&gt;Summary!$B$8,0,-'Current Amortization Table'!$L$4))</f>
        <v>0</v>
      </c>
      <c r="E71" s="4">
        <f t="shared" si="6"/>
        <v>0</v>
      </c>
      <c r="F71" s="4">
        <f t="shared" si="7"/>
        <v>0</v>
      </c>
      <c r="G71" s="4">
        <f>E71*Summary!$E$6/12</f>
        <v>0</v>
      </c>
      <c r="H71" s="4">
        <f>+IF(Summary!$B$8*12=B71,E71-F71,0)</f>
        <v>0</v>
      </c>
      <c r="I71" s="4">
        <f t="shared" si="8"/>
        <v>0</v>
      </c>
    </row>
    <row r="72" spans="2:9" x14ac:dyDescent="0.2">
      <c r="B72">
        <v>69</v>
      </c>
      <c r="C72">
        <f t="shared" si="9"/>
        <v>6</v>
      </c>
      <c r="D72" s="4">
        <f>+IF(B72&lt;=Summary!$B$17,'Current Amortization Table'!E72*Summary!$E$6/12,-IF(C72&gt;Summary!$B$8,0,-'Current Amortization Table'!$L$4))</f>
        <v>0</v>
      </c>
      <c r="E72" s="4">
        <f t="shared" si="6"/>
        <v>0</v>
      </c>
      <c r="F72" s="4">
        <f t="shared" si="7"/>
        <v>0</v>
      </c>
      <c r="G72" s="4">
        <f>E72*Summary!$E$6/12</f>
        <v>0</v>
      </c>
      <c r="H72" s="4">
        <f>+IF(Summary!$B$8*12=B72,E72-F72,0)</f>
        <v>0</v>
      </c>
      <c r="I72" s="4">
        <f t="shared" si="8"/>
        <v>0</v>
      </c>
    </row>
    <row r="73" spans="2:9" x14ac:dyDescent="0.2">
      <c r="B73">
        <v>70</v>
      </c>
      <c r="C73">
        <f t="shared" si="9"/>
        <v>6</v>
      </c>
      <c r="D73" s="4">
        <f>+IF(B73&lt;=Summary!$B$17,'Current Amortization Table'!E73*Summary!$E$6/12,-IF(C73&gt;Summary!$B$8,0,-'Current Amortization Table'!$L$4))</f>
        <v>0</v>
      </c>
      <c r="E73" s="4">
        <f t="shared" si="6"/>
        <v>0</v>
      </c>
      <c r="F73" s="4">
        <f t="shared" si="7"/>
        <v>0</v>
      </c>
      <c r="G73" s="4">
        <f>E73*Summary!$E$6/12</f>
        <v>0</v>
      </c>
      <c r="H73" s="4">
        <f>+IF(Summary!$B$8*12=B73,E73-F73,0)</f>
        <v>0</v>
      </c>
      <c r="I73" s="4">
        <f t="shared" si="8"/>
        <v>0</v>
      </c>
    </row>
    <row r="74" spans="2:9" x14ac:dyDescent="0.2">
      <c r="B74">
        <v>71</v>
      </c>
      <c r="C74">
        <f t="shared" si="9"/>
        <v>6</v>
      </c>
      <c r="D74" s="4">
        <f>+IF(B74&lt;=Summary!$B$17,'Current Amortization Table'!E74*Summary!$E$6/12,-IF(C74&gt;Summary!$B$8,0,-'Current Amortization Table'!$L$4))</f>
        <v>0</v>
      </c>
      <c r="E74" s="4">
        <f t="shared" si="6"/>
        <v>0</v>
      </c>
      <c r="F74" s="4">
        <f t="shared" si="7"/>
        <v>0</v>
      </c>
      <c r="G74" s="4">
        <f>E74*Summary!$E$6/12</f>
        <v>0</v>
      </c>
      <c r="H74" s="4">
        <f>+IF(Summary!$B$8*12=B74,E74-F74,0)</f>
        <v>0</v>
      </c>
      <c r="I74" s="4">
        <f t="shared" si="8"/>
        <v>0</v>
      </c>
    </row>
    <row r="75" spans="2:9" x14ac:dyDescent="0.2">
      <c r="B75">
        <v>72</v>
      </c>
      <c r="C75">
        <f t="shared" si="9"/>
        <v>6</v>
      </c>
      <c r="D75" s="4">
        <f>+IF(B75&lt;=Summary!$B$17,'Current Amortization Table'!E75*Summary!$E$6/12,-IF(C75&gt;Summary!$B$8,0,-'Current Amortization Table'!$L$4))</f>
        <v>0</v>
      </c>
      <c r="E75" s="4">
        <f t="shared" si="6"/>
        <v>0</v>
      </c>
      <c r="F75" s="4">
        <f t="shared" si="7"/>
        <v>0</v>
      </c>
      <c r="G75" s="4">
        <f>E75*Summary!$E$6/12</f>
        <v>0</v>
      </c>
      <c r="H75" s="4">
        <f>+IF(Summary!$B$8*12=B75,E75-F75,0)</f>
        <v>0</v>
      </c>
      <c r="I75" s="4">
        <f t="shared" si="8"/>
        <v>0</v>
      </c>
    </row>
    <row r="76" spans="2:9" x14ac:dyDescent="0.2">
      <c r="B76">
        <v>73</v>
      </c>
      <c r="C76">
        <f t="shared" si="9"/>
        <v>7</v>
      </c>
      <c r="D76" s="4">
        <f>+IF(B76&lt;=Summary!$B$17,'Current Amortization Table'!E76*Summary!$E$6/12,-IF(C76&gt;Summary!$B$8,0,-'Current Amortization Table'!$L$4))</f>
        <v>0</v>
      </c>
      <c r="E76" s="4">
        <f t="shared" si="6"/>
        <v>0</v>
      </c>
      <c r="F76" s="4">
        <f t="shared" si="7"/>
        <v>0</v>
      </c>
      <c r="G76" s="4">
        <f>E76*Summary!$E$6/12</f>
        <v>0</v>
      </c>
      <c r="H76" s="4">
        <f>+IF(Summary!$B$8*12=B76,E76-F76,0)</f>
        <v>0</v>
      </c>
      <c r="I76" s="4">
        <f t="shared" si="8"/>
        <v>0</v>
      </c>
    </row>
    <row r="77" spans="2:9" x14ac:dyDescent="0.2">
      <c r="B77">
        <v>74</v>
      </c>
      <c r="C77">
        <f t="shared" si="9"/>
        <v>7</v>
      </c>
      <c r="D77" s="4">
        <f>+IF(B77&lt;=Summary!$B$17,'Current Amortization Table'!E77*Summary!$E$6/12,-IF(C77&gt;Summary!$B$8,0,-'Current Amortization Table'!$L$4))</f>
        <v>0</v>
      </c>
      <c r="E77" s="4">
        <f t="shared" si="6"/>
        <v>0</v>
      </c>
      <c r="F77" s="4">
        <f t="shared" si="7"/>
        <v>0</v>
      </c>
      <c r="G77" s="4">
        <f>E77*Summary!$E$6/12</f>
        <v>0</v>
      </c>
      <c r="H77" s="4">
        <f>+IF(Summary!$B$8*12=B77,E77-F77,0)</f>
        <v>0</v>
      </c>
      <c r="I77" s="4">
        <f t="shared" si="8"/>
        <v>0</v>
      </c>
    </row>
    <row r="78" spans="2:9" x14ac:dyDescent="0.2">
      <c r="B78">
        <v>75</v>
      </c>
      <c r="C78">
        <f t="shared" si="9"/>
        <v>7</v>
      </c>
      <c r="D78" s="4">
        <f>+IF(B78&lt;=Summary!$B$17,'Current Amortization Table'!E78*Summary!$E$6/12,-IF(C78&gt;Summary!$B$8,0,-'Current Amortization Table'!$L$4))</f>
        <v>0</v>
      </c>
      <c r="E78" s="4">
        <f t="shared" si="6"/>
        <v>0</v>
      </c>
      <c r="F78" s="4">
        <f t="shared" si="7"/>
        <v>0</v>
      </c>
      <c r="G78" s="4">
        <f>E78*Summary!$E$6/12</f>
        <v>0</v>
      </c>
      <c r="H78" s="4">
        <f>+IF(Summary!$B$8*12=B78,E78-F78,0)</f>
        <v>0</v>
      </c>
      <c r="I78" s="4">
        <f t="shared" si="8"/>
        <v>0</v>
      </c>
    </row>
    <row r="79" spans="2:9" x14ac:dyDescent="0.2">
      <c r="B79">
        <v>76</v>
      </c>
      <c r="C79">
        <f t="shared" si="9"/>
        <v>7</v>
      </c>
      <c r="D79" s="4">
        <f>+IF(B79&lt;=Summary!$B$17,'Current Amortization Table'!E79*Summary!$E$6/12,-IF(C79&gt;Summary!$B$8,0,-'Current Amortization Table'!$L$4))</f>
        <v>0</v>
      </c>
      <c r="E79" s="4">
        <f t="shared" si="6"/>
        <v>0</v>
      </c>
      <c r="F79" s="4">
        <f t="shared" si="7"/>
        <v>0</v>
      </c>
      <c r="G79" s="4">
        <f>E79*Summary!$E$6/12</f>
        <v>0</v>
      </c>
      <c r="H79" s="4">
        <f>+IF(Summary!$B$8*12=B79,E79-F79,0)</f>
        <v>0</v>
      </c>
      <c r="I79" s="4">
        <f t="shared" si="8"/>
        <v>0</v>
      </c>
    </row>
    <row r="80" spans="2:9" x14ac:dyDescent="0.2">
      <c r="B80">
        <v>77</v>
      </c>
      <c r="C80">
        <f t="shared" si="9"/>
        <v>7</v>
      </c>
      <c r="D80" s="4">
        <f>+IF(B80&lt;=Summary!$B$17,'Current Amortization Table'!E80*Summary!$E$6/12,-IF(C80&gt;Summary!$B$8,0,-'Current Amortization Table'!$L$4))</f>
        <v>0</v>
      </c>
      <c r="E80" s="4">
        <f t="shared" si="6"/>
        <v>0</v>
      </c>
      <c r="F80" s="4">
        <f t="shared" si="7"/>
        <v>0</v>
      </c>
      <c r="G80" s="4">
        <f>E80*Summary!$E$6/12</f>
        <v>0</v>
      </c>
      <c r="H80" s="4">
        <f>+IF(Summary!$B$8*12=B80,E80-F80,0)</f>
        <v>0</v>
      </c>
      <c r="I80" s="4">
        <f t="shared" si="8"/>
        <v>0</v>
      </c>
    </row>
    <row r="81" spans="2:9" x14ac:dyDescent="0.2">
      <c r="B81">
        <v>78</v>
      </c>
      <c r="C81">
        <f t="shared" si="9"/>
        <v>7</v>
      </c>
      <c r="D81" s="4">
        <f>+IF(B81&lt;=Summary!$B$17,'Current Amortization Table'!E81*Summary!$E$6/12,-IF(C81&gt;Summary!$B$8,0,-'Current Amortization Table'!$L$4))</f>
        <v>0</v>
      </c>
      <c r="E81" s="4">
        <f t="shared" si="6"/>
        <v>0</v>
      </c>
      <c r="F81" s="4">
        <f t="shared" si="7"/>
        <v>0</v>
      </c>
      <c r="G81" s="4">
        <f>E81*Summary!$E$6/12</f>
        <v>0</v>
      </c>
      <c r="H81" s="4">
        <f>+IF(Summary!$B$8*12=B81,E81-F81,0)</f>
        <v>0</v>
      </c>
      <c r="I81" s="4">
        <f t="shared" si="8"/>
        <v>0</v>
      </c>
    </row>
    <row r="82" spans="2:9" x14ac:dyDescent="0.2">
      <c r="B82">
        <v>79</v>
      </c>
      <c r="C82">
        <f t="shared" si="9"/>
        <v>7</v>
      </c>
      <c r="D82" s="4">
        <f>+IF(B82&lt;=Summary!$B$17,'Current Amortization Table'!E82*Summary!$E$6/12,-IF(C82&gt;Summary!$B$8,0,-'Current Amortization Table'!$L$4))</f>
        <v>0</v>
      </c>
      <c r="E82" s="4">
        <f t="shared" si="6"/>
        <v>0</v>
      </c>
      <c r="F82" s="4">
        <f t="shared" si="7"/>
        <v>0</v>
      </c>
      <c r="G82" s="4">
        <f>E82*Summary!$E$6/12</f>
        <v>0</v>
      </c>
      <c r="H82" s="4">
        <f>+IF(Summary!$B$8*12=B82,E82-F82,0)</f>
        <v>0</v>
      </c>
      <c r="I82" s="4">
        <f t="shared" si="8"/>
        <v>0</v>
      </c>
    </row>
    <row r="83" spans="2:9" x14ac:dyDescent="0.2">
      <c r="B83">
        <v>80</v>
      </c>
      <c r="C83">
        <f t="shared" si="9"/>
        <v>7</v>
      </c>
      <c r="D83" s="4">
        <f>+IF(B83&lt;=Summary!$B$17,'Current Amortization Table'!E83*Summary!$E$6/12,-IF(C83&gt;Summary!$B$8,0,-'Current Amortization Table'!$L$4))</f>
        <v>0</v>
      </c>
      <c r="E83" s="4">
        <f t="shared" si="6"/>
        <v>0</v>
      </c>
      <c r="F83" s="4">
        <f t="shared" si="7"/>
        <v>0</v>
      </c>
      <c r="G83" s="4">
        <f>E83*Summary!$E$6/12</f>
        <v>0</v>
      </c>
      <c r="H83" s="4">
        <f>+IF(Summary!$B$8*12=B83,E83-F83,0)</f>
        <v>0</v>
      </c>
      <c r="I83" s="4">
        <f t="shared" si="8"/>
        <v>0</v>
      </c>
    </row>
    <row r="84" spans="2:9" x14ac:dyDescent="0.2">
      <c r="B84">
        <v>81</v>
      </c>
      <c r="C84">
        <f t="shared" si="9"/>
        <v>7</v>
      </c>
      <c r="D84" s="4">
        <f>+IF(B84&lt;=Summary!$B$17,'Current Amortization Table'!E84*Summary!$E$6/12,-IF(C84&gt;Summary!$B$8,0,-'Current Amortization Table'!$L$4))</f>
        <v>0</v>
      </c>
      <c r="E84" s="4">
        <f t="shared" si="6"/>
        <v>0</v>
      </c>
      <c r="F84" s="4">
        <f t="shared" si="7"/>
        <v>0</v>
      </c>
      <c r="G84" s="4">
        <f>E84*Summary!$E$6/12</f>
        <v>0</v>
      </c>
      <c r="H84" s="4">
        <f>+IF(Summary!$B$8*12=B84,E84-F84,0)</f>
        <v>0</v>
      </c>
      <c r="I84" s="4">
        <f t="shared" si="8"/>
        <v>0</v>
      </c>
    </row>
    <row r="85" spans="2:9" x14ac:dyDescent="0.2">
      <c r="B85">
        <v>82</v>
      </c>
      <c r="C85">
        <f t="shared" si="9"/>
        <v>7</v>
      </c>
      <c r="D85" s="4">
        <f>+IF(B85&lt;=Summary!$B$17,'Current Amortization Table'!E85*Summary!$E$6/12,-IF(C85&gt;Summary!$B$8,0,-'Current Amortization Table'!$L$4))</f>
        <v>0</v>
      </c>
      <c r="E85" s="4">
        <f t="shared" si="6"/>
        <v>0</v>
      </c>
      <c r="F85" s="4">
        <f t="shared" si="7"/>
        <v>0</v>
      </c>
      <c r="G85" s="4">
        <f>E85*Summary!$E$6/12</f>
        <v>0</v>
      </c>
      <c r="H85" s="4">
        <f>+IF(Summary!$B$8*12=B85,E85-F85,0)</f>
        <v>0</v>
      </c>
      <c r="I85" s="4">
        <f t="shared" si="8"/>
        <v>0</v>
      </c>
    </row>
    <row r="86" spans="2:9" x14ac:dyDescent="0.2">
      <c r="B86">
        <v>83</v>
      </c>
      <c r="C86">
        <f t="shared" si="9"/>
        <v>7</v>
      </c>
      <c r="D86" s="4">
        <f>+IF(B86&lt;=Summary!$B$17,'Current Amortization Table'!E86*Summary!$E$6/12,-IF(C86&gt;Summary!$B$8,0,-'Current Amortization Table'!$L$4))</f>
        <v>0</v>
      </c>
      <c r="E86" s="4">
        <f t="shared" si="6"/>
        <v>0</v>
      </c>
      <c r="F86" s="4">
        <f t="shared" si="7"/>
        <v>0</v>
      </c>
      <c r="G86" s="4">
        <f>E86*Summary!$E$6/12</f>
        <v>0</v>
      </c>
      <c r="H86" s="4">
        <f>+IF(Summary!$B$8*12=B86,E86-F86,0)</f>
        <v>0</v>
      </c>
      <c r="I86" s="4">
        <f t="shared" si="8"/>
        <v>0</v>
      </c>
    </row>
    <row r="87" spans="2:9" x14ac:dyDescent="0.2">
      <c r="B87">
        <v>84</v>
      </c>
      <c r="C87">
        <f t="shared" si="9"/>
        <v>7</v>
      </c>
      <c r="D87" s="4">
        <f>+IF(B87&lt;=Summary!$B$17,'Current Amortization Table'!E87*Summary!$E$6/12,-IF(C87&gt;Summary!$B$8,0,-'Current Amortization Table'!$L$4))</f>
        <v>0</v>
      </c>
      <c r="E87" s="4">
        <f t="shared" si="6"/>
        <v>0</v>
      </c>
      <c r="F87" s="4">
        <f t="shared" si="7"/>
        <v>0</v>
      </c>
      <c r="G87" s="4">
        <f>E87*Summary!$E$6/12</f>
        <v>0</v>
      </c>
      <c r="H87" s="4">
        <f>+IF(Summary!$B$8*12=B87,E87-F87,0)</f>
        <v>0</v>
      </c>
      <c r="I87" s="4">
        <f t="shared" si="8"/>
        <v>0</v>
      </c>
    </row>
    <row r="88" spans="2:9" x14ac:dyDescent="0.2">
      <c r="B88">
        <v>85</v>
      </c>
      <c r="C88">
        <f t="shared" si="9"/>
        <v>8</v>
      </c>
      <c r="D88" s="4">
        <f>+IF(B88&lt;=Summary!$B$17,'Current Amortization Table'!E88*Summary!$E$6/12,-IF(C88&gt;Summary!$B$8,0,-'Current Amortization Table'!$L$4))</f>
        <v>0</v>
      </c>
      <c r="E88" s="4">
        <f t="shared" si="6"/>
        <v>0</v>
      </c>
      <c r="F88" s="4">
        <f t="shared" si="7"/>
        <v>0</v>
      </c>
      <c r="G88" s="4">
        <f>E88*Summary!$E$6/12</f>
        <v>0</v>
      </c>
      <c r="H88" s="4">
        <f>+IF(Summary!$B$8*12=B88,E88-F88,0)</f>
        <v>0</v>
      </c>
      <c r="I88" s="4">
        <f t="shared" si="8"/>
        <v>0</v>
      </c>
    </row>
    <row r="89" spans="2:9" x14ac:dyDescent="0.2">
      <c r="B89">
        <v>86</v>
      </c>
      <c r="C89">
        <f t="shared" si="9"/>
        <v>8</v>
      </c>
      <c r="D89" s="4">
        <f>+IF(B89&lt;=Summary!$B$17,'Current Amortization Table'!E89*Summary!$E$6/12,-IF(C89&gt;Summary!$B$8,0,-'Current Amortization Table'!$L$4))</f>
        <v>0</v>
      </c>
      <c r="E89" s="4">
        <f t="shared" ref="E89:E123" si="10">+I88</f>
        <v>0</v>
      </c>
      <c r="F89" s="4">
        <f t="shared" ref="F89:F123" si="11">+D89-G89</f>
        <v>0</v>
      </c>
      <c r="G89" s="4">
        <f>E89*Summary!$E$6/12</f>
        <v>0</v>
      </c>
      <c r="H89" s="4">
        <f>+IF(Summary!$B$8*12=B89,E89-F89,0)</f>
        <v>0</v>
      </c>
      <c r="I89" s="4">
        <f t="shared" si="8"/>
        <v>0</v>
      </c>
    </row>
    <row r="90" spans="2:9" x14ac:dyDescent="0.2">
      <c r="B90">
        <v>87</v>
      </c>
      <c r="C90">
        <f t="shared" si="9"/>
        <v>8</v>
      </c>
      <c r="D90" s="4">
        <f>+IF(B90&lt;=Summary!$B$17,'Current Amortization Table'!E90*Summary!$E$6/12,-IF(C90&gt;Summary!$B$8,0,-'Current Amortization Table'!$L$4))</f>
        <v>0</v>
      </c>
      <c r="E90" s="4">
        <f t="shared" si="10"/>
        <v>0</v>
      </c>
      <c r="F90" s="4">
        <f t="shared" si="11"/>
        <v>0</v>
      </c>
      <c r="G90" s="4">
        <f>E90*Summary!$E$6/12</f>
        <v>0</v>
      </c>
      <c r="H90" s="4">
        <f>+IF(Summary!$B$8*12=B90,E90-F90,0)</f>
        <v>0</v>
      </c>
      <c r="I90" s="4">
        <f t="shared" si="8"/>
        <v>0</v>
      </c>
    </row>
    <row r="91" spans="2:9" x14ac:dyDescent="0.2">
      <c r="B91">
        <v>88</v>
      </c>
      <c r="C91">
        <f t="shared" si="9"/>
        <v>8</v>
      </c>
      <c r="D91" s="4">
        <f>+IF(B91&lt;=Summary!$B$17,'Current Amortization Table'!E91*Summary!$E$6/12,-IF(C91&gt;Summary!$B$8,0,-'Current Amortization Table'!$L$4))</f>
        <v>0</v>
      </c>
      <c r="E91" s="4">
        <f t="shared" si="10"/>
        <v>0</v>
      </c>
      <c r="F91" s="4">
        <f t="shared" si="11"/>
        <v>0</v>
      </c>
      <c r="G91" s="4">
        <f>E91*Summary!$E$6/12</f>
        <v>0</v>
      </c>
      <c r="H91" s="4">
        <f>+IF(Summary!$B$8*12=B91,E91-F91,0)</f>
        <v>0</v>
      </c>
      <c r="I91" s="4">
        <f t="shared" si="8"/>
        <v>0</v>
      </c>
    </row>
    <row r="92" spans="2:9" x14ac:dyDescent="0.2">
      <c r="B92">
        <v>89</v>
      </c>
      <c r="C92">
        <f t="shared" si="9"/>
        <v>8</v>
      </c>
      <c r="D92" s="4">
        <f>+IF(B92&lt;=Summary!$B$17,'Current Amortization Table'!E92*Summary!$E$6/12,-IF(C92&gt;Summary!$B$8,0,-'Current Amortization Table'!$L$4))</f>
        <v>0</v>
      </c>
      <c r="E92" s="4">
        <f t="shared" si="10"/>
        <v>0</v>
      </c>
      <c r="F92" s="4">
        <f t="shared" si="11"/>
        <v>0</v>
      </c>
      <c r="G92" s="4">
        <f>E92*Summary!$E$6/12</f>
        <v>0</v>
      </c>
      <c r="H92" s="4">
        <f>+IF(Summary!$B$8*12=B92,E92-F92,0)</f>
        <v>0</v>
      </c>
      <c r="I92" s="4">
        <f t="shared" si="8"/>
        <v>0</v>
      </c>
    </row>
    <row r="93" spans="2:9" x14ac:dyDescent="0.2">
      <c r="B93">
        <v>90</v>
      </c>
      <c r="C93">
        <f t="shared" si="9"/>
        <v>8</v>
      </c>
      <c r="D93" s="4">
        <f>+IF(B93&lt;=Summary!$B$17,'Current Amortization Table'!E93*Summary!$E$6/12,-IF(C93&gt;Summary!$B$8,0,-'Current Amortization Table'!$L$4))</f>
        <v>0</v>
      </c>
      <c r="E93" s="4">
        <f t="shared" si="10"/>
        <v>0</v>
      </c>
      <c r="F93" s="4">
        <f t="shared" si="11"/>
        <v>0</v>
      </c>
      <c r="G93" s="4">
        <f>E93*Summary!$E$6/12</f>
        <v>0</v>
      </c>
      <c r="H93" s="4">
        <f>+IF(Summary!$B$8*12=B93,E93-F93,0)</f>
        <v>0</v>
      </c>
      <c r="I93" s="4">
        <f t="shared" si="8"/>
        <v>0</v>
      </c>
    </row>
    <row r="94" spans="2:9" x14ac:dyDescent="0.2">
      <c r="B94">
        <v>91</v>
      </c>
      <c r="C94">
        <f t="shared" si="9"/>
        <v>8</v>
      </c>
      <c r="D94" s="4">
        <f>+IF(B94&lt;=Summary!$B$17,'Current Amortization Table'!E94*Summary!$E$6/12,-IF(C94&gt;Summary!$B$8,0,-'Current Amortization Table'!$L$4))</f>
        <v>0</v>
      </c>
      <c r="E94" s="4">
        <f t="shared" si="10"/>
        <v>0</v>
      </c>
      <c r="F94" s="4">
        <f t="shared" si="11"/>
        <v>0</v>
      </c>
      <c r="G94" s="4">
        <f>E94*Summary!$E$6/12</f>
        <v>0</v>
      </c>
      <c r="H94" s="4">
        <f>+IF(Summary!$B$8*12=B94,E94-F94,0)</f>
        <v>0</v>
      </c>
      <c r="I94" s="4">
        <f t="shared" si="8"/>
        <v>0</v>
      </c>
    </row>
    <row r="95" spans="2:9" x14ac:dyDescent="0.2">
      <c r="B95">
        <v>92</v>
      </c>
      <c r="C95">
        <f t="shared" si="9"/>
        <v>8</v>
      </c>
      <c r="D95" s="4">
        <f>+IF(B95&lt;=Summary!$B$17,'Current Amortization Table'!E95*Summary!$E$6/12,-IF(C95&gt;Summary!$B$8,0,-'Current Amortization Table'!$L$4))</f>
        <v>0</v>
      </c>
      <c r="E95" s="4">
        <f t="shared" si="10"/>
        <v>0</v>
      </c>
      <c r="F95" s="4">
        <f t="shared" si="11"/>
        <v>0</v>
      </c>
      <c r="G95" s="4">
        <f>E95*Summary!$E$6/12</f>
        <v>0</v>
      </c>
      <c r="H95" s="4">
        <f>+IF(Summary!$B$8*12=B95,E95-F95,0)</f>
        <v>0</v>
      </c>
      <c r="I95" s="4">
        <f t="shared" si="8"/>
        <v>0</v>
      </c>
    </row>
    <row r="96" spans="2:9" x14ac:dyDescent="0.2">
      <c r="B96">
        <v>93</v>
      </c>
      <c r="C96">
        <f t="shared" si="9"/>
        <v>8</v>
      </c>
      <c r="D96" s="4">
        <f>+IF(B96&lt;=Summary!$B$17,'Current Amortization Table'!E96*Summary!$E$6/12,-IF(C96&gt;Summary!$B$8,0,-'Current Amortization Table'!$L$4))</f>
        <v>0</v>
      </c>
      <c r="E96" s="4">
        <f t="shared" si="10"/>
        <v>0</v>
      </c>
      <c r="F96" s="4">
        <f t="shared" si="11"/>
        <v>0</v>
      </c>
      <c r="G96" s="4">
        <f>E96*Summary!$E$6/12</f>
        <v>0</v>
      </c>
      <c r="H96" s="4">
        <f>+IF(Summary!$B$8*12=B96,E96-F96,0)</f>
        <v>0</v>
      </c>
      <c r="I96" s="4">
        <f t="shared" si="8"/>
        <v>0</v>
      </c>
    </row>
    <row r="97" spans="2:9" x14ac:dyDescent="0.2">
      <c r="B97">
        <v>94</v>
      </c>
      <c r="C97">
        <f t="shared" si="9"/>
        <v>8</v>
      </c>
      <c r="D97" s="4">
        <f>+IF(B97&lt;=Summary!$B$17,'Current Amortization Table'!E97*Summary!$E$6/12,-IF(C97&gt;Summary!$B$8,0,-'Current Amortization Table'!$L$4))</f>
        <v>0</v>
      </c>
      <c r="E97" s="4">
        <f t="shared" si="10"/>
        <v>0</v>
      </c>
      <c r="F97" s="4">
        <f t="shared" si="11"/>
        <v>0</v>
      </c>
      <c r="G97" s="4">
        <f>E97*Summary!$E$6/12</f>
        <v>0</v>
      </c>
      <c r="H97" s="4">
        <f>+IF(Summary!$B$8*12=B97,E97-F97,0)</f>
        <v>0</v>
      </c>
      <c r="I97" s="4">
        <f t="shared" si="8"/>
        <v>0</v>
      </c>
    </row>
    <row r="98" spans="2:9" x14ac:dyDescent="0.2">
      <c r="B98">
        <v>95</v>
      </c>
      <c r="C98">
        <f t="shared" si="9"/>
        <v>8</v>
      </c>
      <c r="D98" s="4">
        <f>+IF(B98&lt;=Summary!$B$17,'Current Amortization Table'!E98*Summary!$E$6/12,-IF(C98&gt;Summary!$B$8,0,-'Current Amortization Table'!$L$4))</f>
        <v>0</v>
      </c>
      <c r="E98" s="4">
        <f t="shared" si="10"/>
        <v>0</v>
      </c>
      <c r="F98" s="4">
        <f t="shared" si="11"/>
        <v>0</v>
      </c>
      <c r="G98" s="4">
        <f>E98*Summary!$E$6/12</f>
        <v>0</v>
      </c>
      <c r="H98" s="4">
        <f>+IF(Summary!$B$8*12=B98,E98-F98,0)</f>
        <v>0</v>
      </c>
      <c r="I98" s="4">
        <f t="shared" si="8"/>
        <v>0</v>
      </c>
    </row>
    <row r="99" spans="2:9" x14ac:dyDescent="0.2">
      <c r="B99">
        <v>96</v>
      </c>
      <c r="C99">
        <f t="shared" si="9"/>
        <v>8</v>
      </c>
      <c r="D99" s="4">
        <f>+IF(B99&lt;=Summary!$B$17,'Current Amortization Table'!E99*Summary!$E$6/12,-IF(C99&gt;Summary!$B$8,0,-'Current Amortization Table'!$L$4))</f>
        <v>0</v>
      </c>
      <c r="E99" s="4">
        <f t="shared" si="10"/>
        <v>0</v>
      </c>
      <c r="F99" s="4">
        <f t="shared" si="11"/>
        <v>0</v>
      </c>
      <c r="G99" s="4">
        <f>E99*Summary!$E$6/12</f>
        <v>0</v>
      </c>
      <c r="H99" s="4">
        <f>+IF(Summary!$B$8*12=B99,E99-F99,0)</f>
        <v>0</v>
      </c>
      <c r="I99" s="4">
        <f t="shared" si="8"/>
        <v>0</v>
      </c>
    </row>
    <row r="100" spans="2:9" x14ac:dyDescent="0.2">
      <c r="B100">
        <v>97</v>
      </c>
      <c r="C100">
        <f t="shared" si="9"/>
        <v>9</v>
      </c>
      <c r="D100" s="4">
        <f>+IF(B100&lt;=Summary!$B$17,'Current Amortization Table'!E100*Summary!$E$6/12,-IF(C100&gt;Summary!$B$8,0,-'Current Amortization Table'!$L$4))</f>
        <v>0</v>
      </c>
      <c r="E100" s="4">
        <f t="shared" si="10"/>
        <v>0</v>
      </c>
      <c r="F100" s="4">
        <f t="shared" si="11"/>
        <v>0</v>
      </c>
      <c r="G100" s="4">
        <f>E100*Summary!$E$6/12</f>
        <v>0</v>
      </c>
      <c r="H100" s="4">
        <f>+IF(Summary!$B$8*12=B100,E100-F100,0)</f>
        <v>0</v>
      </c>
      <c r="I100" s="4">
        <f t="shared" si="8"/>
        <v>0</v>
      </c>
    </row>
    <row r="101" spans="2:9" x14ac:dyDescent="0.2">
      <c r="B101">
        <v>98</v>
      </c>
      <c r="C101">
        <f t="shared" si="9"/>
        <v>9</v>
      </c>
      <c r="D101" s="4">
        <f>+IF(B101&lt;=Summary!$B$17,'Current Amortization Table'!E101*Summary!$E$6/12,-IF(C101&gt;Summary!$B$8,0,-'Current Amortization Table'!$L$4))</f>
        <v>0</v>
      </c>
      <c r="E101" s="4">
        <f t="shared" si="10"/>
        <v>0</v>
      </c>
      <c r="F101" s="4">
        <f t="shared" si="11"/>
        <v>0</v>
      </c>
      <c r="G101" s="4">
        <f>E101*Summary!$E$6/12</f>
        <v>0</v>
      </c>
      <c r="H101" s="4">
        <f>+IF(Summary!$B$8*12=B101,E101-F101,0)</f>
        <v>0</v>
      </c>
      <c r="I101" s="4">
        <f t="shared" si="8"/>
        <v>0</v>
      </c>
    </row>
    <row r="102" spans="2:9" x14ac:dyDescent="0.2">
      <c r="B102">
        <v>99</v>
      </c>
      <c r="C102">
        <f t="shared" si="9"/>
        <v>9</v>
      </c>
      <c r="D102" s="4">
        <f>+IF(B102&lt;=Summary!$B$17,'Current Amortization Table'!E102*Summary!$E$6/12,-IF(C102&gt;Summary!$B$8,0,-'Current Amortization Table'!$L$4))</f>
        <v>0</v>
      </c>
      <c r="E102" s="4">
        <f t="shared" si="10"/>
        <v>0</v>
      </c>
      <c r="F102" s="4">
        <f t="shared" si="11"/>
        <v>0</v>
      </c>
      <c r="G102" s="4">
        <f>E102*Summary!$E$6/12</f>
        <v>0</v>
      </c>
      <c r="H102" s="4">
        <f>+IF(Summary!$B$8*12=B102,E102-F102,0)</f>
        <v>0</v>
      </c>
      <c r="I102" s="4">
        <f t="shared" si="8"/>
        <v>0</v>
      </c>
    </row>
    <row r="103" spans="2:9" x14ac:dyDescent="0.2">
      <c r="B103">
        <v>100</v>
      </c>
      <c r="C103">
        <f t="shared" si="9"/>
        <v>9</v>
      </c>
      <c r="D103" s="4">
        <f>+IF(B103&lt;=Summary!$B$17,'Current Amortization Table'!E103*Summary!$E$6/12,-IF(C103&gt;Summary!$B$8,0,-'Current Amortization Table'!$L$4))</f>
        <v>0</v>
      </c>
      <c r="E103" s="4">
        <f t="shared" si="10"/>
        <v>0</v>
      </c>
      <c r="F103" s="4">
        <f t="shared" si="11"/>
        <v>0</v>
      </c>
      <c r="G103" s="4">
        <f>E103*Summary!$E$6/12</f>
        <v>0</v>
      </c>
      <c r="H103" s="4">
        <f>+IF(Summary!$B$8*12=B103,E103-F103,0)</f>
        <v>0</v>
      </c>
      <c r="I103" s="4">
        <f t="shared" si="8"/>
        <v>0</v>
      </c>
    </row>
    <row r="104" spans="2:9" x14ac:dyDescent="0.2">
      <c r="B104">
        <v>101</v>
      </c>
      <c r="C104">
        <f t="shared" si="9"/>
        <v>9</v>
      </c>
      <c r="D104" s="4">
        <f>+IF(B104&lt;=Summary!$B$17,'Current Amortization Table'!E104*Summary!$E$6/12,-IF(C104&gt;Summary!$B$8,0,-'Current Amortization Table'!$L$4))</f>
        <v>0</v>
      </c>
      <c r="E104" s="4">
        <f t="shared" si="10"/>
        <v>0</v>
      </c>
      <c r="F104" s="4">
        <f t="shared" si="11"/>
        <v>0</v>
      </c>
      <c r="G104" s="4">
        <f>E104*Summary!$E$6/12</f>
        <v>0</v>
      </c>
      <c r="H104" s="4">
        <f>+IF(Summary!$B$8*12=B104,E104-F104,0)</f>
        <v>0</v>
      </c>
      <c r="I104" s="4">
        <f t="shared" si="8"/>
        <v>0</v>
      </c>
    </row>
    <row r="105" spans="2:9" x14ac:dyDescent="0.2">
      <c r="B105">
        <v>102</v>
      </c>
      <c r="C105">
        <f t="shared" si="9"/>
        <v>9</v>
      </c>
      <c r="D105" s="4">
        <f>+IF(B105&lt;=Summary!$B$17,'Current Amortization Table'!E105*Summary!$E$6/12,-IF(C105&gt;Summary!$B$8,0,-'Current Amortization Table'!$L$4))</f>
        <v>0</v>
      </c>
      <c r="E105" s="4">
        <f t="shared" si="10"/>
        <v>0</v>
      </c>
      <c r="F105" s="4">
        <f t="shared" si="11"/>
        <v>0</v>
      </c>
      <c r="G105" s="4">
        <f>E105*Summary!$E$6/12</f>
        <v>0</v>
      </c>
      <c r="H105" s="4">
        <f>+IF(Summary!$B$8*12=B105,E105-F105,0)</f>
        <v>0</v>
      </c>
      <c r="I105" s="4">
        <f t="shared" si="8"/>
        <v>0</v>
      </c>
    </row>
    <row r="106" spans="2:9" x14ac:dyDescent="0.2">
      <c r="B106">
        <v>103</v>
      </c>
      <c r="C106">
        <f t="shared" si="9"/>
        <v>9</v>
      </c>
      <c r="D106" s="4">
        <f>+IF(B106&lt;=Summary!$B$17,'Current Amortization Table'!E106*Summary!$E$6/12,-IF(C106&gt;Summary!$B$8,0,-'Current Amortization Table'!$L$4))</f>
        <v>0</v>
      </c>
      <c r="E106" s="4">
        <f t="shared" si="10"/>
        <v>0</v>
      </c>
      <c r="F106" s="4">
        <f t="shared" si="11"/>
        <v>0</v>
      </c>
      <c r="G106" s="4">
        <f>E106*Summary!$E$6/12</f>
        <v>0</v>
      </c>
      <c r="H106" s="4">
        <f>+IF(Summary!$B$8*12=B106,E106-F106,0)</f>
        <v>0</v>
      </c>
      <c r="I106" s="4">
        <f t="shared" si="8"/>
        <v>0</v>
      </c>
    </row>
    <row r="107" spans="2:9" x14ac:dyDescent="0.2">
      <c r="B107">
        <v>104</v>
      </c>
      <c r="C107">
        <f t="shared" si="9"/>
        <v>9</v>
      </c>
      <c r="D107" s="4">
        <f>+IF(B107&lt;=Summary!$B$17,'Current Amortization Table'!E107*Summary!$E$6/12,-IF(C107&gt;Summary!$B$8,0,-'Current Amortization Table'!$L$4))</f>
        <v>0</v>
      </c>
      <c r="E107" s="4">
        <f t="shared" si="10"/>
        <v>0</v>
      </c>
      <c r="F107" s="4">
        <f t="shared" si="11"/>
        <v>0</v>
      </c>
      <c r="G107" s="4">
        <f>E107*Summary!$E$6/12</f>
        <v>0</v>
      </c>
      <c r="H107" s="4">
        <f>+IF(Summary!$B$8*12=B107,E107-F107,0)</f>
        <v>0</v>
      </c>
      <c r="I107" s="4">
        <f t="shared" si="8"/>
        <v>0</v>
      </c>
    </row>
    <row r="108" spans="2:9" x14ac:dyDescent="0.2">
      <c r="B108">
        <v>105</v>
      </c>
      <c r="C108">
        <f t="shared" si="9"/>
        <v>9</v>
      </c>
      <c r="D108" s="4">
        <f>+IF(B108&lt;=Summary!$B$17,'Current Amortization Table'!E108*Summary!$E$6/12,-IF(C108&gt;Summary!$B$8,0,-'Current Amortization Table'!$L$4))</f>
        <v>0</v>
      </c>
      <c r="E108" s="4">
        <f t="shared" si="10"/>
        <v>0</v>
      </c>
      <c r="F108" s="4">
        <f t="shared" si="11"/>
        <v>0</v>
      </c>
      <c r="G108" s="4">
        <f>E108*Summary!$E$6/12</f>
        <v>0</v>
      </c>
      <c r="H108" s="4">
        <f>+IF(Summary!$B$8*12=B108,E108-F108,0)</f>
        <v>0</v>
      </c>
      <c r="I108" s="4">
        <f t="shared" si="8"/>
        <v>0</v>
      </c>
    </row>
    <row r="109" spans="2:9" x14ac:dyDescent="0.2">
      <c r="B109">
        <v>106</v>
      </c>
      <c r="C109">
        <f t="shared" si="9"/>
        <v>9</v>
      </c>
      <c r="D109" s="4">
        <f>+IF(B109&lt;=Summary!$B$17,'Current Amortization Table'!E109*Summary!$E$6/12,-IF(C109&gt;Summary!$B$8,0,-'Current Amortization Table'!$L$4))</f>
        <v>0</v>
      </c>
      <c r="E109" s="4">
        <f t="shared" si="10"/>
        <v>0</v>
      </c>
      <c r="F109" s="4">
        <f t="shared" si="11"/>
        <v>0</v>
      </c>
      <c r="G109" s="4">
        <f>E109*Summary!$E$6/12</f>
        <v>0</v>
      </c>
      <c r="H109" s="4">
        <f>+IF(Summary!$B$8*12=B109,E109-F109,0)</f>
        <v>0</v>
      </c>
      <c r="I109" s="4">
        <f t="shared" si="8"/>
        <v>0</v>
      </c>
    </row>
    <row r="110" spans="2:9" x14ac:dyDescent="0.2">
      <c r="B110">
        <v>107</v>
      </c>
      <c r="C110">
        <f t="shared" si="9"/>
        <v>9</v>
      </c>
      <c r="D110" s="4">
        <f>+IF(B110&lt;=Summary!$B$17,'Current Amortization Table'!E110*Summary!$E$6/12,-IF(C110&gt;Summary!$B$8,0,-'Current Amortization Table'!$L$4))</f>
        <v>0</v>
      </c>
      <c r="E110" s="4">
        <f t="shared" si="10"/>
        <v>0</v>
      </c>
      <c r="F110" s="4">
        <f t="shared" si="11"/>
        <v>0</v>
      </c>
      <c r="G110" s="4">
        <f>E110*Summary!$E$6/12</f>
        <v>0</v>
      </c>
      <c r="H110" s="4">
        <f>+IF(Summary!$B$8*12=B110,E110-F110,0)</f>
        <v>0</v>
      </c>
      <c r="I110" s="4">
        <f t="shared" si="8"/>
        <v>0</v>
      </c>
    </row>
    <row r="111" spans="2:9" x14ac:dyDescent="0.2">
      <c r="B111">
        <v>108</v>
      </c>
      <c r="C111">
        <f t="shared" si="9"/>
        <v>9</v>
      </c>
      <c r="D111" s="4">
        <f>+IF(B111&lt;=Summary!$B$17,'Current Amortization Table'!E111*Summary!$E$6/12,-IF(C111&gt;Summary!$B$8,0,-'Current Amortization Table'!$L$4))</f>
        <v>0</v>
      </c>
      <c r="E111" s="4">
        <f t="shared" si="10"/>
        <v>0</v>
      </c>
      <c r="F111" s="4">
        <f t="shared" si="11"/>
        <v>0</v>
      </c>
      <c r="G111" s="4">
        <f>E111*Summary!$E$6/12</f>
        <v>0</v>
      </c>
      <c r="H111" s="4">
        <f>+IF(Summary!$B$8*12=B111,E111-F111,0)</f>
        <v>0</v>
      </c>
      <c r="I111" s="4">
        <f t="shared" si="8"/>
        <v>0</v>
      </c>
    </row>
    <row r="112" spans="2:9" x14ac:dyDescent="0.2">
      <c r="B112">
        <v>109</v>
      </c>
      <c r="C112">
        <f t="shared" si="9"/>
        <v>10</v>
      </c>
      <c r="D112" s="4">
        <f>+IF(B112&lt;=Summary!$B$17,'Current Amortization Table'!E112*Summary!$E$6/12,-IF(C112&gt;Summary!$B$8,0,-'Current Amortization Table'!$L$4))</f>
        <v>0</v>
      </c>
      <c r="E112" s="4">
        <f t="shared" si="10"/>
        <v>0</v>
      </c>
      <c r="F112" s="4">
        <f t="shared" si="11"/>
        <v>0</v>
      </c>
      <c r="G112" s="4">
        <f>E112*Summary!$E$6/12</f>
        <v>0</v>
      </c>
      <c r="H112" s="4">
        <f>+IF(Summary!$B$8*12=B112,E112-F112,0)</f>
        <v>0</v>
      </c>
      <c r="I112" s="4">
        <f t="shared" si="8"/>
        <v>0</v>
      </c>
    </row>
    <row r="113" spans="2:9" x14ac:dyDescent="0.2">
      <c r="B113">
        <v>110</v>
      </c>
      <c r="C113">
        <f t="shared" si="9"/>
        <v>10</v>
      </c>
      <c r="D113" s="4">
        <f>+IF(B113&lt;=Summary!$B$17,'Current Amortization Table'!E113*Summary!$E$6/12,-IF(C113&gt;Summary!$B$8,0,-'Current Amortization Table'!$L$4))</f>
        <v>0</v>
      </c>
      <c r="E113" s="4">
        <f t="shared" si="10"/>
        <v>0</v>
      </c>
      <c r="F113" s="4">
        <f t="shared" si="11"/>
        <v>0</v>
      </c>
      <c r="G113" s="4">
        <f>E113*Summary!$E$6/12</f>
        <v>0</v>
      </c>
      <c r="H113" s="4">
        <f>+IF(Summary!$B$8*12=B113,E113-F113,0)</f>
        <v>0</v>
      </c>
      <c r="I113" s="4">
        <f t="shared" si="8"/>
        <v>0</v>
      </c>
    </row>
    <row r="114" spans="2:9" x14ac:dyDescent="0.2">
      <c r="B114">
        <v>111</v>
      </c>
      <c r="C114">
        <f t="shared" si="9"/>
        <v>10</v>
      </c>
      <c r="D114" s="4">
        <f>+IF(B114&lt;=Summary!$B$17,'Current Amortization Table'!E114*Summary!$E$6/12,-IF(C114&gt;Summary!$B$8,0,-'Current Amortization Table'!$L$4))</f>
        <v>0</v>
      </c>
      <c r="E114" s="4">
        <f t="shared" si="10"/>
        <v>0</v>
      </c>
      <c r="F114" s="4">
        <f t="shared" si="11"/>
        <v>0</v>
      </c>
      <c r="G114" s="4">
        <f>E114*Summary!$E$6/12</f>
        <v>0</v>
      </c>
      <c r="H114" s="4">
        <f>+IF(Summary!$B$8*12=B114,E114-F114,0)</f>
        <v>0</v>
      </c>
      <c r="I114" s="4">
        <f t="shared" si="8"/>
        <v>0</v>
      </c>
    </row>
    <row r="115" spans="2:9" x14ac:dyDescent="0.2">
      <c r="B115">
        <v>112</v>
      </c>
      <c r="C115">
        <f t="shared" si="9"/>
        <v>10</v>
      </c>
      <c r="D115" s="4">
        <f>+IF(B115&lt;=Summary!$B$17,'Current Amortization Table'!E115*Summary!$E$6/12,-IF(C115&gt;Summary!$B$8,0,-'Current Amortization Table'!$L$4))</f>
        <v>0</v>
      </c>
      <c r="E115" s="4">
        <f t="shared" si="10"/>
        <v>0</v>
      </c>
      <c r="F115" s="4">
        <f t="shared" si="11"/>
        <v>0</v>
      </c>
      <c r="G115" s="4">
        <f>E115*Summary!$E$6/12</f>
        <v>0</v>
      </c>
      <c r="H115" s="4">
        <f>+IF(Summary!$B$8*12=B115,E115-F115,0)</f>
        <v>0</v>
      </c>
      <c r="I115" s="4">
        <f t="shared" si="8"/>
        <v>0</v>
      </c>
    </row>
    <row r="116" spans="2:9" x14ac:dyDescent="0.2">
      <c r="B116">
        <v>113</v>
      </c>
      <c r="C116">
        <f t="shared" si="9"/>
        <v>10</v>
      </c>
      <c r="D116" s="4">
        <f>+IF(B116&lt;=Summary!$B$17,'Current Amortization Table'!E116*Summary!$E$6/12,-IF(C116&gt;Summary!$B$8,0,-'Current Amortization Table'!$L$4))</f>
        <v>0</v>
      </c>
      <c r="E116" s="4">
        <f t="shared" si="10"/>
        <v>0</v>
      </c>
      <c r="F116" s="4">
        <f t="shared" si="11"/>
        <v>0</v>
      </c>
      <c r="G116" s="4">
        <f>E116*Summary!$E$6/12</f>
        <v>0</v>
      </c>
      <c r="H116" s="4">
        <f>+IF(Summary!$B$8*12=B116,E116-F116,0)</f>
        <v>0</v>
      </c>
      <c r="I116" s="4">
        <f t="shared" si="8"/>
        <v>0</v>
      </c>
    </row>
    <row r="117" spans="2:9" x14ac:dyDescent="0.2">
      <c r="B117">
        <v>114</v>
      </c>
      <c r="C117">
        <f t="shared" si="9"/>
        <v>10</v>
      </c>
      <c r="D117" s="4">
        <f>+IF(B117&lt;=Summary!$B$17,'Current Amortization Table'!E117*Summary!$E$6/12,-IF(C117&gt;Summary!$B$8,0,-'Current Amortization Table'!$L$4))</f>
        <v>0</v>
      </c>
      <c r="E117" s="4">
        <f t="shared" si="10"/>
        <v>0</v>
      </c>
      <c r="F117" s="4">
        <f t="shared" si="11"/>
        <v>0</v>
      </c>
      <c r="G117" s="4">
        <f>E117*Summary!$E$6/12</f>
        <v>0</v>
      </c>
      <c r="H117" s="4">
        <f>+IF(Summary!$B$8*12=B117,E117-F117,0)</f>
        <v>0</v>
      </c>
      <c r="I117" s="4">
        <f t="shared" si="8"/>
        <v>0</v>
      </c>
    </row>
    <row r="118" spans="2:9" x14ac:dyDescent="0.2">
      <c r="B118">
        <v>115</v>
      </c>
      <c r="C118">
        <f t="shared" si="9"/>
        <v>10</v>
      </c>
      <c r="D118" s="4">
        <f>+IF(B118&lt;=Summary!$B$17,'Current Amortization Table'!E118*Summary!$E$6/12,-IF(C118&gt;Summary!$B$8,0,-'Current Amortization Table'!$L$4))</f>
        <v>0</v>
      </c>
      <c r="E118" s="4">
        <f t="shared" si="10"/>
        <v>0</v>
      </c>
      <c r="F118" s="4">
        <f t="shared" si="11"/>
        <v>0</v>
      </c>
      <c r="G118" s="4">
        <f>E118*Summary!$E$6/12</f>
        <v>0</v>
      </c>
      <c r="H118" s="4">
        <f>+IF(Summary!$B$8*12=B118,E118-F118,0)</f>
        <v>0</v>
      </c>
      <c r="I118" s="4">
        <f t="shared" si="8"/>
        <v>0</v>
      </c>
    </row>
    <row r="119" spans="2:9" x14ac:dyDescent="0.2">
      <c r="B119">
        <v>116</v>
      </c>
      <c r="C119">
        <f t="shared" si="9"/>
        <v>10</v>
      </c>
      <c r="D119" s="4">
        <f>+IF(B119&lt;=Summary!$B$17,'Current Amortization Table'!E119*Summary!$E$6/12,-IF(C119&gt;Summary!$B$8,0,-'Current Amortization Table'!$L$4))</f>
        <v>0</v>
      </c>
      <c r="E119" s="4">
        <f t="shared" si="10"/>
        <v>0</v>
      </c>
      <c r="F119" s="4">
        <f t="shared" si="11"/>
        <v>0</v>
      </c>
      <c r="G119" s="4">
        <f>E119*Summary!$E$6/12</f>
        <v>0</v>
      </c>
      <c r="H119" s="4">
        <f>+IF(Summary!$B$8*12=B119,E119-F119,0)</f>
        <v>0</v>
      </c>
      <c r="I119" s="4">
        <f t="shared" si="8"/>
        <v>0</v>
      </c>
    </row>
    <row r="120" spans="2:9" x14ac:dyDescent="0.2">
      <c r="B120">
        <v>117</v>
      </c>
      <c r="C120">
        <f t="shared" si="9"/>
        <v>10</v>
      </c>
      <c r="D120" s="4">
        <f>+IF(B120&lt;=Summary!$B$17,'Current Amortization Table'!E120*Summary!$E$6/12,-IF(C120&gt;Summary!$B$8,0,-'Current Amortization Table'!$L$4))</f>
        <v>0</v>
      </c>
      <c r="E120" s="4">
        <f t="shared" si="10"/>
        <v>0</v>
      </c>
      <c r="F120" s="4">
        <f t="shared" si="11"/>
        <v>0</v>
      </c>
      <c r="G120" s="4">
        <f>E120*Summary!$E$6/12</f>
        <v>0</v>
      </c>
      <c r="H120" s="4">
        <f>+IF(Summary!$B$8*12=B120,E120-F120,0)</f>
        <v>0</v>
      </c>
      <c r="I120" s="4">
        <f t="shared" si="8"/>
        <v>0</v>
      </c>
    </row>
    <row r="121" spans="2:9" x14ac:dyDescent="0.2">
      <c r="B121">
        <v>118</v>
      </c>
      <c r="C121">
        <f t="shared" si="9"/>
        <v>10</v>
      </c>
      <c r="D121" s="4">
        <f>+IF(B121&lt;=Summary!$B$17,'Current Amortization Table'!E121*Summary!$E$6/12,-IF(C121&gt;Summary!$B$8,0,-'Current Amortization Table'!$L$4))</f>
        <v>0</v>
      </c>
      <c r="E121" s="4">
        <f t="shared" si="10"/>
        <v>0</v>
      </c>
      <c r="F121" s="4">
        <f t="shared" si="11"/>
        <v>0</v>
      </c>
      <c r="G121" s="4">
        <f>E121*Summary!$E$6/12</f>
        <v>0</v>
      </c>
      <c r="H121" s="4">
        <f>+IF(Summary!$B$8*12=B121,E121-F121,0)</f>
        <v>0</v>
      </c>
      <c r="I121" s="4">
        <f t="shared" si="8"/>
        <v>0</v>
      </c>
    </row>
    <row r="122" spans="2:9" x14ac:dyDescent="0.2">
      <c r="B122">
        <v>119</v>
      </c>
      <c r="C122">
        <f t="shared" si="9"/>
        <v>10</v>
      </c>
      <c r="D122" s="4">
        <f>+IF(B122&lt;=Summary!$B$17,'Current Amortization Table'!E122*Summary!$E$6/12,-IF(C122&gt;Summary!$B$8,0,-'Current Amortization Table'!$L$4))</f>
        <v>0</v>
      </c>
      <c r="E122" s="4">
        <f t="shared" si="10"/>
        <v>0</v>
      </c>
      <c r="F122" s="4">
        <f t="shared" si="11"/>
        <v>0</v>
      </c>
      <c r="G122" s="4">
        <f>E122*Summary!$E$6/12</f>
        <v>0</v>
      </c>
      <c r="H122" s="4">
        <f>+IF(Summary!$B$8*12=B122,E122-F122,0)</f>
        <v>0</v>
      </c>
      <c r="I122" s="4">
        <f t="shared" si="8"/>
        <v>0</v>
      </c>
    </row>
    <row r="123" spans="2:9" x14ac:dyDescent="0.2">
      <c r="B123">
        <v>120</v>
      </c>
      <c r="C123">
        <f t="shared" si="9"/>
        <v>10</v>
      </c>
      <c r="D123" s="4">
        <f>+IF(B123&lt;=Summary!$B$17,'Current Amortization Table'!E123*Summary!$E$6/12,-IF(C123&gt;Summary!$B$8,0,-'Current Amortization Table'!$L$4))</f>
        <v>0</v>
      </c>
      <c r="E123" s="4">
        <f t="shared" si="10"/>
        <v>0</v>
      </c>
      <c r="F123" s="4">
        <f t="shared" si="11"/>
        <v>0</v>
      </c>
      <c r="G123" s="4">
        <f>E123*Summary!$E$6/12</f>
        <v>0</v>
      </c>
      <c r="H123" s="4">
        <f>+IF(Summary!$B$8*12=B123,E123-F123,0)</f>
        <v>0</v>
      </c>
      <c r="I123" s="4">
        <f t="shared" si="8"/>
        <v>0</v>
      </c>
    </row>
    <row r="124" spans="2:9" x14ac:dyDescent="0.2">
      <c r="B124">
        <v>121</v>
      </c>
      <c r="C124">
        <f t="shared" si="9"/>
        <v>11</v>
      </c>
      <c r="D124" s="4">
        <f>+IF(B124&lt;=Summary!$B$17,'Current Amortization Table'!E124*Summary!$E$6/12,-IF(C124&gt;Summary!$B$8,0,-'Current Amortization Table'!$L$4))</f>
        <v>0</v>
      </c>
      <c r="E124" s="4">
        <f>+I123</f>
        <v>0</v>
      </c>
      <c r="F124" s="4">
        <f>+D124-G124</f>
        <v>0</v>
      </c>
      <c r="G124" s="4">
        <f>E124*Summary!$E$6/12</f>
        <v>0</v>
      </c>
      <c r="H124" s="4">
        <f>+IF(Summary!$B$8*12=B124,E124-F124,0)</f>
        <v>0</v>
      </c>
      <c r="I124" s="4">
        <f t="shared" si="8"/>
        <v>0</v>
      </c>
    </row>
    <row r="125" spans="2:9" x14ac:dyDescent="0.2">
      <c r="B125">
        <v>122</v>
      </c>
      <c r="C125">
        <f t="shared" si="9"/>
        <v>11</v>
      </c>
      <c r="D125" s="4">
        <f>+IF(B125&lt;=Summary!$B$17,'Current Amortization Table'!E125*Summary!$E$6/12,-IF(C125&gt;Summary!$B$8,0,-'Current Amortization Table'!$L$4))</f>
        <v>0</v>
      </c>
      <c r="E125" s="4">
        <f>+I124</f>
        <v>0</v>
      </c>
      <c r="F125" s="4">
        <f>+D125-G125</f>
        <v>0</v>
      </c>
      <c r="G125" s="4">
        <f>E125*Summary!$E$6/12</f>
        <v>0</v>
      </c>
      <c r="H125" s="4">
        <f>+IF(Summary!$B$8*12=B125,E125-F125,0)</f>
        <v>0</v>
      </c>
      <c r="I125" s="4">
        <f t="shared" si="8"/>
        <v>0</v>
      </c>
    </row>
    <row r="126" spans="2:9" x14ac:dyDescent="0.2">
      <c r="B126">
        <v>123</v>
      </c>
      <c r="C126">
        <f t="shared" si="9"/>
        <v>11</v>
      </c>
      <c r="D126" s="4">
        <f>+IF(B126&lt;=Summary!$B$17,'Current Amortization Table'!E126*Summary!$E$6/12,-IF(C126&gt;Summary!$B$8,0,-'Current Amortization Table'!$L$4))</f>
        <v>0</v>
      </c>
      <c r="E126" s="4">
        <f>+I125</f>
        <v>0</v>
      </c>
      <c r="F126" s="4">
        <f>+D126-G126</f>
        <v>0</v>
      </c>
      <c r="G126" s="4">
        <f>E126*Summary!$E$6/12</f>
        <v>0</v>
      </c>
      <c r="H126" s="4">
        <f>+IF(Summary!$B$8*12=B126,E126-F126,0)</f>
        <v>0</v>
      </c>
      <c r="I126" s="4">
        <f t="shared" si="8"/>
        <v>0</v>
      </c>
    </row>
    <row r="127" spans="2:9" x14ac:dyDescent="0.2">
      <c r="B127">
        <v>124</v>
      </c>
      <c r="C127">
        <f t="shared" si="9"/>
        <v>11</v>
      </c>
      <c r="D127" s="4">
        <f>+IF(B127&lt;=Summary!$B$17,'Current Amortization Table'!E127*Summary!$E$6/12,-IF(C127&gt;Summary!$B$8,0,-'Current Amortization Table'!$L$4))</f>
        <v>0</v>
      </c>
      <c r="E127" s="4">
        <f>+I126</f>
        <v>0</v>
      </c>
      <c r="F127" s="4">
        <f>+D127-G127</f>
        <v>0</v>
      </c>
      <c r="G127" s="4">
        <f>E127*Summary!$E$6/12</f>
        <v>0</v>
      </c>
      <c r="H127" s="4">
        <f>+IF(Summary!$B$8*12=B127,E127-F127,0)</f>
        <v>0</v>
      </c>
      <c r="I127" s="4">
        <f t="shared" si="8"/>
        <v>0</v>
      </c>
    </row>
    <row r="128" spans="2:9" x14ac:dyDescent="0.2">
      <c r="B128">
        <v>125</v>
      </c>
      <c r="C128">
        <f t="shared" si="9"/>
        <v>11</v>
      </c>
      <c r="D128" s="4">
        <f>+IF(B128&lt;=Summary!$B$17,'Current Amortization Table'!E128*Summary!$E$6/12,-IF(C128&gt;Summary!$B$8,0,-'Current Amortization Table'!$L$4))</f>
        <v>0</v>
      </c>
      <c r="E128" s="4">
        <f>+I127</f>
        <v>0</v>
      </c>
      <c r="F128" s="4">
        <f>+D128-G128</f>
        <v>0</v>
      </c>
      <c r="G128" s="4">
        <f>E128*Summary!$E$6/12</f>
        <v>0</v>
      </c>
      <c r="H128" s="4">
        <f>+IF(Summary!$B$8*12=B128,E128-F128,0)</f>
        <v>0</v>
      </c>
      <c r="I128" s="4">
        <f>+E128-F128-H128</f>
        <v>0</v>
      </c>
    </row>
    <row r="129" spans="2:9" x14ac:dyDescent="0.2">
      <c r="B129">
        <v>126</v>
      </c>
      <c r="C129">
        <f t="shared" si="9"/>
        <v>11</v>
      </c>
      <c r="D129" s="4">
        <f>+IF(B129&lt;=Summary!$B$17,'Current Amortization Table'!E129*Summary!$E$6/12,-IF(C129&gt;Summary!$B$8,0,-'Current Amortization Table'!$L$4))</f>
        <v>0</v>
      </c>
      <c r="E129" s="4">
        <f t="shared" ref="E129:E192" si="12">+I128</f>
        <v>0</v>
      </c>
      <c r="F129" s="4">
        <f t="shared" ref="F129:F192" si="13">+D129-G129</f>
        <v>0</v>
      </c>
      <c r="G129" s="4">
        <f>E129*Summary!$E$6/12</f>
        <v>0</v>
      </c>
      <c r="H129" s="4">
        <f>+IF(Summary!$B$8*12=B129,E129-F129,0)</f>
        <v>0</v>
      </c>
      <c r="I129" s="4">
        <f t="shared" ref="I129:I192" si="14">+E129-F129-H129</f>
        <v>0</v>
      </c>
    </row>
    <row r="130" spans="2:9" x14ac:dyDescent="0.2">
      <c r="B130">
        <v>127</v>
      </c>
      <c r="C130">
        <f t="shared" si="9"/>
        <v>11</v>
      </c>
      <c r="D130" s="4">
        <f>+IF(B130&lt;=Summary!$B$17,'Current Amortization Table'!E130*Summary!$E$6/12,-IF(C130&gt;Summary!$B$8,0,-'Current Amortization Table'!$L$4))</f>
        <v>0</v>
      </c>
      <c r="E130" s="4">
        <f t="shared" si="12"/>
        <v>0</v>
      </c>
      <c r="F130" s="4">
        <f t="shared" si="13"/>
        <v>0</v>
      </c>
      <c r="G130" s="4">
        <f>E130*Summary!$E$6/12</f>
        <v>0</v>
      </c>
      <c r="H130" s="4">
        <f>+IF(Summary!$B$8*12=B130,E130-F130,0)</f>
        <v>0</v>
      </c>
      <c r="I130" s="4">
        <f t="shared" si="14"/>
        <v>0</v>
      </c>
    </row>
    <row r="131" spans="2:9" x14ac:dyDescent="0.2">
      <c r="B131">
        <v>128</v>
      </c>
      <c r="C131">
        <f t="shared" si="9"/>
        <v>11</v>
      </c>
      <c r="D131" s="4">
        <f>+IF(B131&lt;=Summary!$B$17,'Current Amortization Table'!E131*Summary!$E$6/12,-IF(C131&gt;Summary!$B$8,0,-'Current Amortization Table'!$L$4))</f>
        <v>0</v>
      </c>
      <c r="E131" s="4">
        <f t="shared" si="12"/>
        <v>0</v>
      </c>
      <c r="F131" s="4">
        <f t="shared" si="13"/>
        <v>0</v>
      </c>
      <c r="G131" s="4">
        <f>E131*Summary!$E$6/12</f>
        <v>0</v>
      </c>
      <c r="H131" s="4">
        <f>+IF(Summary!$B$8*12=B131,E131-F131,0)</f>
        <v>0</v>
      </c>
      <c r="I131" s="4">
        <f t="shared" si="14"/>
        <v>0</v>
      </c>
    </row>
    <row r="132" spans="2:9" x14ac:dyDescent="0.2">
      <c r="B132">
        <v>129</v>
      </c>
      <c r="C132">
        <f t="shared" si="9"/>
        <v>11</v>
      </c>
      <c r="D132" s="4">
        <f>+IF(B132&lt;=Summary!$B$17,'Current Amortization Table'!E132*Summary!$E$6/12,-IF(C132&gt;Summary!$B$8,0,-'Current Amortization Table'!$L$4))</f>
        <v>0</v>
      </c>
      <c r="E132" s="4">
        <f t="shared" si="12"/>
        <v>0</v>
      </c>
      <c r="F132" s="4">
        <f t="shared" si="13"/>
        <v>0</v>
      </c>
      <c r="G132" s="4">
        <f>E132*Summary!$E$6/12</f>
        <v>0</v>
      </c>
      <c r="H132" s="4">
        <f>+IF(Summary!$B$8*12=B132,E132-F132,0)</f>
        <v>0</v>
      </c>
      <c r="I132" s="4">
        <f t="shared" si="14"/>
        <v>0</v>
      </c>
    </row>
    <row r="133" spans="2:9" x14ac:dyDescent="0.2">
      <c r="B133">
        <v>130</v>
      </c>
      <c r="C133">
        <f t="shared" ref="C133:C196" si="15">+ROUNDUP(B133/12,0)</f>
        <v>11</v>
      </c>
      <c r="D133" s="4">
        <f>+IF(B133&lt;=Summary!$B$17,'Current Amortization Table'!E133*Summary!$E$6/12,-IF(C133&gt;Summary!$B$8,0,-'Current Amortization Table'!$L$4))</f>
        <v>0</v>
      </c>
      <c r="E133" s="4">
        <f t="shared" si="12"/>
        <v>0</v>
      </c>
      <c r="F133" s="4">
        <f t="shared" si="13"/>
        <v>0</v>
      </c>
      <c r="G133" s="4">
        <f>E133*Summary!$E$6/12</f>
        <v>0</v>
      </c>
      <c r="H133" s="4">
        <f>+IF(Summary!$B$8*12=B133,E133-F133,0)</f>
        <v>0</v>
      </c>
      <c r="I133" s="4">
        <f t="shared" si="14"/>
        <v>0</v>
      </c>
    </row>
    <row r="134" spans="2:9" x14ac:dyDescent="0.2">
      <c r="B134">
        <v>131</v>
      </c>
      <c r="C134">
        <f t="shared" si="15"/>
        <v>11</v>
      </c>
      <c r="D134" s="4">
        <f>+IF(B134&lt;=Summary!$B$17,'Current Amortization Table'!E134*Summary!$E$6/12,-IF(C134&gt;Summary!$B$8,0,-'Current Amortization Table'!$L$4))</f>
        <v>0</v>
      </c>
      <c r="E134" s="4">
        <f t="shared" si="12"/>
        <v>0</v>
      </c>
      <c r="F134" s="4">
        <f t="shared" si="13"/>
        <v>0</v>
      </c>
      <c r="G134" s="4">
        <f>E134*Summary!$E$6/12</f>
        <v>0</v>
      </c>
      <c r="H134" s="4">
        <f>+IF(Summary!$B$8*12=B134,E134-F134,0)</f>
        <v>0</v>
      </c>
      <c r="I134" s="4">
        <f t="shared" si="14"/>
        <v>0</v>
      </c>
    </row>
    <row r="135" spans="2:9" x14ac:dyDescent="0.2">
      <c r="B135">
        <v>132</v>
      </c>
      <c r="C135">
        <f t="shared" si="15"/>
        <v>11</v>
      </c>
      <c r="D135" s="4">
        <f>+IF(B135&lt;=Summary!$B$17,'Current Amortization Table'!E135*Summary!$E$6/12,-IF(C135&gt;Summary!$B$8,0,-'Current Amortization Table'!$L$4))</f>
        <v>0</v>
      </c>
      <c r="E135" s="4">
        <f t="shared" si="12"/>
        <v>0</v>
      </c>
      <c r="F135" s="4">
        <f t="shared" si="13"/>
        <v>0</v>
      </c>
      <c r="G135" s="4">
        <f>E135*Summary!$E$6/12</f>
        <v>0</v>
      </c>
      <c r="H135" s="4">
        <f>+IF(Summary!$B$8*12=B135,E135-F135,0)</f>
        <v>0</v>
      </c>
      <c r="I135" s="4">
        <f t="shared" si="14"/>
        <v>0</v>
      </c>
    </row>
    <row r="136" spans="2:9" x14ac:dyDescent="0.2">
      <c r="B136">
        <v>133</v>
      </c>
      <c r="C136">
        <f t="shared" si="15"/>
        <v>12</v>
      </c>
      <c r="D136" s="4">
        <f>+IF(B136&lt;=Summary!$B$17,'Current Amortization Table'!E136*Summary!$E$6/12,-IF(C136&gt;Summary!$B$8,0,-'Current Amortization Table'!$L$4))</f>
        <v>0</v>
      </c>
      <c r="E136" s="4">
        <f t="shared" si="12"/>
        <v>0</v>
      </c>
      <c r="F136" s="4">
        <f t="shared" si="13"/>
        <v>0</v>
      </c>
      <c r="G136" s="4">
        <f>E136*Summary!$E$6/12</f>
        <v>0</v>
      </c>
      <c r="H136" s="4">
        <f>+IF(Summary!$B$8*12=B136,E136-F136,0)</f>
        <v>0</v>
      </c>
      <c r="I136" s="4">
        <f t="shared" si="14"/>
        <v>0</v>
      </c>
    </row>
    <row r="137" spans="2:9" x14ac:dyDescent="0.2">
      <c r="B137">
        <v>134</v>
      </c>
      <c r="C137">
        <f t="shared" si="15"/>
        <v>12</v>
      </c>
      <c r="D137" s="4">
        <f>+IF(B137&lt;=Summary!$B$17,'Current Amortization Table'!E137*Summary!$E$6/12,-IF(C137&gt;Summary!$B$8,0,-'Current Amortization Table'!$L$4))</f>
        <v>0</v>
      </c>
      <c r="E137" s="4">
        <f t="shared" si="12"/>
        <v>0</v>
      </c>
      <c r="F137" s="4">
        <f t="shared" si="13"/>
        <v>0</v>
      </c>
      <c r="G137" s="4">
        <f>E137*Summary!$E$6/12</f>
        <v>0</v>
      </c>
      <c r="H137" s="4">
        <f>+IF(Summary!$B$8*12=B137,E137-F137,0)</f>
        <v>0</v>
      </c>
      <c r="I137" s="4">
        <f t="shared" si="14"/>
        <v>0</v>
      </c>
    </row>
    <row r="138" spans="2:9" x14ac:dyDescent="0.2">
      <c r="B138">
        <v>135</v>
      </c>
      <c r="C138">
        <f t="shared" si="15"/>
        <v>12</v>
      </c>
      <c r="D138" s="4">
        <f>+IF(B138&lt;=Summary!$B$17,'Current Amortization Table'!E138*Summary!$E$6/12,-IF(C138&gt;Summary!$B$8,0,-'Current Amortization Table'!$L$4))</f>
        <v>0</v>
      </c>
      <c r="E138" s="4">
        <f t="shared" si="12"/>
        <v>0</v>
      </c>
      <c r="F138" s="4">
        <f t="shared" si="13"/>
        <v>0</v>
      </c>
      <c r="G138" s="4">
        <f>E138*Summary!$E$6/12</f>
        <v>0</v>
      </c>
      <c r="H138" s="4">
        <f>+IF(Summary!$B$8*12=B138,E138-F138,0)</f>
        <v>0</v>
      </c>
      <c r="I138" s="4">
        <f t="shared" si="14"/>
        <v>0</v>
      </c>
    </row>
    <row r="139" spans="2:9" x14ac:dyDescent="0.2">
      <c r="B139">
        <v>136</v>
      </c>
      <c r="C139">
        <f t="shared" si="15"/>
        <v>12</v>
      </c>
      <c r="D139" s="4">
        <f>+IF(B139&lt;=Summary!$B$17,'Current Amortization Table'!E139*Summary!$E$6/12,-IF(C139&gt;Summary!$B$8,0,-'Current Amortization Table'!$L$4))</f>
        <v>0</v>
      </c>
      <c r="E139" s="4">
        <f t="shared" si="12"/>
        <v>0</v>
      </c>
      <c r="F139" s="4">
        <f t="shared" si="13"/>
        <v>0</v>
      </c>
      <c r="G139" s="4">
        <f>E139*Summary!$E$6/12</f>
        <v>0</v>
      </c>
      <c r="H139" s="4">
        <f>+IF(Summary!$B$8*12=B139,E139-F139,0)</f>
        <v>0</v>
      </c>
      <c r="I139" s="4">
        <f t="shared" si="14"/>
        <v>0</v>
      </c>
    </row>
    <row r="140" spans="2:9" x14ac:dyDescent="0.2">
      <c r="B140">
        <v>137</v>
      </c>
      <c r="C140">
        <f t="shared" si="15"/>
        <v>12</v>
      </c>
      <c r="D140" s="4">
        <f>+IF(B140&lt;=Summary!$B$17,'Current Amortization Table'!E140*Summary!$E$6/12,-IF(C140&gt;Summary!$B$8,0,-'Current Amortization Table'!$L$4))</f>
        <v>0</v>
      </c>
      <c r="E140" s="4">
        <f t="shared" si="12"/>
        <v>0</v>
      </c>
      <c r="F140" s="4">
        <f t="shared" si="13"/>
        <v>0</v>
      </c>
      <c r="G140" s="4">
        <f>E140*Summary!$E$6/12</f>
        <v>0</v>
      </c>
      <c r="H140" s="4">
        <f>+IF(Summary!$B$8*12=B140,E140-F140,0)</f>
        <v>0</v>
      </c>
      <c r="I140" s="4">
        <f t="shared" si="14"/>
        <v>0</v>
      </c>
    </row>
    <row r="141" spans="2:9" x14ac:dyDescent="0.2">
      <c r="B141">
        <v>138</v>
      </c>
      <c r="C141">
        <f t="shared" si="15"/>
        <v>12</v>
      </c>
      <c r="D141" s="4">
        <f>+IF(B141&lt;=Summary!$B$17,'Current Amortization Table'!E141*Summary!$E$6/12,-IF(C141&gt;Summary!$B$8,0,-'Current Amortization Table'!$L$4))</f>
        <v>0</v>
      </c>
      <c r="E141" s="4">
        <f t="shared" si="12"/>
        <v>0</v>
      </c>
      <c r="F141" s="4">
        <f t="shared" si="13"/>
        <v>0</v>
      </c>
      <c r="G141" s="4">
        <f>E141*Summary!$E$6/12</f>
        <v>0</v>
      </c>
      <c r="H141" s="4">
        <f>+IF(Summary!$B$8*12=B141,E141-F141,0)</f>
        <v>0</v>
      </c>
      <c r="I141" s="4">
        <f t="shared" si="14"/>
        <v>0</v>
      </c>
    </row>
    <row r="142" spans="2:9" x14ac:dyDescent="0.2">
      <c r="B142">
        <v>139</v>
      </c>
      <c r="C142">
        <f t="shared" si="15"/>
        <v>12</v>
      </c>
      <c r="D142" s="4">
        <f>+IF(B142&lt;=Summary!$B$17,'Current Amortization Table'!E142*Summary!$E$6/12,-IF(C142&gt;Summary!$B$8,0,-'Current Amortization Table'!$L$4))</f>
        <v>0</v>
      </c>
      <c r="E142" s="4">
        <f t="shared" si="12"/>
        <v>0</v>
      </c>
      <c r="F142" s="4">
        <f t="shared" si="13"/>
        <v>0</v>
      </c>
      <c r="G142" s="4">
        <f>E142*Summary!$E$6/12</f>
        <v>0</v>
      </c>
      <c r="H142" s="4">
        <f>+IF(Summary!$B$8*12=B142,E142-F142,0)</f>
        <v>0</v>
      </c>
      <c r="I142" s="4">
        <f t="shared" si="14"/>
        <v>0</v>
      </c>
    </row>
    <row r="143" spans="2:9" x14ac:dyDescent="0.2">
      <c r="B143">
        <v>140</v>
      </c>
      <c r="C143">
        <f t="shared" si="15"/>
        <v>12</v>
      </c>
      <c r="D143" s="4">
        <f>+IF(B143&lt;=Summary!$B$17,'Current Amortization Table'!E143*Summary!$E$6/12,-IF(C143&gt;Summary!$B$8,0,-'Current Amortization Table'!$L$4))</f>
        <v>0</v>
      </c>
      <c r="E143" s="4">
        <f t="shared" si="12"/>
        <v>0</v>
      </c>
      <c r="F143" s="4">
        <f t="shared" si="13"/>
        <v>0</v>
      </c>
      <c r="G143" s="4">
        <f>E143*Summary!$E$6/12</f>
        <v>0</v>
      </c>
      <c r="H143" s="4">
        <f>+IF(Summary!$B$8*12=B143,E143-F143,0)</f>
        <v>0</v>
      </c>
      <c r="I143" s="4">
        <f t="shared" si="14"/>
        <v>0</v>
      </c>
    </row>
    <row r="144" spans="2:9" x14ac:dyDescent="0.2">
      <c r="B144">
        <v>141</v>
      </c>
      <c r="C144">
        <f t="shared" si="15"/>
        <v>12</v>
      </c>
      <c r="D144" s="4">
        <f>+IF(B144&lt;=Summary!$B$17,'Current Amortization Table'!E144*Summary!$E$6/12,-IF(C144&gt;Summary!$B$8,0,-'Current Amortization Table'!$L$4))</f>
        <v>0</v>
      </c>
      <c r="E144" s="4">
        <f t="shared" si="12"/>
        <v>0</v>
      </c>
      <c r="F144" s="4">
        <f t="shared" si="13"/>
        <v>0</v>
      </c>
      <c r="G144" s="4">
        <f>E144*Summary!$E$6/12</f>
        <v>0</v>
      </c>
      <c r="H144" s="4">
        <f>+IF(Summary!$B$8*12=B144,E144-F144,0)</f>
        <v>0</v>
      </c>
      <c r="I144" s="4">
        <f t="shared" si="14"/>
        <v>0</v>
      </c>
    </row>
    <row r="145" spans="2:9" x14ac:dyDescent="0.2">
      <c r="B145">
        <v>142</v>
      </c>
      <c r="C145">
        <f t="shared" si="15"/>
        <v>12</v>
      </c>
      <c r="D145" s="4">
        <f>+IF(B145&lt;=Summary!$B$17,'Current Amortization Table'!E145*Summary!$E$6/12,-IF(C145&gt;Summary!$B$8,0,-'Current Amortization Table'!$L$4))</f>
        <v>0</v>
      </c>
      <c r="E145" s="4">
        <f t="shared" si="12"/>
        <v>0</v>
      </c>
      <c r="F145" s="4">
        <f t="shared" si="13"/>
        <v>0</v>
      </c>
      <c r="G145" s="4">
        <f>E145*Summary!$E$6/12</f>
        <v>0</v>
      </c>
      <c r="H145" s="4">
        <f>+IF(Summary!$B$8*12=B145,E145-F145,0)</f>
        <v>0</v>
      </c>
      <c r="I145" s="4">
        <f t="shared" si="14"/>
        <v>0</v>
      </c>
    </row>
    <row r="146" spans="2:9" x14ac:dyDescent="0.2">
      <c r="B146">
        <v>143</v>
      </c>
      <c r="C146">
        <f t="shared" si="15"/>
        <v>12</v>
      </c>
      <c r="D146" s="4">
        <f>+IF(B146&lt;=Summary!$B$17,'Current Amortization Table'!E146*Summary!$E$6/12,-IF(C146&gt;Summary!$B$8,0,-'Current Amortization Table'!$L$4))</f>
        <v>0</v>
      </c>
      <c r="E146" s="4">
        <f t="shared" si="12"/>
        <v>0</v>
      </c>
      <c r="F146" s="4">
        <f t="shared" si="13"/>
        <v>0</v>
      </c>
      <c r="G146" s="4">
        <f>E146*Summary!$E$6/12</f>
        <v>0</v>
      </c>
      <c r="H146" s="4">
        <f>+IF(Summary!$B$8*12=B146,E146-F146,0)</f>
        <v>0</v>
      </c>
      <c r="I146" s="4">
        <f t="shared" si="14"/>
        <v>0</v>
      </c>
    </row>
    <row r="147" spans="2:9" x14ac:dyDescent="0.2">
      <c r="B147">
        <v>144</v>
      </c>
      <c r="C147">
        <f t="shared" si="15"/>
        <v>12</v>
      </c>
      <c r="D147" s="4">
        <f>+IF(B147&lt;=Summary!$B$17,'Current Amortization Table'!E147*Summary!$E$6/12,-IF(C147&gt;Summary!$B$8,0,-'Current Amortization Table'!$L$4))</f>
        <v>0</v>
      </c>
      <c r="E147" s="4">
        <f t="shared" si="12"/>
        <v>0</v>
      </c>
      <c r="F147" s="4">
        <f t="shared" si="13"/>
        <v>0</v>
      </c>
      <c r="G147" s="4">
        <f>E147*Summary!$E$6/12</f>
        <v>0</v>
      </c>
      <c r="H147" s="4">
        <f>+IF(Summary!$B$8*12=B147,E147-F147,0)</f>
        <v>0</v>
      </c>
      <c r="I147" s="4">
        <f t="shared" si="14"/>
        <v>0</v>
      </c>
    </row>
    <row r="148" spans="2:9" x14ac:dyDescent="0.2">
      <c r="B148">
        <v>145</v>
      </c>
      <c r="C148">
        <f t="shared" si="15"/>
        <v>13</v>
      </c>
      <c r="D148" s="4">
        <f>+IF(B148&lt;=Summary!$B$17,'Current Amortization Table'!E148*Summary!$E$6/12,-IF(C148&gt;Summary!$B$8,0,-'Current Amortization Table'!$L$4))</f>
        <v>0</v>
      </c>
      <c r="E148" s="4">
        <f t="shared" si="12"/>
        <v>0</v>
      </c>
      <c r="F148" s="4">
        <f t="shared" si="13"/>
        <v>0</v>
      </c>
      <c r="G148" s="4">
        <f>E148*Summary!$E$6/12</f>
        <v>0</v>
      </c>
      <c r="H148" s="4">
        <f>+IF(Summary!$B$8*12=B148,E148-F148,0)</f>
        <v>0</v>
      </c>
      <c r="I148" s="4">
        <f t="shared" si="14"/>
        <v>0</v>
      </c>
    </row>
    <row r="149" spans="2:9" x14ac:dyDescent="0.2">
      <c r="B149">
        <v>146</v>
      </c>
      <c r="C149">
        <f t="shared" si="15"/>
        <v>13</v>
      </c>
      <c r="D149" s="4">
        <f>+IF(B149&lt;=Summary!$B$17,'Current Amortization Table'!E149*Summary!$E$6/12,-IF(C149&gt;Summary!$B$8,0,-'Current Amortization Table'!$L$4))</f>
        <v>0</v>
      </c>
      <c r="E149" s="4">
        <f t="shared" si="12"/>
        <v>0</v>
      </c>
      <c r="F149" s="4">
        <f t="shared" si="13"/>
        <v>0</v>
      </c>
      <c r="G149" s="4">
        <f>E149*Summary!$E$6/12</f>
        <v>0</v>
      </c>
      <c r="H149" s="4">
        <f>+IF(Summary!$B$8*12=B149,E149-F149,0)</f>
        <v>0</v>
      </c>
      <c r="I149" s="4">
        <f t="shared" si="14"/>
        <v>0</v>
      </c>
    </row>
    <row r="150" spans="2:9" x14ac:dyDescent="0.2">
      <c r="B150">
        <v>147</v>
      </c>
      <c r="C150">
        <f t="shared" si="15"/>
        <v>13</v>
      </c>
      <c r="D150" s="4">
        <f>+IF(B150&lt;=Summary!$B$17,'Current Amortization Table'!E150*Summary!$E$6/12,-IF(C150&gt;Summary!$B$8,0,-'Current Amortization Table'!$L$4))</f>
        <v>0</v>
      </c>
      <c r="E150" s="4">
        <f t="shared" si="12"/>
        <v>0</v>
      </c>
      <c r="F150" s="4">
        <f t="shared" si="13"/>
        <v>0</v>
      </c>
      <c r="G150" s="4">
        <f>E150*Summary!$E$6/12</f>
        <v>0</v>
      </c>
      <c r="H150" s="4">
        <f>+IF(Summary!$B$8*12=B150,E150-F150,0)</f>
        <v>0</v>
      </c>
      <c r="I150" s="4">
        <f t="shared" si="14"/>
        <v>0</v>
      </c>
    </row>
    <row r="151" spans="2:9" x14ac:dyDescent="0.2">
      <c r="B151">
        <v>148</v>
      </c>
      <c r="C151">
        <f t="shared" si="15"/>
        <v>13</v>
      </c>
      <c r="D151" s="4">
        <f>+IF(B151&lt;=Summary!$B$17,'Current Amortization Table'!E151*Summary!$E$6/12,-IF(C151&gt;Summary!$B$8,0,-'Current Amortization Table'!$L$4))</f>
        <v>0</v>
      </c>
      <c r="E151" s="4">
        <f t="shared" si="12"/>
        <v>0</v>
      </c>
      <c r="F151" s="4">
        <f t="shared" si="13"/>
        <v>0</v>
      </c>
      <c r="G151" s="4">
        <f>E151*Summary!$E$6/12</f>
        <v>0</v>
      </c>
      <c r="H151" s="4">
        <f>+IF(Summary!$B$8*12=B151,E151-F151,0)</f>
        <v>0</v>
      </c>
      <c r="I151" s="4">
        <f t="shared" si="14"/>
        <v>0</v>
      </c>
    </row>
    <row r="152" spans="2:9" x14ac:dyDescent="0.2">
      <c r="B152">
        <v>149</v>
      </c>
      <c r="C152">
        <f t="shared" si="15"/>
        <v>13</v>
      </c>
      <c r="D152" s="4">
        <f>+IF(B152&lt;=Summary!$B$17,'Current Amortization Table'!E152*Summary!$E$6/12,-IF(C152&gt;Summary!$B$8,0,-'Current Amortization Table'!$L$4))</f>
        <v>0</v>
      </c>
      <c r="E152" s="4">
        <f t="shared" si="12"/>
        <v>0</v>
      </c>
      <c r="F152" s="4">
        <f t="shared" si="13"/>
        <v>0</v>
      </c>
      <c r="G152" s="4">
        <f>E152*Summary!$E$6/12</f>
        <v>0</v>
      </c>
      <c r="H152" s="4">
        <f>+IF(Summary!$B$8*12=B152,E152-F152,0)</f>
        <v>0</v>
      </c>
      <c r="I152" s="4">
        <f t="shared" si="14"/>
        <v>0</v>
      </c>
    </row>
    <row r="153" spans="2:9" x14ac:dyDescent="0.2">
      <c r="B153">
        <v>150</v>
      </c>
      <c r="C153">
        <f t="shared" si="15"/>
        <v>13</v>
      </c>
      <c r="D153" s="4">
        <f>+IF(B153&lt;=Summary!$B$17,'Current Amortization Table'!E153*Summary!$E$6/12,-IF(C153&gt;Summary!$B$8,0,-'Current Amortization Table'!$L$4))</f>
        <v>0</v>
      </c>
      <c r="E153" s="4">
        <f t="shared" si="12"/>
        <v>0</v>
      </c>
      <c r="F153" s="4">
        <f t="shared" si="13"/>
        <v>0</v>
      </c>
      <c r="G153" s="4">
        <f>E153*Summary!$E$6/12</f>
        <v>0</v>
      </c>
      <c r="H153" s="4">
        <f>+IF(Summary!$B$8*12=B153,E153-F153,0)</f>
        <v>0</v>
      </c>
      <c r="I153" s="4">
        <f t="shared" si="14"/>
        <v>0</v>
      </c>
    </row>
    <row r="154" spans="2:9" x14ac:dyDescent="0.2">
      <c r="B154">
        <v>151</v>
      </c>
      <c r="C154">
        <f t="shared" si="15"/>
        <v>13</v>
      </c>
      <c r="D154" s="4">
        <f>+IF(B154&lt;=Summary!$B$17,'Current Amortization Table'!E154*Summary!$E$6/12,-IF(C154&gt;Summary!$B$8,0,-'Current Amortization Table'!$L$4))</f>
        <v>0</v>
      </c>
      <c r="E154" s="4">
        <f t="shared" si="12"/>
        <v>0</v>
      </c>
      <c r="F154" s="4">
        <f t="shared" si="13"/>
        <v>0</v>
      </c>
      <c r="G154" s="4">
        <f>E154*Summary!$E$6/12</f>
        <v>0</v>
      </c>
      <c r="H154" s="4">
        <f>+IF(Summary!$B$8*12=B154,E154-F154,0)</f>
        <v>0</v>
      </c>
      <c r="I154" s="4">
        <f t="shared" si="14"/>
        <v>0</v>
      </c>
    </row>
    <row r="155" spans="2:9" x14ac:dyDescent="0.2">
      <c r="B155">
        <v>152</v>
      </c>
      <c r="C155">
        <f t="shared" si="15"/>
        <v>13</v>
      </c>
      <c r="D155" s="4">
        <f>+IF(B155&lt;=Summary!$B$17,'Current Amortization Table'!E155*Summary!$E$6/12,-IF(C155&gt;Summary!$B$8,0,-'Current Amortization Table'!$L$4))</f>
        <v>0</v>
      </c>
      <c r="E155" s="4">
        <f t="shared" si="12"/>
        <v>0</v>
      </c>
      <c r="F155" s="4">
        <f t="shared" si="13"/>
        <v>0</v>
      </c>
      <c r="G155" s="4">
        <f>E155*Summary!$E$6/12</f>
        <v>0</v>
      </c>
      <c r="H155" s="4">
        <f>+IF(Summary!$B$8*12=B155,E155-F155,0)</f>
        <v>0</v>
      </c>
      <c r="I155" s="4">
        <f t="shared" si="14"/>
        <v>0</v>
      </c>
    </row>
    <row r="156" spans="2:9" x14ac:dyDescent="0.2">
      <c r="B156">
        <v>153</v>
      </c>
      <c r="C156">
        <f t="shared" si="15"/>
        <v>13</v>
      </c>
      <c r="D156" s="4">
        <f>+IF(B156&lt;=Summary!$B$17,'Current Amortization Table'!E156*Summary!$E$6/12,-IF(C156&gt;Summary!$B$8,0,-'Current Amortization Table'!$L$4))</f>
        <v>0</v>
      </c>
      <c r="E156" s="4">
        <f t="shared" si="12"/>
        <v>0</v>
      </c>
      <c r="F156" s="4">
        <f t="shared" si="13"/>
        <v>0</v>
      </c>
      <c r="G156" s="4">
        <f>E156*Summary!$E$6/12</f>
        <v>0</v>
      </c>
      <c r="H156" s="4">
        <f>+IF(Summary!$B$8*12=B156,E156-F156,0)</f>
        <v>0</v>
      </c>
      <c r="I156" s="4">
        <f t="shared" si="14"/>
        <v>0</v>
      </c>
    </row>
    <row r="157" spans="2:9" x14ac:dyDescent="0.2">
      <c r="B157">
        <v>154</v>
      </c>
      <c r="C157">
        <f t="shared" si="15"/>
        <v>13</v>
      </c>
      <c r="D157" s="4">
        <f>+IF(B157&lt;=Summary!$B$17,'Current Amortization Table'!E157*Summary!$E$6/12,-IF(C157&gt;Summary!$B$8,0,-'Current Amortization Table'!$L$4))</f>
        <v>0</v>
      </c>
      <c r="E157" s="4">
        <f t="shared" si="12"/>
        <v>0</v>
      </c>
      <c r="F157" s="4">
        <f t="shared" si="13"/>
        <v>0</v>
      </c>
      <c r="G157" s="4">
        <f>E157*Summary!$E$6/12</f>
        <v>0</v>
      </c>
      <c r="H157" s="4">
        <f>+IF(Summary!$B$8*12=B157,E157-F157,0)</f>
        <v>0</v>
      </c>
      <c r="I157" s="4">
        <f t="shared" si="14"/>
        <v>0</v>
      </c>
    </row>
    <row r="158" spans="2:9" x14ac:dyDescent="0.2">
      <c r="B158">
        <v>155</v>
      </c>
      <c r="C158">
        <f t="shared" si="15"/>
        <v>13</v>
      </c>
      <c r="D158" s="4">
        <f>+IF(B158&lt;=Summary!$B$17,'Current Amortization Table'!E158*Summary!$E$6/12,-IF(C158&gt;Summary!$B$8,0,-'Current Amortization Table'!$L$4))</f>
        <v>0</v>
      </c>
      <c r="E158" s="4">
        <f t="shared" si="12"/>
        <v>0</v>
      </c>
      <c r="F158" s="4">
        <f t="shared" si="13"/>
        <v>0</v>
      </c>
      <c r="G158" s="4">
        <f>E158*Summary!$E$6/12</f>
        <v>0</v>
      </c>
      <c r="H158" s="4">
        <f>+IF(Summary!$B$8*12=B158,E158-F158,0)</f>
        <v>0</v>
      </c>
      <c r="I158" s="4">
        <f t="shared" si="14"/>
        <v>0</v>
      </c>
    </row>
    <row r="159" spans="2:9" x14ac:dyDescent="0.2">
      <c r="B159">
        <v>156</v>
      </c>
      <c r="C159">
        <f t="shared" si="15"/>
        <v>13</v>
      </c>
      <c r="D159" s="4">
        <f>+IF(B159&lt;=Summary!$B$17,'Current Amortization Table'!E159*Summary!$E$6/12,-IF(C159&gt;Summary!$B$8,0,-'Current Amortization Table'!$L$4))</f>
        <v>0</v>
      </c>
      <c r="E159" s="4">
        <f t="shared" si="12"/>
        <v>0</v>
      </c>
      <c r="F159" s="4">
        <f t="shared" si="13"/>
        <v>0</v>
      </c>
      <c r="G159" s="4">
        <f>E159*Summary!$E$6/12</f>
        <v>0</v>
      </c>
      <c r="H159" s="4">
        <f>+IF(Summary!$B$8*12=B159,E159-F159,0)</f>
        <v>0</v>
      </c>
      <c r="I159" s="4">
        <f t="shared" si="14"/>
        <v>0</v>
      </c>
    </row>
    <row r="160" spans="2:9" x14ac:dyDescent="0.2">
      <c r="B160">
        <v>157</v>
      </c>
      <c r="C160">
        <f t="shared" si="15"/>
        <v>14</v>
      </c>
      <c r="D160" s="4">
        <f>+IF(B160&lt;=Summary!$B$17,'Current Amortization Table'!E160*Summary!$E$6/12,-IF(C160&gt;Summary!$B$8,0,-'Current Amortization Table'!$L$4))</f>
        <v>0</v>
      </c>
      <c r="E160" s="4">
        <f t="shared" si="12"/>
        <v>0</v>
      </c>
      <c r="F160" s="4">
        <f t="shared" si="13"/>
        <v>0</v>
      </c>
      <c r="G160" s="4">
        <f>E160*Summary!$E$6/12</f>
        <v>0</v>
      </c>
      <c r="H160" s="4">
        <f>+IF(Summary!$B$8*12=B160,E160-F160,0)</f>
        <v>0</v>
      </c>
      <c r="I160" s="4">
        <f t="shared" si="14"/>
        <v>0</v>
      </c>
    </row>
    <row r="161" spans="2:9" x14ac:dyDescent="0.2">
      <c r="B161">
        <v>158</v>
      </c>
      <c r="C161">
        <f t="shared" si="15"/>
        <v>14</v>
      </c>
      <c r="D161" s="4">
        <f>+IF(B161&lt;=Summary!$B$17,'Current Amortization Table'!E161*Summary!$E$6/12,-IF(C161&gt;Summary!$B$8,0,-'Current Amortization Table'!$L$4))</f>
        <v>0</v>
      </c>
      <c r="E161" s="4">
        <f t="shared" si="12"/>
        <v>0</v>
      </c>
      <c r="F161" s="4">
        <f t="shared" si="13"/>
        <v>0</v>
      </c>
      <c r="G161" s="4">
        <f>E161*Summary!$E$6/12</f>
        <v>0</v>
      </c>
      <c r="H161" s="4">
        <f>+IF(Summary!$B$8*12=B161,E161-F161,0)</f>
        <v>0</v>
      </c>
      <c r="I161" s="4">
        <f t="shared" si="14"/>
        <v>0</v>
      </c>
    </row>
    <row r="162" spans="2:9" x14ac:dyDescent="0.2">
      <c r="B162">
        <v>159</v>
      </c>
      <c r="C162">
        <f t="shared" si="15"/>
        <v>14</v>
      </c>
      <c r="D162" s="4">
        <f>+IF(B162&lt;=Summary!$B$17,'Current Amortization Table'!E162*Summary!$E$6/12,-IF(C162&gt;Summary!$B$8,0,-'Current Amortization Table'!$L$4))</f>
        <v>0</v>
      </c>
      <c r="E162" s="4">
        <f t="shared" si="12"/>
        <v>0</v>
      </c>
      <c r="F162" s="4">
        <f t="shared" si="13"/>
        <v>0</v>
      </c>
      <c r="G162" s="4">
        <f>E162*Summary!$E$6/12</f>
        <v>0</v>
      </c>
      <c r="H162" s="4">
        <f>+IF(Summary!$B$8*12=B162,E162-F162,0)</f>
        <v>0</v>
      </c>
      <c r="I162" s="4">
        <f t="shared" si="14"/>
        <v>0</v>
      </c>
    </row>
    <row r="163" spans="2:9" x14ac:dyDescent="0.2">
      <c r="B163">
        <v>160</v>
      </c>
      <c r="C163">
        <f t="shared" si="15"/>
        <v>14</v>
      </c>
      <c r="D163" s="4">
        <f>+IF(B163&lt;=Summary!$B$17,'Current Amortization Table'!E163*Summary!$E$6/12,-IF(C163&gt;Summary!$B$8,0,-'Current Amortization Table'!$L$4))</f>
        <v>0</v>
      </c>
      <c r="E163" s="4">
        <f t="shared" si="12"/>
        <v>0</v>
      </c>
      <c r="F163" s="4">
        <f t="shared" si="13"/>
        <v>0</v>
      </c>
      <c r="G163" s="4">
        <f>E163*Summary!$E$6/12</f>
        <v>0</v>
      </c>
      <c r="H163" s="4">
        <f>+IF(Summary!$B$8*12=B163,E163-F163,0)</f>
        <v>0</v>
      </c>
      <c r="I163" s="4">
        <f t="shared" si="14"/>
        <v>0</v>
      </c>
    </row>
    <row r="164" spans="2:9" x14ac:dyDescent="0.2">
      <c r="B164">
        <v>161</v>
      </c>
      <c r="C164">
        <f t="shared" si="15"/>
        <v>14</v>
      </c>
      <c r="D164" s="4">
        <f>+IF(B164&lt;=Summary!$B$17,'Current Amortization Table'!E164*Summary!$E$6/12,-IF(C164&gt;Summary!$B$8,0,-'Current Amortization Table'!$L$4))</f>
        <v>0</v>
      </c>
      <c r="E164" s="4">
        <f t="shared" si="12"/>
        <v>0</v>
      </c>
      <c r="F164" s="4">
        <f t="shared" si="13"/>
        <v>0</v>
      </c>
      <c r="G164" s="4">
        <f>E164*Summary!$E$6/12</f>
        <v>0</v>
      </c>
      <c r="H164" s="4">
        <f>+IF(Summary!$B$8*12=B164,E164-F164,0)</f>
        <v>0</v>
      </c>
      <c r="I164" s="4">
        <f t="shared" si="14"/>
        <v>0</v>
      </c>
    </row>
    <row r="165" spans="2:9" x14ac:dyDescent="0.2">
      <c r="B165">
        <v>162</v>
      </c>
      <c r="C165">
        <f t="shared" si="15"/>
        <v>14</v>
      </c>
      <c r="D165" s="4">
        <f>+IF(B165&lt;=Summary!$B$17,'Current Amortization Table'!E165*Summary!$E$6/12,-IF(C165&gt;Summary!$B$8,0,-'Current Amortization Table'!$L$4))</f>
        <v>0</v>
      </c>
      <c r="E165" s="4">
        <f t="shared" si="12"/>
        <v>0</v>
      </c>
      <c r="F165" s="4">
        <f t="shared" si="13"/>
        <v>0</v>
      </c>
      <c r="G165" s="4">
        <f>E165*Summary!$E$6/12</f>
        <v>0</v>
      </c>
      <c r="H165" s="4">
        <f>+IF(Summary!$B$8*12=B165,E165-F165,0)</f>
        <v>0</v>
      </c>
      <c r="I165" s="4">
        <f t="shared" si="14"/>
        <v>0</v>
      </c>
    </row>
    <row r="166" spans="2:9" x14ac:dyDescent="0.2">
      <c r="B166">
        <v>163</v>
      </c>
      <c r="C166">
        <f t="shared" si="15"/>
        <v>14</v>
      </c>
      <c r="D166" s="4">
        <f>+IF(B166&lt;=Summary!$B$17,'Current Amortization Table'!E166*Summary!$E$6/12,-IF(C166&gt;Summary!$B$8,0,-'Current Amortization Table'!$L$4))</f>
        <v>0</v>
      </c>
      <c r="E166" s="4">
        <f t="shared" si="12"/>
        <v>0</v>
      </c>
      <c r="F166" s="4">
        <f t="shared" si="13"/>
        <v>0</v>
      </c>
      <c r="G166" s="4">
        <f>E166*Summary!$E$6/12</f>
        <v>0</v>
      </c>
      <c r="H166" s="4">
        <f>+IF(Summary!$B$8*12=B166,E166-F166,0)</f>
        <v>0</v>
      </c>
      <c r="I166" s="4">
        <f t="shared" si="14"/>
        <v>0</v>
      </c>
    </row>
    <row r="167" spans="2:9" x14ac:dyDescent="0.2">
      <c r="B167">
        <v>164</v>
      </c>
      <c r="C167">
        <f t="shared" si="15"/>
        <v>14</v>
      </c>
      <c r="D167" s="4">
        <f>+IF(B167&lt;=Summary!$B$17,'Current Amortization Table'!E167*Summary!$E$6/12,-IF(C167&gt;Summary!$B$8,0,-'Current Amortization Table'!$L$4))</f>
        <v>0</v>
      </c>
      <c r="E167" s="4">
        <f t="shared" si="12"/>
        <v>0</v>
      </c>
      <c r="F167" s="4">
        <f t="shared" si="13"/>
        <v>0</v>
      </c>
      <c r="G167" s="4">
        <f>E167*Summary!$E$6/12</f>
        <v>0</v>
      </c>
      <c r="H167" s="4">
        <f>+IF(Summary!$B$8*12=B167,E167-F167,0)</f>
        <v>0</v>
      </c>
      <c r="I167" s="4">
        <f t="shared" si="14"/>
        <v>0</v>
      </c>
    </row>
    <row r="168" spans="2:9" x14ac:dyDescent="0.2">
      <c r="B168">
        <v>165</v>
      </c>
      <c r="C168">
        <f t="shared" si="15"/>
        <v>14</v>
      </c>
      <c r="D168" s="4">
        <f>+IF(B168&lt;=Summary!$B$17,'Current Amortization Table'!E168*Summary!$E$6/12,-IF(C168&gt;Summary!$B$8,0,-'Current Amortization Table'!$L$4))</f>
        <v>0</v>
      </c>
      <c r="E168" s="4">
        <f t="shared" si="12"/>
        <v>0</v>
      </c>
      <c r="F168" s="4">
        <f t="shared" si="13"/>
        <v>0</v>
      </c>
      <c r="G168" s="4">
        <f>E168*Summary!$E$6/12</f>
        <v>0</v>
      </c>
      <c r="H168" s="4">
        <f>+IF(Summary!$B$8*12=B168,E168-F168,0)</f>
        <v>0</v>
      </c>
      <c r="I168" s="4">
        <f t="shared" si="14"/>
        <v>0</v>
      </c>
    </row>
    <row r="169" spans="2:9" x14ac:dyDescent="0.2">
      <c r="B169">
        <v>166</v>
      </c>
      <c r="C169">
        <f t="shared" si="15"/>
        <v>14</v>
      </c>
      <c r="D169" s="4">
        <f>+IF(B169&lt;=Summary!$B$17,'Current Amortization Table'!E169*Summary!$E$6/12,-IF(C169&gt;Summary!$B$8,0,-'Current Amortization Table'!$L$4))</f>
        <v>0</v>
      </c>
      <c r="E169" s="4">
        <f t="shared" si="12"/>
        <v>0</v>
      </c>
      <c r="F169" s="4">
        <f t="shared" si="13"/>
        <v>0</v>
      </c>
      <c r="G169" s="4">
        <f>E169*Summary!$E$6/12</f>
        <v>0</v>
      </c>
      <c r="H169" s="4">
        <f>+IF(Summary!$B$8*12=B169,E169-F169,0)</f>
        <v>0</v>
      </c>
      <c r="I169" s="4">
        <f t="shared" si="14"/>
        <v>0</v>
      </c>
    </row>
    <row r="170" spans="2:9" x14ac:dyDescent="0.2">
      <c r="B170">
        <v>167</v>
      </c>
      <c r="C170">
        <f t="shared" si="15"/>
        <v>14</v>
      </c>
      <c r="D170" s="4">
        <f>+IF(B170&lt;=Summary!$B$17,'Current Amortization Table'!E170*Summary!$E$6/12,-IF(C170&gt;Summary!$B$8,0,-'Current Amortization Table'!$L$4))</f>
        <v>0</v>
      </c>
      <c r="E170" s="4">
        <f t="shared" si="12"/>
        <v>0</v>
      </c>
      <c r="F170" s="4">
        <f t="shared" si="13"/>
        <v>0</v>
      </c>
      <c r="G170" s="4">
        <f>E170*Summary!$E$6/12</f>
        <v>0</v>
      </c>
      <c r="H170" s="4">
        <f>+IF(Summary!$B$8*12=B170,E170-F170,0)</f>
        <v>0</v>
      </c>
      <c r="I170" s="4">
        <f t="shared" si="14"/>
        <v>0</v>
      </c>
    </row>
    <row r="171" spans="2:9" x14ac:dyDescent="0.2">
      <c r="B171">
        <v>168</v>
      </c>
      <c r="C171">
        <f t="shared" si="15"/>
        <v>14</v>
      </c>
      <c r="D171" s="4">
        <f>+IF(B171&lt;=Summary!$B$17,'Current Amortization Table'!E171*Summary!$E$6/12,-IF(C171&gt;Summary!$B$8,0,-'Current Amortization Table'!$L$4))</f>
        <v>0</v>
      </c>
      <c r="E171" s="4">
        <f t="shared" si="12"/>
        <v>0</v>
      </c>
      <c r="F171" s="4">
        <f t="shared" si="13"/>
        <v>0</v>
      </c>
      <c r="G171" s="4">
        <f>E171*Summary!$E$6/12</f>
        <v>0</v>
      </c>
      <c r="H171" s="4">
        <f>+IF(Summary!$B$8*12=B171,E171-F171,0)</f>
        <v>0</v>
      </c>
      <c r="I171" s="4">
        <f t="shared" si="14"/>
        <v>0</v>
      </c>
    </row>
    <row r="172" spans="2:9" x14ac:dyDescent="0.2">
      <c r="B172">
        <v>169</v>
      </c>
      <c r="C172">
        <f t="shared" si="15"/>
        <v>15</v>
      </c>
      <c r="D172" s="4">
        <f>+IF(B172&lt;=Summary!$B$17,'Current Amortization Table'!E172*Summary!$E$6/12,-IF(C172&gt;Summary!$B$8,0,-'Current Amortization Table'!$L$4))</f>
        <v>0</v>
      </c>
      <c r="E172" s="4">
        <f t="shared" si="12"/>
        <v>0</v>
      </c>
      <c r="F172" s="4">
        <f t="shared" si="13"/>
        <v>0</v>
      </c>
      <c r="G172" s="4">
        <f>E172*Summary!$E$6/12</f>
        <v>0</v>
      </c>
      <c r="H172" s="4">
        <f>+IF(Summary!$B$8*12=B172,E172-F172,0)</f>
        <v>0</v>
      </c>
      <c r="I172" s="4">
        <f t="shared" si="14"/>
        <v>0</v>
      </c>
    </row>
    <row r="173" spans="2:9" x14ac:dyDescent="0.2">
      <c r="B173">
        <v>170</v>
      </c>
      <c r="C173">
        <f t="shared" si="15"/>
        <v>15</v>
      </c>
      <c r="D173" s="4">
        <f>+IF(B173&lt;=Summary!$B$17,'Current Amortization Table'!E173*Summary!$E$6/12,-IF(C173&gt;Summary!$B$8,0,-'Current Amortization Table'!$L$4))</f>
        <v>0</v>
      </c>
      <c r="E173" s="4">
        <f t="shared" si="12"/>
        <v>0</v>
      </c>
      <c r="F173" s="4">
        <f t="shared" si="13"/>
        <v>0</v>
      </c>
      <c r="G173" s="4">
        <f>E173*Summary!$E$6/12</f>
        <v>0</v>
      </c>
      <c r="H173" s="4">
        <f>+IF(Summary!$B$8*12=B173,E173-F173,0)</f>
        <v>0</v>
      </c>
      <c r="I173" s="4">
        <f t="shared" si="14"/>
        <v>0</v>
      </c>
    </row>
    <row r="174" spans="2:9" x14ac:dyDescent="0.2">
      <c r="B174">
        <v>171</v>
      </c>
      <c r="C174">
        <f t="shared" si="15"/>
        <v>15</v>
      </c>
      <c r="D174" s="4">
        <f>+IF(B174&lt;=Summary!$B$17,'Current Amortization Table'!E174*Summary!$E$6/12,-IF(C174&gt;Summary!$B$8,0,-'Current Amortization Table'!$L$4))</f>
        <v>0</v>
      </c>
      <c r="E174" s="4">
        <f t="shared" si="12"/>
        <v>0</v>
      </c>
      <c r="F174" s="4">
        <f t="shared" si="13"/>
        <v>0</v>
      </c>
      <c r="G174" s="4">
        <f>E174*Summary!$E$6/12</f>
        <v>0</v>
      </c>
      <c r="H174" s="4">
        <f>+IF(Summary!$B$8*12=B174,E174-F174,0)</f>
        <v>0</v>
      </c>
      <c r="I174" s="4">
        <f t="shared" si="14"/>
        <v>0</v>
      </c>
    </row>
    <row r="175" spans="2:9" x14ac:dyDescent="0.2">
      <c r="B175">
        <v>172</v>
      </c>
      <c r="C175">
        <f t="shared" si="15"/>
        <v>15</v>
      </c>
      <c r="D175" s="4">
        <f>+IF(B175&lt;=Summary!$B$17,'Current Amortization Table'!E175*Summary!$E$6/12,-IF(C175&gt;Summary!$B$8,0,-'Current Amortization Table'!$L$4))</f>
        <v>0</v>
      </c>
      <c r="E175" s="4">
        <f t="shared" si="12"/>
        <v>0</v>
      </c>
      <c r="F175" s="4">
        <f t="shared" si="13"/>
        <v>0</v>
      </c>
      <c r="G175" s="4">
        <f>E175*Summary!$E$6/12</f>
        <v>0</v>
      </c>
      <c r="H175" s="4">
        <f>+IF(Summary!$B$8*12=B175,E175-F175,0)</f>
        <v>0</v>
      </c>
      <c r="I175" s="4">
        <f t="shared" si="14"/>
        <v>0</v>
      </c>
    </row>
    <row r="176" spans="2:9" x14ac:dyDescent="0.2">
      <c r="B176">
        <v>173</v>
      </c>
      <c r="C176">
        <f t="shared" si="15"/>
        <v>15</v>
      </c>
      <c r="D176" s="4">
        <f>+IF(B176&lt;=Summary!$B$17,'Current Amortization Table'!E176*Summary!$E$6/12,-IF(C176&gt;Summary!$B$8,0,-'Current Amortization Table'!$L$4))</f>
        <v>0</v>
      </c>
      <c r="E176" s="4">
        <f t="shared" si="12"/>
        <v>0</v>
      </c>
      <c r="F176" s="4">
        <f t="shared" si="13"/>
        <v>0</v>
      </c>
      <c r="G176" s="4">
        <f>E176*Summary!$E$6/12</f>
        <v>0</v>
      </c>
      <c r="H176" s="4">
        <f>+IF(Summary!$B$8*12=B176,E176-F176,0)</f>
        <v>0</v>
      </c>
      <c r="I176" s="4">
        <f t="shared" si="14"/>
        <v>0</v>
      </c>
    </row>
    <row r="177" spans="2:9" x14ac:dyDescent="0.2">
      <c r="B177">
        <v>174</v>
      </c>
      <c r="C177">
        <f t="shared" si="15"/>
        <v>15</v>
      </c>
      <c r="D177" s="4">
        <f>+IF(B177&lt;=Summary!$B$17,'Current Amortization Table'!E177*Summary!$E$6/12,-IF(C177&gt;Summary!$B$8,0,-'Current Amortization Table'!$L$4))</f>
        <v>0</v>
      </c>
      <c r="E177" s="4">
        <f t="shared" si="12"/>
        <v>0</v>
      </c>
      <c r="F177" s="4">
        <f t="shared" si="13"/>
        <v>0</v>
      </c>
      <c r="G177" s="4">
        <f>E177*Summary!$E$6/12</f>
        <v>0</v>
      </c>
      <c r="H177" s="4">
        <f>+IF(Summary!$B$8*12=B177,E177-F177,0)</f>
        <v>0</v>
      </c>
      <c r="I177" s="4">
        <f t="shared" si="14"/>
        <v>0</v>
      </c>
    </row>
    <row r="178" spans="2:9" x14ac:dyDescent="0.2">
      <c r="B178">
        <v>175</v>
      </c>
      <c r="C178">
        <f t="shared" si="15"/>
        <v>15</v>
      </c>
      <c r="D178" s="4">
        <f>+IF(B178&lt;=Summary!$B$17,'Current Amortization Table'!E178*Summary!$E$6/12,-IF(C178&gt;Summary!$B$8,0,-'Current Amortization Table'!$L$4))</f>
        <v>0</v>
      </c>
      <c r="E178" s="4">
        <f t="shared" si="12"/>
        <v>0</v>
      </c>
      <c r="F178" s="4">
        <f t="shared" si="13"/>
        <v>0</v>
      </c>
      <c r="G178" s="4">
        <f>E178*Summary!$E$6/12</f>
        <v>0</v>
      </c>
      <c r="H178" s="4">
        <f>+IF(Summary!$B$8*12=B178,E178-F178,0)</f>
        <v>0</v>
      </c>
      <c r="I178" s="4">
        <f t="shared" si="14"/>
        <v>0</v>
      </c>
    </row>
    <row r="179" spans="2:9" x14ac:dyDescent="0.2">
      <c r="B179">
        <v>176</v>
      </c>
      <c r="C179">
        <f t="shared" si="15"/>
        <v>15</v>
      </c>
      <c r="D179" s="4">
        <f>+IF(B179&lt;=Summary!$B$17,'Current Amortization Table'!E179*Summary!$E$6/12,-IF(C179&gt;Summary!$B$8,0,-'Current Amortization Table'!$L$4))</f>
        <v>0</v>
      </c>
      <c r="E179" s="4">
        <f t="shared" si="12"/>
        <v>0</v>
      </c>
      <c r="F179" s="4">
        <f t="shared" si="13"/>
        <v>0</v>
      </c>
      <c r="G179" s="4">
        <f>E179*Summary!$E$6/12</f>
        <v>0</v>
      </c>
      <c r="H179" s="4">
        <f>+IF(Summary!$B$8*12=B179,E179-F179,0)</f>
        <v>0</v>
      </c>
      <c r="I179" s="4">
        <f t="shared" si="14"/>
        <v>0</v>
      </c>
    </row>
    <row r="180" spans="2:9" x14ac:dyDescent="0.2">
      <c r="B180">
        <v>177</v>
      </c>
      <c r="C180">
        <f t="shared" si="15"/>
        <v>15</v>
      </c>
      <c r="D180" s="4">
        <f>+IF(B180&lt;=Summary!$B$17,'Current Amortization Table'!E180*Summary!$E$6/12,-IF(C180&gt;Summary!$B$8,0,-'Current Amortization Table'!$L$4))</f>
        <v>0</v>
      </c>
      <c r="E180" s="4">
        <f t="shared" si="12"/>
        <v>0</v>
      </c>
      <c r="F180" s="4">
        <f t="shared" si="13"/>
        <v>0</v>
      </c>
      <c r="G180" s="4">
        <f>E180*Summary!$E$6/12</f>
        <v>0</v>
      </c>
      <c r="H180" s="4">
        <f>+IF(Summary!$B$8*12=B180,E180-F180,0)</f>
        <v>0</v>
      </c>
      <c r="I180" s="4">
        <f t="shared" si="14"/>
        <v>0</v>
      </c>
    </row>
    <row r="181" spans="2:9" x14ac:dyDescent="0.2">
      <c r="B181">
        <v>178</v>
      </c>
      <c r="C181">
        <f t="shared" si="15"/>
        <v>15</v>
      </c>
      <c r="D181" s="4">
        <f>+IF(B181&lt;=Summary!$B$17,'Current Amortization Table'!E181*Summary!$E$6/12,-IF(C181&gt;Summary!$B$8,0,-'Current Amortization Table'!$L$4))</f>
        <v>0</v>
      </c>
      <c r="E181" s="4">
        <f t="shared" si="12"/>
        <v>0</v>
      </c>
      <c r="F181" s="4">
        <f t="shared" si="13"/>
        <v>0</v>
      </c>
      <c r="G181" s="4">
        <f>E181*Summary!$E$6/12</f>
        <v>0</v>
      </c>
      <c r="H181" s="4">
        <f>+IF(Summary!$B$8*12=B181,E181-F181,0)</f>
        <v>0</v>
      </c>
      <c r="I181" s="4">
        <f t="shared" si="14"/>
        <v>0</v>
      </c>
    </row>
    <row r="182" spans="2:9" x14ac:dyDescent="0.2">
      <c r="B182">
        <v>179</v>
      </c>
      <c r="C182">
        <f t="shared" si="15"/>
        <v>15</v>
      </c>
      <c r="D182" s="4">
        <f>+IF(B182&lt;=Summary!$B$17,'Current Amortization Table'!E182*Summary!$E$6/12,-IF(C182&gt;Summary!$B$8,0,-'Current Amortization Table'!$L$4))</f>
        <v>0</v>
      </c>
      <c r="E182" s="4">
        <f t="shared" si="12"/>
        <v>0</v>
      </c>
      <c r="F182" s="4">
        <f t="shared" si="13"/>
        <v>0</v>
      </c>
      <c r="G182" s="4">
        <f>E182*Summary!$E$6/12</f>
        <v>0</v>
      </c>
      <c r="H182" s="4">
        <f>+IF(Summary!$B$8*12=B182,E182-F182,0)</f>
        <v>0</v>
      </c>
      <c r="I182" s="4">
        <f t="shared" si="14"/>
        <v>0</v>
      </c>
    </row>
    <row r="183" spans="2:9" x14ac:dyDescent="0.2">
      <c r="B183">
        <v>180</v>
      </c>
      <c r="C183">
        <f t="shared" si="15"/>
        <v>15</v>
      </c>
      <c r="D183" s="4">
        <f>+IF(B183&lt;=Summary!$B$17,'Current Amortization Table'!E183*Summary!$E$6/12,-IF(C183&gt;Summary!$B$8,0,-'Current Amortization Table'!$L$4))</f>
        <v>0</v>
      </c>
      <c r="E183" s="4">
        <f t="shared" si="12"/>
        <v>0</v>
      </c>
      <c r="F183" s="4">
        <f t="shared" si="13"/>
        <v>0</v>
      </c>
      <c r="G183" s="4">
        <f>E183*Summary!$E$6/12</f>
        <v>0</v>
      </c>
      <c r="H183" s="4">
        <f>+IF(Summary!$B$8*12=B183,E183-F183,0)</f>
        <v>0</v>
      </c>
      <c r="I183" s="4">
        <f t="shared" si="14"/>
        <v>0</v>
      </c>
    </row>
    <row r="184" spans="2:9" x14ac:dyDescent="0.2">
      <c r="B184">
        <v>181</v>
      </c>
      <c r="C184">
        <f t="shared" si="15"/>
        <v>16</v>
      </c>
      <c r="D184" s="4">
        <f>+IF(B184&lt;=Summary!$B$17,'Current Amortization Table'!E184*Summary!$E$6/12,-IF(C184&gt;Summary!$B$8,0,-'Current Amortization Table'!$L$4))</f>
        <v>0</v>
      </c>
      <c r="E184" s="4">
        <f t="shared" si="12"/>
        <v>0</v>
      </c>
      <c r="F184" s="4">
        <f t="shared" si="13"/>
        <v>0</v>
      </c>
      <c r="G184" s="4">
        <f>E184*Summary!$E$6/12</f>
        <v>0</v>
      </c>
      <c r="H184" s="4">
        <f>+IF(Summary!$B$8*12=B184,E184-F184,0)</f>
        <v>0</v>
      </c>
      <c r="I184" s="4">
        <f t="shared" si="14"/>
        <v>0</v>
      </c>
    </row>
    <row r="185" spans="2:9" x14ac:dyDescent="0.2">
      <c r="B185">
        <v>182</v>
      </c>
      <c r="C185">
        <f t="shared" si="15"/>
        <v>16</v>
      </c>
      <c r="D185" s="4">
        <f>+IF(B185&lt;=Summary!$B$17,'Current Amortization Table'!E185*Summary!$E$6/12,-IF(C185&gt;Summary!$B$8,0,-'Current Amortization Table'!$L$4))</f>
        <v>0</v>
      </c>
      <c r="E185" s="4">
        <f t="shared" si="12"/>
        <v>0</v>
      </c>
      <c r="F185" s="4">
        <f t="shared" si="13"/>
        <v>0</v>
      </c>
      <c r="G185" s="4">
        <f>E185*Summary!$E$6/12</f>
        <v>0</v>
      </c>
      <c r="H185" s="4">
        <f>+IF(Summary!$B$8*12=B185,E185-F185,0)</f>
        <v>0</v>
      </c>
      <c r="I185" s="4">
        <f t="shared" si="14"/>
        <v>0</v>
      </c>
    </row>
    <row r="186" spans="2:9" x14ac:dyDescent="0.2">
      <c r="B186">
        <v>183</v>
      </c>
      <c r="C186">
        <f t="shared" si="15"/>
        <v>16</v>
      </c>
      <c r="D186" s="4">
        <f>+IF(B186&lt;=Summary!$B$17,'Current Amortization Table'!E186*Summary!$E$6/12,-IF(C186&gt;Summary!$B$8,0,-'Current Amortization Table'!$L$4))</f>
        <v>0</v>
      </c>
      <c r="E186" s="4">
        <f t="shared" si="12"/>
        <v>0</v>
      </c>
      <c r="F186" s="4">
        <f t="shared" si="13"/>
        <v>0</v>
      </c>
      <c r="G186" s="4">
        <f>E186*Summary!$E$6/12</f>
        <v>0</v>
      </c>
      <c r="H186" s="4">
        <f>+IF(Summary!$B$8*12=B186,E186-F186,0)</f>
        <v>0</v>
      </c>
      <c r="I186" s="4">
        <f t="shared" si="14"/>
        <v>0</v>
      </c>
    </row>
    <row r="187" spans="2:9" x14ac:dyDescent="0.2">
      <c r="B187">
        <v>184</v>
      </c>
      <c r="C187">
        <f t="shared" si="15"/>
        <v>16</v>
      </c>
      <c r="D187" s="4">
        <f>+IF(B187&lt;=Summary!$B$17,'Current Amortization Table'!E187*Summary!$E$6/12,-IF(C187&gt;Summary!$B$8,0,-'Current Amortization Table'!$L$4))</f>
        <v>0</v>
      </c>
      <c r="E187" s="4">
        <f t="shared" si="12"/>
        <v>0</v>
      </c>
      <c r="F187" s="4">
        <f t="shared" si="13"/>
        <v>0</v>
      </c>
      <c r="G187" s="4">
        <f>E187*Summary!$E$6/12</f>
        <v>0</v>
      </c>
      <c r="H187" s="4">
        <f>+IF(Summary!$B$8*12=B187,E187-F187,0)</f>
        <v>0</v>
      </c>
      <c r="I187" s="4">
        <f t="shared" si="14"/>
        <v>0</v>
      </c>
    </row>
    <row r="188" spans="2:9" x14ac:dyDescent="0.2">
      <c r="B188">
        <v>185</v>
      </c>
      <c r="C188">
        <f t="shared" si="15"/>
        <v>16</v>
      </c>
      <c r="D188" s="4">
        <f>+IF(B188&lt;=Summary!$B$17,'Current Amortization Table'!E188*Summary!$E$6/12,-IF(C188&gt;Summary!$B$8,0,-'Current Amortization Table'!$L$4))</f>
        <v>0</v>
      </c>
      <c r="E188" s="4">
        <f t="shared" si="12"/>
        <v>0</v>
      </c>
      <c r="F188" s="4">
        <f t="shared" si="13"/>
        <v>0</v>
      </c>
      <c r="G188" s="4">
        <f>E188*Summary!$E$6/12</f>
        <v>0</v>
      </c>
      <c r="H188" s="4">
        <f>+IF(Summary!$B$8*12=B188,E188-F188,0)</f>
        <v>0</v>
      </c>
      <c r="I188" s="4">
        <f t="shared" si="14"/>
        <v>0</v>
      </c>
    </row>
    <row r="189" spans="2:9" x14ac:dyDescent="0.2">
      <c r="B189">
        <v>186</v>
      </c>
      <c r="C189">
        <f t="shared" si="15"/>
        <v>16</v>
      </c>
      <c r="D189" s="4">
        <f>+IF(B189&lt;=Summary!$B$17,'Current Amortization Table'!E189*Summary!$E$6/12,-IF(C189&gt;Summary!$B$8,0,-'Current Amortization Table'!$L$4))</f>
        <v>0</v>
      </c>
      <c r="E189" s="4">
        <f t="shared" si="12"/>
        <v>0</v>
      </c>
      <c r="F189" s="4">
        <f t="shared" si="13"/>
        <v>0</v>
      </c>
      <c r="G189" s="4">
        <f>E189*Summary!$E$6/12</f>
        <v>0</v>
      </c>
      <c r="H189" s="4">
        <f>+IF(Summary!$B$8*12=B189,E189-F189,0)</f>
        <v>0</v>
      </c>
      <c r="I189" s="4">
        <f t="shared" si="14"/>
        <v>0</v>
      </c>
    </row>
    <row r="190" spans="2:9" x14ac:dyDescent="0.2">
      <c r="B190">
        <v>187</v>
      </c>
      <c r="C190">
        <f t="shared" si="15"/>
        <v>16</v>
      </c>
      <c r="D190" s="4">
        <f>+IF(B190&lt;=Summary!$B$17,'Current Amortization Table'!E190*Summary!$E$6/12,-IF(C190&gt;Summary!$B$8,0,-'Current Amortization Table'!$L$4))</f>
        <v>0</v>
      </c>
      <c r="E190" s="4">
        <f t="shared" si="12"/>
        <v>0</v>
      </c>
      <c r="F190" s="4">
        <f t="shared" si="13"/>
        <v>0</v>
      </c>
      <c r="G190" s="4">
        <f>E190*Summary!$E$6/12</f>
        <v>0</v>
      </c>
      <c r="H190" s="4">
        <f>+IF(Summary!$B$8*12=B190,E190-F190,0)</f>
        <v>0</v>
      </c>
      <c r="I190" s="4">
        <f t="shared" si="14"/>
        <v>0</v>
      </c>
    </row>
    <row r="191" spans="2:9" x14ac:dyDescent="0.2">
      <c r="B191">
        <v>188</v>
      </c>
      <c r="C191">
        <f t="shared" si="15"/>
        <v>16</v>
      </c>
      <c r="D191" s="4">
        <f>+IF(B191&lt;=Summary!$B$17,'Current Amortization Table'!E191*Summary!$E$6/12,-IF(C191&gt;Summary!$B$8,0,-'Current Amortization Table'!$L$4))</f>
        <v>0</v>
      </c>
      <c r="E191" s="4">
        <f t="shared" si="12"/>
        <v>0</v>
      </c>
      <c r="F191" s="4">
        <f t="shared" si="13"/>
        <v>0</v>
      </c>
      <c r="G191" s="4">
        <f>E191*Summary!$E$6/12</f>
        <v>0</v>
      </c>
      <c r="H191" s="4">
        <f>+IF(Summary!$B$8*12=B191,E191-F191,0)</f>
        <v>0</v>
      </c>
      <c r="I191" s="4">
        <f t="shared" si="14"/>
        <v>0</v>
      </c>
    </row>
    <row r="192" spans="2:9" x14ac:dyDescent="0.2">
      <c r="B192">
        <v>189</v>
      </c>
      <c r="C192">
        <f t="shared" si="15"/>
        <v>16</v>
      </c>
      <c r="D192" s="4">
        <f>+IF(B192&lt;=Summary!$B$17,'Current Amortization Table'!E192*Summary!$E$6/12,-IF(C192&gt;Summary!$B$8,0,-'Current Amortization Table'!$L$4))</f>
        <v>0</v>
      </c>
      <c r="E192" s="4">
        <f t="shared" si="12"/>
        <v>0</v>
      </c>
      <c r="F192" s="4">
        <f t="shared" si="13"/>
        <v>0</v>
      </c>
      <c r="G192" s="4">
        <f>E192*Summary!$E$6/12</f>
        <v>0</v>
      </c>
      <c r="H192" s="4">
        <f>+IF(Summary!$B$8*12=B192,E192-F192,0)</f>
        <v>0</v>
      </c>
      <c r="I192" s="4">
        <f t="shared" si="14"/>
        <v>0</v>
      </c>
    </row>
    <row r="193" spans="2:9" x14ac:dyDescent="0.2">
      <c r="B193">
        <v>190</v>
      </c>
      <c r="C193">
        <f t="shared" si="15"/>
        <v>16</v>
      </c>
      <c r="D193" s="4">
        <f>+IF(B193&lt;=Summary!$B$17,'Current Amortization Table'!E193*Summary!$E$6/12,-IF(C193&gt;Summary!$B$8,0,-'Current Amortization Table'!$L$4))</f>
        <v>0</v>
      </c>
      <c r="E193" s="4">
        <f t="shared" ref="E193:E256" si="16">+I192</f>
        <v>0</v>
      </c>
      <c r="F193" s="4">
        <f t="shared" ref="F193:F256" si="17">+D193-G193</f>
        <v>0</v>
      </c>
      <c r="G193" s="4">
        <f>E193*Summary!$E$6/12</f>
        <v>0</v>
      </c>
      <c r="H193" s="4">
        <f>+IF(Summary!$B$8*12=B193,E193-F193,0)</f>
        <v>0</v>
      </c>
      <c r="I193" s="4">
        <f t="shared" ref="I193:I256" si="18">+E193-F193-H193</f>
        <v>0</v>
      </c>
    </row>
    <row r="194" spans="2:9" x14ac:dyDescent="0.2">
      <c r="B194">
        <v>191</v>
      </c>
      <c r="C194">
        <f t="shared" si="15"/>
        <v>16</v>
      </c>
      <c r="D194" s="4">
        <f>+IF(B194&lt;=Summary!$B$17,'Current Amortization Table'!E194*Summary!$E$6/12,-IF(C194&gt;Summary!$B$8,0,-'Current Amortization Table'!$L$4))</f>
        <v>0</v>
      </c>
      <c r="E194" s="4">
        <f t="shared" si="16"/>
        <v>0</v>
      </c>
      <c r="F194" s="4">
        <f t="shared" si="17"/>
        <v>0</v>
      </c>
      <c r="G194" s="4">
        <f>E194*Summary!$E$6/12</f>
        <v>0</v>
      </c>
      <c r="H194" s="4">
        <f>+IF(Summary!$B$8*12=B194,E194-F194,0)</f>
        <v>0</v>
      </c>
      <c r="I194" s="4">
        <f t="shared" si="18"/>
        <v>0</v>
      </c>
    </row>
    <row r="195" spans="2:9" x14ac:dyDescent="0.2">
      <c r="B195">
        <v>192</v>
      </c>
      <c r="C195">
        <f t="shared" si="15"/>
        <v>16</v>
      </c>
      <c r="D195" s="4">
        <f>+IF(B195&lt;=Summary!$B$17,'Current Amortization Table'!E195*Summary!$E$6/12,-IF(C195&gt;Summary!$B$8,0,-'Current Amortization Table'!$L$4))</f>
        <v>0</v>
      </c>
      <c r="E195" s="4">
        <f t="shared" si="16"/>
        <v>0</v>
      </c>
      <c r="F195" s="4">
        <f t="shared" si="17"/>
        <v>0</v>
      </c>
      <c r="G195" s="4">
        <f>E195*Summary!$E$6/12</f>
        <v>0</v>
      </c>
      <c r="H195" s="4">
        <f>+IF(Summary!$B$8*12=B195,E195-F195,0)</f>
        <v>0</v>
      </c>
      <c r="I195" s="4">
        <f t="shared" si="18"/>
        <v>0</v>
      </c>
    </row>
    <row r="196" spans="2:9" x14ac:dyDescent="0.2">
      <c r="B196">
        <v>193</v>
      </c>
      <c r="C196">
        <f t="shared" si="15"/>
        <v>17</v>
      </c>
      <c r="D196" s="4">
        <f>+IF(B196&lt;=Summary!$B$17,'Current Amortization Table'!E196*Summary!$E$6/12,-IF(C196&gt;Summary!$B$8,0,-'Current Amortization Table'!$L$4))</f>
        <v>0</v>
      </c>
      <c r="E196" s="4">
        <f t="shared" si="16"/>
        <v>0</v>
      </c>
      <c r="F196" s="4">
        <f t="shared" si="17"/>
        <v>0</v>
      </c>
      <c r="G196" s="4">
        <f>E196*Summary!$E$6/12</f>
        <v>0</v>
      </c>
      <c r="H196" s="4">
        <f>+IF(Summary!$B$8*12=B196,E196-F196,0)</f>
        <v>0</v>
      </c>
      <c r="I196" s="4">
        <f t="shared" si="18"/>
        <v>0</v>
      </c>
    </row>
    <row r="197" spans="2:9" x14ac:dyDescent="0.2">
      <c r="B197">
        <v>194</v>
      </c>
      <c r="C197">
        <f t="shared" ref="C197:C260" si="19">+ROUNDUP(B197/12,0)</f>
        <v>17</v>
      </c>
      <c r="D197" s="4">
        <f>+IF(B197&lt;=Summary!$B$17,'Current Amortization Table'!E197*Summary!$E$6/12,-IF(C197&gt;Summary!$B$8,0,-'Current Amortization Table'!$L$4))</f>
        <v>0</v>
      </c>
      <c r="E197" s="4">
        <f t="shared" si="16"/>
        <v>0</v>
      </c>
      <c r="F197" s="4">
        <f t="shared" si="17"/>
        <v>0</v>
      </c>
      <c r="G197" s="4">
        <f>E197*Summary!$E$6/12</f>
        <v>0</v>
      </c>
      <c r="H197" s="4">
        <f>+IF(Summary!$B$8*12=B197,E197-F197,0)</f>
        <v>0</v>
      </c>
      <c r="I197" s="4">
        <f t="shared" si="18"/>
        <v>0</v>
      </c>
    </row>
    <row r="198" spans="2:9" x14ac:dyDescent="0.2">
      <c r="B198">
        <v>195</v>
      </c>
      <c r="C198">
        <f t="shared" si="19"/>
        <v>17</v>
      </c>
      <c r="D198" s="4">
        <f>+IF(B198&lt;=Summary!$B$17,'Current Amortization Table'!E198*Summary!$E$6/12,-IF(C198&gt;Summary!$B$8,0,-'Current Amortization Table'!$L$4))</f>
        <v>0</v>
      </c>
      <c r="E198" s="4">
        <f t="shared" si="16"/>
        <v>0</v>
      </c>
      <c r="F198" s="4">
        <f t="shared" si="17"/>
        <v>0</v>
      </c>
      <c r="G198" s="4">
        <f>E198*Summary!$E$6/12</f>
        <v>0</v>
      </c>
      <c r="H198" s="4">
        <f>+IF(Summary!$B$8*12=B198,E198-F198,0)</f>
        <v>0</v>
      </c>
      <c r="I198" s="4">
        <f t="shared" si="18"/>
        <v>0</v>
      </c>
    </row>
    <row r="199" spans="2:9" x14ac:dyDescent="0.2">
      <c r="B199">
        <v>196</v>
      </c>
      <c r="C199">
        <f t="shared" si="19"/>
        <v>17</v>
      </c>
      <c r="D199" s="4">
        <f>+IF(B199&lt;=Summary!$B$17,'Current Amortization Table'!E199*Summary!$E$6/12,-IF(C199&gt;Summary!$B$8,0,-'Current Amortization Table'!$L$4))</f>
        <v>0</v>
      </c>
      <c r="E199" s="4">
        <f t="shared" si="16"/>
        <v>0</v>
      </c>
      <c r="F199" s="4">
        <f t="shared" si="17"/>
        <v>0</v>
      </c>
      <c r="G199" s="4">
        <f>E199*Summary!$E$6/12</f>
        <v>0</v>
      </c>
      <c r="H199" s="4">
        <f>+IF(Summary!$B$8*12=B199,E199-F199,0)</f>
        <v>0</v>
      </c>
      <c r="I199" s="4">
        <f t="shared" si="18"/>
        <v>0</v>
      </c>
    </row>
    <row r="200" spans="2:9" x14ac:dyDescent="0.2">
      <c r="B200">
        <v>197</v>
      </c>
      <c r="C200">
        <f t="shared" si="19"/>
        <v>17</v>
      </c>
      <c r="D200" s="4">
        <f>+IF(B200&lt;=Summary!$B$17,'Current Amortization Table'!E200*Summary!$E$6/12,-IF(C200&gt;Summary!$B$8,0,-'Current Amortization Table'!$L$4))</f>
        <v>0</v>
      </c>
      <c r="E200" s="4">
        <f t="shared" si="16"/>
        <v>0</v>
      </c>
      <c r="F200" s="4">
        <f t="shared" si="17"/>
        <v>0</v>
      </c>
      <c r="G200" s="4">
        <f>E200*Summary!$E$6/12</f>
        <v>0</v>
      </c>
      <c r="H200" s="4">
        <f>+IF(Summary!$B$8*12=B200,E200-F200,0)</f>
        <v>0</v>
      </c>
      <c r="I200" s="4">
        <f t="shared" si="18"/>
        <v>0</v>
      </c>
    </row>
    <row r="201" spans="2:9" x14ac:dyDescent="0.2">
      <c r="B201">
        <v>198</v>
      </c>
      <c r="C201">
        <f t="shared" si="19"/>
        <v>17</v>
      </c>
      <c r="D201" s="4">
        <f>+IF(B201&lt;=Summary!$B$17,'Current Amortization Table'!E201*Summary!$E$6/12,-IF(C201&gt;Summary!$B$8,0,-'Current Amortization Table'!$L$4))</f>
        <v>0</v>
      </c>
      <c r="E201" s="4">
        <f t="shared" si="16"/>
        <v>0</v>
      </c>
      <c r="F201" s="4">
        <f t="shared" si="17"/>
        <v>0</v>
      </c>
      <c r="G201" s="4">
        <f>E201*Summary!$E$6/12</f>
        <v>0</v>
      </c>
      <c r="H201" s="4">
        <f>+IF(Summary!$B$8*12=B201,E201-F201,0)</f>
        <v>0</v>
      </c>
      <c r="I201" s="4">
        <f t="shared" si="18"/>
        <v>0</v>
      </c>
    </row>
    <row r="202" spans="2:9" x14ac:dyDescent="0.2">
      <c r="B202">
        <v>199</v>
      </c>
      <c r="C202">
        <f t="shared" si="19"/>
        <v>17</v>
      </c>
      <c r="D202" s="4">
        <f>+IF(B202&lt;=Summary!$B$17,'Current Amortization Table'!E202*Summary!$E$6/12,-IF(C202&gt;Summary!$B$8,0,-'Current Amortization Table'!$L$4))</f>
        <v>0</v>
      </c>
      <c r="E202" s="4">
        <f t="shared" si="16"/>
        <v>0</v>
      </c>
      <c r="F202" s="4">
        <f t="shared" si="17"/>
        <v>0</v>
      </c>
      <c r="G202" s="4">
        <f>E202*Summary!$E$6/12</f>
        <v>0</v>
      </c>
      <c r="H202" s="4">
        <f>+IF(Summary!$B$8*12=B202,E202-F202,0)</f>
        <v>0</v>
      </c>
      <c r="I202" s="4">
        <f t="shared" si="18"/>
        <v>0</v>
      </c>
    </row>
    <row r="203" spans="2:9" x14ac:dyDescent="0.2">
      <c r="B203">
        <v>200</v>
      </c>
      <c r="C203">
        <f t="shared" si="19"/>
        <v>17</v>
      </c>
      <c r="D203" s="4">
        <f>+IF(B203&lt;=Summary!$B$17,'Current Amortization Table'!E203*Summary!$E$6/12,-IF(C203&gt;Summary!$B$8,0,-'Current Amortization Table'!$L$4))</f>
        <v>0</v>
      </c>
      <c r="E203" s="4">
        <f t="shared" si="16"/>
        <v>0</v>
      </c>
      <c r="F203" s="4">
        <f t="shared" si="17"/>
        <v>0</v>
      </c>
      <c r="G203" s="4">
        <f>E203*Summary!$E$6/12</f>
        <v>0</v>
      </c>
      <c r="H203" s="4">
        <f>+IF(Summary!$B$8*12=B203,E203-F203,0)</f>
        <v>0</v>
      </c>
      <c r="I203" s="4">
        <f t="shared" si="18"/>
        <v>0</v>
      </c>
    </row>
    <row r="204" spans="2:9" x14ac:dyDescent="0.2">
      <c r="B204">
        <v>201</v>
      </c>
      <c r="C204">
        <f t="shared" si="19"/>
        <v>17</v>
      </c>
      <c r="D204" s="4">
        <f>+IF(B204&lt;=Summary!$B$17,'Current Amortization Table'!E204*Summary!$E$6/12,-IF(C204&gt;Summary!$B$8,0,-'Current Amortization Table'!$L$4))</f>
        <v>0</v>
      </c>
      <c r="E204" s="4">
        <f t="shared" si="16"/>
        <v>0</v>
      </c>
      <c r="F204" s="4">
        <f t="shared" si="17"/>
        <v>0</v>
      </c>
      <c r="G204" s="4">
        <f>E204*Summary!$E$6/12</f>
        <v>0</v>
      </c>
      <c r="H204" s="4">
        <f>+IF(Summary!$B$8*12=B204,E204-F204,0)</f>
        <v>0</v>
      </c>
      <c r="I204" s="4">
        <f t="shared" si="18"/>
        <v>0</v>
      </c>
    </row>
    <row r="205" spans="2:9" x14ac:dyDescent="0.2">
      <c r="B205">
        <v>202</v>
      </c>
      <c r="C205">
        <f t="shared" si="19"/>
        <v>17</v>
      </c>
      <c r="D205" s="4">
        <f>+IF(B205&lt;=Summary!$B$17,'Current Amortization Table'!E205*Summary!$E$6/12,-IF(C205&gt;Summary!$B$8,0,-'Current Amortization Table'!$L$4))</f>
        <v>0</v>
      </c>
      <c r="E205" s="4">
        <f t="shared" si="16"/>
        <v>0</v>
      </c>
      <c r="F205" s="4">
        <f t="shared" si="17"/>
        <v>0</v>
      </c>
      <c r="G205" s="4">
        <f>E205*Summary!$E$6/12</f>
        <v>0</v>
      </c>
      <c r="H205" s="4">
        <f>+IF(Summary!$B$8*12=B205,E205-F205,0)</f>
        <v>0</v>
      </c>
      <c r="I205" s="4">
        <f t="shared" si="18"/>
        <v>0</v>
      </c>
    </row>
    <row r="206" spans="2:9" x14ac:dyDescent="0.2">
      <c r="B206">
        <v>203</v>
      </c>
      <c r="C206">
        <f t="shared" si="19"/>
        <v>17</v>
      </c>
      <c r="D206" s="4">
        <f>+IF(B206&lt;=Summary!$B$17,'Current Amortization Table'!E206*Summary!$E$6/12,-IF(C206&gt;Summary!$B$8,0,-'Current Amortization Table'!$L$4))</f>
        <v>0</v>
      </c>
      <c r="E206" s="4">
        <f t="shared" si="16"/>
        <v>0</v>
      </c>
      <c r="F206" s="4">
        <f t="shared" si="17"/>
        <v>0</v>
      </c>
      <c r="G206" s="4">
        <f>E206*Summary!$E$6/12</f>
        <v>0</v>
      </c>
      <c r="H206" s="4">
        <f>+IF(Summary!$B$8*12=B206,E206-F206,0)</f>
        <v>0</v>
      </c>
      <c r="I206" s="4">
        <f t="shared" si="18"/>
        <v>0</v>
      </c>
    </row>
    <row r="207" spans="2:9" x14ac:dyDescent="0.2">
      <c r="B207">
        <v>204</v>
      </c>
      <c r="C207">
        <f t="shared" si="19"/>
        <v>17</v>
      </c>
      <c r="D207" s="4">
        <f>+IF(B207&lt;=Summary!$B$17,'Current Amortization Table'!E207*Summary!$E$6/12,-IF(C207&gt;Summary!$B$8,0,-'Current Amortization Table'!$L$4))</f>
        <v>0</v>
      </c>
      <c r="E207" s="4">
        <f t="shared" si="16"/>
        <v>0</v>
      </c>
      <c r="F207" s="4">
        <f t="shared" si="17"/>
        <v>0</v>
      </c>
      <c r="G207" s="4">
        <f>E207*Summary!$E$6/12</f>
        <v>0</v>
      </c>
      <c r="H207" s="4">
        <f>+IF(Summary!$B$8*12=B207,E207-F207,0)</f>
        <v>0</v>
      </c>
      <c r="I207" s="4">
        <f t="shared" si="18"/>
        <v>0</v>
      </c>
    </row>
    <row r="208" spans="2:9" x14ac:dyDescent="0.2">
      <c r="B208">
        <v>205</v>
      </c>
      <c r="C208">
        <f t="shared" si="19"/>
        <v>18</v>
      </c>
      <c r="D208" s="4">
        <f>+IF(B208&lt;=Summary!$B$17,'Current Amortization Table'!E208*Summary!$E$6/12,-IF(C208&gt;Summary!$B$8,0,-'Current Amortization Table'!$L$4))</f>
        <v>0</v>
      </c>
      <c r="E208" s="4">
        <f t="shared" si="16"/>
        <v>0</v>
      </c>
      <c r="F208" s="4">
        <f t="shared" si="17"/>
        <v>0</v>
      </c>
      <c r="G208" s="4">
        <f>E208*Summary!$E$6/12</f>
        <v>0</v>
      </c>
      <c r="H208" s="4">
        <f>+IF(Summary!$B$8*12=B208,E208-F208,0)</f>
        <v>0</v>
      </c>
      <c r="I208" s="4">
        <f t="shared" si="18"/>
        <v>0</v>
      </c>
    </row>
    <row r="209" spans="2:9" x14ac:dyDescent="0.2">
      <c r="B209">
        <v>206</v>
      </c>
      <c r="C209">
        <f t="shared" si="19"/>
        <v>18</v>
      </c>
      <c r="D209" s="4">
        <f>+IF(B209&lt;=Summary!$B$17,'Current Amortization Table'!E209*Summary!$E$6/12,-IF(C209&gt;Summary!$B$8,0,-'Current Amortization Table'!$L$4))</f>
        <v>0</v>
      </c>
      <c r="E209" s="4">
        <f t="shared" si="16"/>
        <v>0</v>
      </c>
      <c r="F209" s="4">
        <f t="shared" si="17"/>
        <v>0</v>
      </c>
      <c r="G209" s="4">
        <f>E209*Summary!$E$6/12</f>
        <v>0</v>
      </c>
      <c r="H209" s="4">
        <f>+IF(Summary!$B$8*12=B209,E209-F209,0)</f>
        <v>0</v>
      </c>
      <c r="I209" s="4">
        <f t="shared" si="18"/>
        <v>0</v>
      </c>
    </row>
    <row r="210" spans="2:9" x14ac:dyDescent="0.2">
      <c r="B210">
        <v>207</v>
      </c>
      <c r="C210">
        <f t="shared" si="19"/>
        <v>18</v>
      </c>
      <c r="D210" s="4">
        <f>+IF(B210&lt;=Summary!$B$17,'Current Amortization Table'!E210*Summary!$E$6/12,-IF(C210&gt;Summary!$B$8,0,-'Current Amortization Table'!$L$4))</f>
        <v>0</v>
      </c>
      <c r="E210" s="4">
        <f t="shared" si="16"/>
        <v>0</v>
      </c>
      <c r="F210" s="4">
        <f t="shared" si="17"/>
        <v>0</v>
      </c>
      <c r="G210" s="4">
        <f>E210*Summary!$E$6/12</f>
        <v>0</v>
      </c>
      <c r="H210" s="4">
        <f>+IF(Summary!$B$8*12=B210,E210-F210,0)</f>
        <v>0</v>
      </c>
      <c r="I210" s="4">
        <f t="shared" si="18"/>
        <v>0</v>
      </c>
    </row>
    <row r="211" spans="2:9" x14ac:dyDescent="0.2">
      <c r="B211">
        <v>208</v>
      </c>
      <c r="C211">
        <f t="shared" si="19"/>
        <v>18</v>
      </c>
      <c r="D211" s="4">
        <f>+IF(B211&lt;=Summary!$B$17,'Current Amortization Table'!E211*Summary!$E$6/12,-IF(C211&gt;Summary!$B$8,0,-'Current Amortization Table'!$L$4))</f>
        <v>0</v>
      </c>
      <c r="E211" s="4">
        <f t="shared" si="16"/>
        <v>0</v>
      </c>
      <c r="F211" s="4">
        <f t="shared" si="17"/>
        <v>0</v>
      </c>
      <c r="G211" s="4">
        <f>E211*Summary!$E$6/12</f>
        <v>0</v>
      </c>
      <c r="H211" s="4">
        <f>+IF(Summary!$B$8*12=B211,E211-F211,0)</f>
        <v>0</v>
      </c>
      <c r="I211" s="4">
        <f t="shared" si="18"/>
        <v>0</v>
      </c>
    </row>
    <row r="212" spans="2:9" x14ac:dyDescent="0.2">
      <c r="B212">
        <v>209</v>
      </c>
      <c r="C212">
        <f t="shared" si="19"/>
        <v>18</v>
      </c>
      <c r="D212" s="4">
        <f>+IF(B212&lt;=Summary!$B$17,'Current Amortization Table'!E212*Summary!$E$6/12,-IF(C212&gt;Summary!$B$8,0,-'Current Amortization Table'!$L$4))</f>
        <v>0</v>
      </c>
      <c r="E212" s="4">
        <f t="shared" si="16"/>
        <v>0</v>
      </c>
      <c r="F212" s="4">
        <f t="shared" si="17"/>
        <v>0</v>
      </c>
      <c r="G212" s="4">
        <f>E212*Summary!$E$6/12</f>
        <v>0</v>
      </c>
      <c r="H212" s="4">
        <f>+IF(Summary!$B$8*12=B212,E212-F212,0)</f>
        <v>0</v>
      </c>
      <c r="I212" s="4">
        <f t="shared" si="18"/>
        <v>0</v>
      </c>
    </row>
    <row r="213" spans="2:9" x14ac:dyDescent="0.2">
      <c r="B213">
        <v>210</v>
      </c>
      <c r="C213">
        <f t="shared" si="19"/>
        <v>18</v>
      </c>
      <c r="D213" s="4">
        <f>+IF(B213&lt;=Summary!$B$17,'Current Amortization Table'!E213*Summary!$E$6/12,-IF(C213&gt;Summary!$B$8,0,-'Current Amortization Table'!$L$4))</f>
        <v>0</v>
      </c>
      <c r="E213" s="4">
        <f t="shared" si="16"/>
        <v>0</v>
      </c>
      <c r="F213" s="4">
        <f t="shared" si="17"/>
        <v>0</v>
      </c>
      <c r="G213" s="4">
        <f>E213*Summary!$E$6/12</f>
        <v>0</v>
      </c>
      <c r="H213" s="4">
        <f>+IF(Summary!$B$8*12=B213,E213-F213,0)</f>
        <v>0</v>
      </c>
      <c r="I213" s="4">
        <f t="shared" si="18"/>
        <v>0</v>
      </c>
    </row>
    <row r="214" spans="2:9" x14ac:dyDescent="0.2">
      <c r="B214">
        <v>211</v>
      </c>
      <c r="C214">
        <f t="shared" si="19"/>
        <v>18</v>
      </c>
      <c r="D214" s="4">
        <f>+IF(B214&lt;=Summary!$B$17,'Current Amortization Table'!E214*Summary!$E$6/12,-IF(C214&gt;Summary!$B$8,0,-'Current Amortization Table'!$L$4))</f>
        <v>0</v>
      </c>
      <c r="E214" s="4">
        <f t="shared" si="16"/>
        <v>0</v>
      </c>
      <c r="F214" s="4">
        <f t="shared" si="17"/>
        <v>0</v>
      </c>
      <c r="G214" s="4">
        <f>E214*Summary!$E$6/12</f>
        <v>0</v>
      </c>
      <c r="H214" s="4">
        <f>+IF(Summary!$B$8*12=B214,E214-F214,0)</f>
        <v>0</v>
      </c>
      <c r="I214" s="4">
        <f t="shared" si="18"/>
        <v>0</v>
      </c>
    </row>
    <row r="215" spans="2:9" x14ac:dyDescent="0.2">
      <c r="B215">
        <v>212</v>
      </c>
      <c r="C215">
        <f t="shared" si="19"/>
        <v>18</v>
      </c>
      <c r="D215" s="4">
        <f>+IF(B215&lt;=Summary!$B$17,'Current Amortization Table'!E215*Summary!$E$6/12,-IF(C215&gt;Summary!$B$8,0,-'Current Amortization Table'!$L$4))</f>
        <v>0</v>
      </c>
      <c r="E215" s="4">
        <f t="shared" si="16"/>
        <v>0</v>
      </c>
      <c r="F215" s="4">
        <f t="shared" si="17"/>
        <v>0</v>
      </c>
      <c r="G215" s="4">
        <f>E215*Summary!$E$6/12</f>
        <v>0</v>
      </c>
      <c r="H215" s="4">
        <f>+IF(Summary!$B$8*12=B215,E215-F215,0)</f>
        <v>0</v>
      </c>
      <c r="I215" s="4">
        <f t="shared" si="18"/>
        <v>0</v>
      </c>
    </row>
    <row r="216" spans="2:9" x14ac:dyDescent="0.2">
      <c r="B216">
        <v>213</v>
      </c>
      <c r="C216">
        <f t="shared" si="19"/>
        <v>18</v>
      </c>
      <c r="D216" s="4">
        <f>+IF(B216&lt;=Summary!$B$17,'Current Amortization Table'!E216*Summary!$E$6/12,-IF(C216&gt;Summary!$B$8,0,-'Current Amortization Table'!$L$4))</f>
        <v>0</v>
      </c>
      <c r="E216" s="4">
        <f t="shared" si="16"/>
        <v>0</v>
      </c>
      <c r="F216" s="4">
        <f t="shared" si="17"/>
        <v>0</v>
      </c>
      <c r="G216" s="4">
        <f>E216*Summary!$E$6/12</f>
        <v>0</v>
      </c>
      <c r="H216" s="4">
        <f>+IF(Summary!$B$8*12=B216,E216-F216,0)</f>
        <v>0</v>
      </c>
      <c r="I216" s="4">
        <f t="shared" si="18"/>
        <v>0</v>
      </c>
    </row>
    <row r="217" spans="2:9" x14ac:dyDescent="0.2">
      <c r="B217">
        <v>214</v>
      </c>
      <c r="C217">
        <f t="shared" si="19"/>
        <v>18</v>
      </c>
      <c r="D217" s="4">
        <f>+IF(B217&lt;=Summary!$B$17,'Current Amortization Table'!E217*Summary!$E$6/12,-IF(C217&gt;Summary!$B$8,0,-'Current Amortization Table'!$L$4))</f>
        <v>0</v>
      </c>
      <c r="E217" s="4">
        <f t="shared" si="16"/>
        <v>0</v>
      </c>
      <c r="F217" s="4">
        <f t="shared" si="17"/>
        <v>0</v>
      </c>
      <c r="G217" s="4">
        <f>E217*Summary!$E$6/12</f>
        <v>0</v>
      </c>
      <c r="H217" s="4">
        <f>+IF(Summary!$B$8*12=B217,E217-F217,0)</f>
        <v>0</v>
      </c>
      <c r="I217" s="4">
        <f t="shared" si="18"/>
        <v>0</v>
      </c>
    </row>
    <row r="218" spans="2:9" x14ac:dyDescent="0.2">
      <c r="B218">
        <v>215</v>
      </c>
      <c r="C218">
        <f t="shared" si="19"/>
        <v>18</v>
      </c>
      <c r="D218" s="4">
        <f>+IF(B218&lt;=Summary!$B$17,'Current Amortization Table'!E218*Summary!$E$6/12,-IF(C218&gt;Summary!$B$8,0,-'Current Amortization Table'!$L$4))</f>
        <v>0</v>
      </c>
      <c r="E218" s="4">
        <f t="shared" si="16"/>
        <v>0</v>
      </c>
      <c r="F218" s="4">
        <f t="shared" si="17"/>
        <v>0</v>
      </c>
      <c r="G218" s="4">
        <f>E218*Summary!$E$6/12</f>
        <v>0</v>
      </c>
      <c r="H218" s="4">
        <f>+IF(Summary!$B$8*12=B218,E218-F218,0)</f>
        <v>0</v>
      </c>
      <c r="I218" s="4">
        <f t="shared" si="18"/>
        <v>0</v>
      </c>
    </row>
    <row r="219" spans="2:9" x14ac:dyDescent="0.2">
      <c r="B219">
        <v>216</v>
      </c>
      <c r="C219">
        <f t="shared" si="19"/>
        <v>18</v>
      </c>
      <c r="D219" s="4">
        <f>+IF(B219&lt;=Summary!$B$17,'Current Amortization Table'!E219*Summary!$E$6/12,-IF(C219&gt;Summary!$B$8,0,-'Current Amortization Table'!$L$4))</f>
        <v>0</v>
      </c>
      <c r="E219" s="4">
        <f t="shared" si="16"/>
        <v>0</v>
      </c>
      <c r="F219" s="4">
        <f t="shared" si="17"/>
        <v>0</v>
      </c>
      <c r="G219" s="4">
        <f>E219*Summary!$E$6/12</f>
        <v>0</v>
      </c>
      <c r="H219" s="4">
        <f>+IF(Summary!$B$8*12=B219,E219-F219,0)</f>
        <v>0</v>
      </c>
      <c r="I219" s="4">
        <f t="shared" si="18"/>
        <v>0</v>
      </c>
    </row>
    <row r="220" spans="2:9" x14ac:dyDescent="0.2">
      <c r="B220">
        <v>217</v>
      </c>
      <c r="C220">
        <f t="shared" si="19"/>
        <v>19</v>
      </c>
      <c r="D220" s="4">
        <f>+IF(B220&lt;=Summary!$B$17,'Current Amortization Table'!E220*Summary!$E$6/12,-IF(C220&gt;Summary!$B$8,0,-'Current Amortization Table'!$L$4))</f>
        <v>0</v>
      </c>
      <c r="E220" s="4">
        <f t="shared" si="16"/>
        <v>0</v>
      </c>
      <c r="F220" s="4">
        <f t="shared" si="17"/>
        <v>0</v>
      </c>
      <c r="G220" s="4">
        <f>E220*Summary!$E$6/12</f>
        <v>0</v>
      </c>
      <c r="H220" s="4">
        <f>+IF(Summary!$B$8*12=B220,E220-F220,0)</f>
        <v>0</v>
      </c>
      <c r="I220" s="4">
        <f t="shared" si="18"/>
        <v>0</v>
      </c>
    </row>
    <row r="221" spans="2:9" x14ac:dyDescent="0.2">
      <c r="B221">
        <v>218</v>
      </c>
      <c r="C221">
        <f t="shared" si="19"/>
        <v>19</v>
      </c>
      <c r="D221" s="4">
        <f>+IF(B221&lt;=Summary!$B$17,'Current Amortization Table'!E221*Summary!$E$6/12,-IF(C221&gt;Summary!$B$8,0,-'Current Amortization Table'!$L$4))</f>
        <v>0</v>
      </c>
      <c r="E221" s="4">
        <f t="shared" si="16"/>
        <v>0</v>
      </c>
      <c r="F221" s="4">
        <f t="shared" si="17"/>
        <v>0</v>
      </c>
      <c r="G221" s="4">
        <f>E221*Summary!$E$6/12</f>
        <v>0</v>
      </c>
      <c r="H221" s="4">
        <f>+IF(Summary!$B$8*12=B221,E221-F221,0)</f>
        <v>0</v>
      </c>
      <c r="I221" s="4">
        <f t="shared" si="18"/>
        <v>0</v>
      </c>
    </row>
    <row r="222" spans="2:9" x14ac:dyDescent="0.2">
      <c r="B222">
        <v>219</v>
      </c>
      <c r="C222">
        <f t="shared" si="19"/>
        <v>19</v>
      </c>
      <c r="D222" s="4">
        <f>+IF(B222&lt;=Summary!$B$17,'Current Amortization Table'!E222*Summary!$E$6/12,-IF(C222&gt;Summary!$B$8,0,-'Current Amortization Table'!$L$4))</f>
        <v>0</v>
      </c>
      <c r="E222" s="4">
        <f t="shared" si="16"/>
        <v>0</v>
      </c>
      <c r="F222" s="4">
        <f t="shared" si="17"/>
        <v>0</v>
      </c>
      <c r="G222" s="4">
        <f>E222*Summary!$E$6/12</f>
        <v>0</v>
      </c>
      <c r="H222" s="4">
        <f>+IF(Summary!$B$8*12=B222,E222-F222,0)</f>
        <v>0</v>
      </c>
      <c r="I222" s="4">
        <f t="shared" si="18"/>
        <v>0</v>
      </c>
    </row>
    <row r="223" spans="2:9" x14ac:dyDescent="0.2">
      <c r="B223">
        <v>220</v>
      </c>
      <c r="C223">
        <f t="shared" si="19"/>
        <v>19</v>
      </c>
      <c r="D223" s="4">
        <f>+IF(B223&lt;=Summary!$B$17,'Current Amortization Table'!E223*Summary!$E$6/12,-IF(C223&gt;Summary!$B$8,0,-'Current Amortization Table'!$L$4))</f>
        <v>0</v>
      </c>
      <c r="E223" s="4">
        <f t="shared" si="16"/>
        <v>0</v>
      </c>
      <c r="F223" s="4">
        <f t="shared" si="17"/>
        <v>0</v>
      </c>
      <c r="G223" s="4">
        <f>E223*Summary!$E$6/12</f>
        <v>0</v>
      </c>
      <c r="H223" s="4">
        <f>+IF(Summary!$B$8*12=B223,E223-F223,0)</f>
        <v>0</v>
      </c>
      <c r="I223" s="4">
        <f t="shared" si="18"/>
        <v>0</v>
      </c>
    </row>
    <row r="224" spans="2:9" x14ac:dyDescent="0.2">
      <c r="B224">
        <v>221</v>
      </c>
      <c r="C224">
        <f t="shared" si="19"/>
        <v>19</v>
      </c>
      <c r="D224" s="4">
        <f>+IF(B224&lt;=Summary!$B$17,'Current Amortization Table'!E224*Summary!$E$6/12,-IF(C224&gt;Summary!$B$8,0,-'Current Amortization Table'!$L$4))</f>
        <v>0</v>
      </c>
      <c r="E224" s="4">
        <f t="shared" si="16"/>
        <v>0</v>
      </c>
      <c r="F224" s="4">
        <f t="shared" si="17"/>
        <v>0</v>
      </c>
      <c r="G224" s="4">
        <f>E224*Summary!$E$6/12</f>
        <v>0</v>
      </c>
      <c r="H224" s="4">
        <f>+IF(Summary!$B$8*12=B224,E224-F224,0)</f>
        <v>0</v>
      </c>
      <c r="I224" s="4">
        <f t="shared" si="18"/>
        <v>0</v>
      </c>
    </row>
    <row r="225" spans="2:9" x14ac:dyDescent="0.2">
      <c r="B225">
        <v>222</v>
      </c>
      <c r="C225">
        <f t="shared" si="19"/>
        <v>19</v>
      </c>
      <c r="D225" s="4">
        <f>+IF(B225&lt;=Summary!$B$17,'Current Amortization Table'!E225*Summary!$E$6/12,-IF(C225&gt;Summary!$B$8,0,-'Current Amortization Table'!$L$4))</f>
        <v>0</v>
      </c>
      <c r="E225" s="4">
        <f t="shared" si="16"/>
        <v>0</v>
      </c>
      <c r="F225" s="4">
        <f t="shared" si="17"/>
        <v>0</v>
      </c>
      <c r="G225" s="4">
        <f>E225*Summary!$E$6/12</f>
        <v>0</v>
      </c>
      <c r="H225" s="4">
        <f>+IF(Summary!$B$8*12=B225,E225-F225,0)</f>
        <v>0</v>
      </c>
      <c r="I225" s="4">
        <f t="shared" si="18"/>
        <v>0</v>
      </c>
    </row>
    <row r="226" spans="2:9" x14ac:dyDescent="0.2">
      <c r="B226">
        <v>223</v>
      </c>
      <c r="C226">
        <f t="shared" si="19"/>
        <v>19</v>
      </c>
      <c r="D226" s="4">
        <f>+IF(B226&lt;=Summary!$B$17,'Current Amortization Table'!E226*Summary!$E$6/12,-IF(C226&gt;Summary!$B$8,0,-'Current Amortization Table'!$L$4))</f>
        <v>0</v>
      </c>
      <c r="E226" s="4">
        <f t="shared" si="16"/>
        <v>0</v>
      </c>
      <c r="F226" s="4">
        <f t="shared" si="17"/>
        <v>0</v>
      </c>
      <c r="G226" s="4">
        <f>E226*Summary!$E$6/12</f>
        <v>0</v>
      </c>
      <c r="H226" s="4">
        <f>+IF(Summary!$B$8*12=B226,E226-F226,0)</f>
        <v>0</v>
      </c>
      <c r="I226" s="4">
        <f t="shared" si="18"/>
        <v>0</v>
      </c>
    </row>
    <row r="227" spans="2:9" x14ac:dyDescent="0.2">
      <c r="B227">
        <v>224</v>
      </c>
      <c r="C227">
        <f t="shared" si="19"/>
        <v>19</v>
      </c>
      <c r="D227" s="4">
        <f>+IF(B227&lt;=Summary!$B$17,'Current Amortization Table'!E227*Summary!$E$6/12,-IF(C227&gt;Summary!$B$8,0,-'Current Amortization Table'!$L$4))</f>
        <v>0</v>
      </c>
      <c r="E227" s="4">
        <f t="shared" si="16"/>
        <v>0</v>
      </c>
      <c r="F227" s="4">
        <f t="shared" si="17"/>
        <v>0</v>
      </c>
      <c r="G227" s="4">
        <f>E227*Summary!$E$6/12</f>
        <v>0</v>
      </c>
      <c r="H227" s="4">
        <f>+IF(Summary!$B$8*12=B227,E227-F227,0)</f>
        <v>0</v>
      </c>
      <c r="I227" s="4">
        <f t="shared" si="18"/>
        <v>0</v>
      </c>
    </row>
    <row r="228" spans="2:9" x14ac:dyDescent="0.2">
      <c r="B228">
        <v>225</v>
      </c>
      <c r="C228">
        <f t="shared" si="19"/>
        <v>19</v>
      </c>
      <c r="D228" s="4">
        <f>+IF(B228&lt;=Summary!$B$17,'Current Amortization Table'!E228*Summary!$E$6/12,-IF(C228&gt;Summary!$B$8,0,-'Current Amortization Table'!$L$4))</f>
        <v>0</v>
      </c>
      <c r="E228" s="4">
        <f t="shared" si="16"/>
        <v>0</v>
      </c>
      <c r="F228" s="4">
        <f t="shared" si="17"/>
        <v>0</v>
      </c>
      <c r="G228" s="4">
        <f>E228*Summary!$E$6/12</f>
        <v>0</v>
      </c>
      <c r="H228" s="4">
        <f>+IF(Summary!$B$8*12=B228,E228-F228,0)</f>
        <v>0</v>
      </c>
      <c r="I228" s="4">
        <f t="shared" si="18"/>
        <v>0</v>
      </c>
    </row>
    <row r="229" spans="2:9" x14ac:dyDescent="0.2">
      <c r="B229">
        <v>226</v>
      </c>
      <c r="C229">
        <f t="shared" si="19"/>
        <v>19</v>
      </c>
      <c r="D229" s="4">
        <f>+IF(B229&lt;=Summary!$B$17,'Current Amortization Table'!E229*Summary!$E$6/12,-IF(C229&gt;Summary!$B$8,0,-'Current Amortization Table'!$L$4))</f>
        <v>0</v>
      </c>
      <c r="E229" s="4">
        <f t="shared" si="16"/>
        <v>0</v>
      </c>
      <c r="F229" s="4">
        <f t="shared" si="17"/>
        <v>0</v>
      </c>
      <c r="G229" s="4">
        <f>E229*Summary!$E$6/12</f>
        <v>0</v>
      </c>
      <c r="H229" s="4">
        <f>+IF(Summary!$B$8*12=B229,E229-F229,0)</f>
        <v>0</v>
      </c>
      <c r="I229" s="4">
        <f t="shared" si="18"/>
        <v>0</v>
      </c>
    </row>
    <row r="230" spans="2:9" x14ac:dyDescent="0.2">
      <c r="B230">
        <v>227</v>
      </c>
      <c r="C230">
        <f t="shared" si="19"/>
        <v>19</v>
      </c>
      <c r="D230" s="4">
        <f>+IF(B230&lt;=Summary!$B$17,'Current Amortization Table'!E230*Summary!$E$6/12,-IF(C230&gt;Summary!$B$8,0,-'Current Amortization Table'!$L$4))</f>
        <v>0</v>
      </c>
      <c r="E230" s="4">
        <f t="shared" si="16"/>
        <v>0</v>
      </c>
      <c r="F230" s="4">
        <f t="shared" si="17"/>
        <v>0</v>
      </c>
      <c r="G230" s="4">
        <f>E230*Summary!$E$6/12</f>
        <v>0</v>
      </c>
      <c r="H230" s="4">
        <f>+IF(Summary!$B$8*12=B230,E230-F230,0)</f>
        <v>0</v>
      </c>
      <c r="I230" s="4">
        <f t="shared" si="18"/>
        <v>0</v>
      </c>
    </row>
    <row r="231" spans="2:9" x14ac:dyDescent="0.2">
      <c r="B231">
        <v>228</v>
      </c>
      <c r="C231">
        <f t="shared" si="19"/>
        <v>19</v>
      </c>
      <c r="D231" s="4">
        <f>+IF(B231&lt;=Summary!$B$17,'Current Amortization Table'!E231*Summary!$E$6/12,-IF(C231&gt;Summary!$B$8,0,-'Current Amortization Table'!$L$4))</f>
        <v>0</v>
      </c>
      <c r="E231" s="4">
        <f t="shared" si="16"/>
        <v>0</v>
      </c>
      <c r="F231" s="4">
        <f t="shared" si="17"/>
        <v>0</v>
      </c>
      <c r="G231" s="4">
        <f>E231*Summary!$E$6/12</f>
        <v>0</v>
      </c>
      <c r="H231" s="4">
        <f>+IF(Summary!$B$8*12=B231,E231-F231,0)</f>
        <v>0</v>
      </c>
      <c r="I231" s="4">
        <f t="shared" si="18"/>
        <v>0</v>
      </c>
    </row>
    <row r="232" spans="2:9" x14ac:dyDescent="0.2">
      <c r="B232">
        <v>229</v>
      </c>
      <c r="C232">
        <f t="shared" si="19"/>
        <v>20</v>
      </c>
      <c r="D232" s="4">
        <f>+IF(B232&lt;=Summary!$B$17,'Current Amortization Table'!E232*Summary!$E$6/12,-IF(C232&gt;Summary!$B$8,0,-'Current Amortization Table'!$L$4))</f>
        <v>0</v>
      </c>
      <c r="E232" s="4">
        <f t="shared" si="16"/>
        <v>0</v>
      </c>
      <c r="F232" s="4">
        <f t="shared" si="17"/>
        <v>0</v>
      </c>
      <c r="G232" s="4">
        <f>E232*Summary!$E$6/12</f>
        <v>0</v>
      </c>
      <c r="H232" s="4">
        <f>+IF(Summary!$B$8*12=B232,E232-F232,0)</f>
        <v>0</v>
      </c>
      <c r="I232" s="4">
        <f t="shared" si="18"/>
        <v>0</v>
      </c>
    </row>
    <row r="233" spans="2:9" x14ac:dyDescent="0.2">
      <c r="B233">
        <v>230</v>
      </c>
      <c r="C233">
        <f t="shared" si="19"/>
        <v>20</v>
      </c>
      <c r="D233" s="4">
        <f>+IF(B233&lt;=Summary!$B$17,'Current Amortization Table'!E233*Summary!$E$6/12,-IF(C233&gt;Summary!$B$8,0,-'Current Amortization Table'!$L$4))</f>
        <v>0</v>
      </c>
      <c r="E233" s="4">
        <f t="shared" si="16"/>
        <v>0</v>
      </c>
      <c r="F233" s="4">
        <f t="shared" si="17"/>
        <v>0</v>
      </c>
      <c r="G233" s="4">
        <f>E233*Summary!$E$6/12</f>
        <v>0</v>
      </c>
      <c r="H233" s="4">
        <f>+IF(Summary!$B$8*12=B233,E233-F233,0)</f>
        <v>0</v>
      </c>
      <c r="I233" s="4">
        <f t="shared" si="18"/>
        <v>0</v>
      </c>
    </row>
    <row r="234" spans="2:9" x14ac:dyDescent="0.2">
      <c r="B234">
        <v>231</v>
      </c>
      <c r="C234">
        <f t="shared" si="19"/>
        <v>20</v>
      </c>
      <c r="D234" s="4">
        <f>+IF(B234&lt;=Summary!$B$17,'Current Amortization Table'!E234*Summary!$E$6/12,-IF(C234&gt;Summary!$B$8,0,-'Current Amortization Table'!$L$4))</f>
        <v>0</v>
      </c>
      <c r="E234" s="4">
        <f t="shared" si="16"/>
        <v>0</v>
      </c>
      <c r="F234" s="4">
        <f t="shared" si="17"/>
        <v>0</v>
      </c>
      <c r="G234" s="4">
        <f>E234*Summary!$E$6/12</f>
        <v>0</v>
      </c>
      <c r="H234" s="4">
        <f>+IF(Summary!$B$8*12=B234,E234-F234,0)</f>
        <v>0</v>
      </c>
      <c r="I234" s="4">
        <f t="shared" si="18"/>
        <v>0</v>
      </c>
    </row>
    <row r="235" spans="2:9" x14ac:dyDescent="0.2">
      <c r="B235">
        <v>232</v>
      </c>
      <c r="C235">
        <f t="shared" si="19"/>
        <v>20</v>
      </c>
      <c r="D235" s="4">
        <f>+IF(B235&lt;=Summary!$B$17,'Current Amortization Table'!E235*Summary!$E$6/12,-IF(C235&gt;Summary!$B$8,0,-'Current Amortization Table'!$L$4))</f>
        <v>0</v>
      </c>
      <c r="E235" s="4">
        <f t="shared" si="16"/>
        <v>0</v>
      </c>
      <c r="F235" s="4">
        <f t="shared" si="17"/>
        <v>0</v>
      </c>
      <c r="G235" s="4">
        <f>E235*Summary!$E$6/12</f>
        <v>0</v>
      </c>
      <c r="H235" s="4">
        <f>+IF(Summary!$B$8*12=B235,E235-F235,0)</f>
        <v>0</v>
      </c>
      <c r="I235" s="4">
        <f t="shared" si="18"/>
        <v>0</v>
      </c>
    </row>
    <row r="236" spans="2:9" x14ac:dyDescent="0.2">
      <c r="B236">
        <v>233</v>
      </c>
      <c r="C236">
        <f t="shared" si="19"/>
        <v>20</v>
      </c>
      <c r="D236" s="4">
        <f>+IF(B236&lt;=Summary!$B$17,'Current Amortization Table'!E236*Summary!$E$6/12,-IF(C236&gt;Summary!$B$8,0,-'Current Amortization Table'!$L$4))</f>
        <v>0</v>
      </c>
      <c r="E236" s="4">
        <f t="shared" si="16"/>
        <v>0</v>
      </c>
      <c r="F236" s="4">
        <f t="shared" si="17"/>
        <v>0</v>
      </c>
      <c r="G236" s="4">
        <f>E236*Summary!$E$6/12</f>
        <v>0</v>
      </c>
      <c r="H236" s="4">
        <f>+IF(Summary!$B$8*12=B236,E236-F236,0)</f>
        <v>0</v>
      </c>
      <c r="I236" s="4">
        <f t="shared" si="18"/>
        <v>0</v>
      </c>
    </row>
    <row r="237" spans="2:9" x14ac:dyDescent="0.2">
      <c r="B237">
        <v>234</v>
      </c>
      <c r="C237">
        <f t="shared" si="19"/>
        <v>20</v>
      </c>
      <c r="D237" s="4">
        <f>+IF(B237&lt;=Summary!$B$17,'Current Amortization Table'!E237*Summary!$E$6/12,-IF(C237&gt;Summary!$B$8,0,-'Current Amortization Table'!$L$4))</f>
        <v>0</v>
      </c>
      <c r="E237" s="4">
        <f t="shared" si="16"/>
        <v>0</v>
      </c>
      <c r="F237" s="4">
        <f t="shared" si="17"/>
        <v>0</v>
      </c>
      <c r="G237" s="4">
        <f>E237*Summary!$E$6/12</f>
        <v>0</v>
      </c>
      <c r="H237" s="4">
        <f>+IF(Summary!$B$8*12=B237,E237-F237,0)</f>
        <v>0</v>
      </c>
      <c r="I237" s="4">
        <f t="shared" si="18"/>
        <v>0</v>
      </c>
    </row>
    <row r="238" spans="2:9" x14ac:dyDescent="0.2">
      <c r="B238">
        <v>235</v>
      </c>
      <c r="C238">
        <f t="shared" si="19"/>
        <v>20</v>
      </c>
      <c r="D238" s="4">
        <f>+IF(B238&lt;=Summary!$B$17,'Current Amortization Table'!E238*Summary!$E$6/12,-IF(C238&gt;Summary!$B$8,0,-'Current Amortization Table'!$L$4))</f>
        <v>0</v>
      </c>
      <c r="E238" s="4">
        <f t="shared" si="16"/>
        <v>0</v>
      </c>
      <c r="F238" s="4">
        <f t="shared" si="17"/>
        <v>0</v>
      </c>
      <c r="G238" s="4">
        <f>E238*Summary!$E$6/12</f>
        <v>0</v>
      </c>
      <c r="H238" s="4">
        <f>+IF(Summary!$B$8*12=B238,E238-F238,0)</f>
        <v>0</v>
      </c>
      <c r="I238" s="4">
        <f t="shared" si="18"/>
        <v>0</v>
      </c>
    </row>
    <row r="239" spans="2:9" x14ac:dyDescent="0.2">
      <c r="B239">
        <v>236</v>
      </c>
      <c r="C239">
        <f t="shared" si="19"/>
        <v>20</v>
      </c>
      <c r="D239" s="4">
        <f>+IF(B239&lt;=Summary!$B$17,'Current Amortization Table'!E239*Summary!$E$6/12,-IF(C239&gt;Summary!$B$8,0,-'Current Amortization Table'!$L$4))</f>
        <v>0</v>
      </c>
      <c r="E239" s="4">
        <f t="shared" si="16"/>
        <v>0</v>
      </c>
      <c r="F239" s="4">
        <f t="shared" si="17"/>
        <v>0</v>
      </c>
      <c r="G239" s="4">
        <f>E239*Summary!$E$6/12</f>
        <v>0</v>
      </c>
      <c r="H239" s="4">
        <f>+IF(Summary!$B$8*12=B239,E239-F239,0)</f>
        <v>0</v>
      </c>
      <c r="I239" s="4">
        <f t="shared" si="18"/>
        <v>0</v>
      </c>
    </row>
    <row r="240" spans="2:9" x14ac:dyDescent="0.2">
      <c r="B240">
        <v>237</v>
      </c>
      <c r="C240">
        <f t="shared" si="19"/>
        <v>20</v>
      </c>
      <c r="D240" s="4">
        <f>+IF(B240&lt;=Summary!$B$17,'Current Amortization Table'!E240*Summary!$E$6/12,-IF(C240&gt;Summary!$B$8,0,-'Current Amortization Table'!$L$4))</f>
        <v>0</v>
      </c>
      <c r="E240" s="4">
        <f t="shared" si="16"/>
        <v>0</v>
      </c>
      <c r="F240" s="4">
        <f t="shared" si="17"/>
        <v>0</v>
      </c>
      <c r="G240" s="4">
        <f>E240*Summary!$E$6/12</f>
        <v>0</v>
      </c>
      <c r="H240" s="4">
        <f>+IF(Summary!$B$8*12=B240,E240-F240,0)</f>
        <v>0</v>
      </c>
      <c r="I240" s="4">
        <f t="shared" si="18"/>
        <v>0</v>
      </c>
    </row>
    <row r="241" spans="2:9" x14ac:dyDescent="0.2">
      <c r="B241">
        <v>238</v>
      </c>
      <c r="C241">
        <f t="shared" si="19"/>
        <v>20</v>
      </c>
      <c r="D241" s="4">
        <f>+IF(B241&lt;=Summary!$B$17,'Current Amortization Table'!E241*Summary!$E$6/12,-IF(C241&gt;Summary!$B$8,0,-'Current Amortization Table'!$L$4))</f>
        <v>0</v>
      </c>
      <c r="E241" s="4">
        <f t="shared" si="16"/>
        <v>0</v>
      </c>
      <c r="F241" s="4">
        <f t="shared" si="17"/>
        <v>0</v>
      </c>
      <c r="G241" s="4">
        <f>E241*Summary!$E$6/12</f>
        <v>0</v>
      </c>
      <c r="H241" s="4">
        <f>+IF(Summary!$B$8*12=B241,E241-F241,0)</f>
        <v>0</v>
      </c>
      <c r="I241" s="4">
        <f t="shared" si="18"/>
        <v>0</v>
      </c>
    </row>
    <row r="242" spans="2:9" x14ac:dyDescent="0.2">
      <c r="B242">
        <v>239</v>
      </c>
      <c r="C242">
        <f t="shared" si="19"/>
        <v>20</v>
      </c>
      <c r="D242" s="4">
        <f>+IF(B242&lt;=Summary!$B$17,'Current Amortization Table'!E242*Summary!$E$6/12,-IF(C242&gt;Summary!$B$8,0,-'Current Amortization Table'!$L$4))</f>
        <v>0</v>
      </c>
      <c r="E242" s="4">
        <f t="shared" si="16"/>
        <v>0</v>
      </c>
      <c r="F242" s="4">
        <f t="shared" si="17"/>
        <v>0</v>
      </c>
      <c r="G242" s="4">
        <f>E242*Summary!$E$6/12</f>
        <v>0</v>
      </c>
      <c r="H242" s="4">
        <f>+IF(Summary!$B$8*12=B242,E242-F242,0)</f>
        <v>0</v>
      </c>
      <c r="I242" s="4">
        <f t="shared" si="18"/>
        <v>0</v>
      </c>
    </row>
    <row r="243" spans="2:9" x14ac:dyDescent="0.2">
      <c r="B243">
        <v>240</v>
      </c>
      <c r="C243">
        <f t="shared" si="19"/>
        <v>20</v>
      </c>
      <c r="D243" s="4">
        <f>+IF(B243&lt;=Summary!$B$17,'Current Amortization Table'!E243*Summary!$E$6/12,-IF(C243&gt;Summary!$B$8,0,-'Current Amortization Table'!$L$4))</f>
        <v>0</v>
      </c>
      <c r="E243" s="4">
        <f t="shared" si="16"/>
        <v>0</v>
      </c>
      <c r="F243" s="4">
        <f t="shared" si="17"/>
        <v>0</v>
      </c>
      <c r="G243" s="4">
        <f>E243*Summary!$E$6/12</f>
        <v>0</v>
      </c>
      <c r="H243" s="4">
        <f>+IF(Summary!$B$8*12=B243,E243-F243,0)</f>
        <v>0</v>
      </c>
      <c r="I243" s="4">
        <f t="shared" si="18"/>
        <v>0</v>
      </c>
    </row>
    <row r="244" spans="2:9" x14ac:dyDescent="0.2">
      <c r="B244">
        <v>241</v>
      </c>
      <c r="C244">
        <f t="shared" si="19"/>
        <v>21</v>
      </c>
      <c r="D244" s="4">
        <f>+IF(B244&lt;=Summary!$B$17,'Current Amortization Table'!E244*Summary!$E$6/12,-IF(C244&gt;Summary!$B$8,0,-'Current Amortization Table'!$L$4))</f>
        <v>0</v>
      </c>
      <c r="E244" s="4">
        <f t="shared" si="16"/>
        <v>0</v>
      </c>
      <c r="F244" s="4">
        <f t="shared" si="17"/>
        <v>0</v>
      </c>
      <c r="G244" s="4">
        <f>E244*Summary!$E$6/12</f>
        <v>0</v>
      </c>
      <c r="H244" s="4">
        <f>+IF(Summary!$B$8*12=B244,E244-F244,0)</f>
        <v>0</v>
      </c>
      <c r="I244" s="4">
        <f t="shared" si="18"/>
        <v>0</v>
      </c>
    </row>
    <row r="245" spans="2:9" x14ac:dyDescent="0.2">
      <c r="B245">
        <v>242</v>
      </c>
      <c r="C245">
        <f t="shared" si="19"/>
        <v>21</v>
      </c>
      <c r="D245" s="4">
        <f>+IF(B245&lt;=Summary!$B$17,'Current Amortization Table'!E245*Summary!$E$6/12,-IF(C245&gt;Summary!$B$8,0,-'Current Amortization Table'!$L$4))</f>
        <v>0</v>
      </c>
      <c r="E245" s="4">
        <f t="shared" si="16"/>
        <v>0</v>
      </c>
      <c r="F245" s="4">
        <f t="shared" si="17"/>
        <v>0</v>
      </c>
      <c r="G245" s="4">
        <f>E245*Summary!$E$6/12</f>
        <v>0</v>
      </c>
      <c r="H245" s="4">
        <f>+IF(Summary!$B$8*12=B245,E245-F245,0)</f>
        <v>0</v>
      </c>
      <c r="I245" s="4">
        <f t="shared" si="18"/>
        <v>0</v>
      </c>
    </row>
    <row r="246" spans="2:9" x14ac:dyDescent="0.2">
      <c r="B246">
        <v>243</v>
      </c>
      <c r="C246">
        <f t="shared" si="19"/>
        <v>21</v>
      </c>
      <c r="D246" s="4">
        <f>+IF(B246&lt;=Summary!$B$17,'Current Amortization Table'!E246*Summary!$E$6/12,-IF(C246&gt;Summary!$B$8,0,-'Current Amortization Table'!$L$4))</f>
        <v>0</v>
      </c>
      <c r="E246" s="4">
        <f t="shared" si="16"/>
        <v>0</v>
      </c>
      <c r="F246" s="4">
        <f t="shared" si="17"/>
        <v>0</v>
      </c>
      <c r="G246" s="4">
        <f>E246*Summary!$E$6/12</f>
        <v>0</v>
      </c>
      <c r="H246" s="4">
        <f>+IF(Summary!$B$8*12=B246,E246-F246,0)</f>
        <v>0</v>
      </c>
      <c r="I246" s="4">
        <f t="shared" si="18"/>
        <v>0</v>
      </c>
    </row>
    <row r="247" spans="2:9" x14ac:dyDescent="0.2">
      <c r="B247">
        <v>244</v>
      </c>
      <c r="C247">
        <f t="shared" si="19"/>
        <v>21</v>
      </c>
      <c r="D247" s="4">
        <f>+IF(B247&lt;=Summary!$B$17,'Current Amortization Table'!E247*Summary!$E$6/12,-IF(C247&gt;Summary!$B$8,0,-'Current Amortization Table'!$L$4))</f>
        <v>0</v>
      </c>
      <c r="E247" s="4">
        <f t="shared" si="16"/>
        <v>0</v>
      </c>
      <c r="F247" s="4">
        <f t="shared" si="17"/>
        <v>0</v>
      </c>
      <c r="G247" s="4">
        <f>E247*Summary!$E$6/12</f>
        <v>0</v>
      </c>
      <c r="H247" s="4">
        <f>+IF(Summary!$B$8*12=B247,E247-F247,0)</f>
        <v>0</v>
      </c>
      <c r="I247" s="4">
        <f t="shared" si="18"/>
        <v>0</v>
      </c>
    </row>
    <row r="248" spans="2:9" x14ac:dyDescent="0.2">
      <c r="B248">
        <v>245</v>
      </c>
      <c r="C248">
        <f t="shared" si="19"/>
        <v>21</v>
      </c>
      <c r="D248" s="4">
        <f>+IF(B248&lt;=Summary!$B$17,'Current Amortization Table'!E248*Summary!$E$6/12,-IF(C248&gt;Summary!$B$8,0,-'Current Amortization Table'!$L$4))</f>
        <v>0</v>
      </c>
      <c r="E248" s="4">
        <f t="shared" si="16"/>
        <v>0</v>
      </c>
      <c r="F248" s="4">
        <f t="shared" si="17"/>
        <v>0</v>
      </c>
      <c r="G248" s="4">
        <f>E248*Summary!$E$6/12</f>
        <v>0</v>
      </c>
      <c r="H248" s="4">
        <f>+IF(Summary!$B$8*12=B248,E248-F248,0)</f>
        <v>0</v>
      </c>
      <c r="I248" s="4">
        <f t="shared" si="18"/>
        <v>0</v>
      </c>
    </row>
    <row r="249" spans="2:9" x14ac:dyDescent="0.2">
      <c r="B249">
        <v>246</v>
      </c>
      <c r="C249">
        <f t="shared" si="19"/>
        <v>21</v>
      </c>
      <c r="D249" s="4">
        <f>+IF(B249&lt;=Summary!$B$17,'Current Amortization Table'!E249*Summary!$E$6/12,-IF(C249&gt;Summary!$B$8,0,-'Current Amortization Table'!$L$4))</f>
        <v>0</v>
      </c>
      <c r="E249" s="4">
        <f t="shared" si="16"/>
        <v>0</v>
      </c>
      <c r="F249" s="4">
        <f t="shared" si="17"/>
        <v>0</v>
      </c>
      <c r="G249" s="4">
        <f>E249*Summary!$E$6/12</f>
        <v>0</v>
      </c>
      <c r="H249" s="4">
        <f>+IF(Summary!$B$8*12=B249,E249-F249,0)</f>
        <v>0</v>
      </c>
      <c r="I249" s="4">
        <f t="shared" si="18"/>
        <v>0</v>
      </c>
    </row>
    <row r="250" spans="2:9" x14ac:dyDescent="0.2">
      <c r="B250">
        <v>247</v>
      </c>
      <c r="C250">
        <f t="shared" si="19"/>
        <v>21</v>
      </c>
      <c r="D250" s="4">
        <f>+IF(B250&lt;=Summary!$B$17,'Current Amortization Table'!E250*Summary!$E$6/12,-IF(C250&gt;Summary!$B$8,0,-'Current Amortization Table'!$L$4))</f>
        <v>0</v>
      </c>
      <c r="E250" s="4">
        <f t="shared" si="16"/>
        <v>0</v>
      </c>
      <c r="F250" s="4">
        <f t="shared" si="17"/>
        <v>0</v>
      </c>
      <c r="G250" s="4">
        <f>E250*Summary!$E$6/12</f>
        <v>0</v>
      </c>
      <c r="H250" s="4">
        <f>+IF(Summary!$B$8*12=B250,E250-F250,0)</f>
        <v>0</v>
      </c>
      <c r="I250" s="4">
        <f t="shared" si="18"/>
        <v>0</v>
      </c>
    </row>
    <row r="251" spans="2:9" x14ac:dyDescent="0.2">
      <c r="B251">
        <v>248</v>
      </c>
      <c r="C251">
        <f t="shared" si="19"/>
        <v>21</v>
      </c>
      <c r="D251" s="4">
        <f>+IF(B251&lt;=Summary!$B$17,'Current Amortization Table'!E251*Summary!$E$6/12,-IF(C251&gt;Summary!$B$8,0,-'Current Amortization Table'!$L$4))</f>
        <v>0</v>
      </c>
      <c r="E251" s="4">
        <f t="shared" si="16"/>
        <v>0</v>
      </c>
      <c r="F251" s="4">
        <f t="shared" si="17"/>
        <v>0</v>
      </c>
      <c r="G251" s="4">
        <f>E251*Summary!$E$6/12</f>
        <v>0</v>
      </c>
      <c r="H251" s="4">
        <f>+IF(Summary!$B$8*12=B251,E251-F251,0)</f>
        <v>0</v>
      </c>
      <c r="I251" s="4">
        <f t="shared" si="18"/>
        <v>0</v>
      </c>
    </row>
    <row r="252" spans="2:9" x14ac:dyDescent="0.2">
      <c r="B252">
        <v>249</v>
      </c>
      <c r="C252">
        <f t="shared" si="19"/>
        <v>21</v>
      </c>
      <c r="D252" s="4">
        <f>+IF(B252&lt;=Summary!$B$17,'Current Amortization Table'!E252*Summary!$E$6/12,-IF(C252&gt;Summary!$B$8,0,-'Current Amortization Table'!$L$4))</f>
        <v>0</v>
      </c>
      <c r="E252" s="4">
        <f t="shared" si="16"/>
        <v>0</v>
      </c>
      <c r="F252" s="4">
        <f t="shared" si="17"/>
        <v>0</v>
      </c>
      <c r="G252" s="4">
        <f>E252*Summary!$E$6/12</f>
        <v>0</v>
      </c>
      <c r="H252" s="4">
        <f>+IF(Summary!$B$8*12=B252,E252-F252,0)</f>
        <v>0</v>
      </c>
      <c r="I252" s="4">
        <f t="shared" si="18"/>
        <v>0</v>
      </c>
    </row>
    <row r="253" spans="2:9" x14ac:dyDescent="0.2">
      <c r="B253">
        <v>250</v>
      </c>
      <c r="C253">
        <f t="shared" si="19"/>
        <v>21</v>
      </c>
      <c r="D253" s="4">
        <f>+IF(B253&lt;=Summary!$B$17,'Current Amortization Table'!E253*Summary!$E$6/12,-IF(C253&gt;Summary!$B$8,0,-'Current Amortization Table'!$L$4))</f>
        <v>0</v>
      </c>
      <c r="E253" s="4">
        <f t="shared" si="16"/>
        <v>0</v>
      </c>
      <c r="F253" s="4">
        <f t="shared" si="17"/>
        <v>0</v>
      </c>
      <c r="G253" s="4">
        <f>E253*Summary!$E$6/12</f>
        <v>0</v>
      </c>
      <c r="H253" s="4">
        <f>+IF(Summary!$B$8*12=B253,E253-F253,0)</f>
        <v>0</v>
      </c>
      <c r="I253" s="4">
        <f t="shared" si="18"/>
        <v>0</v>
      </c>
    </row>
    <row r="254" spans="2:9" x14ac:dyDescent="0.2">
      <c r="B254">
        <v>251</v>
      </c>
      <c r="C254">
        <f t="shared" si="19"/>
        <v>21</v>
      </c>
      <c r="D254" s="4">
        <f>+IF(B254&lt;=Summary!$B$17,'Current Amortization Table'!E254*Summary!$E$6/12,-IF(C254&gt;Summary!$B$8,0,-'Current Amortization Table'!$L$4))</f>
        <v>0</v>
      </c>
      <c r="E254" s="4">
        <f t="shared" si="16"/>
        <v>0</v>
      </c>
      <c r="F254" s="4">
        <f t="shared" si="17"/>
        <v>0</v>
      </c>
      <c r="G254" s="4">
        <f>E254*Summary!$E$6/12</f>
        <v>0</v>
      </c>
      <c r="H254" s="4">
        <f>+IF(Summary!$B$8*12=B254,E254-F254,0)</f>
        <v>0</v>
      </c>
      <c r="I254" s="4">
        <f t="shared" si="18"/>
        <v>0</v>
      </c>
    </row>
    <row r="255" spans="2:9" x14ac:dyDescent="0.2">
      <c r="B255">
        <v>252</v>
      </c>
      <c r="C255">
        <f t="shared" si="19"/>
        <v>21</v>
      </c>
      <c r="D255" s="4">
        <f>+IF(B255&lt;=Summary!$B$17,'Current Amortization Table'!E255*Summary!$E$6/12,-IF(C255&gt;Summary!$B$8,0,-'Current Amortization Table'!$L$4))</f>
        <v>0</v>
      </c>
      <c r="E255" s="4">
        <f t="shared" si="16"/>
        <v>0</v>
      </c>
      <c r="F255" s="4">
        <f t="shared" si="17"/>
        <v>0</v>
      </c>
      <c r="G255" s="4">
        <f>E255*Summary!$E$6/12</f>
        <v>0</v>
      </c>
      <c r="H255" s="4">
        <f>+IF(Summary!$B$8*12=B255,E255-F255,0)</f>
        <v>0</v>
      </c>
      <c r="I255" s="4">
        <f t="shared" si="18"/>
        <v>0</v>
      </c>
    </row>
    <row r="256" spans="2:9" x14ac:dyDescent="0.2">
      <c r="B256">
        <v>253</v>
      </c>
      <c r="C256">
        <f t="shared" si="19"/>
        <v>22</v>
      </c>
      <c r="D256" s="4">
        <f>+IF(B256&lt;=Summary!$B$17,'Current Amortization Table'!E256*Summary!$E$6/12,-IF(C256&gt;Summary!$B$8,0,-'Current Amortization Table'!$L$4))</f>
        <v>0</v>
      </c>
      <c r="E256" s="4">
        <f t="shared" si="16"/>
        <v>0</v>
      </c>
      <c r="F256" s="4">
        <f t="shared" si="17"/>
        <v>0</v>
      </c>
      <c r="G256" s="4">
        <f>E256*Summary!$E$6/12</f>
        <v>0</v>
      </c>
      <c r="H256" s="4">
        <f>+IF(Summary!$B$8*12=B256,E256-F256,0)</f>
        <v>0</v>
      </c>
      <c r="I256" s="4">
        <f t="shared" si="18"/>
        <v>0</v>
      </c>
    </row>
    <row r="257" spans="2:9" x14ac:dyDescent="0.2">
      <c r="B257">
        <v>254</v>
      </c>
      <c r="C257">
        <f t="shared" si="19"/>
        <v>22</v>
      </c>
      <c r="D257" s="4">
        <f>+IF(B257&lt;=Summary!$B$17,'Current Amortization Table'!E257*Summary!$E$6/12,-IF(C257&gt;Summary!$B$8,0,-'Current Amortization Table'!$L$4))</f>
        <v>0</v>
      </c>
      <c r="E257" s="4">
        <f t="shared" ref="E257:E320" si="20">+I256</f>
        <v>0</v>
      </c>
      <c r="F257" s="4">
        <f t="shared" ref="F257:F320" si="21">+D257-G257</f>
        <v>0</v>
      </c>
      <c r="G257" s="4">
        <f>E257*Summary!$E$6/12</f>
        <v>0</v>
      </c>
      <c r="H257" s="4">
        <f>+IF(Summary!$B$8*12=B257,E257-F257,0)</f>
        <v>0</v>
      </c>
      <c r="I257" s="4">
        <f t="shared" ref="I257:I320" si="22">+E257-F257-H257</f>
        <v>0</v>
      </c>
    </row>
    <row r="258" spans="2:9" x14ac:dyDescent="0.2">
      <c r="B258">
        <v>255</v>
      </c>
      <c r="C258">
        <f t="shared" si="19"/>
        <v>22</v>
      </c>
      <c r="D258" s="4">
        <f>+IF(B258&lt;=Summary!$B$17,'Current Amortization Table'!E258*Summary!$E$6/12,-IF(C258&gt;Summary!$B$8,0,-'Current Amortization Table'!$L$4))</f>
        <v>0</v>
      </c>
      <c r="E258" s="4">
        <f t="shared" si="20"/>
        <v>0</v>
      </c>
      <c r="F258" s="4">
        <f t="shared" si="21"/>
        <v>0</v>
      </c>
      <c r="G258" s="4">
        <f>E258*Summary!$E$6/12</f>
        <v>0</v>
      </c>
      <c r="H258" s="4">
        <f>+IF(Summary!$B$8*12=B258,E258-F258,0)</f>
        <v>0</v>
      </c>
      <c r="I258" s="4">
        <f t="shared" si="22"/>
        <v>0</v>
      </c>
    </row>
    <row r="259" spans="2:9" x14ac:dyDescent="0.2">
      <c r="B259">
        <v>256</v>
      </c>
      <c r="C259">
        <f t="shared" si="19"/>
        <v>22</v>
      </c>
      <c r="D259" s="4">
        <f>+IF(B259&lt;=Summary!$B$17,'Current Amortization Table'!E259*Summary!$E$6/12,-IF(C259&gt;Summary!$B$8,0,-'Current Amortization Table'!$L$4))</f>
        <v>0</v>
      </c>
      <c r="E259" s="4">
        <f t="shared" si="20"/>
        <v>0</v>
      </c>
      <c r="F259" s="4">
        <f t="shared" si="21"/>
        <v>0</v>
      </c>
      <c r="G259" s="4">
        <f>E259*Summary!$E$6/12</f>
        <v>0</v>
      </c>
      <c r="H259" s="4">
        <f>+IF(Summary!$B$8*12=B259,E259-F259,0)</f>
        <v>0</v>
      </c>
      <c r="I259" s="4">
        <f t="shared" si="22"/>
        <v>0</v>
      </c>
    </row>
    <row r="260" spans="2:9" x14ac:dyDescent="0.2">
      <c r="B260">
        <v>257</v>
      </c>
      <c r="C260">
        <f t="shared" si="19"/>
        <v>22</v>
      </c>
      <c r="D260" s="4">
        <f>+IF(B260&lt;=Summary!$B$17,'Current Amortization Table'!E260*Summary!$E$6/12,-IF(C260&gt;Summary!$B$8,0,-'Current Amortization Table'!$L$4))</f>
        <v>0</v>
      </c>
      <c r="E260" s="4">
        <f t="shared" si="20"/>
        <v>0</v>
      </c>
      <c r="F260" s="4">
        <f t="shared" si="21"/>
        <v>0</v>
      </c>
      <c r="G260" s="4">
        <f>E260*Summary!$E$6/12</f>
        <v>0</v>
      </c>
      <c r="H260" s="4">
        <f>+IF(Summary!$B$8*12=B260,E260-F260,0)</f>
        <v>0</v>
      </c>
      <c r="I260" s="4">
        <f t="shared" si="22"/>
        <v>0</v>
      </c>
    </row>
    <row r="261" spans="2:9" x14ac:dyDescent="0.2">
      <c r="B261">
        <v>258</v>
      </c>
      <c r="C261">
        <f t="shared" ref="C261:C324" si="23">+ROUNDUP(B261/12,0)</f>
        <v>22</v>
      </c>
      <c r="D261" s="4">
        <f>+IF(B261&lt;=Summary!$B$17,'Current Amortization Table'!E261*Summary!$E$6/12,-IF(C261&gt;Summary!$B$8,0,-'Current Amortization Table'!$L$4))</f>
        <v>0</v>
      </c>
      <c r="E261" s="4">
        <f t="shared" si="20"/>
        <v>0</v>
      </c>
      <c r="F261" s="4">
        <f t="shared" si="21"/>
        <v>0</v>
      </c>
      <c r="G261" s="4">
        <f>E261*Summary!$E$6/12</f>
        <v>0</v>
      </c>
      <c r="H261" s="4">
        <f>+IF(Summary!$B$8*12=B261,E261-F261,0)</f>
        <v>0</v>
      </c>
      <c r="I261" s="4">
        <f t="shared" si="22"/>
        <v>0</v>
      </c>
    </row>
    <row r="262" spans="2:9" x14ac:dyDescent="0.2">
      <c r="B262">
        <v>259</v>
      </c>
      <c r="C262">
        <f t="shared" si="23"/>
        <v>22</v>
      </c>
      <c r="D262" s="4">
        <f>+IF(B262&lt;=Summary!$B$17,'Current Amortization Table'!E262*Summary!$E$6/12,-IF(C262&gt;Summary!$B$8,0,-'Current Amortization Table'!$L$4))</f>
        <v>0</v>
      </c>
      <c r="E262" s="4">
        <f t="shared" si="20"/>
        <v>0</v>
      </c>
      <c r="F262" s="4">
        <f t="shared" si="21"/>
        <v>0</v>
      </c>
      <c r="G262" s="4">
        <f>E262*Summary!$E$6/12</f>
        <v>0</v>
      </c>
      <c r="H262" s="4">
        <f>+IF(Summary!$B$8*12=B262,E262-F262,0)</f>
        <v>0</v>
      </c>
      <c r="I262" s="4">
        <f t="shared" si="22"/>
        <v>0</v>
      </c>
    </row>
    <row r="263" spans="2:9" x14ac:dyDescent="0.2">
      <c r="B263">
        <v>260</v>
      </c>
      <c r="C263">
        <f t="shared" si="23"/>
        <v>22</v>
      </c>
      <c r="D263" s="4">
        <f>+IF(B263&lt;=Summary!$B$17,'Current Amortization Table'!E263*Summary!$E$6/12,-IF(C263&gt;Summary!$B$8,0,-'Current Amortization Table'!$L$4))</f>
        <v>0</v>
      </c>
      <c r="E263" s="4">
        <f t="shared" si="20"/>
        <v>0</v>
      </c>
      <c r="F263" s="4">
        <f t="shared" si="21"/>
        <v>0</v>
      </c>
      <c r="G263" s="4">
        <f>E263*Summary!$E$6/12</f>
        <v>0</v>
      </c>
      <c r="H263" s="4">
        <f>+IF(Summary!$B$8*12=B263,E263-F263,0)</f>
        <v>0</v>
      </c>
      <c r="I263" s="4">
        <f t="shared" si="22"/>
        <v>0</v>
      </c>
    </row>
    <row r="264" spans="2:9" x14ac:dyDescent="0.2">
      <c r="B264">
        <v>261</v>
      </c>
      <c r="C264">
        <f t="shared" si="23"/>
        <v>22</v>
      </c>
      <c r="D264" s="4">
        <f>+IF(B264&lt;=Summary!$B$17,'Current Amortization Table'!E264*Summary!$E$6/12,-IF(C264&gt;Summary!$B$8,0,-'Current Amortization Table'!$L$4))</f>
        <v>0</v>
      </c>
      <c r="E264" s="4">
        <f t="shared" si="20"/>
        <v>0</v>
      </c>
      <c r="F264" s="4">
        <f t="shared" si="21"/>
        <v>0</v>
      </c>
      <c r="G264" s="4">
        <f>E264*Summary!$E$6/12</f>
        <v>0</v>
      </c>
      <c r="H264" s="4">
        <f>+IF(Summary!$B$8*12=B264,E264-F264,0)</f>
        <v>0</v>
      </c>
      <c r="I264" s="4">
        <f t="shared" si="22"/>
        <v>0</v>
      </c>
    </row>
    <row r="265" spans="2:9" x14ac:dyDescent="0.2">
      <c r="B265">
        <v>262</v>
      </c>
      <c r="C265">
        <f t="shared" si="23"/>
        <v>22</v>
      </c>
      <c r="D265" s="4">
        <f>+IF(B265&lt;=Summary!$B$17,'Current Amortization Table'!E265*Summary!$E$6/12,-IF(C265&gt;Summary!$B$8,0,-'Current Amortization Table'!$L$4))</f>
        <v>0</v>
      </c>
      <c r="E265" s="4">
        <f t="shared" si="20"/>
        <v>0</v>
      </c>
      <c r="F265" s="4">
        <f t="shared" si="21"/>
        <v>0</v>
      </c>
      <c r="G265" s="4">
        <f>E265*Summary!$E$6/12</f>
        <v>0</v>
      </c>
      <c r="H265" s="4">
        <f>+IF(Summary!$B$8*12=B265,E265-F265,0)</f>
        <v>0</v>
      </c>
      <c r="I265" s="4">
        <f t="shared" si="22"/>
        <v>0</v>
      </c>
    </row>
    <row r="266" spans="2:9" x14ac:dyDescent="0.2">
      <c r="B266">
        <v>263</v>
      </c>
      <c r="C266">
        <f t="shared" si="23"/>
        <v>22</v>
      </c>
      <c r="D266" s="4">
        <f>+IF(B266&lt;=Summary!$B$17,'Current Amortization Table'!E266*Summary!$E$6/12,-IF(C266&gt;Summary!$B$8,0,-'Current Amortization Table'!$L$4))</f>
        <v>0</v>
      </c>
      <c r="E266" s="4">
        <f t="shared" si="20"/>
        <v>0</v>
      </c>
      <c r="F266" s="4">
        <f t="shared" si="21"/>
        <v>0</v>
      </c>
      <c r="G266" s="4">
        <f>E266*Summary!$E$6/12</f>
        <v>0</v>
      </c>
      <c r="H266" s="4">
        <f>+IF(Summary!$B$8*12=B266,E266-F266,0)</f>
        <v>0</v>
      </c>
      <c r="I266" s="4">
        <f t="shared" si="22"/>
        <v>0</v>
      </c>
    </row>
    <row r="267" spans="2:9" x14ac:dyDescent="0.2">
      <c r="B267">
        <v>264</v>
      </c>
      <c r="C267">
        <f t="shared" si="23"/>
        <v>22</v>
      </c>
      <c r="D267" s="4">
        <f>+IF(B267&lt;=Summary!$B$17,'Current Amortization Table'!E267*Summary!$E$6/12,-IF(C267&gt;Summary!$B$8,0,-'Current Amortization Table'!$L$4))</f>
        <v>0</v>
      </c>
      <c r="E267" s="4">
        <f t="shared" si="20"/>
        <v>0</v>
      </c>
      <c r="F267" s="4">
        <f t="shared" si="21"/>
        <v>0</v>
      </c>
      <c r="G267" s="4">
        <f>E267*Summary!$E$6/12</f>
        <v>0</v>
      </c>
      <c r="H267" s="4">
        <f>+IF(Summary!$B$8*12=B267,E267-F267,0)</f>
        <v>0</v>
      </c>
      <c r="I267" s="4">
        <f t="shared" si="22"/>
        <v>0</v>
      </c>
    </row>
    <row r="268" spans="2:9" x14ac:dyDescent="0.2">
      <c r="B268">
        <v>265</v>
      </c>
      <c r="C268">
        <f t="shared" si="23"/>
        <v>23</v>
      </c>
      <c r="D268" s="4">
        <f>+IF(B268&lt;=Summary!$B$17,'Current Amortization Table'!E268*Summary!$E$6/12,-IF(C268&gt;Summary!$B$8,0,-'Current Amortization Table'!$L$4))</f>
        <v>0</v>
      </c>
      <c r="E268" s="4">
        <f t="shared" si="20"/>
        <v>0</v>
      </c>
      <c r="F268" s="4">
        <f t="shared" si="21"/>
        <v>0</v>
      </c>
      <c r="G268" s="4">
        <f>E268*Summary!$E$6/12</f>
        <v>0</v>
      </c>
      <c r="H268" s="4">
        <f>+IF(Summary!$B$8*12=B268,E268-F268,0)</f>
        <v>0</v>
      </c>
      <c r="I268" s="4">
        <f t="shared" si="22"/>
        <v>0</v>
      </c>
    </row>
    <row r="269" spans="2:9" x14ac:dyDescent="0.2">
      <c r="B269">
        <v>266</v>
      </c>
      <c r="C269">
        <f t="shared" si="23"/>
        <v>23</v>
      </c>
      <c r="D269" s="4">
        <f>+IF(B269&lt;=Summary!$B$17,'Current Amortization Table'!E269*Summary!$E$6/12,-IF(C269&gt;Summary!$B$8,0,-'Current Amortization Table'!$L$4))</f>
        <v>0</v>
      </c>
      <c r="E269" s="4">
        <f t="shared" si="20"/>
        <v>0</v>
      </c>
      <c r="F269" s="4">
        <f t="shared" si="21"/>
        <v>0</v>
      </c>
      <c r="G269" s="4">
        <f>E269*Summary!$E$6/12</f>
        <v>0</v>
      </c>
      <c r="H269" s="4">
        <f>+IF(Summary!$B$8*12=B269,E269-F269,0)</f>
        <v>0</v>
      </c>
      <c r="I269" s="4">
        <f t="shared" si="22"/>
        <v>0</v>
      </c>
    </row>
    <row r="270" spans="2:9" x14ac:dyDescent="0.2">
      <c r="B270">
        <v>267</v>
      </c>
      <c r="C270">
        <f t="shared" si="23"/>
        <v>23</v>
      </c>
      <c r="D270" s="4">
        <f>+IF(B270&lt;=Summary!$B$17,'Current Amortization Table'!E270*Summary!$E$6/12,-IF(C270&gt;Summary!$B$8,0,-'Current Amortization Table'!$L$4))</f>
        <v>0</v>
      </c>
      <c r="E270" s="4">
        <f t="shared" si="20"/>
        <v>0</v>
      </c>
      <c r="F270" s="4">
        <f t="shared" si="21"/>
        <v>0</v>
      </c>
      <c r="G270" s="4">
        <f>E270*Summary!$E$6/12</f>
        <v>0</v>
      </c>
      <c r="H270" s="4">
        <f>+IF(Summary!$B$8*12=B270,E270-F270,0)</f>
        <v>0</v>
      </c>
      <c r="I270" s="4">
        <f t="shared" si="22"/>
        <v>0</v>
      </c>
    </row>
    <row r="271" spans="2:9" x14ac:dyDescent="0.2">
      <c r="B271">
        <v>268</v>
      </c>
      <c r="C271">
        <f t="shared" si="23"/>
        <v>23</v>
      </c>
      <c r="D271" s="4">
        <f>+IF(B271&lt;=Summary!$B$17,'Current Amortization Table'!E271*Summary!$E$6/12,-IF(C271&gt;Summary!$B$8,0,-'Current Amortization Table'!$L$4))</f>
        <v>0</v>
      </c>
      <c r="E271" s="4">
        <f t="shared" si="20"/>
        <v>0</v>
      </c>
      <c r="F271" s="4">
        <f t="shared" si="21"/>
        <v>0</v>
      </c>
      <c r="G271" s="4">
        <f>E271*Summary!$E$6/12</f>
        <v>0</v>
      </c>
      <c r="H271" s="4">
        <f>+IF(Summary!$B$8*12=B271,E271-F271,0)</f>
        <v>0</v>
      </c>
      <c r="I271" s="4">
        <f t="shared" si="22"/>
        <v>0</v>
      </c>
    </row>
    <row r="272" spans="2:9" x14ac:dyDescent="0.2">
      <c r="B272">
        <v>269</v>
      </c>
      <c r="C272">
        <f t="shared" si="23"/>
        <v>23</v>
      </c>
      <c r="D272" s="4">
        <f>+IF(B272&lt;=Summary!$B$17,'Current Amortization Table'!E272*Summary!$E$6/12,-IF(C272&gt;Summary!$B$8,0,-'Current Amortization Table'!$L$4))</f>
        <v>0</v>
      </c>
      <c r="E272" s="4">
        <f t="shared" si="20"/>
        <v>0</v>
      </c>
      <c r="F272" s="4">
        <f t="shared" si="21"/>
        <v>0</v>
      </c>
      <c r="G272" s="4">
        <f>E272*Summary!$E$6/12</f>
        <v>0</v>
      </c>
      <c r="H272" s="4">
        <f>+IF(Summary!$B$8*12=B272,E272-F272,0)</f>
        <v>0</v>
      </c>
      <c r="I272" s="4">
        <f t="shared" si="22"/>
        <v>0</v>
      </c>
    </row>
    <row r="273" spans="2:9" x14ac:dyDescent="0.2">
      <c r="B273">
        <v>270</v>
      </c>
      <c r="C273">
        <f t="shared" si="23"/>
        <v>23</v>
      </c>
      <c r="D273" s="4">
        <f>+IF(B273&lt;=Summary!$B$17,'Current Amortization Table'!E273*Summary!$E$6/12,-IF(C273&gt;Summary!$B$8,0,-'Current Amortization Table'!$L$4))</f>
        <v>0</v>
      </c>
      <c r="E273" s="4">
        <f t="shared" si="20"/>
        <v>0</v>
      </c>
      <c r="F273" s="4">
        <f t="shared" si="21"/>
        <v>0</v>
      </c>
      <c r="G273" s="4">
        <f>E273*Summary!$E$6/12</f>
        <v>0</v>
      </c>
      <c r="H273" s="4">
        <f>+IF(Summary!$B$8*12=B273,E273-F273,0)</f>
        <v>0</v>
      </c>
      <c r="I273" s="4">
        <f t="shared" si="22"/>
        <v>0</v>
      </c>
    </row>
    <row r="274" spans="2:9" x14ac:dyDescent="0.2">
      <c r="B274">
        <v>271</v>
      </c>
      <c r="C274">
        <f t="shared" si="23"/>
        <v>23</v>
      </c>
      <c r="D274" s="4">
        <f>+IF(B274&lt;=Summary!$B$17,'Current Amortization Table'!E274*Summary!$E$6/12,-IF(C274&gt;Summary!$B$8,0,-'Current Amortization Table'!$L$4))</f>
        <v>0</v>
      </c>
      <c r="E274" s="4">
        <f t="shared" si="20"/>
        <v>0</v>
      </c>
      <c r="F274" s="4">
        <f t="shared" si="21"/>
        <v>0</v>
      </c>
      <c r="G274" s="4">
        <f>E274*Summary!$E$6/12</f>
        <v>0</v>
      </c>
      <c r="H274" s="4">
        <f>+IF(Summary!$B$8*12=B274,E274-F274,0)</f>
        <v>0</v>
      </c>
      <c r="I274" s="4">
        <f t="shared" si="22"/>
        <v>0</v>
      </c>
    </row>
    <row r="275" spans="2:9" x14ac:dyDescent="0.2">
      <c r="B275">
        <v>272</v>
      </c>
      <c r="C275">
        <f t="shared" si="23"/>
        <v>23</v>
      </c>
      <c r="D275" s="4">
        <f>+IF(B275&lt;=Summary!$B$17,'Current Amortization Table'!E275*Summary!$E$6/12,-IF(C275&gt;Summary!$B$8,0,-'Current Amortization Table'!$L$4))</f>
        <v>0</v>
      </c>
      <c r="E275" s="4">
        <f t="shared" si="20"/>
        <v>0</v>
      </c>
      <c r="F275" s="4">
        <f t="shared" si="21"/>
        <v>0</v>
      </c>
      <c r="G275" s="4">
        <f>E275*Summary!$E$6/12</f>
        <v>0</v>
      </c>
      <c r="H275" s="4">
        <f>+IF(Summary!$B$8*12=B275,E275-F275,0)</f>
        <v>0</v>
      </c>
      <c r="I275" s="4">
        <f t="shared" si="22"/>
        <v>0</v>
      </c>
    </row>
    <row r="276" spans="2:9" x14ac:dyDescent="0.2">
      <c r="B276">
        <v>273</v>
      </c>
      <c r="C276">
        <f t="shared" si="23"/>
        <v>23</v>
      </c>
      <c r="D276" s="4">
        <f>+IF(B276&lt;=Summary!$B$17,'Current Amortization Table'!E276*Summary!$E$6/12,-IF(C276&gt;Summary!$B$8,0,-'Current Amortization Table'!$L$4))</f>
        <v>0</v>
      </c>
      <c r="E276" s="4">
        <f t="shared" si="20"/>
        <v>0</v>
      </c>
      <c r="F276" s="4">
        <f t="shared" si="21"/>
        <v>0</v>
      </c>
      <c r="G276" s="4">
        <f>E276*Summary!$E$6/12</f>
        <v>0</v>
      </c>
      <c r="H276" s="4">
        <f>+IF(Summary!$B$8*12=B276,E276-F276,0)</f>
        <v>0</v>
      </c>
      <c r="I276" s="4">
        <f t="shared" si="22"/>
        <v>0</v>
      </c>
    </row>
    <row r="277" spans="2:9" x14ac:dyDescent="0.2">
      <c r="B277">
        <v>274</v>
      </c>
      <c r="C277">
        <f t="shared" si="23"/>
        <v>23</v>
      </c>
      <c r="D277" s="4">
        <f>+IF(B277&lt;=Summary!$B$17,'Current Amortization Table'!E277*Summary!$E$6/12,-IF(C277&gt;Summary!$B$8,0,-'Current Amortization Table'!$L$4))</f>
        <v>0</v>
      </c>
      <c r="E277" s="4">
        <f t="shared" si="20"/>
        <v>0</v>
      </c>
      <c r="F277" s="4">
        <f t="shared" si="21"/>
        <v>0</v>
      </c>
      <c r="G277" s="4">
        <f>E277*Summary!$E$6/12</f>
        <v>0</v>
      </c>
      <c r="H277" s="4">
        <f>+IF(Summary!$B$8*12=B277,E277-F277,0)</f>
        <v>0</v>
      </c>
      <c r="I277" s="4">
        <f t="shared" si="22"/>
        <v>0</v>
      </c>
    </row>
    <row r="278" spans="2:9" x14ac:dyDescent="0.2">
      <c r="B278">
        <v>275</v>
      </c>
      <c r="C278">
        <f t="shared" si="23"/>
        <v>23</v>
      </c>
      <c r="D278" s="4">
        <f>+IF(B278&lt;=Summary!$B$17,'Current Amortization Table'!E278*Summary!$E$6/12,-IF(C278&gt;Summary!$B$8,0,-'Current Amortization Table'!$L$4))</f>
        <v>0</v>
      </c>
      <c r="E278" s="4">
        <f t="shared" si="20"/>
        <v>0</v>
      </c>
      <c r="F278" s="4">
        <f t="shared" si="21"/>
        <v>0</v>
      </c>
      <c r="G278" s="4">
        <f>E278*Summary!$E$6/12</f>
        <v>0</v>
      </c>
      <c r="H278" s="4">
        <f>+IF(Summary!$B$8*12=B278,E278-F278,0)</f>
        <v>0</v>
      </c>
      <c r="I278" s="4">
        <f t="shared" si="22"/>
        <v>0</v>
      </c>
    </row>
    <row r="279" spans="2:9" x14ac:dyDescent="0.2">
      <c r="B279">
        <v>276</v>
      </c>
      <c r="C279">
        <f t="shared" si="23"/>
        <v>23</v>
      </c>
      <c r="D279" s="4">
        <f>+IF(B279&lt;=Summary!$B$17,'Current Amortization Table'!E279*Summary!$E$6/12,-IF(C279&gt;Summary!$B$8,0,-'Current Amortization Table'!$L$4))</f>
        <v>0</v>
      </c>
      <c r="E279" s="4">
        <f t="shared" si="20"/>
        <v>0</v>
      </c>
      <c r="F279" s="4">
        <f t="shared" si="21"/>
        <v>0</v>
      </c>
      <c r="G279" s="4">
        <f>E279*Summary!$E$6/12</f>
        <v>0</v>
      </c>
      <c r="H279" s="4">
        <f>+IF(Summary!$B$8*12=B279,E279-F279,0)</f>
        <v>0</v>
      </c>
      <c r="I279" s="4">
        <f t="shared" si="22"/>
        <v>0</v>
      </c>
    </row>
    <row r="280" spans="2:9" x14ac:dyDescent="0.2">
      <c r="B280">
        <v>277</v>
      </c>
      <c r="C280">
        <f t="shared" si="23"/>
        <v>24</v>
      </c>
      <c r="D280" s="4">
        <f>+IF(B280&lt;=Summary!$B$17,'Current Amortization Table'!E280*Summary!$E$6/12,-IF(C280&gt;Summary!$B$8,0,-'Current Amortization Table'!$L$4))</f>
        <v>0</v>
      </c>
      <c r="E280" s="4">
        <f t="shared" si="20"/>
        <v>0</v>
      </c>
      <c r="F280" s="4">
        <f t="shared" si="21"/>
        <v>0</v>
      </c>
      <c r="G280" s="4">
        <f>E280*Summary!$E$6/12</f>
        <v>0</v>
      </c>
      <c r="H280" s="4">
        <f>+IF(Summary!$B$8*12=B280,E280-F280,0)</f>
        <v>0</v>
      </c>
      <c r="I280" s="4">
        <f t="shared" si="22"/>
        <v>0</v>
      </c>
    </row>
    <row r="281" spans="2:9" x14ac:dyDescent="0.2">
      <c r="B281">
        <v>278</v>
      </c>
      <c r="C281">
        <f t="shared" si="23"/>
        <v>24</v>
      </c>
      <c r="D281" s="4">
        <f>+IF(B281&lt;=Summary!$B$17,'Current Amortization Table'!E281*Summary!$E$6/12,-IF(C281&gt;Summary!$B$8,0,-'Current Amortization Table'!$L$4))</f>
        <v>0</v>
      </c>
      <c r="E281" s="4">
        <f t="shared" si="20"/>
        <v>0</v>
      </c>
      <c r="F281" s="4">
        <f t="shared" si="21"/>
        <v>0</v>
      </c>
      <c r="G281" s="4">
        <f>E281*Summary!$E$6/12</f>
        <v>0</v>
      </c>
      <c r="H281" s="4">
        <f>+IF(Summary!$B$8*12=B281,E281-F281,0)</f>
        <v>0</v>
      </c>
      <c r="I281" s="4">
        <f t="shared" si="22"/>
        <v>0</v>
      </c>
    </row>
    <row r="282" spans="2:9" x14ac:dyDescent="0.2">
      <c r="B282">
        <v>279</v>
      </c>
      <c r="C282">
        <f t="shared" si="23"/>
        <v>24</v>
      </c>
      <c r="D282" s="4">
        <f>+IF(B282&lt;=Summary!$B$17,'Current Amortization Table'!E282*Summary!$E$6/12,-IF(C282&gt;Summary!$B$8,0,-'Current Amortization Table'!$L$4))</f>
        <v>0</v>
      </c>
      <c r="E282" s="4">
        <f t="shared" si="20"/>
        <v>0</v>
      </c>
      <c r="F282" s="4">
        <f t="shared" si="21"/>
        <v>0</v>
      </c>
      <c r="G282" s="4">
        <f>E282*Summary!$E$6/12</f>
        <v>0</v>
      </c>
      <c r="H282" s="4">
        <f>+IF(Summary!$B$8*12=B282,E282-F282,0)</f>
        <v>0</v>
      </c>
      <c r="I282" s="4">
        <f t="shared" si="22"/>
        <v>0</v>
      </c>
    </row>
    <row r="283" spans="2:9" x14ac:dyDescent="0.2">
      <c r="B283">
        <v>280</v>
      </c>
      <c r="C283">
        <f t="shared" si="23"/>
        <v>24</v>
      </c>
      <c r="D283" s="4">
        <f>+IF(B283&lt;=Summary!$B$17,'Current Amortization Table'!E283*Summary!$E$6/12,-IF(C283&gt;Summary!$B$8,0,-'Current Amortization Table'!$L$4))</f>
        <v>0</v>
      </c>
      <c r="E283" s="4">
        <f t="shared" si="20"/>
        <v>0</v>
      </c>
      <c r="F283" s="4">
        <f t="shared" si="21"/>
        <v>0</v>
      </c>
      <c r="G283" s="4">
        <f>E283*Summary!$E$6/12</f>
        <v>0</v>
      </c>
      <c r="H283" s="4">
        <f>+IF(Summary!$B$8*12=B283,E283-F283,0)</f>
        <v>0</v>
      </c>
      <c r="I283" s="4">
        <f t="shared" si="22"/>
        <v>0</v>
      </c>
    </row>
    <row r="284" spans="2:9" x14ac:dyDescent="0.2">
      <c r="B284">
        <v>281</v>
      </c>
      <c r="C284">
        <f t="shared" si="23"/>
        <v>24</v>
      </c>
      <c r="D284" s="4">
        <f>+IF(B284&lt;=Summary!$B$17,'Current Amortization Table'!E284*Summary!$E$6/12,-IF(C284&gt;Summary!$B$8,0,-'Current Amortization Table'!$L$4))</f>
        <v>0</v>
      </c>
      <c r="E284" s="4">
        <f t="shared" si="20"/>
        <v>0</v>
      </c>
      <c r="F284" s="4">
        <f t="shared" si="21"/>
        <v>0</v>
      </c>
      <c r="G284" s="4">
        <f>E284*Summary!$E$6/12</f>
        <v>0</v>
      </c>
      <c r="H284" s="4">
        <f>+IF(Summary!$B$8*12=B284,E284-F284,0)</f>
        <v>0</v>
      </c>
      <c r="I284" s="4">
        <f t="shared" si="22"/>
        <v>0</v>
      </c>
    </row>
    <row r="285" spans="2:9" x14ac:dyDescent="0.2">
      <c r="B285">
        <v>282</v>
      </c>
      <c r="C285">
        <f t="shared" si="23"/>
        <v>24</v>
      </c>
      <c r="D285" s="4">
        <f>+IF(B285&lt;=Summary!$B$17,'Current Amortization Table'!E285*Summary!$E$6/12,-IF(C285&gt;Summary!$B$8,0,-'Current Amortization Table'!$L$4))</f>
        <v>0</v>
      </c>
      <c r="E285" s="4">
        <f t="shared" si="20"/>
        <v>0</v>
      </c>
      <c r="F285" s="4">
        <f t="shared" si="21"/>
        <v>0</v>
      </c>
      <c r="G285" s="4">
        <f>E285*Summary!$E$6/12</f>
        <v>0</v>
      </c>
      <c r="H285" s="4">
        <f>+IF(Summary!$B$8*12=B285,E285-F285,0)</f>
        <v>0</v>
      </c>
      <c r="I285" s="4">
        <f t="shared" si="22"/>
        <v>0</v>
      </c>
    </row>
    <row r="286" spans="2:9" x14ac:dyDescent="0.2">
      <c r="B286">
        <v>283</v>
      </c>
      <c r="C286">
        <f t="shared" si="23"/>
        <v>24</v>
      </c>
      <c r="D286" s="4">
        <f>+IF(B286&lt;=Summary!$B$17,'Current Amortization Table'!E286*Summary!$E$6/12,-IF(C286&gt;Summary!$B$8,0,-'Current Amortization Table'!$L$4))</f>
        <v>0</v>
      </c>
      <c r="E286" s="4">
        <f t="shared" si="20"/>
        <v>0</v>
      </c>
      <c r="F286" s="4">
        <f t="shared" si="21"/>
        <v>0</v>
      </c>
      <c r="G286" s="4">
        <f>E286*Summary!$E$6/12</f>
        <v>0</v>
      </c>
      <c r="H286" s="4">
        <f>+IF(Summary!$B$8*12=B286,E286-F286,0)</f>
        <v>0</v>
      </c>
      <c r="I286" s="4">
        <f t="shared" si="22"/>
        <v>0</v>
      </c>
    </row>
    <row r="287" spans="2:9" x14ac:dyDescent="0.2">
      <c r="B287">
        <v>284</v>
      </c>
      <c r="C287">
        <f t="shared" si="23"/>
        <v>24</v>
      </c>
      <c r="D287" s="4">
        <f>+IF(B287&lt;=Summary!$B$17,'Current Amortization Table'!E287*Summary!$E$6/12,-IF(C287&gt;Summary!$B$8,0,-'Current Amortization Table'!$L$4))</f>
        <v>0</v>
      </c>
      <c r="E287" s="4">
        <f t="shared" si="20"/>
        <v>0</v>
      </c>
      <c r="F287" s="4">
        <f t="shared" si="21"/>
        <v>0</v>
      </c>
      <c r="G287" s="4">
        <f>E287*Summary!$E$6/12</f>
        <v>0</v>
      </c>
      <c r="H287" s="4">
        <f>+IF(Summary!$B$8*12=B287,E287-F287,0)</f>
        <v>0</v>
      </c>
      <c r="I287" s="4">
        <f t="shared" si="22"/>
        <v>0</v>
      </c>
    </row>
    <row r="288" spans="2:9" x14ac:dyDescent="0.2">
      <c r="B288">
        <v>285</v>
      </c>
      <c r="C288">
        <f t="shared" si="23"/>
        <v>24</v>
      </c>
      <c r="D288" s="4">
        <f>+IF(B288&lt;=Summary!$B$17,'Current Amortization Table'!E288*Summary!$E$6/12,-IF(C288&gt;Summary!$B$8,0,-'Current Amortization Table'!$L$4))</f>
        <v>0</v>
      </c>
      <c r="E288" s="4">
        <f t="shared" si="20"/>
        <v>0</v>
      </c>
      <c r="F288" s="4">
        <f t="shared" si="21"/>
        <v>0</v>
      </c>
      <c r="G288" s="4">
        <f>E288*Summary!$E$6/12</f>
        <v>0</v>
      </c>
      <c r="H288" s="4">
        <f>+IF(Summary!$B$8*12=B288,E288-F288,0)</f>
        <v>0</v>
      </c>
      <c r="I288" s="4">
        <f t="shared" si="22"/>
        <v>0</v>
      </c>
    </row>
    <row r="289" spans="2:9" x14ac:dyDescent="0.2">
      <c r="B289">
        <v>286</v>
      </c>
      <c r="C289">
        <f t="shared" si="23"/>
        <v>24</v>
      </c>
      <c r="D289" s="4">
        <f>+IF(B289&lt;=Summary!$B$17,'Current Amortization Table'!E289*Summary!$E$6/12,-IF(C289&gt;Summary!$B$8,0,-'Current Amortization Table'!$L$4))</f>
        <v>0</v>
      </c>
      <c r="E289" s="4">
        <f t="shared" si="20"/>
        <v>0</v>
      </c>
      <c r="F289" s="4">
        <f t="shared" si="21"/>
        <v>0</v>
      </c>
      <c r="G289" s="4">
        <f>E289*Summary!$E$6/12</f>
        <v>0</v>
      </c>
      <c r="H289" s="4">
        <f>+IF(Summary!$B$8*12=B289,E289-F289,0)</f>
        <v>0</v>
      </c>
      <c r="I289" s="4">
        <f t="shared" si="22"/>
        <v>0</v>
      </c>
    </row>
    <row r="290" spans="2:9" x14ac:dyDescent="0.2">
      <c r="B290">
        <v>287</v>
      </c>
      <c r="C290">
        <f t="shared" si="23"/>
        <v>24</v>
      </c>
      <c r="D290" s="4">
        <f>+IF(B290&lt;=Summary!$B$17,'Current Amortization Table'!E290*Summary!$E$6/12,-IF(C290&gt;Summary!$B$8,0,-'Current Amortization Table'!$L$4))</f>
        <v>0</v>
      </c>
      <c r="E290" s="4">
        <f t="shared" si="20"/>
        <v>0</v>
      </c>
      <c r="F290" s="4">
        <f t="shared" si="21"/>
        <v>0</v>
      </c>
      <c r="G290" s="4">
        <f>E290*Summary!$E$6/12</f>
        <v>0</v>
      </c>
      <c r="H290" s="4">
        <f>+IF(Summary!$B$8*12=B290,E290-F290,0)</f>
        <v>0</v>
      </c>
      <c r="I290" s="4">
        <f t="shared" si="22"/>
        <v>0</v>
      </c>
    </row>
    <row r="291" spans="2:9" x14ac:dyDescent="0.2">
      <c r="B291">
        <v>288</v>
      </c>
      <c r="C291">
        <f t="shared" si="23"/>
        <v>24</v>
      </c>
      <c r="D291" s="4">
        <f>+IF(B291&lt;=Summary!$B$17,'Current Amortization Table'!E291*Summary!$E$6/12,-IF(C291&gt;Summary!$B$8,0,-'Current Amortization Table'!$L$4))</f>
        <v>0</v>
      </c>
      <c r="E291" s="4">
        <f t="shared" si="20"/>
        <v>0</v>
      </c>
      <c r="F291" s="4">
        <f t="shared" si="21"/>
        <v>0</v>
      </c>
      <c r="G291" s="4">
        <f>E291*Summary!$E$6/12</f>
        <v>0</v>
      </c>
      <c r="H291" s="4">
        <f>+IF(Summary!$B$8*12=B291,E291-F291,0)</f>
        <v>0</v>
      </c>
      <c r="I291" s="4">
        <f t="shared" si="22"/>
        <v>0</v>
      </c>
    </row>
    <row r="292" spans="2:9" x14ac:dyDescent="0.2">
      <c r="B292">
        <v>289</v>
      </c>
      <c r="C292">
        <f t="shared" si="23"/>
        <v>25</v>
      </c>
      <c r="D292" s="4">
        <f>+IF(B292&lt;=Summary!$B$17,'Current Amortization Table'!E292*Summary!$E$6/12,-IF(C292&gt;Summary!$B$8,0,-'Current Amortization Table'!$L$4))</f>
        <v>0</v>
      </c>
      <c r="E292" s="4">
        <f t="shared" si="20"/>
        <v>0</v>
      </c>
      <c r="F292" s="4">
        <f t="shared" si="21"/>
        <v>0</v>
      </c>
      <c r="G292" s="4">
        <f>E292*Summary!$E$6/12</f>
        <v>0</v>
      </c>
      <c r="H292" s="4">
        <f>+IF(Summary!$B$8*12=B292,E292-F292,0)</f>
        <v>0</v>
      </c>
      <c r="I292" s="4">
        <f t="shared" si="22"/>
        <v>0</v>
      </c>
    </row>
    <row r="293" spans="2:9" x14ac:dyDescent="0.2">
      <c r="B293">
        <v>290</v>
      </c>
      <c r="C293">
        <f t="shared" si="23"/>
        <v>25</v>
      </c>
      <c r="D293" s="4">
        <f>+IF(B293&lt;=Summary!$B$17,'Current Amortization Table'!E293*Summary!$E$6/12,-IF(C293&gt;Summary!$B$8,0,-'Current Amortization Table'!$L$4))</f>
        <v>0</v>
      </c>
      <c r="E293" s="4">
        <f t="shared" si="20"/>
        <v>0</v>
      </c>
      <c r="F293" s="4">
        <f t="shared" si="21"/>
        <v>0</v>
      </c>
      <c r="G293" s="4">
        <f>E293*Summary!$E$6/12</f>
        <v>0</v>
      </c>
      <c r="H293" s="4">
        <f>+IF(Summary!$B$8*12=B293,E293-F293,0)</f>
        <v>0</v>
      </c>
      <c r="I293" s="4">
        <f t="shared" si="22"/>
        <v>0</v>
      </c>
    </row>
    <row r="294" spans="2:9" x14ac:dyDescent="0.2">
      <c r="B294">
        <v>291</v>
      </c>
      <c r="C294">
        <f t="shared" si="23"/>
        <v>25</v>
      </c>
      <c r="D294" s="4">
        <f>+IF(B294&lt;=Summary!$B$17,'Current Amortization Table'!E294*Summary!$E$6/12,-IF(C294&gt;Summary!$B$8,0,-'Current Amortization Table'!$L$4))</f>
        <v>0</v>
      </c>
      <c r="E294" s="4">
        <f t="shared" si="20"/>
        <v>0</v>
      </c>
      <c r="F294" s="4">
        <f t="shared" si="21"/>
        <v>0</v>
      </c>
      <c r="G294" s="4">
        <f>E294*Summary!$E$6/12</f>
        <v>0</v>
      </c>
      <c r="H294" s="4">
        <f>+IF(Summary!$B$8*12=B294,E294-F294,0)</f>
        <v>0</v>
      </c>
      <c r="I294" s="4">
        <f t="shared" si="22"/>
        <v>0</v>
      </c>
    </row>
    <row r="295" spans="2:9" x14ac:dyDescent="0.2">
      <c r="B295">
        <v>292</v>
      </c>
      <c r="C295">
        <f t="shared" si="23"/>
        <v>25</v>
      </c>
      <c r="D295" s="4">
        <f>+IF(B295&lt;=Summary!$B$17,'Current Amortization Table'!E295*Summary!$E$6/12,-IF(C295&gt;Summary!$B$8,0,-'Current Amortization Table'!$L$4))</f>
        <v>0</v>
      </c>
      <c r="E295" s="4">
        <f t="shared" si="20"/>
        <v>0</v>
      </c>
      <c r="F295" s="4">
        <f t="shared" si="21"/>
        <v>0</v>
      </c>
      <c r="G295" s="4">
        <f>E295*Summary!$E$6/12</f>
        <v>0</v>
      </c>
      <c r="H295" s="4">
        <f>+IF(Summary!$B$8*12=B295,E295-F295,0)</f>
        <v>0</v>
      </c>
      <c r="I295" s="4">
        <f t="shared" si="22"/>
        <v>0</v>
      </c>
    </row>
    <row r="296" spans="2:9" x14ac:dyDescent="0.2">
      <c r="B296">
        <v>293</v>
      </c>
      <c r="C296">
        <f t="shared" si="23"/>
        <v>25</v>
      </c>
      <c r="D296" s="4">
        <f>+IF(B296&lt;=Summary!$B$17,'Current Amortization Table'!E296*Summary!$E$6/12,-IF(C296&gt;Summary!$B$8,0,-'Current Amortization Table'!$L$4))</f>
        <v>0</v>
      </c>
      <c r="E296" s="4">
        <f t="shared" si="20"/>
        <v>0</v>
      </c>
      <c r="F296" s="4">
        <f t="shared" si="21"/>
        <v>0</v>
      </c>
      <c r="G296" s="4">
        <f>E296*Summary!$E$6/12</f>
        <v>0</v>
      </c>
      <c r="H296" s="4">
        <f>+IF(Summary!$B$8*12=B296,E296-F296,0)</f>
        <v>0</v>
      </c>
      <c r="I296" s="4">
        <f t="shared" si="22"/>
        <v>0</v>
      </c>
    </row>
    <row r="297" spans="2:9" x14ac:dyDescent="0.2">
      <c r="B297">
        <v>294</v>
      </c>
      <c r="C297">
        <f t="shared" si="23"/>
        <v>25</v>
      </c>
      <c r="D297" s="4">
        <f>+IF(B297&lt;=Summary!$B$17,'Current Amortization Table'!E297*Summary!$E$6/12,-IF(C297&gt;Summary!$B$8,0,-'Current Amortization Table'!$L$4))</f>
        <v>0</v>
      </c>
      <c r="E297" s="4">
        <f t="shared" si="20"/>
        <v>0</v>
      </c>
      <c r="F297" s="4">
        <f t="shared" si="21"/>
        <v>0</v>
      </c>
      <c r="G297" s="4">
        <f>E297*Summary!$E$6/12</f>
        <v>0</v>
      </c>
      <c r="H297" s="4">
        <f>+IF(Summary!$B$8*12=B297,E297-F297,0)</f>
        <v>0</v>
      </c>
      <c r="I297" s="4">
        <f t="shared" si="22"/>
        <v>0</v>
      </c>
    </row>
    <row r="298" spans="2:9" x14ac:dyDescent="0.2">
      <c r="B298">
        <v>295</v>
      </c>
      <c r="C298">
        <f t="shared" si="23"/>
        <v>25</v>
      </c>
      <c r="D298" s="4">
        <f>+IF(B298&lt;=Summary!$B$17,'Current Amortization Table'!E298*Summary!$E$6/12,-IF(C298&gt;Summary!$B$8,0,-'Current Amortization Table'!$L$4))</f>
        <v>0</v>
      </c>
      <c r="E298" s="4">
        <f t="shared" si="20"/>
        <v>0</v>
      </c>
      <c r="F298" s="4">
        <f t="shared" si="21"/>
        <v>0</v>
      </c>
      <c r="G298" s="4">
        <f>E298*Summary!$E$6/12</f>
        <v>0</v>
      </c>
      <c r="H298" s="4">
        <f>+IF(Summary!$B$8*12=B298,E298-F298,0)</f>
        <v>0</v>
      </c>
      <c r="I298" s="4">
        <f t="shared" si="22"/>
        <v>0</v>
      </c>
    </row>
    <row r="299" spans="2:9" x14ac:dyDescent="0.2">
      <c r="B299">
        <v>296</v>
      </c>
      <c r="C299">
        <f t="shared" si="23"/>
        <v>25</v>
      </c>
      <c r="D299" s="4">
        <f>+IF(B299&lt;=Summary!$B$17,'Current Amortization Table'!E299*Summary!$E$6/12,-IF(C299&gt;Summary!$B$8,0,-'Current Amortization Table'!$L$4))</f>
        <v>0</v>
      </c>
      <c r="E299" s="4">
        <f t="shared" si="20"/>
        <v>0</v>
      </c>
      <c r="F299" s="4">
        <f t="shared" si="21"/>
        <v>0</v>
      </c>
      <c r="G299" s="4">
        <f>E299*Summary!$E$6/12</f>
        <v>0</v>
      </c>
      <c r="H299" s="4">
        <f>+IF(Summary!$B$8*12=B299,E299-F299,0)</f>
        <v>0</v>
      </c>
      <c r="I299" s="4">
        <f t="shared" si="22"/>
        <v>0</v>
      </c>
    </row>
    <row r="300" spans="2:9" x14ac:dyDescent="0.2">
      <c r="B300">
        <v>297</v>
      </c>
      <c r="C300">
        <f t="shared" si="23"/>
        <v>25</v>
      </c>
      <c r="D300" s="4">
        <f>+IF(B300&lt;=Summary!$B$17,'Current Amortization Table'!E300*Summary!$E$6/12,-IF(C300&gt;Summary!$B$8,0,-'Current Amortization Table'!$L$4))</f>
        <v>0</v>
      </c>
      <c r="E300" s="4">
        <f t="shared" si="20"/>
        <v>0</v>
      </c>
      <c r="F300" s="4">
        <f t="shared" si="21"/>
        <v>0</v>
      </c>
      <c r="G300" s="4">
        <f>E300*Summary!$E$6/12</f>
        <v>0</v>
      </c>
      <c r="H300" s="4">
        <f>+IF(Summary!$B$8*12=B300,E300-F300,0)</f>
        <v>0</v>
      </c>
      <c r="I300" s="4">
        <f t="shared" si="22"/>
        <v>0</v>
      </c>
    </row>
    <row r="301" spans="2:9" x14ac:dyDescent="0.2">
      <c r="B301">
        <v>298</v>
      </c>
      <c r="C301">
        <f t="shared" si="23"/>
        <v>25</v>
      </c>
      <c r="D301" s="4">
        <f>+IF(B301&lt;=Summary!$B$17,'Current Amortization Table'!E301*Summary!$E$6/12,-IF(C301&gt;Summary!$B$8,0,-'Current Amortization Table'!$L$4))</f>
        <v>0</v>
      </c>
      <c r="E301" s="4">
        <f t="shared" si="20"/>
        <v>0</v>
      </c>
      <c r="F301" s="4">
        <f t="shared" si="21"/>
        <v>0</v>
      </c>
      <c r="G301" s="4">
        <f>E301*Summary!$E$6/12</f>
        <v>0</v>
      </c>
      <c r="H301" s="4">
        <f>+IF(Summary!$B$8*12=B301,E301-F301,0)</f>
        <v>0</v>
      </c>
      <c r="I301" s="4">
        <f t="shared" si="22"/>
        <v>0</v>
      </c>
    </row>
    <row r="302" spans="2:9" x14ac:dyDescent="0.2">
      <c r="B302">
        <v>299</v>
      </c>
      <c r="C302">
        <f t="shared" si="23"/>
        <v>25</v>
      </c>
      <c r="D302" s="4">
        <f>+IF(B302&lt;=Summary!$B$17,'Current Amortization Table'!E302*Summary!$E$6/12,-IF(C302&gt;Summary!$B$8,0,-'Current Amortization Table'!$L$4))</f>
        <v>0</v>
      </c>
      <c r="E302" s="4">
        <f t="shared" si="20"/>
        <v>0</v>
      </c>
      <c r="F302" s="4">
        <f t="shared" si="21"/>
        <v>0</v>
      </c>
      <c r="G302" s="4">
        <f>E302*Summary!$E$6/12</f>
        <v>0</v>
      </c>
      <c r="H302" s="4">
        <f>+IF(Summary!$B$8*12=B302,E302-F302,0)</f>
        <v>0</v>
      </c>
      <c r="I302" s="4">
        <f t="shared" si="22"/>
        <v>0</v>
      </c>
    </row>
    <row r="303" spans="2:9" x14ac:dyDescent="0.2">
      <c r="B303">
        <v>300</v>
      </c>
      <c r="C303">
        <f t="shared" si="23"/>
        <v>25</v>
      </c>
      <c r="D303" s="4">
        <f>+IF(B303&lt;=Summary!$B$17,'Current Amortization Table'!E303*Summary!$E$6/12,-IF(C303&gt;Summary!$B$8,0,-'Current Amortization Table'!$L$4))</f>
        <v>0</v>
      </c>
      <c r="E303" s="4">
        <f t="shared" si="20"/>
        <v>0</v>
      </c>
      <c r="F303" s="4">
        <f t="shared" si="21"/>
        <v>0</v>
      </c>
      <c r="G303" s="4">
        <f>E303*Summary!$E$6/12</f>
        <v>0</v>
      </c>
      <c r="H303" s="4">
        <f>+IF(Summary!$B$8*12=B303,E303-F303,0)</f>
        <v>0</v>
      </c>
      <c r="I303" s="4">
        <f t="shared" si="22"/>
        <v>0</v>
      </c>
    </row>
    <row r="304" spans="2:9" x14ac:dyDescent="0.2">
      <c r="B304">
        <v>301</v>
      </c>
      <c r="C304">
        <f t="shared" si="23"/>
        <v>26</v>
      </c>
      <c r="D304" s="4">
        <f>+IF(B304&lt;=Summary!$B$17,'Current Amortization Table'!E304*Summary!$E$6/12,-IF(C304&gt;Summary!$B$8,0,-'Current Amortization Table'!$L$4))</f>
        <v>0</v>
      </c>
      <c r="E304" s="4">
        <f t="shared" si="20"/>
        <v>0</v>
      </c>
      <c r="F304" s="4">
        <f t="shared" si="21"/>
        <v>0</v>
      </c>
      <c r="G304" s="4">
        <f>E304*Summary!$E$6/12</f>
        <v>0</v>
      </c>
      <c r="H304" s="4">
        <f>+IF(Summary!$B$8*12=B304,E304-F304,0)</f>
        <v>0</v>
      </c>
      <c r="I304" s="4">
        <f t="shared" si="22"/>
        <v>0</v>
      </c>
    </row>
    <row r="305" spans="2:9" x14ac:dyDescent="0.2">
      <c r="B305">
        <v>302</v>
      </c>
      <c r="C305">
        <f t="shared" si="23"/>
        <v>26</v>
      </c>
      <c r="D305" s="4">
        <f>+IF(B305&lt;=Summary!$B$17,'Current Amortization Table'!E305*Summary!$E$6/12,-IF(C305&gt;Summary!$B$8,0,-'Current Amortization Table'!$L$4))</f>
        <v>0</v>
      </c>
      <c r="E305" s="4">
        <f t="shared" si="20"/>
        <v>0</v>
      </c>
      <c r="F305" s="4">
        <f t="shared" si="21"/>
        <v>0</v>
      </c>
      <c r="G305" s="4">
        <f>E305*Summary!$E$6/12</f>
        <v>0</v>
      </c>
      <c r="H305" s="4">
        <f>+IF(Summary!$B$8*12=B305,E305-F305,0)</f>
        <v>0</v>
      </c>
      <c r="I305" s="4">
        <f t="shared" si="22"/>
        <v>0</v>
      </c>
    </row>
    <row r="306" spans="2:9" x14ac:dyDescent="0.2">
      <c r="B306">
        <v>303</v>
      </c>
      <c r="C306">
        <f t="shared" si="23"/>
        <v>26</v>
      </c>
      <c r="D306" s="4">
        <f>+IF(B306&lt;=Summary!$B$17,'Current Amortization Table'!E306*Summary!$E$6/12,-IF(C306&gt;Summary!$B$8,0,-'Current Amortization Table'!$L$4))</f>
        <v>0</v>
      </c>
      <c r="E306" s="4">
        <f t="shared" si="20"/>
        <v>0</v>
      </c>
      <c r="F306" s="4">
        <f t="shared" si="21"/>
        <v>0</v>
      </c>
      <c r="G306" s="4">
        <f>E306*Summary!$E$6/12</f>
        <v>0</v>
      </c>
      <c r="H306" s="4">
        <f>+IF(Summary!$B$8*12=B306,E306-F306,0)</f>
        <v>0</v>
      </c>
      <c r="I306" s="4">
        <f t="shared" si="22"/>
        <v>0</v>
      </c>
    </row>
    <row r="307" spans="2:9" x14ac:dyDescent="0.2">
      <c r="B307">
        <v>304</v>
      </c>
      <c r="C307">
        <f t="shared" si="23"/>
        <v>26</v>
      </c>
      <c r="D307" s="4">
        <f>+IF(B307&lt;=Summary!$B$17,'Current Amortization Table'!E307*Summary!$E$6/12,-IF(C307&gt;Summary!$B$8,0,-'Current Amortization Table'!$L$4))</f>
        <v>0</v>
      </c>
      <c r="E307" s="4">
        <f t="shared" si="20"/>
        <v>0</v>
      </c>
      <c r="F307" s="4">
        <f t="shared" si="21"/>
        <v>0</v>
      </c>
      <c r="G307" s="4">
        <f>E307*Summary!$E$6/12</f>
        <v>0</v>
      </c>
      <c r="H307" s="4">
        <f>+IF(Summary!$B$8*12=B307,E307-F307,0)</f>
        <v>0</v>
      </c>
      <c r="I307" s="4">
        <f t="shared" si="22"/>
        <v>0</v>
      </c>
    </row>
    <row r="308" spans="2:9" x14ac:dyDescent="0.2">
      <c r="B308">
        <v>305</v>
      </c>
      <c r="C308">
        <f t="shared" si="23"/>
        <v>26</v>
      </c>
      <c r="D308" s="4">
        <f>+IF(B308&lt;=Summary!$B$17,'Current Amortization Table'!E308*Summary!$E$6/12,-IF(C308&gt;Summary!$B$8,0,-'Current Amortization Table'!$L$4))</f>
        <v>0</v>
      </c>
      <c r="E308" s="4">
        <f t="shared" si="20"/>
        <v>0</v>
      </c>
      <c r="F308" s="4">
        <f t="shared" si="21"/>
        <v>0</v>
      </c>
      <c r="G308" s="4">
        <f>E308*Summary!$E$6/12</f>
        <v>0</v>
      </c>
      <c r="H308" s="4">
        <f>+IF(Summary!$B$8*12=B308,E308-F308,0)</f>
        <v>0</v>
      </c>
      <c r="I308" s="4">
        <f t="shared" si="22"/>
        <v>0</v>
      </c>
    </row>
    <row r="309" spans="2:9" x14ac:dyDescent="0.2">
      <c r="B309">
        <v>306</v>
      </c>
      <c r="C309">
        <f t="shared" si="23"/>
        <v>26</v>
      </c>
      <c r="D309" s="4">
        <f>+IF(B309&lt;=Summary!$B$17,'Current Amortization Table'!E309*Summary!$E$6/12,-IF(C309&gt;Summary!$B$8,0,-'Current Amortization Table'!$L$4))</f>
        <v>0</v>
      </c>
      <c r="E309" s="4">
        <f t="shared" si="20"/>
        <v>0</v>
      </c>
      <c r="F309" s="4">
        <f t="shared" si="21"/>
        <v>0</v>
      </c>
      <c r="G309" s="4">
        <f>E309*Summary!$E$6/12</f>
        <v>0</v>
      </c>
      <c r="H309" s="4">
        <f>+IF(Summary!$B$8*12=B309,E309-F309,0)</f>
        <v>0</v>
      </c>
      <c r="I309" s="4">
        <f t="shared" si="22"/>
        <v>0</v>
      </c>
    </row>
    <row r="310" spans="2:9" x14ac:dyDescent="0.2">
      <c r="B310">
        <v>307</v>
      </c>
      <c r="C310">
        <f t="shared" si="23"/>
        <v>26</v>
      </c>
      <c r="D310" s="4">
        <f>+IF(B310&lt;=Summary!$B$17,'Current Amortization Table'!E310*Summary!$E$6/12,-IF(C310&gt;Summary!$B$8,0,-'Current Amortization Table'!$L$4))</f>
        <v>0</v>
      </c>
      <c r="E310" s="4">
        <f t="shared" si="20"/>
        <v>0</v>
      </c>
      <c r="F310" s="4">
        <f t="shared" si="21"/>
        <v>0</v>
      </c>
      <c r="G310" s="4">
        <f>E310*Summary!$E$6/12</f>
        <v>0</v>
      </c>
      <c r="H310" s="4">
        <f>+IF(Summary!$B$8*12=B310,E310-F310,0)</f>
        <v>0</v>
      </c>
      <c r="I310" s="4">
        <f t="shared" si="22"/>
        <v>0</v>
      </c>
    </row>
    <row r="311" spans="2:9" x14ac:dyDescent="0.2">
      <c r="B311">
        <v>308</v>
      </c>
      <c r="C311">
        <f t="shared" si="23"/>
        <v>26</v>
      </c>
      <c r="D311" s="4">
        <f>+IF(B311&lt;=Summary!$B$17,'Current Amortization Table'!E311*Summary!$E$6/12,-IF(C311&gt;Summary!$B$8,0,-'Current Amortization Table'!$L$4))</f>
        <v>0</v>
      </c>
      <c r="E311" s="4">
        <f t="shared" si="20"/>
        <v>0</v>
      </c>
      <c r="F311" s="4">
        <f t="shared" si="21"/>
        <v>0</v>
      </c>
      <c r="G311" s="4">
        <f>E311*Summary!$E$6/12</f>
        <v>0</v>
      </c>
      <c r="H311" s="4">
        <f>+IF(Summary!$B$8*12=B311,E311-F311,0)</f>
        <v>0</v>
      </c>
      <c r="I311" s="4">
        <f t="shared" si="22"/>
        <v>0</v>
      </c>
    </row>
    <row r="312" spans="2:9" x14ac:dyDescent="0.2">
      <c r="B312">
        <v>309</v>
      </c>
      <c r="C312">
        <f t="shared" si="23"/>
        <v>26</v>
      </c>
      <c r="D312" s="4">
        <f>+IF(B312&lt;=Summary!$B$17,'Current Amortization Table'!E312*Summary!$E$6/12,-IF(C312&gt;Summary!$B$8,0,-'Current Amortization Table'!$L$4))</f>
        <v>0</v>
      </c>
      <c r="E312" s="4">
        <f t="shared" si="20"/>
        <v>0</v>
      </c>
      <c r="F312" s="4">
        <f t="shared" si="21"/>
        <v>0</v>
      </c>
      <c r="G312" s="4">
        <f>E312*Summary!$E$6/12</f>
        <v>0</v>
      </c>
      <c r="H312" s="4">
        <f>+IF(Summary!$B$8*12=B312,E312-F312,0)</f>
        <v>0</v>
      </c>
      <c r="I312" s="4">
        <f t="shared" si="22"/>
        <v>0</v>
      </c>
    </row>
    <row r="313" spans="2:9" x14ac:dyDescent="0.2">
      <c r="B313">
        <v>310</v>
      </c>
      <c r="C313">
        <f t="shared" si="23"/>
        <v>26</v>
      </c>
      <c r="D313" s="4">
        <f>+IF(B313&lt;=Summary!$B$17,'Current Amortization Table'!E313*Summary!$E$6/12,-IF(C313&gt;Summary!$B$8,0,-'Current Amortization Table'!$L$4))</f>
        <v>0</v>
      </c>
      <c r="E313" s="4">
        <f t="shared" si="20"/>
        <v>0</v>
      </c>
      <c r="F313" s="4">
        <f t="shared" si="21"/>
        <v>0</v>
      </c>
      <c r="G313" s="4">
        <f>E313*Summary!$E$6/12</f>
        <v>0</v>
      </c>
      <c r="H313" s="4">
        <f>+IF(Summary!$B$8*12=B313,E313-F313,0)</f>
        <v>0</v>
      </c>
      <c r="I313" s="4">
        <f t="shared" si="22"/>
        <v>0</v>
      </c>
    </row>
    <row r="314" spans="2:9" x14ac:dyDescent="0.2">
      <c r="B314">
        <v>311</v>
      </c>
      <c r="C314">
        <f t="shared" si="23"/>
        <v>26</v>
      </c>
      <c r="D314" s="4">
        <f>+IF(B314&lt;=Summary!$B$17,'Current Amortization Table'!E314*Summary!$E$6/12,-IF(C314&gt;Summary!$B$8,0,-'Current Amortization Table'!$L$4))</f>
        <v>0</v>
      </c>
      <c r="E314" s="4">
        <f t="shared" si="20"/>
        <v>0</v>
      </c>
      <c r="F314" s="4">
        <f t="shared" si="21"/>
        <v>0</v>
      </c>
      <c r="G314" s="4">
        <f>E314*Summary!$E$6/12</f>
        <v>0</v>
      </c>
      <c r="H314" s="4">
        <f>+IF(Summary!$B$8*12=B314,E314-F314,0)</f>
        <v>0</v>
      </c>
      <c r="I314" s="4">
        <f t="shared" si="22"/>
        <v>0</v>
      </c>
    </row>
    <row r="315" spans="2:9" x14ac:dyDescent="0.2">
      <c r="B315">
        <v>312</v>
      </c>
      <c r="C315">
        <f t="shared" si="23"/>
        <v>26</v>
      </c>
      <c r="D315" s="4">
        <f>+IF(B315&lt;=Summary!$B$17,'Current Amortization Table'!E315*Summary!$E$6/12,-IF(C315&gt;Summary!$B$8,0,-'Current Amortization Table'!$L$4))</f>
        <v>0</v>
      </c>
      <c r="E315" s="4">
        <f t="shared" si="20"/>
        <v>0</v>
      </c>
      <c r="F315" s="4">
        <f t="shared" si="21"/>
        <v>0</v>
      </c>
      <c r="G315" s="4">
        <f>E315*Summary!$E$6/12</f>
        <v>0</v>
      </c>
      <c r="H315" s="4">
        <f>+IF(Summary!$B$8*12=B315,E315-F315,0)</f>
        <v>0</v>
      </c>
      <c r="I315" s="4">
        <f t="shared" si="22"/>
        <v>0</v>
      </c>
    </row>
    <row r="316" spans="2:9" x14ac:dyDescent="0.2">
      <c r="B316">
        <v>313</v>
      </c>
      <c r="C316">
        <f t="shared" si="23"/>
        <v>27</v>
      </c>
      <c r="D316" s="4">
        <f>+IF(B316&lt;=Summary!$B$17,'Current Amortization Table'!E316*Summary!$E$6/12,-IF(C316&gt;Summary!$B$8,0,-'Current Amortization Table'!$L$4))</f>
        <v>0</v>
      </c>
      <c r="E316" s="4">
        <f t="shared" si="20"/>
        <v>0</v>
      </c>
      <c r="F316" s="4">
        <f t="shared" si="21"/>
        <v>0</v>
      </c>
      <c r="G316" s="4">
        <f>E316*Summary!$E$6/12</f>
        <v>0</v>
      </c>
      <c r="H316" s="4">
        <f>+IF(Summary!$B$8*12=B316,E316-F316,0)</f>
        <v>0</v>
      </c>
      <c r="I316" s="4">
        <f t="shared" si="22"/>
        <v>0</v>
      </c>
    </row>
    <row r="317" spans="2:9" x14ac:dyDescent="0.2">
      <c r="B317">
        <v>314</v>
      </c>
      <c r="C317">
        <f t="shared" si="23"/>
        <v>27</v>
      </c>
      <c r="D317" s="4">
        <f>+IF(B317&lt;=Summary!$B$17,'Current Amortization Table'!E317*Summary!$E$6/12,-IF(C317&gt;Summary!$B$8,0,-'Current Amortization Table'!$L$4))</f>
        <v>0</v>
      </c>
      <c r="E317" s="4">
        <f t="shared" si="20"/>
        <v>0</v>
      </c>
      <c r="F317" s="4">
        <f t="shared" si="21"/>
        <v>0</v>
      </c>
      <c r="G317" s="4">
        <f>E317*Summary!$E$6/12</f>
        <v>0</v>
      </c>
      <c r="H317" s="4">
        <f>+IF(Summary!$B$8*12=B317,E317-F317,0)</f>
        <v>0</v>
      </c>
      <c r="I317" s="4">
        <f t="shared" si="22"/>
        <v>0</v>
      </c>
    </row>
    <row r="318" spans="2:9" x14ac:dyDescent="0.2">
      <c r="B318">
        <v>315</v>
      </c>
      <c r="C318">
        <f t="shared" si="23"/>
        <v>27</v>
      </c>
      <c r="D318" s="4">
        <f>+IF(B318&lt;=Summary!$B$17,'Current Amortization Table'!E318*Summary!$E$6/12,-IF(C318&gt;Summary!$B$8,0,-'Current Amortization Table'!$L$4))</f>
        <v>0</v>
      </c>
      <c r="E318" s="4">
        <f t="shared" si="20"/>
        <v>0</v>
      </c>
      <c r="F318" s="4">
        <f t="shared" si="21"/>
        <v>0</v>
      </c>
      <c r="G318" s="4">
        <f>E318*Summary!$E$6/12</f>
        <v>0</v>
      </c>
      <c r="H318" s="4">
        <f>+IF(Summary!$B$8*12=B318,E318-F318,0)</f>
        <v>0</v>
      </c>
      <c r="I318" s="4">
        <f t="shared" si="22"/>
        <v>0</v>
      </c>
    </row>
    <row r="319" spans="2:9" x14ac:dyDescent="0.2">
      <c r="B319">
        <v>316</v>
      </c>
      <c r="C319">
        <f t="shared" si="23"/>
        <v>27</v>
      </c>
      <c r="D319" s="4">
        <f>+IF(B319&lt;=Summary!$B$17,'Current Amortization Table'!E319*Summary!$E$6/12,-IF(C319&gt;Summary!$B$8,0,-'Current Amortization Table'!$L$4))</f>
        <v>0</v>
      </c>
      <c r="E319" s="4">
        <f t="shared" si="20"/>
        <v>0</v>
      </c>
      <c r="F319" s="4">
        <f t="shared" si="21"/>
        <v>0</v>
      </c>
      <c r="G319" s="4">
        <f>E319*Summary!$E$6/12</f>
        <v>0</v>
      </c>
      <c r="H319" s="4">
        <f>+IF(Summary!$B$8*12=B319,E319-F319,0)</f>
        <v>0</v>
      </c>
      <c r="I319" s="4">
        <f t="shared" si="22"/>
        <v>0</v>
      </c>
    </row>
    <row r="320" spans="2:9" x14ac:dyDescent="0.2">
      <c r="B320">
        <v>317</v>
      </c>
      <c r="C320">
        <f t="shared" si="23"/>
        <v>27</v>
      </c>
      <c r="D320" s="4">
        <f>+IF(B320&lt;=Summary!$B$17,'Current Amortization Table'!E320*Summary!$E$6/12,-IF(C320&gt;Summary!$B$8,0,-'Current Amortization Table'!$L$4))</f>
        <v>0</v>
      </c>
      <c r="E320" s="4">
        <f t="shared" si="20"/>
        <v>0</v>
      </c>
      <c r="F320" s="4">
        <f t="shared" si="21"/>
        <v>0</v>
      </c>
      <c r="G320" s="4">
        <f>E320*Summary!$E$6/12</f>
        <v>0</v>
      </c>
      <c r="H320" s="4">
        <f>+IF(Summary!$B$8*12=B320,E320-F320,0)</f>
        <v>0</v>
      </c>
      <c r="I320" s="4">
        <f t="shared" si="22"/>
        <v>0</v>
      </c>
    </row>
    <row r="321" spans="2:9" x14ac:dyDescent="0.2">
      <c r="B321">
        <v>318</v>
      </c>
      <c r="C321">
        <f t="shared" si="23"/>
        <v>27</v>
      </c>
      <c r="D321" s="4">
        <f>+IF(B321&lt;=Summary!$B$17,'Current Amortization Table'!E321*Summary!$E$6/12,-IF(C321&gt;Summary!$B$8,0,-'Current Amortization Table'!$L$4))</f>
        <v>0</v>
      </c>
      <c r="E321" s="4">
        <f t="shared" ref="E321:E363" si="24">+I320</f>
        <v>0</v>
      </c>
      <c r="F321" s="4">
        <f t="shared" ref="F321:F363" si="25">+D321-G321</f>
        <v>0</v>
      </c>
      <c r="G321" s="4">
        <f>E321*Summary!$E$6/12</f>
        <v>0</v>
      </c>
      <c r="H321" s="4">
        <f>+IF(Summary!$B$8*12=B321,E321-F321,0)</f>
        <v>0</v>
      </c>
      <c r="I321" s="4">
        <f t="shared" ref="I321:I363" si="26">+E321-F321-H321</f>
        <v>0</v>
      </c>
    </row>
    <row r="322" spans="2:9" x14ac:dyDescent="0.2">
      <c r="B322">
        <v>319</v>
      </c>
      <c r="C322">
        <f t="shared" si="23"/>
        <v>27</v>
      </c>
      <c r="D322" s="4">
        <f>+IF(B322&lt;=Summary!$B$17,'Current Amortization Table'!E322*Summary!$E$6/12,-IF(C322&gt;Summary!$B$8,0,-'Current Amortization Table'!$L$4))</f>
        <v>0</v>
      </c>
      <c r="E322" s="4">
        <f t="shared" si="24"/>
        <v>0</v>
      </c>
      <c r="F322" s="4">
        <f t="shared" si="25"/>
        <v>0</v>
      </c>
      <c r="G322" s="4">
        <f>E322*Summary!$E$6/12</f>
        <v>0</v>
      </c>
      <c r="H322" s="4">
        <f>+IF(Summary!$B$8*12=B322,E322-F322,0)</f>
        <v>0</v>
      </c>
      <c r="I322" s="4">
        <f t="shared" si="26"/>
        <v>0</v>
      </c>
    </row>
    <row r="323" spans="2:9" x14ac:dyDescent="0.2">
      <c r="B323">
        <v>320</v>
      </c>
      <c r="C323">
        <f t="shared" si="23"/>
        <v>27</v>
      </c>
      <c r="D323" s="4">
        <f>+IF(B323&lt;=Summary!$B$17,'Current Amortization Table'!E323*Summary!$E$6/12,-IF(C323&gt;Summary!$B$8,0,-'Current Amortization Table'!$L$4))</f>
        <v>0</v>
      </c>
      <c r="E323" s="4">
        <f t="shared" si="24"/>
        <v>0</v>
      </c>
      <c r="F323" s="4">
        <f t="shared" si="25"/>
        <v>0</v>
      </c>
      <c r="G323" s="4">
        <f>E323*Summary!$E$6/12</f>
        <v>0</v>
      </c>
      <c r="H323" s="4">
        <f>+IF(Summary!$B$8*12=B323,E323-F323,0)</f>
        <v>0</v>
      </c>
      <c r="I323" s="4">
        <f t="shared" si="26"/>
        <v>0</v>
      </c>
    </row>
    <row r="324" spans="2:9" x14ac:dyDescent="0.2">
      <c r="B324">
        <v>321</v>
      </c>
      <c r="C324">
        <f t="shared" si="23"/>
        <v>27</v>
      </c>
      <c r="D324" s="4">
        <f>+IF(B324&lt;=Summary!$B$17,'Current Amortization Table'!E324*Summary!$E$6/12,-IF(C324&gt;Summary!$B$8,0,-'Current Amortization Table'!$L$4))</f>
        <v>0</v>
      </c>
      <c r="E324" s="4">
        <f t="shared" si="24"/>
        <v>0</v>
      </c>
      <c r="F324" s="4">
        <f t="shared" si="25"/>
        <v>0</v>
      </c>
      <c r="G324" s="4">
        <f>E324*Summary!$E$6/12</f>
        <v>0</v>
      </c>
      <c r="H324" s="4">
        <f>+IF(Summary!$B$8*12=B324,E324-F324,0)</f>
        <v>0</v>
      </c>
      <c r="I324" s="4">
        <f t="shared" si="26"/>
        <v>0</v>
      </c>
    </row>
    <row r="325" spans="2:9" x14ac:dyDescent="0.2">
      <c r="B325">
        <v>322</v>
      </c>
      <c r="C325">
        <f t="shared" ref="C325:C363" si="27">+ROUNDUP(B325/12,0)</f>
        <v>27</v>
      </c>
      <c r="D325" s="4">
        <f>+IF(B325&lt;=Summary!$B$17,'Current Amortization Table'!E325*Summary!$E$6/12,-IF(C325&gt;Summary!$B$8,0,-'Current Amortization Table'!$L$4))</f>
        <v>0</v>
      </c>
      <c r="E325" s="4">
        <f t="shared" si="24"/>
        <v>0</v>
      </c>
      <c r="F325" s="4">
        <f t="shared" si="25"/>
        <v>0</v>
      </c>
      <c r="G325" s="4">
        <f>E325*Summary!$E$6/12</f>
        <v>0</v>
      </c>
      <c r="H325" s="4">
        <f>+IF(Summary!$B$8*12=B325,E325-F325,0)</f>
        <v>0</v>
      </c>
      <c r="I325" s="4">
        <f t="shared" si="26"/>
        <v>0</v>
      </c>
    </row>
    <row r="326" spans="2:9" x14ac:dyDescent="0.2">
      <c r="B326">
        <v>323</v>
      </c>
      <c r="C326">
        <f t="shared" si="27"/>
        <v>27</v>
      </c>
      <c r="D326" s="4">
        <f>+IF(B326&lt;=Summary!$B$17,'Current Amortization Table'!E326*Summary!$E$6/12,-IF(C326&gt;Summary!$B$8,0,-'Current Amortization Table'!$L$4))</f>
        <v>0</v>
      </c>
      <c r="E326" s="4">
        <f t="shared" si="24"/>
        <v>0</v>
      </c>
      <c r="F326" s="4">
        <f t="shared" si="25"/>
        <v>0</v>
      </c>
      <c r="G326" s="4">
        <f>E326*Summary!$E$6/12</f>
        <v>0</v>
      </c>
      <c r="H326" s="4">
        <f>+IF(Summary!$B$8*12=B326,E326-F326,0)</f>
        <v>0</v>
      </c>
      <c r="I326" s="4">
        <f t="shared" si="26"/>
        <v>0</v>
      </c>
    </row>
    <row r="327" spans="2:9" x14ac:dyDescent="0.2">
      <c r="B327">
        <v>324</v>
      </c>
      <c r="C327">
        <f t="shared" si="27"/>
        <v>27</v>
      </c>
      <c r="D327" s="4">
        <f>+IF(B327&lt;=Summary!$B$17,'Current Amortization Table'!E327*Summary!$E$6/12,-IF(C327&gt;Summary!$B$8,0,-'Current Amortization Table'!$L$4))</f>
        <v>0</v>
      </c>
      <c r="E327" s="4">
        <f t="shared" si="24"/>
        <v>0</v>
      </c>
      <c r="F327" s="4">
        <f t="shared" si="25"/>
        <v>0</v>
      </c>
      <c r="G327" s="4">
        <f>E327*Summary!$E$6/12</f>
        <v>0</v>
      </c>
      <c r="H327" s="4">
        <f>+IF(Summary!$B$8*12=B327,E327-F327,0)</f>
        <v>0</v>
      </c>
      <c r="I327" s="4">
        <f t="shared" si="26"/>
        <v>0</v>
      </c>
    </row>
    <row r="328" spans="2:9" x14ac:dyDescent="0.2">
      <c r="B328">
        <v>325</v>
      </c>
      <c r="C328">
        <f t="shared" si="27"/>
        <v>28</v>
      </c>
      <c r="D328" s="4">
        <f>+IF(B328&lt;=Summary!$B$17,'Current Amortization Table'!E328*Summary!$E$6/12,-IF(C328&gt;Summary!$B$8,0,-'Current Amortization Table'!$L$4))</f>
        <v>0</v>
      </c>
      <c r="E328" s="4">
        <f t="shared" si="24"/>
        <v>0</v>
      </c>
      <c r="F328" s="4">
        <f t="shared" si="25"/>
        <v>0</v>
      </c>
      <c r="G328" s="4">
        <f>E328*Summary!$E$6/12</f>
        <v>0</v>
      </c>
      <c r="H328" s="4">
        <f>+IF(Summary!$B$8*12=B328,E328-F328,0)</f>
        <v>0</v>
      </c>
      <c r="I328" s="4">
        <f t="shared" si="26"/>
        <v>0</v>
      </c>
    </row>
    <row r="329" spans="2:9" x14ac:dyDescent="0.2">
      <c r="B329">
        <v>326</v>
      </c>
      <c r="C329">
        <f t="shared" si="27"/>
        <v>28</v>
      </c>
      <c r="D329" s="4">
        <f>+IF(B329&lt;=Summary!$B$17,'Current Amortization Table'!E329*Summary!$E$6/12,-IF(C329&gt;Summary!$B$8,0,-'Current Amortization Table'!$L$4))</f>
        <v>0</v>
      </c>
      <c r="E329" s="4">
        <f t="shared" si="24"/>
        <v>0</v>
      </c>
      <c r="F329" s="4">
        <f t="shared" si="25"/>
        <v>0</v>
      </c>
      <c r="G329" s="4">
        <f>E329*Summary!$E$6/12</f>
        <v>0</v>
      </c>
      <c r="H329" s="4">
        <f>+IF(Summary!$B$8*12=B329,E329-F329,0)</f>
        <v>0</v>
      </c>
      <c r="I329" s="4">
        <f t="shared" si="26"/>
        <v>0</v>
      </c>
    </row>
    <row r="330" spans="2:9" x14ac:dyDescent="0.2">
      <c r="B330">
        <v>327</v>
      </c>
      <c r="C330">
        <f t="shared" si="27"/>
        <v>28</v>
      </c>
      <c r="D330" s="4">
        <f>+IF(B330&lt;=Summary!$B$17,'Current Amortization Table'!E330*Summary!$E$6/12,-IF(C330&gt;Summary!$B$8,0,-'Current Amortization Table'!$L$4))</f>
        <v>0</v>
      </c>
      <c r="E330" s="4">
        <f t="shared" si="24"/>
        <v>0</v>
      </c>
      <c r="F330" s="4">
        <f t="shared" si="25"/>
        <v>0</v>
      </c>
      <c r="G330" s="4">
        <f>E330*Summary!$E$6/12</f>
        <v>0</v>
      </c>
      <c r="H330" s="4">
        <f>+IF(Summary!$B$8*12=B330,E330-F330,0)</f>
        <v>0</v>
      </c>
      <c r="I330" s="4">
        <f t="shared" si="26"/>
        <v>0</v>
      </c>
    </row>
    <row r="331" spans="2:9" x14ac:dyDescent="0.2">
      <c r="B331">
        <v>328</v>
      </c>
      <c r="C331">
        <f t="shared" si="27"/>
        <v>28</v>
      </c>
      <c r="D331" s="4">
        <f>+IF(B331&lt;=Summary!$B$17,'Current Amortization Table'!E331*Summary!$E$6/12,-IF(C331&gt;Summary!$B$8,0,-'Current Amortization Table'!$L$4))</f>
        <v>0</v>
      </c>
      <c r="E331" s="4">
        <f t="shared" si="24"/>
        <v>0</v>
      </c>
      <c r="F331" s="4">
        <f t="shared" si="25"/>
        <v>0</v>
      </c>
      <c r="G331" s="4">
        <f>E331*Summary!$E$6/12</f>
        <v>0</v>
      </c>
      <c r="H331" s="4">
        <f>+IF(Summary!$B$8*12=B331,E331-F331,0)</f>
        <v>0</v>
      </c>
      <c r="I331" s="4">
        <f t="shared" si="26"/>
        <v>0</v>
      </c>
    </row>
    <row r="332" spans="2:9" x14ac:dyDescent="0.2">
      <c r="B332">
        <v>329</v>
      </c>
      <c r="C332">
        <f t="shared" si="27"/>
        <v>28</v>
      </c>
      <c r="D332" s="4">
        <f>+IF(B332&lt;=Summary!$B$17,'Current Amortization Table'!E332*Summary!$E$6/12,-IF(C332&gt;Summary!$B$8,0,-'Current Amortization Table'!$L$4))</f>
        <v>0</v>
      </c>
      <c r="E332" s="4">
        <f t="shared" si="24"/>
        <v>0</v>
      </c>
      <c r="F332" s="4">
        <f t="shared" si="25"/>
        <v>0</v>
      </c>
      <c r="G332" s="4">
        <f>E332*Summary!$E$6/12</f>
        <v>0</v>
      </c>
      <c r="H332" s="4">
        <f>+IF(Summary!$B$8*12=B332,E332-F332,0)</f>
        <v>0</v>
      </c>
      <c r="I332" s="4">
        <f t="shared" si="26"/>
        <v>0</v>
      </c>
    </row>
    <row r="333" spans="2:9" x14ac:dyDescent="0.2">
      <c r="B333">
        <v>330</v>
      </c>
      <c r="C333">
        <f t="shared" si="27"/>
        <v>28</v>
      </c>
      <c r="D333" s="4">
        <f>+IF(B333&lt;=Summary!$B$17,'Current Amortization Table'!E333*Summary!$E$6/12,-IF(C333&gt;Summary!$B$8,0,-'Current Amortization Table'!$L$4))</f>
        <v>0</v>
      </c>
      <c r="E333" s="4">
        <f t="shared" si="24"/>
        <v>0</v>
      </c>
      <c r="F333" s="4">
        <f t="shared" si="25"/>
        <v>0</v>
      </c>
      <c r="G333" s="4">
        <f>E333*Summary!$E$6/12</f>
        <v>0</v>
      </c>
      <c r="H333" s="4">
        <f>+IF(Summary!$B$8*12=B333,E333-F333,0)</f>
        <v>0</v>
      </c>
      <c r="I333" s="4">
        <f t="shared" si="26"/>
        <v>0</v>
      </c>
    </row>
    <row r="334" spans="2:9" x14ac:dyDescent="0.2">
      <c r="B334">
        <v>331</v>
      </c>
      <c r="C334">
        <f t="shared" si="27"/>
        <v>28</v>
      </c>
      <c r="D334" s="4">
        <f>+IF(B334&lt;=Summary!$B$17,'Current Amortization Table'!E334*Summary!$E$6/12,-IF(C334&gt;Summary!$B$8,0,-'Current Amortization Table'!$L$4))</f>
        <v>0</v>
      </c>
      <c r="E334" s="4">
        <f t="shared" si="24"/>
        <v>0</v>
      </c>
      <c r="F334" s="4">
        <f t="shared" si="25"/>
        <v>0</v>
      </c>
      <c r="G334" s="4">
        <f>E334*Summary!$E$6/12</f>
        <v>0</v>
      </c>
      <c r="H334" s="4">
        <f>+IF(Summary!$B$8*12=B334,E334-F334,0)</f>
        <v>0</v>
      </c>
      <c r="I334" s="4">
        <f t="shared" si="26"/>
        <v>0</v>
      </c>
    </row>
    <row r="335" spans="2:9" x14ac:dyDescent="0.2">
      <c r="B335">
        <v>332</v>
      </c>
      <c r="C335">
        <f t="shared" si="27"/>
        <v>28</v>
      </c>
      <c r="D335" s="4">
        <f>+IF(B335&lt;=Summary!$B$17,'Current Amortization Table'!E335*Summary!$E$6/12,-IF(C335&gt;Summary!$B$8,0,-'Current Amortization Table'!$L$4))</f>
        <v>0</v>
      </c>
      <c r="E335" s="4">
        <f t="shared" si="24"/>
        <v>0</v>
      </c>
      <c r="F335" s="4">
        <f t="shared" si="25"/>
        <v>0</v>
      </c>
      <c r="G335" s="4">
        <f>E335*Summary!$E$6/12</f>
        <v>0</v>
      </c>
      <c r="H335" s="4">
        <f>+IF(Summary!$B$8*12=B335,E335-F335,0)</f>
        <v>0</v>
      </c>
      <c r="I335" s="4">
        <f t="shared" si="26"/>
        <v>0</v>
      </c>
    </row>
    <row r="336" spans="2:9" x14ac:dyDescent="0.2">
      <c r="B336">
        <v>333</v>
      </c>
      <c r="C336">
        <f t="shared" si="27"/>
        <v>28</v>
      </c>
      <c r="D336" s="4">
        <f>+IF(B336&lt;=Summary!$B$17,'Current Amortization Table'!E336*Summary!$E$6/12,-IF(C336&gt;Summary!$B$8,0,-'Current Amortization Table'!$L$4))</f>
        <v>0</v>
      </c>
      <c r="E336" s="4">
        <f t="shared" si="24"/>
        <v>0</v>
      </c>
      <c r="F336" s="4">
        <f t="shared" si="25"/>
        <v>0</v>
      </c>
      <c r="G336" s="4">
        <f>E336*Summary!$E$6/12</f>
        <v>0</v>
      </c>
      <c r="H336" s="4">
        <f>+IF(Summary!$B$8*12=B336,E336-F336,0)</f>
        <v>0</v>
      </c>
      <c r="I336" s="4">
        <f t="shared" si="26"/>
        <v>0</v>
      </c>
    </row>
    <row r="337" spans="2:9" x14ac:dyDescent="0.2">
      <c r="B337">
        <v>334</v>
      </c>
      <c r="C337">
        <f t="shared" si="27"/>
        <v>28</v>
      </c>
      <c r="D337" s="4">
        <f>+IF(B337&lt;=Summary!$B$17,'Current Amortization Table'!E337*Summary!$E$6/12,-IF(C337&gt;Summary!$B$8,0,-'Current Amortization Table'!$L$4))</f>
        <v>0</v>
      </c>
      <c r="E337" s="4">
        <f t="shared" si="24"/>
        <v>0</v>
      </c>
      <c r="F337" s="4">
        <f t="shared" si="25"/>
        <v>0</v>
      </c>
      <c r="G337" s="4">
        <f>E337*Summary!$E$6/12</f>
        <v>0</v>
      </c>
      <c r="H337" s="4">
        <f>+IF(Summary!$B$8*12=B337,E337-F337,0)</f>
        <v>0</v>
      </c>
      <c r="I337" s="4">
        <f t="shared" si="26"/>
        <v>0</v>
      </c>
    </row>
    <row r="338" spans="2:9" x14ac:dyDescent="0.2">
      <c r="B338">
        <v>335</v>
      </c>
      <c r="C338">
        <f t="shared" si="27"/>
        <v>28</v>
      </c>
      <c r="D338" s="4">
        <f>+IF(B338&lt;=Summary!$B$17,'Current Amortization Table'!E338*Summary!$E$6/12,-IF(C338&gt;Summary!$B$8,0,-'Current Amortization Table'!$L$4))</f>
        <v>0</v>
      </c>
      <c r="E338" s="4">
        <f t="shared" si="24"/>
        <v>0</v>
      </c>
      <c r="F338" s="4">
        <f t="shared" si="25"/>
        <v>0</v>
      </c>
      <c r="G338" s="4">
        <f>E338*Summary!$E$6/12</f>
        <v>0</v>
      </c>
      <c r="H338" s="4">
        <f>+IF(Summary!$B$8*12=B338,E338-F338,0)</f>
        <v>0</v>
      </c>
      <c r="I338" s="4">
        <f t="shared" si="26"/>
        <v>0</v>
      </c>
    </row>
    <row r="339" spans="2:9" x14ac:dyDescent="0.2">
      <c r="B339">
        <v>336</v>
      </c>
      <c r="C339">
        <f t="shared" si="27"/>
        <v>28</v>
      </c>
      <c r="D339" s="4">
        <f>+IF(B339&lt;=Summary!$B$17,'Current Amortization Table'!E339*Summary!$E$6/12,-IF(C339&gt;Summary!$B$8,0,-'Current Amortization Table'!$L$4))</f>
        <v>0</v>
      </c>
      <c r="E339" s="4">
        <f t="shared" si="24"/>
        <v>0</v>
      </c>
      <c r="F339" s="4">
        <f t="shared" si="25"/>
        <v>0</v>
      </c>
      <c r="G339" s="4">
        <f>E339*Summary!$E$6/12</f>
        <v>0</v>
      </c>
      <c r="H339" s="4">
        <f>+IF(Summary!$B$8*12=B339,E339-F339,0)</f>
        <v>0</v>
      </c>
      <c r="I339" s="4">
        <f t="shared" si="26"/>
        <v>0</v>
      </c>
    </row>
    <row r="340" spans="2:9" x14ac:dyDescent="0.2">
      <c r="B340">
        <v>337</v>
      </c>
      <c r="C340">
        <f t="shared" si="27"/>
        <v>29</v>
      </c>
      <c r="D340" s="4">
        <f>+IF(B340&lt;=Summary!$B$17,'Current Amortization Table'!E340*Summary!$E$6/12,-IF(C340&gt;Summary!$B$8,0,-'Current Amortization Table'!$L$4))</f>
        <v>0</v>
      </c>
      <c r="E340" s="4">
        <f t="shared" si="24"/>
        <v>0</v>
      </c>
      <c r="F340" s="4">
        <f t="shared" si="25"/>
        <v>0</v>
      </c>
      <c r="G340" s="4">
        <f>E340*Summary!$E$6/12</f>
        <v>0</v>
      </c>
      <c r="H340" s="4">
        <f>+IF(Summary!$B$8*12=B340,E340-F340,0)</f>
        <v>0</v>
      </c>
      <c r="I340" s="4">
        <f t="shared" si="26"/>
        <v>0</v>
      </c>
    </row>
    <row r="341" spans="2:9" x14ac:dyDescent="0.2">
      <c r="B341">
        <v>338</v>
      </c>
      <c r="C341">
        <f t="shared" si="27"/>
        <v>29</v>
      </c>
      <c r="D341" s="4">
        <f>+IF(B341&lt;=Summary!$B$17,'Current Amortization Table'!E341*Summary!$E$6/12,-IF(C341&gt;Summary!$B$8,0,-'Current Amortization Table'!$L$4))</f>
        <v>0</v>
      </c>
      <c r="E341" s="4">
        <f t="shared" si="24"/>
        <v>0</v>
      </c>
      <c r="F341" s="4">
        <f t="shared" si="25"/>
        <v>0</v>
      </c>
      <c r="G341" s="4">
        <f>E341*Summary!$E$6/12</f>
        <v>0</v>
      </c>
      <c r="H341" s="4">
        <f>+IF(Summary!$B$8*12=B341,E341-F341,0)</f>
        <v>0</v>
      </c>
      <c r="I341" s="4">
        <f t="shared" si="26"/>
        <v>0</v>
      </c>
    </row>
    <row r="342" spans="2:9" x14ac:dyDescent="0.2">
      <c r="B342">
        <v>339</v>
      </c>
      <c r="C342">
        <f t="shared" si="27"/>
        <v>29</v>
      </c>
      <c r="D342" s="4">
        <f>+IF(B342&lt;=Summary!$B$17,'Current Amortization Table'!E342*Summary!$E$6/12,-IF(C342&gt;Summary!$B$8,0,-'Current Amortization Table'!$L$4))</f>
        <v>0</v>
      </c>
      <c r="E342" s="4">
        <f t="shared" si="24"/>
        <v>0</v>
      </c>
      <c r="F342" s="4">
        <f t="shared" si="25"/>
        <v>0</v>
      </c>
      <c r="G342" s="4">
        <f>E342*Summary!$E$6/12</f>
        <v>0</v>
      </c>
      <c r="H342" s="4">
        <f>+IF(Summary!$B$8*12=B342,E342-F342,0)</f>
        <v>0</v>
      </c>
      <c r="I342" s="4">
        <f t="shared" si="26"/>
        <v>0</v>
      </c>
    </row>
    <row r="343" spans="2:9" x14ac:dyDescent="0.2">
      <c r="B343">
        <v>340</v>
      </c>
      <c r="C343">
        <f t="shared" si="27"/>
        <v>29</v>
      </c>
      <c r="D343" s="4">
        <f>+IF(B343&lt;=Summary!$B$17,'Current Amortization Table'!E343*Summary!$E$6/12,-IF(C343&gt;Summary!$B$8,0,-'Current Amortization Table'!$L$4))</f>
        <v>0</v>
      </c>
      <c r="E343" s="4">
        <f t="shared" si="24"/>
        <v>0</v>
      </c>
      <c r="F343" s="4">
        <f t="shared" si="25"/>
        <v>0</v>
      </c>
      <c r="G343" s="4">
        <f>E343*Summary!$E$6/12</f>
        <v>0</v>
      </c>
      <c r="H343" s="4">
        <f>+IF(Summary!$B$8*12=B343,E343-F343,0)</f>
        <v>0</v>
      </c>
      <c r="I343" s="4">
        <f t="shared" si="26"/>
        <v>0</v>
      </c>
    </row>
    <row r="344" spans="2:9" x14ac:dyDescent="0.2">
      <c r="B344">
        <v>341</v>
      </c>
      <c r="C344">
        <f t="shared" si="27"/>
        <v>29</v>
      </c>
      <c r="D344" s="4">
        <f>+IF(B344&lt;=Summary!$B$17,'Current Amortization Table'!E344*Summary!$E$6/12,-IF(C344&gt;Summary!$B$8,0,-'Current Amortization Table'!$L$4))</f>
        <v>0</v>
      </c>
      <c r="E344" s="4">
        <f t="shared" si="24"/>
        <v>0</v>
      </c>
      <c r="F344" s="4">
        <f t="shared" si="25"/>
        <v>0</v>
      </c>
      <c r="G344" s="4">
        <f>E344*Summary!$E$6/12</f>
        <v>0</v>
      </c>
      <c r="H344" s="4">
        <f>+IF(Summary!$B$8*12=B344,E344-F344,0)</f>
        <v>0</v>
      </c>
      <c r="I344" s="4">
        <f t="shared" si="26"/>
        <v>0</v>
      </c>
    </row>
    <row r="345" spans="2:9" x14ac:dyDescent="0.2">
      <c r="B345">
        <v>342</v>
      </c>
      <c r="C345">
        <f t="shared" si="27"/>
        <v>29</v>
      </c>
      <c r="D345" s="4">
        <f>+IF(B345&lt;=Summary!$B$17,'Current Amortization Table'!E345*Summary!$E$6/12,-IF(C345&gt;Summary!$B$8,0,-'Current Amortization Table'!$L$4))</f>
        <v>0</v>
      </c>
      <c r="E345" s="4">
        <f t="shared" si="24"/>
        <v>0</v>
      </c>
      <c r="F345" s="4">
        <f t="shared" si="25"/>
        <v>0</v>
      </c>
      <c r="G345" s="4">
        <f>E345*Summary!$E$6/12</f>
        <v>0</v>
      </c>
      <c r="H345" s="4">
        <f>+IF(Summary!$B$8*12=B345,E345-F345,0)</f>
        <v>0</v>
      </c>
      <c r="I345" s="4">
        <f t="shared" si="26"/>
        <v>0</v>
      </c>
    </row>
    <row r="346" spans="2:9" x14ac:dyDescent="0.2">
      <c r="B346">
        <v>343</v>
      </c>
      <c r="C346">
        <f t="shared" si="27"/>
        <v>29</v>
      </c>
      <c r="D346" s="4">
        <f>+IF(B346&lt;=Summary!$B$17,'Current Amortization Table'!E346*Summary!$E$6/12,-IF(C346&gt;Summary!$B$8,0,-'Current Amortization Table'!$L$4))</f>
        <v>0</v>
      </c>
      <c r="E346" s="4">
        <f t="shared" si="24"/>
        <v>0</v>
      </c>
      <c r="F346" s="4">
        <f t="shared" si="25"/>
        <v>0</v>
      </c>
      <c r="G346" s="4">
        <f>E346*Summary!$E$6/12</f>
        <v>0</v>
      </c>
      <c r="H346" s="4">
        <f>+IF(Summary!$B$8*12=B346,E346-F346,0)</f>
        <v>0</v>
      </c>
      <c r="I346" s="4">
        <f t="shared" si="26"/>
        <v>0</v>
      </c>
    </row>
    <row r="347" spans="2:9" x14ac:dyDescent="0.2">
      <c r="B347">
        <v>344</v>
      </c>
      <c r="C347">
        <f t="shared" si="27"/>
        <v>29</v>
      </c>
      <c r="D347" s="4">
        <f>+IF(B347&lt;=Summary!$B$17,'Current Amortization Table'!E347*Summary!$E$6/12,-IF(C347&gt;Summary!$B$8,0,-'Current Amortization Table'!$L$4))</f>
        <v>0</v>
      </c>
      <c r="E347" s="4">
        <f t="shared" si="24"/>
        <v>0</v>
      </c>
      <c r="F347" s="4">
        <f t="shared" si="25"/>
        <v>0</v>
      </c>
      <c r="G347" s="4">
        <f>E347*Summary!$E$6/12</f>
        <v>0</v>
      </c>
      <c r="H347" s="4">
        <f>+IF(Summary!$B$8*12=B347,E347-F347,0)</f>
        <v>0</v>
      </c>
      <c r="I347" s="4">
        <f t="shared" si="26"/>
        <v>0</v>
      </c>
    </row>
    <row r="348" spans="2:9" x14ac:dyDescent="0.2">
      <c r="B348">
        <v>345</v>
      </c>
      <c r="C348">
        <f t="shared" si="27"/>
        <v>29</v>
      </c>
      <c r="D348" s="4">
        <f>+IF(B348&lt;=Summary!$B$17,'Current Amortization Table'!E348*Summary!$E$6/12,-IF(C348&gt;Summary!$B$8,0,-'Current Amortization Table'!$L$4))</f>
        <v>0</v>
      </c>
      <c r="E348" s="4">
        <f t="shared" si="24"/>
        <v>0</v>
      </c>
      <c r="F348" s="4">
        <f t="shared" si="25"/>
        <v>0</v>
      </c>
      <c r="G348" s="4">
        <f>E348*Summary!$E$6/12</f>
        <v>0</v>
      </c>
      <c r="H348" s="4">
        <f>+IF(Summary!$B$8*12=B348,E348-F348,0)</f>
        <v>0</v>
      </c>
      <c r="I348" s="4">
        <f t="shared" si="26"/>
        <v>0</v>
      </c>
    </row>
    <row r="349" spans="2:9" x14ac:dyDescent="0.2">
      <c r="B349">
        <v>346</v>
      </c>
      <c r="C349">
        <f t="shared" si="27"/>
        <v>29</v>
      </c>
      <c r="D349" s="4">
        <f>+IF(B349&lt;=Summary!$B$17,'Current Amortization Table'!E349*Summary!$E$6/12,-IF(C349&gt;Summary!$B$8,0,-'Current Amortization Table'!$L$4))</f>
        <v>0</v>
      </c>
      <c r="E349" s="4">
        <f t="shared" si="24"/>
        <v>0</v>
      </c>
      <c r="F349" s="4">
        <f t="shared" si="25"/>
        <v>0</v>
      </c>
      <c r="G349" s="4">
        <f>E349*Summary!$E$6/12</f>
        <v>0</v>
      </c>
      <c r="H349" s="4">
        <f>+IF(Summary!$B$8*12=B349,E349-F349,0)</f>
        <v>0</v>
      </c>
      <c r="I349" s="4">
        <f t="shared" si="26"/>
        <v>0</v>
      </c>
    </row>
    <row r="350" spans="2:9" x14ac:dyDescent="0.2">
      <c r="B350">
        <v>347</v>
      </c>
      <c r="C350">
        <f t="shared" si="27"/>
        <v>29</v>
      </c>
      <c r="D350" s="4">
        <f>+IF(B350&lt;=Summary!$B$17,'Current Amortization Table'!E350*Summary!$E$6/12,-IF(C350&gt;Summary!$B$8,0,-'Current Amortization Table'!$L$4))</f>
        <v>0</v>
      </c>
      <c r="E350" s="4">
        <f t="shared" si="24"/>
        <v>0</v>
      </c>
      <c r="F350" s="4">
        <f t="shared" si="25"/>
        <v>0</v>
      </c>
      <c r="G350" s="4">
        <f>E350*Summary!$E$6/12</f>
        <v>0</v>
      </c>
      <c r="H350" s="4">
        <f>+IF(Summary!$B$8*12=B350,E350-F350,0)</f>
        <v>0</v>
      </c>
      <c r="I350" s="4">
        <f t="shared" si="26"/>
        <v>0</v>
      </c>
    </row>
    <row r="351" spans="2:9" x14ac:dyDescent="0.2">
      <c r="B351">
        <v>348</v>
      </c>
      <c r="C351">
        <f t="shared" si="27"/>
        <v>29</v>
      </c>
      <c r="D351" s="4">
        <f>+IF(B351&lt;=Summary!$B$17,'Current Amortization Table'!E351*Summary!$E$6/12,-IF(C351&gt;Summary!$B$8,0,-'Current Amortization Table'!$L$4))</f>
        <v>0</v>
      </c>
      <c r="E351" s="4">
        <f t="shared" si="24"/>
        <v>0</v>
      </c>
      <c r="F351" s="4">
        <f t="shared" si="25"/>
        <v>0</v>
      </c>
      <c r="G351" s="4">
        <f>E351*Summary!$E$6/12</f>
        <v>0</v>
      </c>
      <c r="H351" s="4">
        <f>+IF(Summary!$B$8*12=B351,E351-F351,0)</f>
        <v>0</v>
      </c>
      <c r="I351" s="4">
        <f t="shared" si="26"/>
        <v>0</v>
      </c>
    </row>
    <row r="352" spans="2:9" x14ac:dyDescent="0.2">
      <c r="B352">
        <v>349</v>
      </c>
      <c r="C352">
        <f t="shared" si="27"/>
        <v>30</v>
      </c>
      <c r="D352" s="4">
        <f>+IF(B352&lt;=Summary!$B$17,'Current Amortization Table'!E352*Summary!$E$6/12,-IF(C352&gt;Summary!$B$8,0,-'Current Amortization Table'!$L$4))</f>
        <v>0</v>
      </c>
      <c r="E352" s="4">
        <f t="shared" si="24"/>
        <v>0</v>
      </c>
      <c r="F352" s="4">
        <f t="shared" si="25"/>
        <v>0</v>
      </c>
      <c r="G352" s="4">
        <f>E352*Summary!$E$6/12</f>
        <v>0</v>
      </c>
      <c r="H352" s="4">
        <f>+IF(Summary!$B$8*12=B352,E352-F352,0)</f>
        <v>0</v>
      </c>
      <c r="I352" s="4">
        <f t="shared" si="26"/>
        <v>0</v>
      </c>
    </row>
    <row r="353" spans="2:9" x14ac:dyDescent="0.2">
      <c r="B353">
        <v>350</v>
      </c>
      <c r="C353">
        <f t="shared" si="27"/>
        <v>30</v>
      </c>
      <c r="D353" s="4">
        <f>+IF(B353&lt;=Summary!$B$17,'Current Amortization Table'!E353*Summary!$E$6/12,-IF(C353&gt;Summary!$B$8,0,-'Current Amortization Table'!$L$4))</f>
        <v>0</v>
      </c>
      <c r="E353" s="4">
        <f t="shared" si="24"/>
        <v>0</v>
      </c>
      <c r="F353" s="4">
        <f t="shared" si="25"/>
        <v>0</v>
      </c>
      <c r="G353" s="4">
        <f>E353*Summary!$E$6/12</f>
        <v>0</v>
      </c>
      <c r="H353" s="4">
        <f>+IF(Summary!$B$8*12=B353,E353-F353,0)</f>
        <v>0</v>
      </c>
      <c r="I353" s="4">
        <f t="shared" si="26"/>
        <v>0</v>
      </c>
    </row>
    <row r="354" spans="2:9" x14ac:dyDescent="0.2">
      <c r="B354">
        <v>351</v>
      </c>
      <c r="C354">
        <f t="shared" si="27"/>
        <v>30</v>
      </c>
      <c r="D354" s="4">
        <f>+IF(B354&lt;=Summary!$B$17,'Current Amortization Table'!E354*Summary!$E$6/12,-IF(C354&gt;Summary!$B$8,0,-'Current Amortization Table'!$L$4))</f>
        <v>0</v>
      </c>
      <c r="E354" s="4">
        <f t="shared" si="24"/>
        <v>0</v>
      </c>
      <c r="F354" s="4">
        <f t="shared" si="25"/>
        <v>0</v>
      </c>
      <c r="G354" s="4">
        <f>E354*Summary!$E$6/12</f>
        <v>0</v>
      </c>
      <c r="H354" s="4">
        <f>+IF(Summary!$B$8*12=B354,E354-F354,0)</f>
        <v>0</v>
      </c>
      <c r="I354" s="4">
        <f t="shared" si="26"/>
        <v>0</v>
      </c>
    </row>
    <row r="355" spans="2:9" x14ac:dyDescent="0.2">
      <c r="B355">
        <v>352</v>
      </c>
      <c r="C355">
        <f t="shared" si="27"/>
        <v>30</v>
      </c>
      <c r="D355" s="4">
        <f>+IF(B355&lt;=Summary!$B$17,'Current Amortization Table'!E355*Summary!$E$6/12,-IF(C355&gt;Summary!$B$8,0,-'Current Amortization Table'!$L$4))</f>
        <v>0</v>
      </c>
      <c r="E355" s="4">
        <f t="shared" si="24"/>
        <v>0</v>
      </c>
      <c r="F355" s="4">
        <f t="shared" si="25"/>
        <v>0</v>
      </c>
      <c r="G355" s="4">
        <f>E355*Summary!$E$6/12</f>
        <v>0</v>
      </c>
      <c r="H355" s="4">
        <f>+IF(Summary!$B$8*12=B355,E355-F355,0)</f>
        <v>0</v>
      </c>
      <c r="I355" s="4">
        <f t="shared" si="26"/>
        <v>0</v>
      </c>
    </row>
    <row r="356" spans="2:9" x14ac:dyDescent="0.2">
      <c r="B356">
        <v>353</v>
      </c>
      <c r="C356">
        <f t="shared" si="27"/>
        <v>30</v>
      </c>
      <c r="D356" s="4">
        <f>+IF(B356&lt;=Summary!$B$17,'Current Amortization Table'!E356*Summary!$E$6/12,-IF(C356&gt;Summary!$B$8,0,-'Current Amortization Table'!$L$4))</f>
        <v>0</v>
      </c>
      <c r="E356" s="4">
        <f t="shared" si="24"/>
        <v>0</v>
      </c>
      <c r="F356" s="4">
        <f t="shared" si="25"/>
        <v>0</v>
      </c>
      <c r="G356" s="4">
        <f>E356*Summary!$E$6/12</f>
        <v>0</v>
      </c>
      <c r="H356" s="4">
        <f>+IF(Summary!$B$8*12=B356,E356-F356,0)</f>
        <v>0</v>
      </c>
      <c r="I356" s="4">
        <f t="shared" si="26"/>
        <v>0</v>
      </c>
    </row>
    <row r="357" spans="2:9" x14ac:dyDescent="0.2">
      <c r="B357">
        <v>354</v>
      </c>
      <c r="C357">
        <f t="shared" si="27"/>
        <v>30</v>
      </c>
      <c r="D357" s="4">
        <f>+IF(B357&lt;=Summary!$B$17,'Current Amortization Table'!E357*Summary!$E$6/12,-IF(C357&gt;Summary!$B$8,0,-'Current Amortization Table'!$L$4))</f>
        <v>0</v>
      </c>
      <c r="E357" s="4">
        <f t="shared" si="24"/>
        <v>0</v>
      </c>
      <c r="F357" s="4">
        <f t="shared" si="25"/>
        <v>0</v>
      </c>
      <c r="G357" s="4">
        <f>E357*Summary!$E$6/12</f>
        <v>0</v>
      </c>
      <c r="H357" s="4">
        <f>+IF(Summary!$B$8*12=B357,E357-F357,0)</f>
        <v>0</v>
      </c>
      <c r="I357" s="4">
        <f t="shared" si="26"/>
        <v>0</v>
      </c>
    </row>
    <row r="358" spans="2:9" x14ac:dyDescent="0.2">
      <c r="B358">
        <v>355</v>
      </c>
      <c r="C358">
        <f t="shared" si="27"/>
        <v>30</v>
      </c>
      <c r="D358" s="4">
        <f>+IF(B358&lt;=Summary!$B$17,'Current Amortization Table'!E358*Summary!$E$6/12,-IF(C358&gt;Summary!$B$8,0,-'Current Amortization Table'!$L$4))</f>
        <v>0</v>
      </c>
      <c r="E358" s="4">
        <f t="shared" si="24"/>
        <v>0</v>
      </c>
      <c r="F358" s="4">
        <f t="shared" si="25"/>
        <v>0</v>
      </c>
      <c r="G358" s="4">
        <f>E358*Summary!$E$6/12</f>
        <v>0</v>
      </c>
      <c r="H358" s="4">
        <f>+IF(Summary!$B$8*12=B358,E358-F358,0)</f>
        <v>0</v>
      </c>
      <c r="I358" s="4">
        <f t="shared" si="26"/>
        <v>0</v>
      </c>
    </row>
    <row r="359" spans="2:9" x14ac:dyDescent="0.2">
      <c r="B359">
        <v>356</v>
      </c>
      <c r="C359">
        <f t="shared" si="27"/>
        <v>30</v>
      </c>
      <c r="D359" s="4">
        <f>+IF(B359&lt;=Summary!$B$17,'Current Amortization Table'!E359*Summary!$E$6/12,-IF(C359&gt;Summary!$B$8,0,-'Current Amortization Table'!$L$4))</f>
        <v>0</v>
      </c>
      <c r="E359" s="4">
        <f t="shared" si="24"/>
        <v>0</v>
      </c>
      <c r="F359" s="4">
        <f t="shared" si="25"/>
        <v>0</v>
      </c>
      <c r="G359" s="4">
        <f>E359*Summary!$E$6/12</f>
        <v>0</v>
      </c>
      <c r="H359" s="4">
        <f>+IF(Summary!$B$8*12=B359,E359-F359,0)</f>
        <v>0</v>
      </c>
      <c r="I359" s="4">
        <f t="shared" si="26"/>
        <v>0</v>
      </c>
    </row>
    <row r="360" spans="2:9" x14ac:dyDescent="0.2">
      <c r="B360">
        <v>357</v>
      </c>
      <c r="C360">
        <f t="shared" si="27"/>
        <v>30</v>
      </c>
      <c r="D360" s="4">
        <f>+IF(B360&lt;=Summary!$B$17,'Current Amortization Table'!E360*Summary!$E$6/12,-IF(C360&gt;Summary!$B$8,0,-'Current Amortization Table'!$L$4))</f>
        <v>0</v>
      </c>
      <c r="E360" s="4">
        <f t="shared" si="24"/>
        <v>0</v>
      </c>
      <c r="F360" s="4">
        <f t="shared" si="25"/>
        <v>0</v>
      </c>
      <c r="G360" s="4">
        <f>E360*Summary!$E$6/12</f>
        <v>0</v>
      </c>
      <c r="H360" s="4">
        <f>+IF(Summary!$B$8*12=B360,E360-F360,0)</f>
        <v>0</v>
      </c>
      <c r="I360" s="4">
        <f t="shared" si="26"/>
        <v>0</v>
      </c>
    </row>
    <row r="361" spans="2:9" x14ac:dyDescent="0.2">
      <c r="B361">
        <v>358</v>
      </c>
      <c r="C361">
        <f t="shared" si="27"/>
        <v>30</v>
      </c>
      <c r="D361" s="4">
        <f>+IF(B361&lt;=Summary!$B$17,'Current Amortization Table'!E361*Summary!$E$6/12,-IF(C361&gt;Summary!$B$8,0,-'Current Amortization Table'!$L$4))</f>
        <v>0</v>
      </c>
      <c r="E361" s="4">
        <f t="shared" si="24"/>
        <v>0</v>
      </c>
      <c r="F361" s="4">
        <f t="shared" si="25"/>
        <v>0</v>
      </c>
      <c r="G361" s="4">
        <f>E361*Summary!$E$6/12</f>
        <v>0</v>
      </c>
      <c r="H361" s="4">
        <f>+IF(Summary!$B$8*12=B361,E361-F361,0)</f>
        <v>0</v>
      </c>
      <c r="I361" s="4">
        <f t="shared" si="26"/>
        <v>0</v>
      </c>
    </row>
    <row r="362" spans="2:9" x14ac:dyDescent="0.2">
      <c r="B362">
        <v>359</v>
      </c>
      <c r="C362">
        <f t="shared" si="27"/>
        <v>30</v>
      </c>
      <c r="D362" s="4">
        <f>+IF(B362&lt;=Summary!$B$17,'Current Amortization Table'!E362*Summary!$E$6/12,-IF(C362&gt;Summary!$B$8,0,-'Current Amortization Table'!$L$4))</f>
        <v>0</v>
      </c>
      <c r="E362" s="4">
        <f t="shared" si="24"/>
        <v>0</v>
      </c>
      <c r="F362" s="4">
        <f t="shared" si="25"/>
        <v>0</v>
      </c>
      <c r="G362" s="4">
        <f>E362*Summary!$E$6/12</f>
        <v>0</v>
      </c>
      <c r="H362" s="4">
        <f>+IF(Summary!$B$8*12=B362,E362-F362,0)</f>
        <v>0</v>
      </c>
      <c r="I362" s="4">
        <f t="shared" si="26"/>
        <v>0</v>
      </c>
    </row>
    <row r="363" spans="2:9" x14ac:dyDescent="0.2">
      <c r="B363">
        <v>360</v>
      </c>
      <c r="C363">
        <f t="shared" si="27"/>
        <v>30</v>
      </c>
      <c r="D363" s="4">
        <f>+IF(B363&lt;=Summary!$B$17,'Current Amortization Table'!E363*Summary!$E$6/12,-IF(C363&gt;Summary!$B$8,0,-'Current Amortization Table'!$L$4))</f>
        <v>0</v>
      </c>
      <c r="E363" s="4">
        <f t="shared" si="24"/>
        <v>0</v>
      </c>
      <c r="F363" s="4">
        <f t="shared" si="25"/>
        <v>0</v>
      </c>
      <c r="G363" s="4">
        <f>E363*Summary!$E$6/12</f>
        <v>0</v>
      </c>
      <c r="H363" s="4">
        <f>+IF(Summary!$B$8*12=B363,E363-F363,0)</f>
        <v>0</v>
      </c>
      <c r="I363" s="4">
        <f t="shared" si="26"/>
        <v>0</v>
      </c>
    </row>
  </sheetData>
  <mergeCells count="1">
    <mergeCell ref="K2:L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4743-A4E5-4188-AC1D-5854A609C3E9}">
  <dimension ref="B2:L363"/>
  <sheetViews>
    <sheetView workbookViewId="0"/>
  </sheetViews>
  <sheetFormatPr baseColWidth="10" defaultColWidth="8.83203125" defaultRowHeight="15" x14ac:dyDescent="0.2"/>
  <cols>
    <col min="1" max="1" width="3.6640625" customWidth="1"/>
    <col min="2" max="3" width="12.6640625" customWidth="1"/>
    <col min="4" max="9" width="18.6640625" customWidth="1"/>
    <col min="10" max="10" width="2.83203125" customWidth="1"/>
  </cols>
  <sheetData>
    <row r="2" spans="2:12" x14ac:dyDescent="0.2">
      <c r="B2" s="44" t="s">
        <v>4</v>
      </c>
      <c r="C2" s="44" t="s">
        <v>5</v>
      </c>
      <c r="D2" s="44" t="s">
        <v>6</v>
      </c>
      <c r="E2" s="44" t="s">
        <v>7</v>
      </c>
      <c r="F2" s="44" t="s">
        <v>8</v>
      </c>
      <c r="G2" s="44" t="s">
        <v>9</v>
      </c>
      <c r="H2" s="44" t="s">
        <v>10</v>
      </c>
      <c r="I2" s="45" t="s">
        <v>11</v>
      </c>
      <c r="K2" s="223" t="s">
        <v>124</v>
      </c>
      <c r="L2" s="224"/>
    </row>
    <row r="3" spans="2:12" x14ac:dyDescent="0.2">
      <c r="B3">
        <v>0</v>
      </c>
      <c r="C3">
        <f>+ROUNDUP(B3/12,1)</f>
        <v>0</v>
      </c>
      <c r="D3" s="4">
        <v>0</v>
      </c>
      <c r="E3" s="4">
        <f>Summary!$F$5</f>
        <v>0</v>
      </c>
      <c r="F3" s="4">
        <f t="shared" ref="F3:F64" si="0">+D3-G3</f>
        <v>0</v>
      </c>
      <c r="G3" s="4">
        <v>0</v>
      </c>
      <c r="H3" s="4">
        <f>+IF(Summary!$B$8*12=B3,E3-F3,0)</f>
        <v>0</v>
      </c>
      <c r="I3" s="4">
        <f>+E3-F3-H3</f>
        <v>0</v>
      </c>
      <c r="K3" s="29" t="s">
        <v>2</v>
      </c>
      <c r="L3" s="203">
        <f>+Summary!$B$14</f>
        <v>360</v>
      </c>
    </row>
    <row r="4" spans="2:12" x14ac:dyDescent="0.2">
      <c r="B4">
        <v>1</v>
      </c>
      <c r="C4">
        <f>+ROUNDUP(B4/12,0)</f>
        <v>1</v>
      </c>
      <c r="D4" s="4">
        <f>+IF(B4&lt;=Summary!$B$17,E4*Summary!$E$6/12,-IF(C4&gt;Summary!$B$8,0,-'Market Amortization Table'!$L$4))</f>
        <v>0</v>
      </c>
      <c r="E4" s="4">
        <f>+I3</f>
        <v>0</v>
      </c>
      <c r="F4" s="4">
        <f t="shared" si="0"/>
        <v>0</v>
      </c>
      <c r="G4" s="4">
        <f>+E4*Summary!$F$6/12</f>
        <v>0</v>
      </c>
      <c r="H4" s="4">
        <f>+IF(Summary!$B$8*12=B4,E4-F4,0)</f>
        <v>0</v>
      </c>
      <c r="I4" s="4">
        <f t="shared" ref="I4:I67" si="1">+E4-F4-H4</f>
        <v>0</v>
      </c>
      <c r="K4" s="6" t="s">
        <v>3</v>
      </c>
      <c r="L4" s="33">
        <f>+-PMT(Summary!$F$6/12,L3,Summary!$F$5,0,0)</f>
        <v>0</v>
      </c>
    </row>
    <row r="5" spans="2:12" x14ac:dyDescent="0.2">
      <c r="B5">
        <v>2</v>
      </c>
      <c r="C5">
        <f t="shared" ref="C5:C68" si="2">+ROUNDUP(B5/12,0)</f>
        <v>1</v>
      </c>
      <c r="D5" s="4">
        <f>+IF(B5&lt;=Summary!$B$17,E5*Summary!$E$6/12,-IF(C5&gt;Summary!$B$8,0,-'Market Amortization Table'!$L$4))</f>
        <v>0</v>
      </c>
      <c r="E5" s="4">
        <f t="shared" ref="E5:E68" si="3">+I4</f>
        <v>0</v>
      </c>
      <c r="F5" s="4">
        <f t="shared" si="0"/>
        <v>0</v>
      </c>
      <c r="G5" s="4">
        <f>+E5*Summary!$F$6/12</f>
        <v>0</v>
      </c>
      <c r="H5" s="4">
        <f>+IF(Summary!$B$8*12=B5,E5-F5,0)</f>
        <v>0</v>
      </c>
      <c r="I5" s="4">
        <f t="shared" si="1"/>
        <v>0</v>
      </c>
    </row>
    <row r="6" spans="2:12" x14ac:dyDescent="0.2">
      <c r="B6">
        <v>3</v>
      </c>
      <c r="C6">
        <f t="shared" si="2"/>
        <v>1</v>
      </c>
      <c r="D6" s="4">
        <f>+IF(B6&lt;=Summary!$B$17,E6*Summary!$E$6/12,-IF(C6&gt;Summary!$B$8,0,-'Market Amortization Table'!$L$4))</f>
        <v>0</v>
      </c>
      <c r="E6" s="4">
        <f t="shared" si="3"/>
        <v>0</v>
      </c>
      <c r="F6" s="4">
        <f t="shared" si="0"/>
        <v>0</v>
      </c>
      <c r="G6" s="4">
        <f>+E6*Summary!$F$6/12</f>
        <v>0</v>
      </c>
      <c r="H6" s="4">
        <f>+IF(Summary!$B$8*12=B6,E6-F6,0)</f>
        <v>0</v>
      </c>
      <c r="I6" s="4">
        <f t="shared" si="1"/>
        <v>0</v>
      </c>
    </row>
    <row r="7" spans="2:12" x14ac:dyDescent="0.2">
      <c r="B7">
        <v>4</v>
      </c>
      <c r="C7">
        <f t="shared" si="2"/>
        <v>1</v>
      </c>
      <c r="D7" s="4">
        <f>+IF(B7&lt;=Summary!$B$17,E7*Summary!$E$6/12,-IF(C7&gt;Summary!$B$8,0,-'Market Amortization Table'!$L$4))</f>
        <v>0</v>
      </c>
      <c r="E7" s="4">
        <f t="shared" si="3"/>
        <v>0</v>
      </c>
      <c r="F7" s="4">
        <f t="shared" si="0"/>
        <v>0</v>
      </c>
      <c r="G7" s="4">
        <f>+E7*Summary!$F$6/12</f>
        <v>0</v>
      </c>
      <c r="H7" s="4">
        <f>+IF(Summary!$B$8*12=B7,E7-F7,0)</f>
        <v>0</v>
      </c>
      <c r="I7" s="4">
        <f t="shared" si="1"/>
        <v>0</v>
      </c>
    </row>
    <row r="8" spans="2:12" x14ac:dyDescent="0.2">
      <c r="B8">
        <v>5</v>
      </c>
      <c r="C8">
        <f t="shared" si="2"/>
        <v>1</v>
      </c>
      <c r="D8" s="4">
        <f>+IF(B8&lt;=Summary!$B$17,E8*Summary!$E$6/12,-IF(C8&gt;Summary!$B$8,0,-'Market Amortization Table'!$L$4))</f>
        <v>0</v>
      </c>
      <c r="E8" s="4">
        <f t="shared" si="3"/>
        <v>0</v>
      </c>
      <c r="F8" s="4">
        <f t="shared" si="0"/>
        <v>0</v>
      </c>
      <c r="G8" s="4">
        <f>+E8*Summary!$F$6/12</f>
        <v>0</v>
      </c>
      <c r="H8" s="4">
        <f>+IF(Summary!$B$8*12=B8,E8-F8,0)</f>
        <v>0</v>
      </c>
      <c r="I8" s="4">
        <f t="shared" si="1"/>
        <v>0</v>
      </c>
    </row>
    <row r="9" spans="2:12" x14ac:dyDescent="0.2">
      <c r="B9">
        <v>6</v>
      </c>
      <c r="C9">
        <f t="shared" si="2"/>
        <v>1</v>
      </c>
      <c r="D9" s="4">
        <f>+IF(B9&lt;=Summary!$B$17,E9*Summary!$E$6/12,-IF(C9&gt;Summary!$B$8,0,-'Market Amortization Table'!$L$4))</f>
        <v>0</v>
      </c>
      <c r="E9" s="4">
        <f t="shared" si="3"/>
        <v>0</v>
      </c>
      <c r="F9" s="4">
        <f t="shared" si="0"/>
        <v>0</v>
      </c>
      <c r="G9" s="4">
        <f>+E9*Summary!$F$6/12</f>
        <v>0</v>
      </c>
      <c r="H9" s="4">
        <f>+IF(Summary!$B$8*12=B9,E9-F9,0)</f>
        <v>0</v>
      </c>
      <c r="I9" s="4">
        <f t="shared" si="1"/>
        <v>0</v>
      </c>
    </row>
    <row r="10" spans="2:12" x14ac:dyDescent="0.2">
      <c r="B10">
        <v>7</v>
      </c>
      <c r="C10">
        <f t="shared" si="2"/>
        <v>1</v>
      </c>
      <c r="D10" s="4">
        <f>+IF(B10&lt;=Summary!$B$17,E10*Summary!$E$6/12,-IF(C10&gt;Summary!$B$8,0,-'Market Amortization Table'!$L$4))</f>
        <v>0</v>
      </c>
      <c r="E10" s="4">
        <f t="shared" si="3"/>
        <v>0</v>
      </c>
      <c r="F10" s="4">
        <f t="shared" si="0"/>
        <v>0</v>
      </c>
      <c r="G10" s="4">
        <f>+E10*Summary!$F$6/12</f>
        <v>0</v>
      </c>
      <c r="H10" s="4">
        <f>+IF(Summary!$B$8*12=B10,E10-F10,0)</f>
        <v>0</v>
      </c>
      <c r="I10" s="4">
        <f t="shared" si="1"/>
        <v>0</v>
      </c>
    </row>
    <row r="11" spans="2:12" x14ac:dyDescent="0.2">
      <c r="B11">
        <v>8</v>
      </c>
      <c r="C11">
        <f t="shared" si="2"/>
        <v>1</v>
      </c>
      <c r="D11" s="4">
        <f>+IF(B11&lt;=Summary!$B$17,E11*Summary!$E$6/12,-IF(C11&gt;Summary!$B$8,0,-'Market Amortization Table'!$L$4))</f>
        <v>0</v>
      </c>
      <c r="E11" s="4">
        <f t="shared" si="3"/>
        <v>0</v>
      </c>
      <c r="F11" s="4">
        <f t="shared" si="0"/>
        <v>0</v>
      </c>
      <c r="G11" s="4">
        <f>+E11*Summary!$F$6/12</f>
        <v>0</v>
      </c>
      <c r="H11" s="4">
        <f>+IF(Summary!$B$8*12=B11,E11-F11,0)</f>
        <v>0</v>
      </c>
      <c r="I11" s="4">
        <f t="shared" si="1"/>
        <v>0</v>
      </c>
    </row>
    <row r="12" spans="2:12" x14ac:dyDescent="0.2">
      <c r="B12">
        <v>9</v>
      </c>
      <c r="C12">
        <f t="shared" si="2"/>
        <v>1</v>
      </c>
      <c r="D12" s="4">
        <f>+IF(B12&lt;=Summary!$B$17,E12*Summary!$E$6/12,-IF(C12&gt;Summary!$B$8,0,-'Market Amortization Table'!$L$4))</f>
        <v>0</v>
      </c>
      <c r="E12" s="4">
        <f t="shared" si="3"/>
        <v>0</v>
      </c>
      <c r="F12" s="4">
        <f t="shared" si="0"/>
        <v>0</v>
      </c>
      <c r="G12" s="4">
        <f>+E12*Summary!$F$6/12</f>
        <v>0</v>
      </c>
      <c r="H12" s="4">
        <f>+IF(Summary!$B$8*12=B12,E12-F12,0)</f>
        <v>0</v>
      </c>
      <c r="I12" s="4">
        <f t="shared" si="1"/>
        <v>0</v>
      </c>
    </row>
    <row r="13" spans="2:12" x14ac:dyDescent="0.2">
      <c r="B13">
        <v>10</v>
      </c>
      <c r="C13">
        <f t="shared" si="2"/>
        <v>1</v>
      </c>
      <c r="D13" s="4">
        <f>+IF(B13&lt;=Summary!$B$17,E13*Summary!$E$6/12,-IF(C13&gt;Summary!$B$8,0,-'Market Amortization Table'!$L$4))</f>
        <v>0</v>
      </c>
      <c r="E13" s="4">
        <f t="shared" si="3"/>
        <v>0</v>
      </c>
      <c r="F13" s="4">
        <f t="shared" si="0"/>
        <v>0</v>
      </c>
      <c r="G13" s="4">
        <f>+E13*Summary!$F$6/12</f>
        <v>0</v>
      </c>
      <c r="H13" s="4">
        <f>+IF(Summary!$B$8*12=B13,E13-F13,0)</f>
        <v>0</v>
      </c>
      <c r="I13" s="4">
        <f t="shared" si="1"/>
        <v>0</v>
      </c>
    </row>
    <row r="14" spans="2:12" x14ac:dyDescent="0.2">
      <c r="B14">
        <v>11</v>
      </c>
      <c r="C14">
        <f t="shared" si="2"/>
        <v>1</v>
      </c>
      <c r="D14" s="4">
        <f>+IF(B14&lt;=Summary!$B$17,E14*Summary!$E$6/12,-IF(C14&gt;Summary!$B$8,0,-'Market Amortization Table'!$L$4))</f>
        <v>0</v>
      </c>
      <c r="E14" s="4">
        <f t="shared" si="3"/>
        <v>0</v>
      </c>
      <c r="F14" s="4">
        <f t="shared" si="0"/>
        <v>0</v>
      </c>
      <c r="G14" s="4">
        <f>+E14*Summary!$F$6/12</f>
        <v>0</v>
      </c>
      <c r="H14" s="4">
        <f>+IF(Summary!$B$8*12=B14,E14-F14,0)</f>
        <v>0</v>
      </c>
      <c r="I14" s="4">
        <f t="shared" si="1"/>
        <v>0</v>
      </c>
    </row>
    <row r="15" spans="2:12" x14ac:dyDescent="0.2">
      <c r="B15">
        <v>12</v>
      </c>
      <c r="C15">
        <f t="shared" si="2"/>
        <v>1</v>
      </c>
      <c r="D15" s="4">
        <f>+IF(B15&lt;=Summary!$B$17,E15*Summary!$E$6/12,-IF(C15&gt;Summary!$B$8,0,-'Market Amortization Table'!$L$4))</f>
        <v>0</v>
      </c>
      <c r="E15" s="4">
        <f t="shared" si="3"/>
        <v>0</v>
      </c>
      <c r="F15" s="4">
        <f t="shared" si="0"/>
        <v>0</v>
      </c>
      <c r="G15" s="4">
        <f>+E15*Summary!$F$6/12</f>
        <v>0</v>
      </c>
      <c r="H15" s="4">
        <f>+IF(Summary!$B$8*12=B15,E15-F15,0)</f>
        <v>0</v>
      </c>
      <c r="I15" s="4">
        <f t="shared" si="1"/>
        <v>0</v>
      </c>
    </row>
    <row r="16" spans="2:12" x14ac:dyDescent="0.2">
      <c r="B16">
        <v>13</v>
      </c>
      <c r="C16">
        <f t="shared" si="2"/>
        <v>2</v>
      </c>
      <c r="D16" s="4">
        <f>+IF(B16&lt;=Summary!$B$17,E16*Summary!$E$6/12,-IF(C16&gt;Summary!$B$8,0,-'Market Amortization Table'!$L$4))</f>
        <v>0</v>
      </c>
      <c r="E16" s="4">
        <f t="shared" si="3"/>
        <v>0</v>
      </c>
      <c r="F16" s="4">
        <f t="shared" si="0"/>
        <v>0</v>
      </c>
      <c r="G16" s="4">
        <f>+E16*Summary!$F$6/12</f>
        <v>0</v>
      </c>
      <c r="H16" s="4">
        <f>+IF(Summary!$B$8*12=B16,E16-F16,0)</f>
        <v>0</v>
      </c>
      <c r="I16" s="4">
        <f t="shared" si="1"/>
        <v>0</v>
      </c>
    </row>
    <row r="17" spans="2:9" x14ac:dyDescent="0.2">
      <c r="B17">
        <v>14</v>
      </c>
      <c r="C17">
        <f t="shared" si="2"/>
        <v>2</v>
      </c>
      <c r="D17" s="4">
        <f>+IF(B17&lt;=Summary!$B$17,E17*Summary!$E$6/12,-IF(C17&gt;Summary!$B$8,0,-'Market Amortization Table'!$L$4))</f>
        <v>0</v>
      </c>
      <c r="E17" s="4">
        <f t="shared" si="3"/>
        <v>0</v>
      </c>
      <c r="F17" s="4">
        <f t="shared" si="0"/>
        <v>0</v>
      </c>
      <c r="G17" s="4">
        <f>+E17*Summary!$F$6/12</f>
        <v>0</v>
      </c>
      <c r="H17" s="4">
        <f>+IF(Summary!$B$8*12=B17,E17-F17,0)</f>
        <v>0</v>
      </c>
      <c r="I17" s="4">
        <f t="shared" si="1"/>
        <v>0</v>
      </c>
    </row>
    <row r="18" spans="2:9" x14ac:dyDescent="0.2">
      <c r="B18">
        <v>15</v>
      </c>
      <c r="C18">
        <f t="shared" si="2"/>
        <v>2</v>
      </c>
      <c r="D18" s="4">
        <f>+IF(B18&lt;=Summary!$B$17,E18*Summary!$E$6/12,-IF(C18&gt;Summary!$B$8,0,-'Market Amortization Table'!$L$4))</f>
        <v>0</v>
      </c>
      <c r="E18" s="4">
        <f t="shared" si="3"/>
        <v>0</v>
      </c>
      <c r="F18" s="4">
        <f t="shared" si="0"/>
        <v>0</v>
      </c>
      <c r="G18" s="4">
        <f>+E18*Summary!$F$6/12</f>
        <v>0</v>
      </c>
      <c r="H18" s="4">
        <f>+IF(Summary!$B$8*12=B18,E18-F18,0)</f>
        <v>0</v>
      </c>
      <c r="I18" s="4">
        <f t="shared" si="1"/>
        <v>0</v>
      </c>
    </row>
    <row r="19" spans="2:9" x14ac:dyDescent="0.2">
      <c r="B19">
        <v>16</v>
      </c>
      <c r="C19">
        <f t="shared" si="2"/>
        <v>2</v>
      </c>
      <c r="D19" s="4">
        <f>+IF(B19&lt;=Summary!$B$17,E19*Summary!$E$6/12,-IF(C19&gt;Summary!$B$8,0,-'Market Amortization Table'!$L$4))</f>
        <v>0</v>
      </c>
      <c r="E19" s="4">
        <f t="shared" si="3"/>
        <v>0</v>
      </c>
      <c r="F19" s="4">
        <f t="shared" si="0"/>
        <v>0</v>
      </c>
      <c r="G19" s="4">
        <f>+E19*Summary!$F$6/12</f>
        <v>0</v>
      </c>
      <c r="H19" s="4">
        <f>+IF(Summary!$B$8*12=B19,E19-F19,0)</f>
        <v>0</v>
      </c>
      <c r="I19" s="4">
        <f t="shared" si="1"/>
        <v>0</v>
      </c>
    </row>
    <row r="20" spans="2:9" x14ac:dyDescent="0.2">
      <c r="B20">
        <v>17</v>
      </c>
      <c r="C20">
        <f t="shared" si="2"/>
        <v>2</v>
      </c>
      <c r="D20" s="4">
        <f>+IF(B20&lt;=Summary!$B$17,E20*Summary!$E$6/12,-IF(C20&gt;Summary!$B$8,0,-'Market Amortization Table'!$L$4))</f>
        <v>0</v>
      </c>
      <c r="E20" s="4">
        <f t="shared" si="3"/>
        <v>0</v>
      </c>
      <c r="F20" s="4">
        <f t="shared" si="0"/>
        <v>0</v>
      </c>
      <c r="G20" s="4">
        <f>+E20*Summary!$F$6/12</f>
        <v>0</v>
      </c>
      <c r="H20" s="4">
        <f>+IF(Summary!$B$8*12=B20,E20-F20,0)</f>
        <v>0</v>
      </c>
      <c r="I20" s="4">
        <f t="shared" si="1"/>
        <v>0</v>
      </c>
    </row>
    <row r="21" spans="2:9" x14ac:dyDescent="0.2">
      <c r="B21">
        <v>18</v>
      </c>
      <c r="C21">
        <f t="shared" si="2"/>
        <v>2</v>
      </c>
      <c r="D21" s="4">
        <f>+IF(B21&lt;=Summary!$B$17,E21*Summary!$E$6/12,-IF(C21&gt;Summary!$B$8,0,-'Market Amortization Table'!$L$4))</f>
        <v>0</v>
      </c>
      <c r="E21" s="4">
        <f t="shared" si="3"/>
        <v>0</v>
      </c>
      <c r="F21" s="4">
        <f t="shared" si="0"/>
        <v>0</v>
      </c>
      <c r="G21" s="4">
        <f>+E21*Summary!$F$6/12</f>
        <v>0</v>
      </c>
      <c r="H21" s="4">
        <f>+IF(Summary!$B$8*12=B21,E21-F21,0)</f>
        <v>0</v>
      </c>
      <c r="I21" s="4">
        <f t="shared" si="1"/>
        <v>0</v>
      </c>
    </row>
    <row r="22" spans="2:9" x14ac:dyDescent="0.2">
      <c r="B22">
        <v>19</v>
      </c>
      <c r="C22">
        <f t="shared" si="2"/>
        <v>2</v>
      </c>
      <c r="D22" s="4">
        <f>+IF(B22&lt;=Summary!$B$17,E22*Summary!$E$6/12,-IF(C22&gt;Summary!$B$8,0,-'Market Amortization Table'!$L$4))</f>
        <v>0</v>
      </c>
      <c r="E22" s="4">
        <f t="shared" si="3"/>
        <v>0</v>
      </c>
      <c r="F22" s="4">
        <f t="shared" si="0"/>
        <v>0</v>
      </c>
      <c r="G22" s="4">
        <f>+E22*Summary!$F$6/12</f>
        <v>0</v>
      </c>
      <c r="H22" s="4">
        <f>+IF(Summary!$B$8*12=B22,E22-F22,0)</f>
        <v>0</v>
      </c>
      <c r="I22" s="4">
        <f t="shared" si="1"/>
        <v>0</v>
      </c>
    </row>
    <row r="23" spans="2:9" x14ac:dyDescent="0.2">
      <c r="B23">
        <v>20</v>
      </c>
      <c r="C23">
        <f t="shared" si="2"/>
        <v>2</v>
      </c>
      <c r="D23" s="4">
        <f>+IF(B23&lt;=Summary!$B$17,E23*Summary!$E$6/12,-IF(C23&gt;Summary!$B$8,0,-'Market Amortization Table'!$L$4))</f>
        <v>0</v>
      </c>
      <c r="E23" s="4">
        <f t="shared" si="3"/>
        <v>0</v>
      </c>
      <c r="F23" s="4">
        <f t="shared" si="0"/>
        <v>0</v>
      </c>
      <c r="G23" s="4">
        <f>+E23*Summary!$F$6/12</f>
        <v>0</v>
      </c>
      <c r="H23" s="4">
        <f>+IF(Summary!$B$8*12=B23,E23-F23,0)</f>
        <v>0</v>
      </c>
      <c r="I23" s="4">
        <f t="shared" si="1"/>
        <v>0</v>
      </c>
    </row>
    <row r="24" spans="2:9" x14ac:dyDescent="0.2">
      <c r="B24">
        <v>21</v>
      </c>
      <c r="C24">
        <f t="shared" si="2"/>
        <v>2</v>
      </c>
      <c r="D24" s="4">
        <f>+IF(B24&lt;=Summary!$B$17,E24*Summary!$E$6/12,-IF(C24&gt;Summary!$B$8,0,-'Market Amortization Table'!$L$4))</f>
        <v>0</v>
      </c>
      <c r="E24" s="4">
        <f t="shared" si="3"/>
        <v>0</v>
      </c>
      <c r="F24" s="4">
        <f t="shared" si="0"/>
        <v>0</v>
      </c>
      <c r="G24" s="4">
        <f>+E24*Summary!$F$6/12</f>
        <v>0</v>
      </c>
      <c r="H24" s="4">
        <f>+IF(Summary!$B$8*12=B24,E24-F24,0)</f>
        <v>0</v>
      </c>
      <c r="I24" s="4">
        <f t="shared" si="1"/>
        <v>0</v>
      </c>
    </row>
    <row r="25" spans="2:9" x14ac:dyDescent="0.2">
      <c r="B25">
        <v>22</v>
      </c>
      <c r="C25">
        <f t="shared" si="2"/>
        <v>2</v>
      </c>
      <c r="D25" s="4">
        <f>+IF(B25&lt;=Summary!$B$17,E25*Summary!$E$6/12,-IF(C25&gt;Summary!$B$8,0,-'Market Amortization Table'!$L$4))</f>
        <v>0</v>
      </c>
      <c r="E25" s="4">
        <f t="shared" si="3"/>
        <v>0</v>
      </c>
      <c r="F25" s="4">
        <f t="shared" si="0"/>
        <v>0</v>
      </c>
      <c r="G25" s="4">
        <f>+E25*Summary!$F$6/12</f>
        <v>0</v>
      </c>
      <c r="H25" s="4">
        <f>+IF(Summary!$B$8*12=B25,E25-F25,0)</f>
        <v>0</v>
      </c>
      <c r="I25" s="4">
        <f t="shared" si="1"/>
        <v>0</v>
      </c>
    </row>
    <row r="26" spans="2:9" x14ac:dyDescent="0.2">
      <c r="B26">
        <v>23</v>
      </c>
      <c r="C26">
        <f t="shared" si="2"/>
        <v>2</v>
      </c>
      <c r="D26" s="4">
        <f>+IF(B26&lt;=Summary!$B$17,E26*Summary!$E$6/12,-IF(C26&gt;Summary!$B$8,0,-'Market Amortization Table'!$L$4))</f>
        <v>0</v>
      </c>
      <c r="E26" s="4">
        <f t="shared" si="3"/>
        <v>0</v>
      </c>
      <c r="F26" s="4">
        <f t="shared" si="0"/>
        <v>0</v>
      </c>
      <c r="G26" s="4">
        <f>+E26*Summary!$F$6/12</f>
        <v>0</v>
      </c>
      <c r="H26" s="4">
        <f>+IF(Summary!$B$8*12=B26,E26-F26,0)</f>
        <v>0</v>
      </c>
      <c r="I26" s="4">
        <f t="shared" si="1"/>
        <v>0</v>
      </c>
    </row>
    <row r="27" spans="2:9" x14ac:dyDescent="0.2">
      <c r="B27">
        <v>24</v>
      </c>
      <c r="C27">
        <f t="shared" si="2"/>
        <v>2</v>
      </c>
      <c r="D27" s="4">
        <f>+IF(B27&lt;=Summary!$B$17,E27*Summary!$E$6/12,-IF(C27&gt;Summary!$B$8,0,-'Market Amortization Table'!$L$4))</f>
        <v>0</v>
      </c>
      <c r="E27" s="4">
        <f t="shared" si="3"/>
        <v>0</v>
      </c>
      <c r="F27" s="4">
        <f t="shared" si="0"/>
        <v>0</v>
      </c>
      <c r="G27" s="4">
        <f>+E27*Summary!$F$6/12</f>
        <v>0</v>
      </c>
      <c r="H27" s="4">
        <f>+IF(Summary!$B$8*12=B27,E27-F27,0)</f>
        <v>0</v>
      </c>
      <c r="I27" s="4">
        <f t="shared" si="1"/>
        <v>0</v>
      </c>
    </row>
    <row r="28" spans="2:9" x14ac:dyDescent="0.2">
      <c r="B28">
        <v>25</v>
      </c>
      <c r="C28">
        <f t="shared" si="2"/>
        <v>3</v>
      </c>
      <c r="D28" s="4">
        <f>+IF(B28&lt;=Summary!$B$17,E28*Summary!$E$6/12,-IF(C28&gt;Summary!$B$8,0,-'Market Amortization Table'!$L$4))</f>
        <v>0</v>
      </c>
      <c r="E28" s="4">
        <f t="shared" si="3"/>
        <v>0</v>
      </c>
      <c r="F28" s="4">
        <f t="shared" si="0"/>
        <v>0</v>
      </c>
      <c r="G28" s="4">
        <f>+E28*Summary!$F$6/12</f>
        <v>0</v>
      </c>
      <c r="H28" s="4">
        <f>+IF(Summary!$B$8*12=B28,E28-F28,0)</f>
        <v>0</v>
      </c>
      <c r="I28" s="4">
        <f t="shared" si="1"/>
        <v>0</v>
      </c>
    </row>
    <row r="29" spans="2:9" x14ac:dyDescent="0.2">
      <c r="B29">
        <v>26</v>
      </c>
      <c r="C29">
        <f t="shared" si="2"/>
        <v>3</v>
      </c>
      <c r="D29" s="4">
        <f>+IF(B29&lt;=Summary!$B$17,E29*Summary!$E$6/12,-IF(C29&gt;Summary!$B$8,0,-'Market Amortization Table'!$L$4))</f>
        <v>0</v>
      </c>
      <c r="E29" s="4">
        <f t="shared" si="3"/>
        <v>0</v>
      </c>
      <c r="F29" s="4">
        <f t="shared" si="0"/>
        <v>0</v>
      </c>
      <c r="G29" s="4">
        <f>+E29*Summary!$F$6/12</f>
        <v>0</v>
      </c>
      <c r="H29" s="4">
        <f>+IF(Summary!$B$8*12=B29,E29-F29,0)</f>
        <v>0</v>
      </c>
      <c r="I29" s="4">
        <f t="shared" si="1"/>
        <v>0</v>
      </c>
    </row>
    <row r="30" spans="2:9" x14ac:dyDescent="0.2">
      <c r="B30">
        <v>27</v>
      </c>
      <c r="C30">
        <f t="shared" si="2"/>
        <v>3</v>
      </c>
      <c r="D30" s="4">
        <f>+IF(B30&lt;=Summary!$B$17,E30*Summary!$E$6/12,-IF(C30&gt;Summary!$B$8,0,-'Market Amortization Table'!$L$4))</f>
        <v>0</v>
      </c>
      <c r="E30" s="4">
        <f t="shared" si="3"/>
        <v>0</v>
      </c>
      <c r="F30" s="4">
        <f t="shared" si="0"/>
        <v>0</v>
      </c>
      <c r="G30" s="4">
        <f>+E30*Summary!$F$6/12</f>
        <v>0</v>
      </c>
      <c r="H30" s="4">
        <f>+IF(Summary!$B$8*12=B30,E30-F30,0)</f>
        <v>0</v>
      </c>
      <c r="I30" s="4">
        <f t="shared" si="1"/>
        <v>0</v>
      </c>
    </row>
    <row r="31" spans="2:9" x14ac:dyDescent="0.2">
      <c r="B31">
        <v>28</v>
      </c>
      <c r="C31">
        <f t="shared" si="2"/>
        <v>3</v>
      </c>
      <c r="D31" s="4">
        <f>+IF(B31&lt;=Summary!$B$17,E31*Summary!$E$6/12,-IF(C31&gt;Summary!$B$8,0,-'Market Amortization Table'!$L$4))</f>
        <v>0</v>
      </c>
      <c r="E31" s="4">
        <f t="shared" si="3"/>
        <v>0</v>
      </c>
      <c r="F31" s="4">
        <f t="shared" si="0"/>
        <v>0</v>
      </c>
      <c r="G31" s="4">
        <f>+E31*Summary!$F$6/12</f>
        <v>0</v>
      </c>
      <c r="H31" s="4">
        <f>+IF(Summary!$B$8*12=B31,E31-F31,0)</f>
        <v>0</v>
      </c>
      <c r="I31" s="4">
        <f t="shared" si="1"/>
        <v>0</v>
      </c>
    </row>
    <row r="32" spans="2:9" x14ac:dyDescent="0.2">
      <c r="B32">
        <v>29</v>
      </c>
      <c r="C32">
        <f t="shared" si="2"/>
        <v>3</v>
      </c>
      <c r="D32" s="4">
        <f>+IF(B32&lt;=Summary!$B$17,E32*Summary!$E$6/12,-IF(C32&gt;Summary!$B$8,0,-'Market Amortization Table'!$L$4))</f>
        <v>0</v>
      </c>
      <c r="E32" s="4">
        <f t="shared" si="3"/>
        <v>0</v>
      </c>
      <c r="F32" s="4">
        <f t="shared" si="0"/>
        <v>0</v>
      </c>
      <c r="G32" s="4">
        <f>+E32*Summary!$F$6/12</f>
        <v>0</v>
      </c>
      <c r="H32" s="4">
        <f>+IF(Summary!$B$8*12=B32,E32-F32,0)</f>
        <v>0</v>
      </c>
      <c r="I32" s="4">
        <f t="shared" si="1"/>
        <v>0</v>
      </c>
    </row>
    <row r="33" spans="2:9" x14ac:dyDescent="0.2">
      <c r="B33">
        <v>30</v>
      </c>
      <c r="C33">
        <f t="shared" si="2"/>
        <v>3</v>
      </c>
      <c r="D33" s="4">
        <f>+IF(B33&lt;=Summary!$B$17,E33*Summary!$E$6/12,-IF(C33&gt;Summary!$B$8,0,-'Market Amortization Table'!$L$4))</f>
        <v>0</v>
      </c>
      <c r="E33" s="4">
        <f t="shared" si="3"/>
        <v>0</v>
      </c>
      <c r="F33" s="4">
        <f t="shared" si="0"/>
        <v>0</v>
      </c>
      <c r="G33" s="4">
        <f>+E33*Summary!$F$6/12</f>
        <v>0</v>
      </c>
      <c r="H33" s="4">
        <f>+IF(Summary!$B$8*12=B33,E33-F33,0)</f>
        <v>0</v>
      </c>
      <c r="I33" s="4">
        <f t="shared" si="1"/>
        <v>0</v>
      </c>
    </row>
    <row r="34" spans="2:9" x14ac:dyDescent="0.2">
      <c r="B34">
        <v>31</v>
      </c>
      <c r="C34">
        <f t="shared" si="2"/>
        <v>3</v>
      </c>
      <c r="D34" s="4">
        <f>+IF(B34&lt;=Summary!$B$17,E34*Summary!$E$6/12,-IF(C34&gt;Summary!$B$8,0,-'Market Amortization Table'!$L$4))</f>
        <v>0</v>
      </c>
      <c r="E34" s="4">
        <f t="shared" si="3"/>
        <v>0</v>
      </c>
      <c r="F34" s="4">
        <f t="shared" si="0"/>
        <v>0</v>
      </c>
      <c r="G34" s="4">
        <f>+E34*Summary!$F$6/12</f>
        <v>0</v>
      </c>
      <c r="H34" s="4">
        <f>+IF(Summary!$B$8*12=B34,E34-F34,0)</f>
        <v>0</v>
      </c>
      <c r="I34" s="4">
        <f t="shared" si="1"/>
        <v>0</v>
      </c>
    </row>
    <row r="35" spans="2:9" x14ac:dyDescent="0.2">
      <c r="B35">
        <v>32</v>
      </c>
      <c r="C35">
        <f t="shared" si="2"/>
        <v>3</v>
      </c>
      <c r="D35" s="4">
        <f>+IF(B35&lt;=Summary!$B$17,E35*Summary!$E$6/12,-IF(C35&gt;Summary!$B$8,0,-'Market Amortization Table'!$L$4))</f>
        <v>0</v>
      </c>
      <c r="E35" s="4">
        <f t="shared" si="3"/>
        <v>0</v>
      </c>
      <c r="F35" s="4">
        <f t="shared" si="0"/>
        <v>0</v>
      </c>
      <c r="G35" s="4">
        <f>+E35*Summary!$F$6/12</f>
        <v>0</v>
      </c>
      <c r="H35" s="4">
        <f>+IF(Summary!$B$8*12=B35,E35-F35,0)</f>
        <v>0</v>
      </c>
      <c r="I35" s="4">
        <f t="shared" si="1"/>
        <v>0</v>
      </c>
    </row>
    <row r="36" spans="2:9" x14ac:dyDescent="0.2">
      <c r="B36">
        <v>33</v>
      </c>
      <c r="C36">
        <f t="shared" si="2"/>
        <v>3</v>
      </c>
      <c r="D36" s="4">
        <f>+IF(B36&lt;=Summary!$B$17,E36*Summary!$E$6/12,-IF(C36&gt;Summary!$B$8,0,-'Market Amortization Table'!$L$4))</f>
        <v>0</v>
      </c>
      <c r="E36" s="4">
        <f t="shared" si="3"/>
        <v>0</v>
      </c>
      <c r="F36" s="4">
        <f t="shared" si="0"/>
        <v>0</v>
      </c>
      <c r="G36" s="4">
        <f>+E36*Summary!$F$6/12</f>
        <v>0</v>
      </c>
      <c r="H36" s="4">
        <f>+IF(Summary!$B$8*12=B36,E36-F36,0)</f>
        <v>0</v>
      </c>
      <c r="I36" s="4">
        <f t="shared" si="1"/>
        <v>0</v>
      </c>
    </row>
    <row r="37" spans="2:9" x14ac:dyDescent="0.2">
      <c r="B37">
        <v>34</v>
      </c>
      <c r="C37">
        <f t="shared" si="2"/>
        <v>3</v>
      </c>
      <c r="D37" s="4">
        <f>+IF(B37&lt;=Summary!$B$17,E37*Summary!$E$6/12,-IF(C37&gt;Summary!$B$8,0,-'Market Amortization Table'!$L$4))</f>
        <v>0</v>
      </c>
      <c r="E37" s="4">
        <f t="shared" si="3"/>
        <v>0</v>
      </c>
      <c r="F37" s="4">
        <f t="shared" si="0"/>
        <v>0</v>
      </c>
      <c r="G37" s="4">
        <f>+E37*Summary!$F$6/12</f>
        <v>0</v>
      </c>
      <c r="H37" s="4">
        <f>+IF(Summary!$B$8*12=B37,E37-F37,0)</f>
        <v>0</v>
      </c>
      <c r="I37" s="4">
        <f t="shared" si="1"/>
        <v>0</v>
      </c>
    </row>
    <row r="38" spans="2:9" x14ac:dyDescent="0.2">
      <c r="B38">
        <v>35</v>
      </c>
      <c r="C38">
        <f t="shared" si="2"/>
        <v>3</v>
      </c>
      <c r="D38" s="4">
        <f>+IF(B38&lt;=Summary!$B$17,E38*Summary!$E$6/12,-IF(C38&gt;Summary!$B$8,0,-'Market Amortization Table'!$L$4))</f>
        <v>0</v>
      </c>
      <c r="E38" s="4">
        <f t="shared" si="3"/>
        <v>0</v>
      </c>
      <c r="F38" s="4">
        <f t="shared" si="0"/>
        <v>0</v>
      </c>
      <c r="G38" s="4">
        <f>+E38*Summary!$F$6/12</f>
        <v>0</v>
      </c>
      <c r="H38" s="4">
        <f>+IF(Summary!$B$8*12=B38,E38-F38,0)</f>
        <v>0</v>
      </c>
      <c r="I38" s="4">
        <f t="shared" si="1"/>
        <v>0</v>
      </c>
    </row>
    <row r="39" spans="2:9" x14ac:dyDescent="0.2">
      <c r="B39">
        <v>36</v>
      </c>
      <c r="C39">
        <f t="shared" si="2"/>
        <v>3</v>
      </c>
      <c r="D39" s="4">
        <f>+IF(B39&lt;=Summary!$B$17,E39*Summary!$E$6/12,-IF(C39&gt;Summary!$B$8,0,-'Market Amortization Table'!$L$4))</f>
        <v>0</v>
      </c>
      <c r="E39" s="4">
        <f t="shared" si="3"/>
        <v>0</v>
      </c>
      <c r="F39" s="4">
        <f t="shared" si="0"/>
        <v>0</v>
      </c>
      <c r="G39" s="4">
        <f>+E39*Summary!$F$6/12</f>
        <v>0</v>
      </c>
      <c r="H39" s="4">
        <f>+IF(Summary!$B$8*12=B39,E39-F39,0)</f>
        <v>0</v>
      </c>
      <c r="I39" s="4">
        <f t="shared" si="1"/>
        <v>0</v>
      </c>
    </row>
    <row r="40" spans="2:9" x14ac:dyDescent="0.2">
      <c r="B40">
        <v>37</v>
      </c>
      <c r="C40">
        <f t="shared" si="2"/>
        <v>4</v>
      </c>
      <c r="D40" s="4">
        <f>+IF(B40&lt;=Summary!$B$17,E40*Summary!$E$6/12,-IF(C40&gt;Summary!$B$8,0,-'Market Amortization Table'!$L$4))</f>
        <v>0</v>
      </c>
      <c r="E40" s="4">
        <f t="shared" si="3"/>
        <v>0</v>
      </c>
      <c r="F40" s="4">
        <f t="shared" si="0"/>
        <v>0</v>
      </c>
      <c r="G40" s="4">
        <f>+E40*Summary!$F$6/12</f>
        <v>0</v>
      </c>
      <c r="H40" s="4">
        <f>+IF(Summary!$B$8*12=B40,E40-F40,0)</f>
        <v>0</v>
      </c>
      <c r="I40" s="4">
        <f t="shared" si="1"/>
        <v>0</v>
      </c>
    </row>
    <row r="41" spans="2:9" x14ac:dyDescent="0.2">
      <c r="B41">
        <v>38</v>
      </c>
      <c r="C41">
        <f t="shared" si="2"/>
        <v>4</v>
      </c>
      <c r="D41" s="4">
        <f>+IF(B41&lt;=Summary!$B$17,E41*Summary!$E$6/12,-IF(C41&gt;Summary!$B$8,0,-'Market Amortization Table'!$L$4))</f>
        <v>0</v>
      </c>
      <c r="E41" s="4">
        <f t="shared" si="3"/>
        <v>0</v>
      </c>
      <c r="F41" s="4">
        <f t="shared" si="0"/>
        <v>0</v>
      </c>
      <c r="G41" s="4">
        <f>+E41*Summary!$F$6/12</f>
        <v>0</v>
      </c>
      <c r="H41" s="4">
        <f>+IF(Summary!$B$8*12=B41,E41-F41,0)</f>
        <v>0</v>
      </c>
      <c r="I41" s="4">
        <f t="shared" si="1"/>
        <v>0</v>
      </c>
    </row>
    <row r="42" spans="2:9" x14ac:dyDescent="0.2">
      <c r="B42">
        <v>39</v>
      </c>
      <c r="C42">
        <f t="shared" si="2"/>
        <v>4</v>
      </c>
      <c r="D42" s="4">
        <f>+IF(B42&lt;=Summary!$B$17,E42*Summary!$E$6/12,-IF(C42&gt;Summary!$B$8,0,-'Market Amortization Table'!$L$4))</f>
        <v>0</v>
      </c>
      <c r="E42" s="4">
        <f t="shared" si="3"/>
        <v>0</v>
      </c>
      <c r="F42" s="4">
        <f t="shared" si="0"/>
        <v>0</v>
      </c>
      <c r="G42" s="4">
        <f>+E42*Summary!$F$6/12</f>
        <v>0</v>
      </c>
      <c r="H42" s="4">
        <f>+IF(Summary!$B$8*12=B42,E42-F42,0)</f>
        <v>0</v>
      </c>
      <c r="I42" s="4">
        <f t="shared" si="1"/>
        <v>0</v>
      </c>
    </row>
    <row r="43" spans="2:9" x14ac:dyDescent="0.2">
      <c r="B43">
        <v>40</v>
      </c>
      <c r="C43">
        <f t="shared" si="2"/>
        <v>4</v>
      </c>
      <c r="D43" s="4">
        <f>+IF(B43&lt;=Summary!$B$17,E43*Summary!$E$6/12,-IF(C43&gt;Summary!$B$8,0,-'Market Amortization Table'!$L$4))</f>
        <v>0</v>
      </c>
      <c r="E43" s="4">
        <f t="shared" si="3"/>
        <v>0</v>
      </c>
      <c r="F43" s="4">
        <f t="shared" si="0"/>
        <v>0</v>
      </c>
      <c r="G43" s="4">
        <f>+E43*Summary!$F$6/12</f>
        <v>0</v>
      </c>
      <c r="H43" s="4">
        <f>+IF(Summary!$B$8*12=B43,E43-F43,0)</f>
        <v>0</v>
      </c>
      <c r="I43" s="4">
        <f t="shared" si="1"/>
        <v>0</v>
      </c>
    </row>
    <row r="44" spans="2:9" x14ac:dyDescent="0.2">
      <c r="B44">
        <v>41</v>
      </c>
      <c r="C44">
        <f t="shared" si="2"/>
        <v>4</v>
      </c>
      <c r="D44" s="4">
        <f>+IF(B44&lt;=Summary!$B$17,E44*Summary!$E$6/12,-IF(C44&gt;Summary!$B$8,0,-'Market Amortization Table'!$L$4))</f>
        <v>0</v>
      </c>
      <c r="E44" s="4">
        <f t="shared" si="3"/>
        <v>0</v>
      </c>
      <c r="F44" s="4">
        <f t="shared" si="0"/>
        <v>0</v>
      </c>
      <c r="G44" s="4">
        <f>+E44*Summary!$F$6/12</f>
        <v>0</v>
      </c>
      <c r="H44" s="4">
        <f>+IF(Summary!$B$8*12=B44,E44-F44,0)</f>
        <v>0</v>
      </c>
      <c r="I44" s="4">
        <f t="shared" si="1"/>
        <v>0</v>
      </c>
    </row>
    <row r="45" spans="2:9" x14ac:dyDescent="0.2">
      <c r="B45">
        <v>42</v>
      </c>
      <c r="C45">
        <f t="shared" si="2"/>
        <v>4</v>
      </c>
      <c r="D45" s="4">
        <f>+IF(B45&lt;=Summary!$B$17,E45*Summary!$E$6/12,-IF(C45&gt;Summary!$B$8,0,-'Market Amortization Table'!$L$4))</f>
        <v>0</v>
      </c>
      <c r="E45" s="4">
        <f t="shared" si="3"/>
        <v>0</v>
      </c>
      <c r="F45" s="4">
        <f t="shared" si="0"/>
        <v>0</v>
      </c>
      <c r="G45" s="4">
        <f>+E45*Summary!$F$6/12</f>
        <v>0</v>
      </c>
      <c r="H45" s="4">
        <f>+IF(Summary!$B$8*12=B45,E45-F45,0)</f>
        <v>0</v>
      </c>
      <c r="I45" s="4">
        <f t="shared" si="1"/>
        <v>0</v>
      </c>
    </row>
    <row r="46" spans="2:9" x14ac:dyDescent="0.2">
      <c r="B46">
        <v>43</v>
      </c>
      <c r="C46">
        <f t="shared" si="2"/>
        <v>4</v>
      </c>
      <c r="D46" s="4">
        <f>+IF(B46&lt;=Summary!$B$17,E46*Summary!$E$6/12,-IF(C46&gt;Summary!$B$8,0,-'Market Amortization Table'!$L$4))</f>
        <v>0</v>
      </c>
      <c r="E46" s="4">
        <f t="shared" si="3"/>
        <v>0</v>
      </c>
      <c r="F46" s="4">
        <f t="shared" si="0"/>
        <v>0</v>
      </c>
      <c r="G46" s="4">
        <f>+E46*Summary!$F$6/12</f>
        <v>0</v>
      </c>
      <c r="H46" s="4">
        <f>+IF(Summary!$B$8*12=B46,E46-F46,0)</f>
        <v>0</v>
      </c>
      <c r="I46" s="4">
        <f t="shared" si="1"/>
        <v>0</v>
      </c>
    </row>
    <row r="47" spans="2:9" x14ac:dyDescent="0.2">
      <c r="B47">
        <v>44</v>
      </c>
      <c r="C47">
        <f t="shared" si="2"/>
        <v>4</v>
      </c>
      <c r="D47" s="4">
        <f>+IF(B47&lt;=Summary!$B$17,E47*Summary!$E$6/12,-IF(C47&gt;Summary!$B$8,0,-'Market Amortization Table'!$L$4))</f>
        <v>0</v>
      </c>
      <c r="E47" s="4">
        <f t="shared" si="3"/>
        <v>0</v>
      </c>
      <c r="F47" s="4">
        <f t="shared" si="0"/>
        <v>0</v>
      </c>
      <c r="G47" s="4">
        <f>+E47*Summary!$F$6/12</f>
        <v>0</v>
      </c>
      <c r="H47" s="4">
        <f>+IF(Summary!$B$8*12=B47,E47-F47,0)</f>
        <v>0</v>
      </c>
      <c r="I47" s="4">
        <f t="shared" si="1"/>
        <v>0</v>
      </c>
    </row>
    <row r="48" spans="2:9" x14ac:dyDescent="0.2">
      <c r="B48">
        <v>45</v>
      </c>
      <c r="C48">
        <f t="shared" si="2"/>
        <v>4</v>
      </c>
      <c r="D48" s="4">
        <f>+IF(B48&lt;=Summary!$B$17,E48*Summary!$E$6/12,-IF(C48&gt;Summary!$B$8,0,-'Market Amortization Table'!$L$4))</f>
        <v>0</v>
      </c>
      <c r="E48" s="4">
        <f t="shared" si="3"/>
        <v>0</v>
      </c>
      <c r="F48" s="4">
        <f t="shared" si="0"/>
        <v>0</v>
      </c>
      <c r="G48" s="4">
        <f>+E48*Summary!$F$6/12</f>
        <v>0</v>
      </c>
      <c r="H48" s="4">
        <f>+IF(Summary!$B$8*12=B48,E48-F48,0)</f>
        <v>0</v>
      </c>
      <c r="I48" s="4">
        <f t="shared" si="1"/>
        <v>0</v>
      </c>
    </row>
    <row r="49" spans="2:9" x14ac:dyDescent="0.2">
      <c r="B49">
        <v>46</v>
      </c>
      <c r="C49">
        <f t="shared" si="2"/>
        <v>4</v>
      </c>
      <c r="D49" s="4">
        <f>+IF(B49&lt;=Summary!$B$17,E49*Summary!$E$6/12,-IF(C49&gt;Summary!$B$8,0,-'Market Amortization Table'!$L$4))</f>
        <v>0</v>
      </c>
      <c r="E49" s="4">
        <f t="shared" si="3"/>
        <v>0</v>
      </c>
      <c r="F49" s="4">
        <f t="shared" si="0"/>
        <v>0</v>
      </c>
      <c r="G49" s="4">
        <f>+E49*Summary!$F$6/12</f>
        <v>0</v>
      </c>
      <c r="H49" s="4">
        <f>+IF(Summary!$B$8*12=B49,E49-F49,0)</f>
        <v>0</v>
      </c>
      <c r="I49" s="4">
        <f t="shared" si="1"/>
        <v>0</v>
      </c>
    </row>
    <row r="50" spans="2:9" x14ac:dyDescent="0.2">
      <c r="B50">
        <v>47</v>
      </c>
      <c r="C50">
        <f t="shared" si="2"/>
        <v>4</v>
      </c>
      <c r="D50" s="4">
        <f>+IF(B50&lt;=Summary!$B$17,E50*Summary!$E$6/12,-IF(C50&gt;Summary!$B$8,0,-'Market Amortization Table'!$L$4))</f>
        <v>0</v>
      </c>
      <c r="E50" s="4">
        <f t="shared" si="3"/>
        <v>0</v>
      </c>
      <c r="F50" s="4">
        <f t="shared" si="0"/>
        <v>0</v>
      </c>
      <c r="G50" s="4">
        <f>+E50*Summary!$F$6/12</f>
        <v>0</v>
      </c>
      <c r="H50" s="4">
        <f>+IF(Summary!$B$8*12=B50,E50-F50,0)</f>
        <v>0</v>
      </c>
      <c r="I50" s="4">
        <f t="shared" si="1"/>
        <v>0</v>
      </c>
    </row>
    <row r="51" spans="2:9" x14ac:dyDescent="0.2">
      <c r="B51">
        <v>48</v>
      </c>
      <c r="C51">
        <f t="shared" si="2"/>
        <v>4</v>
      </c>
      <c r="D51" s="4">
        <f>+IF(B51&lt;=Summary!$B$17,E51*Summary!$E$6/12,-IF(C51&gt;Summary!$B$8,0,-'Market Amortization Table'!$L$4))</f>
        <v>0</v>
      </c>
      <c r="E51" s="4">
        <f t="shared" si="3"/>
        <v>0</v>
      </c>
      <c r="F51" s="4">
        <f t="shared" si="0"/>
        <v>0</v>
      </c>
      <c r="G51" s="4">
        <f>+E51*Summary!$F$6/12</f>
        <v>0</v>
      </c>
      <c r="H51" s="4">
        <f>+IF(Summary!$B$8*12=B51,E51-F51,0)</f>
        <v>0</v>
      </c>
      <c r="I51" s="4">
        <f t="shared" si="1"/>
        <v>0</v>
      </c>
    </row>
    <row r="52" spans="2:9" x14ac:dyDescent="0.2">
      <c r="B52">
        <v>49</v>
      </c>
      <c r="C52">
        <f t="shared" si="2"/>
        <v>5</v>
      </c>
      <c r="D52" s="4">
        <f>+IF(B52&lt;=Summary!$B$17,E52*Summary!$E$6/12,-IF(C52&gt;Summary!$B$8,0,-'Market Amortization Table'!$L$4))</f>
        <v>0</v>
      </c>
      <c r="E52" s="4">
        <f t="shared" si="3"/>
        <v>0</v>
      </c>
      <c r="F52" s="4">
        <f t="shared" si="0"/>
        <v>0</v>
      </c>
      <c r="G52" s="4">
        <f>+E52*Summary!$F$6/12</f>
        <v>0</v>
      </c>
      <c r="H52" s="4">
        <f>+IF(Summary!$B$8*12=B52,E52-F52,0)</f>
        <v>0</v>
      </c>
      <c r="I52" s="4">
        <f t="shared" si="1"/>
        <v>0</v>
      </c>
    </row>
    <row r="53" spans="2:9" x14ac:dyDescent="0.2">
      <c r="B53">
        <v>50</v>
      </c>
      <c r="C53">
        <f t="shared" si="2"/>
        <v>5</v>
      </c>
      <c r="D53" s="4">
        <f>+IF(B53&lt;=Summary!$B$17,E53*Summary!$E$6/12,-IF(C53&gt;Summary!$B$8,0,-'Market Amortization Table'!$L$4))</f>
        <v>0</v>
      </c>
      <c r="E53" s="4">
        <f t="shared" si="3"/>
        <v>0</v>
      </c>
      <c r="F53" s="4">
        <f t="shared" si="0"/>
        <v>0</v>
      </c>
      <c r="G53" s="4">
        <f>+E53*Summary!$F$6/12</f>
        <v>0</v>
      </c>
      <c r="H53" s="4">
        <f>+IF(Summary!$B$8*12=B53,E53-F53,0)</f>
        <v>0</v>
      </c>
      <c r="I53" s="4">
        <f t="shared" si="1"/>
        <v>0</v>
      </c>
    </row>
    <row r="54" spans="2:9" x14ac:dyDescent="0.2">
      <c r="B54">
        <v>51</v>
      </c>
      <c r="C54">
        <f t="shared" si="2"/>
        <v>5</v>
      </c>
      <c r="D54" s="4">
        <f>+IF(B54&lt;=Summary!$B$17,E54*Summary!$E$6/12,-IF(C54&gt;Summary!$B$8,0,-'Market Amortization Table'!$L$4))</f>
        <v>0</v>
      </c>
      <c r="E54" s="4">
        <f t="shared" si="3"/>
        <v>0</v>
      </c>
      <c r="F54" s="4">
        <f t="shared" si="0"/>
        <v>0</v>
      </c>
      <c r="G54" s="4">
        <f>+E54*Summary!$F$6/12</f>
        <v>0</v>
      </c>
      <c r="H54" s="4">
        <f>+IF(Summary!$B$8*12=B54,E54-F54,0)</f>
        <v>0</v>
      </c>
      <c r="I54" s="4">
        <f t="shared" si="1"/>
        <v>0</v>
      </c>
    </row>
    <row r="55" spans="2:9" x14ac:dyDescent="0.2">
      <c r="B55">
        <v>52</v>
      </c>
      <c r="C55">
        <f t="shared" si="2"/>
        <v>5</v>
      </c>
      <c r="D55" s="4">
        <f>+IF(B55&lt;=Summary!$B$17,E55*Summary!$E$6/12,-IF(C55&gt;Summary!$B$8,0,-'Market Amortization Table'!$L$4))</f>
        <v>0</v>
      </c>
      <c r="E55" s="4">
        <f t="shared" si="3"/>
        <v>0</v>
      </c>
      <c r="F55" s="4">
        <f t="shared" si="0"/>
        <v>0</v>
      </c>
      <c r="G55" s="4">
        <f>+E55*Summary!$F$6/12</f>
        <v>0</v>
      </c>
      <c r="H55" s="4">
        <f>+IF(Summary!$B$8*12=B55,E55-F55,0)</f>
        <v>0</v>
      </c>
      <c r="I55" s="4">
        <f t="shared" si="1"/>
        <v>0</v>
      </c>
    </row>
    <row r="56" spans="2:9" x14ac:dyDescent="0.2">
      <c r="B56">
        <v>53</v>
      </c>
      <c r="C56">
        <f t="shared" si="2"/>
        <v>5</v>
      </c>
      <c r="D56" s="4">
        <f>+IF(B56&lt;=Summary!$B$17,E56*Summary!$E$6/12,-IF(C56&gt;Summary!$B$8,0,-'Market Amortization Table'!$L$4))</f>
        <v>0</v>
      </c>
      <c r="E56" s="4">
        <f t="shared" si="3"/>
        <v>0</v>
      </c>
      <c r="F56" s="4">
        <f t="shared" si="0"/>
        <v>0</v>
      </c>
      <c r="G56" s="4">
        <f>+E56*Summary!$F$6/12</f>
        <v>0</v>
      </c>
      <c r="H56" s="4">
        <f>+IF(Summary!$B$8*12=B56,E56-F56,0)</f>
        <v>0</v>
      </c>
      <c r="I56" s="4">
        <f t="shared" si="1"/>
        <v>0</v>
      </c>
    </row>
    <row r="57" spans="2:9" x14ac:dyDescent="0.2">
      <c r="B57">
        <v>54</v>
      </c>
      <c r="C57">
        <f t="shared" si="2"/>
        <v>5</v>
      </c>
      <c r="D57" s="4">
        <f>+IF(B57&lt;=Summary!$B$17,E57*Summary!$E$6/12,-IF(C57&gt;Summary!$B$8,0,-'Market Amortization Table'!$L$4))</f>
        <v>0</v>
      </c>
      <c r="E57" s="4">
        <f t="shared" si="3"/>
        <v>0</v>
      </c>
      <c r="F57" s="4">
        <f t="shared" si="0"/>
        <v>0</v>
      </c>
      <c r="G57" s="4">
        <f>+E57*Summary!$F$6/12</f>
        <v>0</v>
      </c>
      <c r="H57" s="4">
        <f>+IF(Summary!$B$8*12=B57,E57-F57,0)</f>
        <v>0</v>
      </c>
      <c r="I57" s="4">
        <f t="shared" si="1"/>
        <v>0</v>
      </c>
    </row>
    <row r="58" spans="2:9" x14ac:dyDescent="0.2">
      <c r="B58">
        <v>55</v>
      </c>
      <c r="C58">
        <f t="shared" si="2"/>
        <v>5</v>
      </c>
      <c r="D58" s="4">
        <f>+IF(B58&lt;=Summary!$B$17,E58*Summary!$E$6/12,-IF(C58&gt;Summary!$B$8,0,-'Market Amortization Table'!$L$4))</f>
        <v>0</v>
      </c>
      <c r="E58" s="4">
        <f t="shared" si="3"/>
        <v>0</v>
      </c>
      <c r="F58" s="4">
        <f t="shared" si="0"/>
        <v>0</v>
      </c>
      <c r="G58" s="4">
        <f>+E58*Summary!$F$6/12</f>
        <v>0</v>
      </c>
      <c r="H58" s="4">
        <f>+IF(Summary!$B$8*12=B58,E58-F58,0)</f>
        <v>0</v>
      </c>
      <c r="I58" s="4">
        <f t="shared" si="1"/>
        <v>0</v>
      </c>
    </row>
    <row r="59" spans="2:9" x14ac:dyDescent="0.2">
      <c r="B59">
        <v>56</v>
      </c>
      <c r="C59">
        <f t="shared" si="2"/>
        <v>5</v>
      </c>
      <c r="D59" s="4">
        <f>+IF(B59&lt;=Summary!$B$17,E59*Summary!$E$6/12,-IF(C59&gt;Summary!$B$8,0,-'Market Amortization Table'!$L$4))</f>
        <v>0</v>
      </c>
      <c r="E59" s="4">
        <f t="shared" si="3"/>
        <v>0</v>
      </c>
      <c r="F59" s="4">
        <f t="shared" si="0"/>
        <v>0</v>
      </c>
      <c r="G59" s="4">
        <f>+E59*Summary!$F$6/12</f>
        <v>0</v>
      </c>
      <c r="H59" s="4">
        <f>+IF(Summary!$B$8*12=B59,E59-F59,0)</f>
        <v>0</v>
      </c>
      <c r="I59" s="4">
        <f t="shared" si="1"/>
        <v>0</v>
      </c>
    </row>
    <row r="60" spans="2:9" x14ac:dyDescent="0.2">
      <c r="B60">
        <v>57</v>
      </c>
      <c r="C60">
        <f t="shared" si="2"/>
        <v>5</v>
      </c>
      <c r="D60" s="4">
        <f>+IF(B60&lt;=Summary!$B$17,E60*Summary!$E$6/12,-IF(C60&gt;Summary!$B$8,0,-'Market Amortization Table'!$L$4))</f>
        <v>0</v>
      </c>
      <c r="E60" s="4">
        <f t="shared" si="3"/>
        <v>0</v>
      </c>
      <c r="F60" s="4">
        <f t="shared" si="0"/>
        <v>0</v>
      </c>
      <c r="G60" s="4">
        <f>+E60*Summary!$F$6/12</f>
        <v>0</v>
      </c>
      <c r="H60" s="4">
        <f>+IF(Summary!$B$8*12=B60,E60-F60,0)</f>
        <v>0</v>
      </c>
      <c r="I60" s="4">
        <f t="shared" si="1"/>
        <v>0</v>
      </c>
    </row>
    <row r="61" spans="2:9" x14ac:dyDescent="0.2">
      <c r="B61">
        <v>58</v>
      </c>
      <c r="C61">
        <f t="shared" si="2"/>
        <v>5</v>
      </c>
      <c r="D61" s="4">
        <f>+IF(B61&lt;=Summary!$B$17,E61*Summary!$E$6/12,-IF(C61&gt;Summary!$B$8,0,-'Market Amortization Table'!$L$4))</f>
        <v>0</v>
      </c>
      <c r="E61" s="4">
        <f t="shared" si="3"/>
        <v>0</v>
      </c>
      <c r="F61" s="4">
        <f t="shared" si="0"/>
        <v>0</v>
      </c>
      <c r="G61" s="4">
        <f>+E61*Summary!$F$6/12</f>
        <v>0</v>
      </c>
      <c r="H61" s="4">
        <f>+IF(Summary!$B$8*12=B61,E61-F61,0)</f>
        <v>0</v>
      </c>
      <c r="I61" s="4">
        <f t="shared" si="1"/>
        <v>0</v>
      </c>
    </row>
    <row r="62" spans="2:9" x14ac:dyDescent="0.2">
      <c r="B62">
        <v>59</v>
      </c>
      <c r="C62">
        <f t="shared" si="2"/>
        <v>5</v>
      </c>
      <c r="D62" s="4">
        <f>+IF(B62&lt;=Summary!$B$17,E62*Summary!$E$6/12,-IF(C62&gt;Summary!$B$8,0,-'Market Amortization Table'!$L$4))</f>
        <v>0</v>
      </c>
      <c r="E62" s="4">
        <f t="shared" si="3"/>
        <v>0</v>
      </c>
      <c r="F62" s="4">
        <f t="shared" si="0"/>
        <v>0</v>
      </c>
      <c r="G62" s="4">
        <f>+E62*Summary!$F$6/12</f>
        <v>0</v>
      </c>
      <c r="H62" s="4">
        <f>+IF(Summary!$B$8*12=B62,E62-F62,0)</f>
        <v>0</v>
      </c>
      <c r="I62" s="4">
        <f t="shared" si="1"/>
        <v>0</v>
      </c>
    </row>
    <row r="63" spans="2:9" x14ac:dyDescent="0.2">
      <c r="B63">
        <v>60</v>
      </c>
      <c r="C63">
        <f t="shared" si="2"/>
        <v>5</v>
      </c>
      <c r="D63" s="4">
        <f>+IF(B63&lt;=Summary!$B$17,E63*Summary!$E$6/12,-IF(C63&gt;Summary!$B$8,0,-'Market Amortization Table'!$L$4))</f>
        <v>0</v>
      </c>
      <c r="E63" s="4">
        <f t="shared" si="3"/>
        <v>0</v>
      </c>
      <c r="F63" s="4">
        <f t="shared" si="0"/>
        <v>0</v>
      </c>
      <c r="G63" s="4">
        <f>+E63*Summary!$F$6/12</f>
        <v>0</v>
      </c>
      <c r="H63" s="4">
        <f>+IF(Summary!$B$8*12=B63,E63-F63,0)</f>
        <v>0</v>
      </c>
      <c r="I63" s="4">
        <f t="shared" si="1"/>
        <v>0</v>
      </c>
    </row>
    <row r="64" spans="2:9" x14ac:dyDescent="0.2">
      <c r="B64">
        <v>61</v>
      </c>
      <c r="C64">
        <f t="shared" si="2"/>
        <v>6</v>
      </c>
      <c r="D64" s="4">
        <f>+IF(B64&lt;=Summary!$B$17,E64*Summary!$E$6/12,-IF(C64&gt;Summary!$B$8,0,-'Market Amortization Table'!$L$4))</f>
        <v>0</v>
      </c>
      <c r="E64" s="4">
        <f t="shared" si="3"/>
        <v>0</v>
      </c>
      <c r="F64" s="4">
        <f t="shared" si="0"/>
        <v>0</v>
      </c>
      <c r="G64" s="4">
        <f>+E64*Summary!$F$6/12</f>
        <v>0</v>
      </c>
      <c r="H64" s="4">
        <f>+IF(Summary!$B$8*12=B64,E64-F64,0)</f>
        <v>0</v>
      </c>
      <c r="I64" s="4">
        <f t="shared" si="1"/>
        <v>0</v>
      </c>
    </row>
    <row r="65" spans="2:9" x14ac:dyDescent="0.2">
      <c r="B65">
        <v>62</v>
      </c>
      <c r="C65">
        <f t="shared" si="2"/>
        <v>6</v>
      </c>
      <c r="D65" s="4">
        <f>+IF(B65&lt;=Summary!$B$17,E65*Summary!$E$6/12,-IF(C65&gt;Summary!$B$8,0,-'Market Amortization Table'!$L$4))</f>
        <v>0</v>
      </c>
      <c r="E65" s="4">
        <f t="shared" si="3"/>
        <v>0</v>
      </c>
      <c r="F65" s="4">
        <f t="shared" ref="F65:F75" si="4">+D65-G65</f>
        <v>0</v>
      </c>
      <c r="G65" s="4">
        <f>+E65*Summary!$F$6/12</f>
        <v>0</v>
      </c>
      <c r="H65" s="4">
        <f>+IF(Summary!$B$8*12=B65,E65-F65,0)</f>
        <v>0</v>
      </c>
      <c r="I65" s="4">
        <f t="shared" si="1"/>
        <v>0</v>
      </c>
    </row>
    <row r="66" spans="2:9" x14ac:dyDescent="0.2">
      <c r="B66">
        <v>63</v>
      </c>
      <c r="C66">
        <f t="shared" si="2"/>
        <v>6</v>
      </c>
      <c r="D66" s="4">
        <f>+IF(B66&lt;=Summary!$B$17,E66*Summary!$E$6/12,-IF(C66&gt;Summary!$B$8,0,-'Market Amortization Table'!$L$4))</f>
        <v>0</v>
      </c>
      <c r="E66" s="4">
        <f t="shared" si="3"/>
        <v>0</v>
      </c>
      <c r="F66" s="4">
        <f t="shared" si="4"/>
        <v>0</v>
      </c>
      <c r="G66" s="4">
        <f>+E66*Summary!$F$6/12</f>
        <v>0</v>
      </c>
      <c r="H66" s="4">
        <f>+IF(Summary!$B$8*12=B66,E66-F66,0)</f>
        <v>0</v>
      </c>
      <c r="I66" s="4">
        <f t="shared" si="1"/>
        <v>0</v>
      </c>
    </row>
    <row r="67" spans="2:9" x14ac:dyDescent="0.2">
      <c r="B67">
        <v>64</v>
      </c>
      <c r="C67">
        <f t="shared" si="2"/>
        <v>6</v>
      </c>
      <c r="D67" s="4">
        <f>+IF(B67&lt;=Summary!$B$17,E67*Summary!$E$6/12,-IF(C67&gt;Summary!$B$8,0,-'Market Amortization Table'!$L$4))</f>
        <v>0</v>
      </c>
      <c r="E67" s="4">
        <f t="shared" si="3"/>
        <v>0</v>
      </c>
      <c r="F67" s="4">
        <f t="shared" si="4"/>
        <v>0</v>
      </c>
      <c r="G67" s="4">
        <f>+E67*Summary!$F$6/12</f>
        <v>0</v>
      </c>
      <c r="H67" s="4">
        <f>+IF(Summary!$B$8*12=B67,E67-F67,0)</f>
        <v>0</v>
      </c>
      <c r="I67" s="4">
        <f t="shared" si="1"/>
        <v>0</v>
      </c>
    </row>
    <row r="68" spans="2:9" x14ac:dyDescent="0.2">
      <c r="B68">
        <v>65</v>
      </c>
      <c r="C68">
        <f t="shared" si="2"/>
        <v>6</v>
      </c>
      <c r="D68" s="4">
        <f>+IF(B68&lt;=Summary!$B$17,E68*Summary!$E$6/12,-IF(C68&gt;Summary!$B$8,0,-'Market Amortization Table'!$L$4))</f>
        <v>0</v>
      </c>
      <c r="E68" s="4">
        <f t="shared" si="3"/>
        <v>0</v>
      </c>
      <c r="F68" s="4">
        <f t="shared" si="4"/>
        <v>0</v>
      </c>
      <c r="G68" s="4">
        <f>+E68*Summary!$F$6/12</f>
        <v>0</v>
      </c>
      <c r="H68" s="4">
        <f>+IF(Summary!$B$8*12=B68,E68-F68,0)</f>
        <v>0</v>
      </c>
      <c r="I68" s="4">
        <f t="shared" ref="I68:I131" si="5">+E68-F68-H68</f>
        <v>0</v>
      </c>
    </row>
    <row r="69" spans="2:9" x14ac:dyDescent="0.2">
      <c r="B69">
        <v>66</v>
      </c>
      <c r="C69">
        <f t="shared" ref="C69:C132" si="6">+ROUNDUP(B69/12,0)</f>
        <v>6</v>
      </c>
      <c r="D69" s="4">
        <f>+IF(B69&lt;=Summary!$B$17,E69*Summary!$E$6/12,-IF(C69&gt;Summary!$B$8,0,-'Market Amortization Table'!$L$4))</f>
        <v>0</v>
      </c>
      <c r="E69" s="4">
        <f t="shared" ref="E69:E132" si="7">+I68</f>
        <v>0</v>
      </c>
      <c r="F69" s="4">
        <f t="shared" si="4"/>
        <v>0</v>
      </c>
      <c r="G69" s="4">
        <f>+E69*Summary!$F$6/12</f>
        <v>0</v>
      </c>
      <c r="H69" s="4">
        <f>+IF(Summary!$B$8*12=B69,E69-F69,0)</f>
        <v>0</v>
      </c>
      <c r="I69" s="4">
        <f t="shared" si="5"/>
        <v>0</v>
      </c>
    </row>
    <row r="70" spans="2:9" x14ac:dyDescent="0.2">
      <c r="B70">
        <v>67</v>
      </c>
      <c r="C70">
        <f t="shared" si="6"/>
        <v>6</v>
      </c>
      <c r="D70" s="4">
        <f>+IF(B70&lt;=Summary!$B$17,E70*Summary!$E$6/12,-IF(C70&gt;Summary!$B$8,0,-'Market Amortization Table'!$L$4))</f>
        <v>0</v>
      </c>
      <c r="E70" s="4">
        <f t="shared" si="7"/>
        <v>0</v>
      </c>
      <c r="F70" s="4">
        <f t="shared" si="4"/>
        <v>0</v>
      </c>
      <c r="G70" s="4">
        <f>+E70*Summary!$F$6/12</f>
        <v>0</v>
      </c>
      <c r="H70" s="4">
        <f>+IF(Summary!$B$8*12=B70,E70-F70,0)</f>
        <v>0</v>
      </c>
      <c r="I70" s="4">
        <f t="shared" si="5"/>
        <v>0</v>
      </c>
    </row>
    <row r="71" spans="2:9" x14ac:dyDescent="0.2">
      <c r="B71">
        <v>68</v>
      </c>
      <c r="C71">
        <f t="shared" si="6"/>
        <v>6</v>
      </c>
      <c r="D71" s="4">
        <f>+IF(B71&lt;=Summary!$B$17,E71*Summary!$E$6/12,-IF(C71&gt;Summary!$B$8,0,-'Market Amortization Table'!$L$4))</f>
        <v>0</v>
      </c>
      <c r="E71" s="4">
        <f t="shared" si="7"/>
        <v>0</v>
      </c>
      <c r="F71" s="4">
        <f t="shared" si="4"/>
        <v>0</v>
      </c>
      <c r="G71" s="4">
        <f>+E71*Summary!$F$6/12</f>
        <v>0</v>
      </c>
      <c r="H71" s="4">
        <f>+IF(Summary!$B$8*12=B71,E71-F71,0)</f>
        <v>0</v>
      </c>
      <c r="I71" s="4">
        <f t="shared" si="5"/>
        <v>0</v>
      </c>
    </row>
    <row r="72" spans="2:9" x14ac:dyDescent="0.2">
      <c r="B72">
        <v>69</v>
      </c>
      <c r="C72">
        <f t="shared" si="6"/>
        <v>6</v>
      </c>
      <c r="D72" s="4">
        <f>+IF(B72&lt;=Summary!$B$17,E72*Summary!$E$6/12,-IF(C72&gt;Summary!$B$8,0,-'Market Amortization Table'!$L$4))</f>
        <v>0</v>
      </c>
      <c r="E72" s="4">
        <f t="shared" si="7"/>
        <v>0</v>
      </c>
      <c r="F72" s="4">
        <f t="shared" si="4"/>
        <v>0</v>
      </c>
      <c r="G72" s="4">
        <f>+E72*Summary!$F$6/12</f>
        <v>0</v>
      </c>
      <c r="H72" s="4">
        <f>+IF(Summary!$B$8*12=B72,E72-F72,0)</f>
        <v>0</v>
      </c>
      <c r="I72" s="4">
        <f t="shared" si="5"/>
        <v>0</v>
      </c>
    </row>
    <row r="73" spans="2:9" x14ac:dyDescent="0.2">
      <c r="B73">
        <v>70</v>
      </c>
      <c r="C73">
        <f t="shared" si="6"/>
        <v>6</v>
      </c>
      <c r="D73" s="4">
        <f>+IF(B73&lt;=Summary!$B$17,E73*Summary!$E$6/12,-IF(C73&gt;Summary!$B$8,0,-'Market Amortization Table'!$L$4))</f>
        <v>0</v>
      </c>
      <c r="E73" s="4">
        <f t="shared" si="7"/>
        <v>0</v>
      </c>
      <c r="F73" s="4">
        <f t="shared" si="4"/>
        <v>0</v>
      </c>
      <c r="G73" s="4">
        <f>+E73*Summary!$F$6/12</f>
        <v>0</v>
      </c>
      <c r="H73" s="4">
        <f>+IF(Summary!$B$8*12=B73,E73-F73,0)</f>
        <v>0</v>
      </c>
      <c r="I73" s="4">
        <f t="shared" si="5"/>
        <v>0</v>
      </c>
    </row>
    <row r="74" spans="2:9" x14ac:dyDescent="0.2">
      <c r="B74">
        <v>71</v>
      </c>
      <c r="C74">
        <f t="shared" si="6"/>
        <v>6</v>
      </c>
      <c r="D74" s="4">
        <f>+IF(B74&lt;=Summary!$B$17,E74*Summary!$E$6/12,-IF(C74&gt;Summary!$B$8,0,-'Market Amortization Table'!$L$4))</f>
        <v>0</v>
      </c>
      <c r="E74" s="4">
        <f t="shared" si="7"/>
        <v>0</v>
      </c>
      <c r="F74" s="4">
        <f t="shared" si="4"/>
        <v>0</v>
      </c>
      <c r="G74" s="4">
        <f>+E74*Summary!$F$6/12</f>
        <v>0</v>
      </c>
      <c r="H74" s="4">
        <f>+IF(Summary!$B$8*12=B74,E74-F74,0)</f>
        <v>0</v>
      </c>
      <c r="I74" s="4">
        <f t="shared" si="5"/>
        <v>0</v>
      </c>
    </row>
    <row r="75" spans="2:9" x14ac:dyDescent="0.2">
      <c r="B75">
        <v>72</v>
      </c>
      <c r="C75">
        <f t="shared" si="6"/>
        <v>6</v>
      </c>
      <c r="D75" s="4">
        <f>+IF(B75&lt;=Summary!$B$17,E75*Summary!$E$6/12,-IF(C75&gt;Summary!$B$8,0,-'Market Amortization Table'!$L$4))</f>
        <v>0</v>
      </c>
      <c r="E75" s="4">
        <f t="shared" si="7"/>
        <v>0</v>
      </c>
      <c r="F75" s="4">
        <f t="shared" si="4"/>
        <v>0</v>
      </c>
      <c r="G75" s="4">
        <f>+E75*Summary!$F$6/12</f>
        <v>0</v>
      </c>
      <c r="H75" s="4">
        <f>+IF(Summary!$B$8*12=B75,E75-F75,0)</f>
        <v>0</v>
      </c>
      <c r="I75" s="4">
        <f t="shared" si="5"/>
        <v>0</v>
      </c>
    </row>
    <row r="76" spans="2:9" x14ac:dyDescent="0.2">
      <c r="B76">
        <v>73</v>
      </c>
      <c r="C76">
        <f t="shared" si="6"/>
        <v>7</v>
      </c>
      <c r="D76" s="4">
        <f>+IF(B76&lt;=Summary!$B$17,E76*Summary!$E$6/12,-IF(C76&gt;Summary!$B$8,0,-'Market Amortization Table'!$L$4))</f>
        <v>0</v>
      </c>
      <c r="E76" s="4">
        <f t="shared" si="7"/>
        <v>0</v>
      </c>
      <c r="F76" s="4">
        <f t="shared" ref="F76:F139" si="8">+D76-G76</f>
        <v>0</v>
      </c>
      <c r="G76" s="4">
        <f>+E76*Summary!$F$6/12</f>
        <v>0</v>
      </c>
      <c r="H76" s="4">
        <f>+IF(Summary!$B$8*12=B76,E76-F76,0)</f>
        <v>0</v>
      </c>
      <c r="I76" s="4">
        <f t="shared" si="5"/>
        <v>0</v>
      </c>
    </row>
    <row r="77" spans="2:9" x14ac:dyDescent="0.2">
      <c r="B77">
        <v>74</v>
      </c>
      <c r="C77">
        <f t="shared" si="6"/>
        <v>7</v>
      </c>
      <c r="D77" s="4">
        <f>+IF(B77&lt;=Summary!$B$17,E77*Summary!$E$6/12,-IF(C77&gt;Summary!$B$8,0,-'Market Amortization Table'!$L$4))</f>
        <v>0</v>
      </c>
      <c r="E77" s="4">
        <f t="shared" si="7"/>
        <v>0</v>
      </c>
      <c r="F77" s="4">
        <f t="shared" si="8"/>
        <v>0</v>
      </c>
      <c r="G77" s="4">
        <f>+E77*Summary!$F$6/12</f>
        <v>0</v>
      </c>
      <c r="H77" s="4">
        <f>+IF(Summary!$B$8*12=B77,E77-F77,0)</f>
        <v>0</v>
      </c>
      <c r="I77" s="4">
        <f t="shared" si="5"/>
        <v>0</v>
      </c>
    </row>
    <row r="78" spans="2:9" x14ac:dyDescent="0.2">
      <c r="B78">
        <v>75</v>
      </c>
      <c r="C78">
        <f t="shared" si="6"/>
        <v>7</v>
      </c>
      <c r="D78" s="4">
        <f>+IF(B78&lt;=Summary!$B$17,E78*Summary!$E$6/12,-IF(C78&gt;Summary!$B$8,0,-'Market Amortization Table'!$L$4))</f>
        <v>0</v>
      </c>
      <c r="E78" s="4">
        <f t="shared" si="7"/>
        <v>0</v>
      </c>
      <c r="F78" s="4">
        <f t="shared" si="8"/>
        <v>0</v>
      </c>
      <c r="G78" s="4">
        <f>+E78*Summary!$F$6/12</f>
        <v>0</v>
      </c>
      <c r="H78" s="4">
        <f>+IF(Summary!$B$8*12=B78,E78-F78,0)</f>
        <v>0</v>
      </c>
      <c r="I78" s="4">
        <f t="shared" si="5"/>
        <v>0</v>
      </c>
    </row>
    <row r="79" spans="2:9" x14ac:dyDescent="0.2">
      <c r="B79">
        <v>76</v>
      </c>
      <c r="C79">
        <f t="shared" si="6"/>
        <v>7</v>
      </c>
      <c r="D79" s="4">
        <f>+IF(B79&lt;=Summary!$B$17,E79*Summary!$E$6/12,-IF(C79&gt;Summary!$B$8,0,-'Market Amortization Table'!$L$4))</f>
        <v>0</v>
      </c>
      <c r="E79" s="4">
        <f t="shared" si="7"/>
        <v>0</v>
      </c>
      <c r="F79" s="4">
        <f t="shared" si="8"/>
        <v>0</v>
      </c>
      <c r="G79" s="4">
        <f>+E79*Summary!$F$6/12</f>
        <v>0</v>
      </c>
      <c r="H79" s="4">
        <f>+IF(Summary!$B$8*12=B79,E79-F79,0)</f>
        <v>0</v>
      </c>
      <c r="I79" s="4">
        <f t="shared" si="5"/>
        <v>0</v>
      </c>
    </row>
    <row r="80" spans="2:9" x14ac:dyDescent="0.2">
      <c r="B80">
        <v>77</v>
      </c>
      <c r="C80">
        <f t="shared" si="6"/>
        <v>7</v>
      </c>
      <c r="D80" s="4">
        <f>+IF(B80&lt;=Summary!$B$17,E80*Summary!$E$6/12,-IF(C80&gt;Summary!$B$8,0,-'Market Amortization Table'!$L$4))</f>
        <v>0</v>
      </c>
      <c r="E80" s="4">
        <f t="shared" si="7"/>
        <v>0</v>
      </c>
      <c r="F80" s="4">
        <f t="shared" si="8"/>
        <v>0</v>
      </c>
      <c r="G80" s="4">
        <f>+E80*Summary!$F$6/12</f>
        <v>0</v>
      </c>
      <c r="H80" s="4">
        <f>+IF(Summary!$B$8*12=B80,E80-F80,0)</f>
        <v>0</v>
      </c>
      <c r="I80" s="4">
        <f t="shared" si="5"/>
        <v>0</v>
      </c>
    </row>
    <row r="81" spans="2:9" x14ac:dyDescent="0.2">
      <c r="B81">
        <v>78</v>
      </c>
      <c r="C81">
        <f t="shared" si="6"/>
        <v>7</v>
      </c>
      <c r="D81" s="4">
        <f>+IF(B81&lt;=Summary!$B$17,E81*Summary!$E$6/12,-IF(C81&gt;Summary!$B$8,0,-'Market Amortization Table'!$L$4))</f>
        <v>0</v>
      </c>
      <c r="E81" s="4">
        <f t="shared" si="7"/>
        <v>0</v>
      </c>
      <c r="F81" s="4">
        <f t="shared" si="8"/>
        <v>0</v>
      </c>
      <c r="G81" s="4">
        <f>+E81*Summary!$F$6/12</f>
        <v>0</v>
      </c>
      <c r="H81" s="4">
        <f>+IF(Summary!$B$8*12=B81,E81-F81,0)</f>
        <v>0</v>
      </c>
      <c r="I81" s="4">
        <f t="shared" si="5"/>
        <v>0</v>
      </c>
    </row>
    <row r="82" spans="2:9" x14ac:dyDescent="0.2">
      <c r="B82">
        <v>79</v>
      </c>
      <c r="C82">
        <f t="shared" si="6"/>
        <v>7</v>
      </c>
      <c r="D82" s="4">
        <f>+IF(B82&lt;=Summary!$B$17,E82*Summary!$E$6/12,-IF(C82&gt;Summary!$B$8,0,-'Market Amortization Table'!$L$4))</f>
        <v>0</v>
      </c>
      <c r="E82" s="4">
        <f t="shared" si="7"/>
        <v>0</v>
      </c>
      <c r="F82" s="4">
        <f t="shared" si="8"/>
        <v>0</v>
      </c>
      <c r="G82" s="4">
        <f>+E82*Summary!$F$6/12</f>
        <v>0</v>
      </c>
      <c r="H82" s="4">
        <f>+IF(Summary!$B$8*12=B82,E82-F82,0)</f>
        <v>0</v>
      </c>
      <c r="I82" s="4">
        <f t="shared" si="5"/>
        <v>0</v>
      </c>
    </row>
    <row r="83" spans="2:9" x14ac:dyDescent="0.2">
      <c r="B83">
        <v>80</v>
      </c>
      <c r="C83">
        <f t="shared" si="6"/>
        <v>7</v>
      </c>
      <c r="D83" s="4">
        <f>+IF(B83&lt;=Summary!$B$17,E83*Summary!$E$6/12,-IF(C83&gt;Summary!$B$8,0,-'Market Amortization Table'!$L$4))</f>
        <v>0</v>
      </c>
      <c r="E83" s="4">
        <f t="shared" si="7"/>
        <v>0</v>
      </c>
      <c r="F83" s="4">
        <f t="shared" si="8"/>
        <v>0</v>
      </c>
      <c r="G83" s="4">
        <f>+E83*Summary!$F$6/12</f>
        <v>0</v>
      </c>
      <c r="H83" s="4">
        <f>+IF(Summary!$B$8*12=B83,E83-F83,0)</f>
        <v>0</v>
      </c>
      <c r="I83" s="4">
        <f t="shared" si="5"/>
        <v>0</v>
      </c>
    </row>
    <row r="84" spans="2:9" x14ac:dyDescent="0.2">
      <c r="B84">
        <v>81</v>
      </c>
      <c r="C84">
        <f t="shared" si="6"/>
        <v>7</v>
      </c>
      <c r="D84" s="4">
        <f>+IF(B84&lt;=Summary!$B$17,E84*Summary!$E$6/12,-IF(C84&gt;Summary!$B$8,0,-'Market Amortization Table'!$L$4))</f>
        <v>0</v>
      </c>
      <c r="E84" s="4">
        <f t="shared" si="7"/>
        <v>0</v>
      </c>
      <c r="F84" s="4">
        <f t="shared" si="8"/>
        <v>0</v>
      </c>
      <c r="G84" s="4">
        <f>+E84*Summary!$F$6/12</f>
        <v>0</v>
      </c>
      <c r="H84" s="4">
        <f>+IF(Summary!$B$8*12=B84,E84-F84,0)</f>
        <v>0</v>
      </c>
      <c r="I84" s="4">
        <f t="shared" si="5"/>
        <v>0</v>
      </c>
    </row>
    <row r="85" spans="2:9" x14ac:dyDescent="0.2">
      <c r="B85">
        <v>82</v>
      </c>
      <c r="C85">
        <f t="shared" si="6"/>
        <v>7</v>
      </c>
      <c r="D85" s="4">
        <f>+IF(B85&lt;=Summary!$B$17,E85*Summary!$E$6/12,-IF(C85&gt;Summary!$B$8,0,-'Market Amortization Table'!$L$4))</f>
        <v>0</v>
      </c>
      <c r="E85" s="4">
        <f t="shared" si="7"/>
        <v>0</v>
      </c>
      <c r="F85" s="4">
        <f t="shared" si="8"/>
        <v>0</v>
      </c>
      <c r="G85" s="4">
        <f>+E85*Summary!$F$6/12</f>
        <v>0</v>
      </c>
      <c r="H85" s="4">
        <f>+IF(Summary!$B$8*12=B85,E85-F85,0)</f>
        <v>0</v>
      </c>
      <c r="I85" s="4">
        <f t="shared" si="5"/>
        <v>0</v>
      </c>
    </row>
    <row r="86" spans="2:9" x14ac:dyDescent="0.2">
      <c r="B86">
        <v>83</v>
      </c>
      <c r="C86">
        <f t="shared" si="6"/>
        <v>7</v>
      </c>
      <c r="D86" s="4">
        <f>+IF(B86&lt;=Summary!$B$17,E86*Summary!$E$6/12,-IF(C86&gt;Summary!$B$8,0,-'Market Amortization Table'!$L$4))</f>
        <v>0</v>
      </c>
      <c r="E86" s="4">
        <f t="shared" si="7"/>
        <v>0</v>
      </c>
      <c r="F86" s="4">
        <f t="shared" si="8"/>
        <v>0</v>
      </c>
      <c r="G86" s="4">
        <f>+E86*Summary!$F$6/12</f>
        <v>0</v>
      </c>
      <c r="H86" s="4">
        <f>+IF(Summary!$B$8*12=B86,E86-F86,0)</f>
        <v>0</v>
      </c>
      <c r="I86" s="4">
        <f t="shared" si="5"/>
        <v>0</v>
      </c>
    </row>
    <row r="87" spans="2:9" x14ac:dyDescent="0.2">
      <c r="B87">
        <v>84</v>
      </c>
      <c r="C87">
        <f t="shared" si="6"/>
        <v>7</v>
      </c>
      <c r="D87" s="4">
        <f>+IF(B87&lt;=Summary!$B$17,E87*Summary!$E$6/12,-IF(C87&gt;Summary!$B$8,0,-'Market Amortization Table'!$L$4))</f>
        <v>0</v>
      </c>
      <c r="E87" s="4">
        <f t="shared" si="7"/>
        <v>0</v>
      </c>
      <c r="F87" s="4">
        <f t="shared" si="8"/>
        <v>0</v>
      </c>
      <c r="G87" s="4">
        <f>+E87*Summary!$F$6/12</f>
        <v>0</v>
      </c>
      <c r="H87" s="4">
        <f>+IF(Summary!$B$8*12=B87,E87-F87,0)</f>
        <v>0</v>
      </c>
      <c r="I87" s="4">
        <f t="shared" si="5"/>
        <v>0</v>
      </c>
    </row>
    <row r="88" spans="2:9" x14ac:dyDescent="0.2">
      <c r="B88">
        <v>85</v>
      </c>
      <c r="C88">
        <f t="shared" si="6"/>
        <v>8</v>
      </c>
      <c r="D88" s="4">
        <f>+IF(B88&lt;=Summary!$B$17,E88*Summary!$E$6/12,-IF(C88&gt;Summary!$B$8,0,-'Market Amortization Table'!$L$4))</f>
        <v>0</v>
      </c>
      <c r="E88" s="4">
        <f t="shared" si="7"/>
        <v>0</v>
      </c>
      <c r="F88" s="4">
        <f t="shared" si="8"/>
        <v>0</v>
      </c>
      <c r="G88" s="4">
        <f>+E88*Summary!$F$6/12</f>
        <v>0</v>
      </c>
      <c r="H88" s="4">
        <f>+IF(Summary!$B$8*12=B88,E88-F88,0)</f>
        <v>0</v>
      </c>
      <c r="I88" s="4">
        <f t="shared" si="5"/>
        <v>0</v>
      </c>
    </row>
    <row r="89" spans="2:9" x14ac:dyDescent="0.2">
      <c r="B89">
        <v>86</v>
      </c>
      <c r="C89">
        <f t="shared" si="6"/>
        <v>8</v>
      </c>
      <c r="D89" s="4">
        <f>+IF(B89&lt;=Summary!$B$17,E89*Summary!$E$6/12,-IF(C89&gt;Summary!$B$8,0,-'Market Amortization Table'!$L$4))</f>
        <v>0</v>
      </c>
      <c r="E89" s="4">
        <f t="shared" si="7"/>
        <v>0</v>
      </c>
      <c r="F89" s="4">
        <f t="shared" si="8"/>
        <v>0</v>
      </c>
      <c r="G89" s="4">
        <f>+E89*Summary!$F$6/12</f>
        <v>0</v>
      </c>
      <c r="H89" s="4">
        <f>+IF(Summary!$B$8*12=B89,E89-F89,0)</f>
        <v>0</v>
      </c>
      <c r="I89" s="4">
        <f t="shared" si="5"/>
        <v>0</v>
      </c>
    </row>
    <row r="90" spans="2:9" x14ac:dyDescent="0.2">
      <c r="B90">
        <v>87</v>
      </c>
      <c r="C90">
        <f t="shared" si="6"/>
        <v>8</v>
      </c>
      <c r="D90" s="4">
        <f>+IF(B90&lt;=Summary!$B$17,E90*Summary!$E$6/12,-IF(C90&gt;Summary!$B$8,0,-'Market Amortization Table'!$L$4))</f>
        <v>0</v>
      </c>
      <c r="E90" s="4">
        <f t="shared" si="7"/>
        <v>0</v>
      </c>
      <c r="F90" s="4">
        <f t="shared" si="8"/>
        <v>0</v>
      </c>
      <c r="G90" s="4">
        <f>+E90*Summary!$F$6/12</f>
        <v>0</v>
      </c>
      <c r="H90" s="4">
        <f>+IF(Summary!$B$8*12=B90,E90-F90,0)</f>
        <v>0</v>
      </c>
      <c r="I90" s="4">
        <f t="shared" si="5"/>
        <v>0</v>
      </c>
    </row>
    <row r="91" spans="2:9" x14ac:dyDescent="0.2">
      <c r="B91">
        <v>88</v>
      </c>
      <c r="C91">
        <f t="shared" si="6"/>
        <v>8</v>
      </c>
      <c r="D91" s="4">
        <f>+IF(B91&lt;=Summary!$B$17,E91*Summary!$E$6/12,-IF(C91&gt;Summary!$B$8,0,-'Market Amortization Table'!$L$4))</f>
        <v>0</v>
      </c>
      <c r="E91" s="4">
        <f t="shared" si="7"/>
        <v>0</v>
      </c>
      <c r="F91" s="4">
        <f t="shared" si="8"/>
        <v>0</v>
      </c>
      <c r="G91" s="4">
        <f>+E91*Summary!$F$6/12</f>
        <v>0</v>
      </c>
      <c r="H91" s="4">
        <f>+IF(Summary!$B$8*12=B91,E91-F91,0)</f>
        <v>0</v>
      </c>
      <c r="I91" s="4">
        <f t="shared" si="5"/>
        <v>0</v>
      </c>
    </row>
    <row r="92" spans="2:9" x14ac:dyDescent="0.2">
      <c r="B92">
        <v>89</v>
      </c>
      <c r="C92">
        <f t="shared" si="6"/>
        <v>8</v>
      </c>
      <c r="D92" s="4">
        <f>+IF(B92&lt;=Summary!$B$17,E92*Summary!$E$6/12,-IF(C92&gt;Summary!$B$8,0,-'Market Amortization Table'!$L$4))</f>
        <v>0</v>
      </c>
      <c r="E92" s="4">
        <f t="shared" si="7"/>
        <v>0</v>
      </c>
      <c r="F92" s="4">
        <f t="shared" si="8"/>
        <v>0</v>
      </c>
      <c r="G92" s="4">
        <f>+E92*Summary!$F$6/12</f>
        <v>0</v>
      </c>
      <c r="H92" s="4">
        <f>+IF(Summary!$B$8*12=B92,E92-F92,0)</f>
        <v>0</v>
      </c>
      <c r="I92" s="4">
        <f t="shared" si="5"/>
        <v>0</v>
      </c>
    </row>
    <row r="93" spans="2:9" x14ac:dyDescent="0.2">
      <c r="B93">
        <v>90</v>
      </c>
      <c r="C93">
        <f t="shared" si="6"/>
        <v>8</v>
      </c>
      <c r="D93" s="4">
        <f>+IF(B93&lt;=Summary!$B$17,E93*Summary!$E$6/12,-IF(C93&gt;Summary!$B$8,0,-'Market Amortization Table'!$L$4))</f>
        <v>0</v>
      </c>
      <c r="E93" s="4">
        <f t="shared" si="7"/>
        <v>0</v>
      </c>
      <c r="F93" s="4">
        <f t="shared" si="8"/>
        <v>0</v>
      </c>
      <c r="G93" s="4">
        <f>+E93*Summary!$F$6/12</f>
        <v>0</v>
      </c>
      <c r="H93" s="4">
        <f>+IF(Summary!$B$8*12=B93,E93-F93,0)</f>
        <v>0</v>
      </c>
      <c r="I93" s="4">
        <f t="shared" si="5"/>
        <v>0</v>
      </c>
    </row>
    <row r="94" spans="2:9" x14ac:dyDescent="0.2">
      <c r="B94">
        <v>91</v>
      </c>
      <c r="C94">
        <f t="shared" si="6"/>
        <v>8</v>
      </c>
      <c r="D94" s="4">
        <f>+IF(B94&lt;=Summary!$B$17,E94*Summary!$E$6/12,-IF(C94&gt;Summary!$B$8,0,-'Market Amortization Table'!$L$4))</f>
        <v>0</v>
      </c>
      <c r="E94" s="4">
        <f t="shared" si="7"/>
        <v>0</v>
      </c>
      <c r="F94" s="4">
        <f t="shared" si="8"/>
        <v>0</v>
      </c>
      <c r="G94" s="4">
        <f>+E94*Summary!$F$6/12</f>
        <v>0</v>
      </c>
      <c r="H94" s="4">
        <f>+IF(Summary!$B$8*12=B94,E94-F94,0)</f>
        <v>0</v>
      </c>
      <c r="I94" s="4">
        <f t="shared" si="5"/>
        <v>0</v>
      </c>
    </row>
    <row r="95" spans="2:9" x14ac:dyDescent="0.2">
      <c r="B95">
        <v>92</v>
      </c>
      <c r="C95">
        <f t="shared" si="6"/>
        <v>8</v>
      </c>
      <c r="D95" s="4">
        <f>+IF(B95&lt;=Summary!$B$17,E95*Summary!$E$6/12,-IF(C95&gt;Summary!$B$8,0,-'Market Amortization Table'!$L$4))</f>
        <v>0</v>
      </c>
      <c r="E95" s="4">
        <f t="shared" si="7"/>
        <v>0</v>
      </c>
      <c r="F95" s="4">
        <f t="shared" si="8"/>
        <v>0</v>
      </c>
      <c r="G95" s="4">
        <f>+E95*Summary!$F$6/12</f>
        <v>0</v>
      </c>
      <c r="H95" s="4">
        <f>+IF(Summary!$B$8*12=B95,E95-F95,0)</f>
        <v>0</v>
      </c>
      <c r="I95" s="4">
        <f t="shared" si="5"/>
        <v>0</v>
      </c>
    </row>
    <row r="96" spans="2:9" x14ac:dyDescent="0.2">
      <c r="B96">
        <v>93</v>
      </c>
      <c r="C96">
        <f t="shared" si="6"/>
        <v>8</v>
      </c>
      <c r="D96" s="4">
        <f>+IF(B96&lt;=Summary!$B$17,E96*Summary!$E$6/12,-IF(C96&gt;Summary!$B$8,0,-'Market Amortization Table'!$L$4))</f>
        <v>0</v>
      </c>
      <c r="E96" s="4">
        <f t="shared" si="7"/>
        <v>0</v>
      </c>
      <c r="F96" s="4">
        <f t="shared" si="8"/>
        <v>0</v>
      </c>
      <c r="G96" s="4">
        <f>+E96*Summary!$F$6/12</f>
        <v>0</v>
      </c>
      <c r="H96" s="4">
        <f>+IF(Summary!$B$8*12=B96,E96-F96,0)</f>
        <v>0</v>
      </c>
      <c r="I96" s="4">
        <f t="shared" si="5"/>
        <v>0</v>
      </c>
    </row>
    <row r="97" spans="2:9" x14ac:dyDescent="0.2">
      <c r="B97">
        <v>94</v>
      </c>
      <c r="C97">
        <f t="shared" si="6"/>
        <v>8</v>
      </c>
      <c r="D97" s="4">
        <f>+IF(B97&lt;=Summary!$B$17,E97*Summary!$E$6/12,-IF(C97&gt;Summary!$B$8,0,-'Market Amortization Table'!$L$4))</f>
        <v>0</v>
      </c>
      <c r="E97" s="4">
        <f t="shared" si="7"/>
        <v>0</v>
      </c>
      <c r="F97" s="4">
        <f t="shared" si="8"/>
        <v>0</v>
      </c>
      <c r="G97" s="4">
        <f>+E97*Summary!$F$6/12</f>
        <v>0</v>
      </c>
      <c r="H97" s="4">
        <f>+IF(Summary!$B$8*12=B97,E97-F97,0)</f>
        <v>0</v>
      </c>
      <c r="I97" s="4">
        <f t="shared" si="5"/>
        <v>0</v>
      </c>
    </row>
    <row r="98" spans="2:9" x14ac:dyDescent="0.2">
      <c r="B98">
        <v>95</v>
      </c>
      <c r="C98">
        <f t="shared" si="6"/>
        <v>8</v>
      </c>
      <c r="D98" s="4">
        <f>+IF(B98&lt;=Summary!$B$17,E98*Summary!$E$6/12,-IF(C98&gt;Summary!$B$8,0,-'Market Amortization Table'!$L$4))</f>
        <v>0</v>
      </c>
      <c r="E98" s="4">
        <f t="shared" si="7"/>
        <v>0</v>
      </c>
      <c r="F98" s="4">
        <f t="shared" si="8"/>
        <v>0</v>
      </c>
      <c r="G98" s="4">
        <f>+E98*Summary!$F$6/12</f>
        <v>0</v>
      </c>
      <c r="H98" s="4">
        <f>+IF(Summary!$B$8*12=B98,E98-F98,0)</f>
        <v>0</v>
      </c>
      <c r="I98" s="4">
        <f t="shared" si="5"/>
        <v>0</v>
      </c>
    </row>
    <row r="99" spans="2:9" x14ac:dyDescent="0.2">
      <c r="B99">
        <v>96</v>
      </c>
      <c r="C99">
        <f t="shared" si="6"/>
        <v>8</v>
      </c>
      <c r="D99" s="4">
        <f>+IF(B99&lt;=Summary!$B$17,E99*Summary!$E$6/12,-IF(C99&gt;Summary!$B$8,0,-'Market Amortization Table'!$L$4))</f>
        <v>0</v>
      </c>
      <c r="E99" s="4">
        <f t="shared" si="7"/>
        <v>0</v>
      </c>
      <c r="F99" s="4">
        <f t="shared" si="8"/>
        <v>0</v>
      </c>
      <c r="G99" s="4">
        <f>+E99*Summary!$F$6/12</f>
        <v>0</v>
      </c>
      <c r="H99" s="4">
        <f>+IF(Summary!$B$8*12=B99,E99-F99,0)</f>
        <v>0</v>
      </c>
      <c r="I99" s="4">
        <f t="shared" si="5"/>
        <v>0</v>
      </c>
    </row>
    <row r="100" spans="2:9" x14ac:dyDescent="0.2">
      <c r="B100">
        <v>97</v>
      </c>
      <c r="C100">
        <f t="shared" si="6"/>
        <v>9</v>
      </c>
      <c r="D100" s="4">
        <f>+IF(B100&lt;=Summary!$B$17,E100*Summary!$E$6/12,-IF(C100&gt;Summary!$B$8,0,-'Market Amortization Table'!$L$4))</f>
        <v>0</v>
      </c>
      <c r="E100" s="4">
        <f t="shared" si="7"/>
        <v>0</v>
      </c>
      <c r="F100" s="4">
        <f t="shared" si="8"/>
        <v>0</v>
      </c>
      <c r="G100" s="4">
        <f>+E100*Summary!$F$6/12</f>
        <v>0</v>
      </c>
      <c r="H100" s="4">
        <f>+IF(Summary!$B$8*12=B100,E100-F100,0)</f>
        <v>0</v>
      </c>
      <c r="I100" s="4">
        <f t="shared" si="5"/>
        <v>0</v>
      </c>
    </row>
    <row r="101" spans="2:9" x14ac:dyDescent="0.2">
      <c r="B101">
        <v>98</v>
      </c>
      <c r="C101">
        <f t="shared" si="6"/>
        <v>9</v>
      </c>
      <c r="D101" s="4">
        <f>+IF(B101&lt;=Summary!$B$17,E101*Summary!$E$6/12,-IF(C101&gt;Summary!$B$8,0,-'Market Amortization Table'!$L$4))</f>
        <v>0</v>
      </c>
      <c r="E101" s="4">
        <f t="shared" si="7"/>
        <v>0</v>
      </c>
      <c r="F101" s="4">
        <f t="shared" si="8"/>
        <v>0</v>
      </c>
      <c r="G101" s="4">
        <f>+E101*Summary!$F$6/12</f>
        <v>0</v>
      </c>
      <c r="H101" s="4">
        <f>+IF(Summary!$B$8*12=B101,E101-F101,0)</f>
        <v>0</v>
      </c>
      <c r="I101" s="4">
        <f t="shared" si="5"/>
        <v>0</v>
      </c>
    </row>
    <row r="102" spans="2:9" x14ac:dyDescent="0.2">
      <c r="B102">
        <v>99</v>
      </c>
      <c r="C102">
        <f t="shared" si="6"/>
        <v>9</v>
      </c>
      <c r="D102" s="4">
        <f>+IF(B102&lt;=Summary!$B$17,E102*Summary!$E$6/12,-IF(C102&gt;Summary!$B$8,0,-'Market Amortization Table'!$L$4))</f>
        <v>0</v>
      </c>
      <c r="E102" s="4">
        <f t="shared" si="7"/>
        <v>0</v>
      </c>
      <c r="F102" s="4">
        <f t="shared" si="8"/>
        <v>0</v>
      </c>
      <c r="G102" s="4">
        <f>+E102*Summary!$F$6/12</f>
        <v>0</v>
      </c>
      <c r="H102" s="4">
        <f>+IF(Summary!$B$8*12=B102,E102-F102,0)</f>
        <v>0</v>
      </c>
      <c r="I102" s="4">
        <f t="shared" si="5"/>
        <v>0</v>
      </c>
    </row>
    <row r="103" spans="2:9" x14ac:dyDescent="0.2">
      <c r="B103">
        <v>100</v>
      </c>
      <c r="C103">
        <f t="shared" si="6"/>
        <v>9</v>
      </c>
      <c r="D103" s="4">
        <f>+IF(B103&lt;=Summary!$B$17,E103*Summary!$E$6/12,-IF(C103&gt;Summary!$B$8,0,-'Market Amortization Table'!$L$4))</f>
        <v>0</v>
      </c>
      <c r="E103" s="4">
        <f t="shared" si="7"/>
        <v>0</v>
      </c>
      <c r="F103" s="4">
        <f t="shared" si="8"/>
        <v>0</v>
      </c>
      <c r="G103" s="4">
        <f>+E103*Summary!$F$6/12</f>
        <v>0</v>
      </c>
      <c r="H103" s="4">
        <f>+IF(Summary!$B$8*12=B103,E103-F103,0)</f>
        <v>0</v>
      </c>
      <c r="I103" s="4">
        <f t="shared" si="5"/>
        <v>0</v>
      </c>
    </row>
    <row r="104" spans="2:9" x14ac:dyDescent="0.2">
      <c r="B104">
        <v>101</v>
      </c>
      <c r="C104">
        <f t="shared" si="6"/>
        <v>9</v>
      </c>
      <c r="D104" s="4">
        <f>+IF(B104&lt;=Summary!$B$17,E104*Summary!$E$6/12,-IF(C104&gt;Summary!$B$8,0,-'Market Amortization Table'!$L$4))</f>
        <v>0</v>
      </c>
      <c r="E104" s="4">
        <f t="shared" si="7"/>
        <v>0</v>
      </c>
      <c r="F104" s="4">
        <f t="shared" si="8"/>
        <v>0</v>
      </c>
      <c r="G104" s="4">
        <f>+E104*Summary!$F$6/12</f>
        <v>0</v>
      </c>
      <c r="H104" s="4">
        <f>+IF(Summary!$B$8*12=B104,E104-F104,0)</f>
        <v>0</v>
      </c>
      <c r="I104" s="4">
        <f t="shared" si="5"/>
        <v>0</v>
      </c>
    </row>
    <row r="105" spans="2:9" x14ac:dyDescent="0.2">
      <c r="B105">
        <v>102</v>
      </c>
      <c r="C105">
        <f t="shared" si="6"/>
        <v>9</v>
      </c>
      <c r="D105" s="4">
        <f>+IF(B105&lt;=Summary!$B$17,E105*Summary!$E$6/12,-IF(C105&gt;Summary!$B$8,0,-'Market Amortization Table'!$L$4))</f>
        <v>0</v>
      </c>
      <c r="E105" s="4">
        <f t="shared" si="7"/>
        <v>0</v>
      </c>
      <c r="F105" s="4">
        <f t="shared" si="8"/>
        <v>0</v>
      </c>
      <c r="G105" s="4">
        <f>+E105*Summary!$F$6/12</f>
        <v>0</v>
      </c>
      <c r="H105" s="4">
        <f>+IF(Summary!$B$8*12=B105,E105-F105,0)</f>
        <v>0</v>
      </c>
      <c r="I105" s="4">
        <f t="shared" si="5"/>
        <v>0</v>
      </c>
    </row>
    <row r="106" spans="2:9" x14ac:dyDescent="0.2">
      <c r="B106">
        <v>103</v>
      </c>
      <c r="C106">
        <f t="shared" si="6"/>
        <v>9</v>
      </c>
      <c r="D106" s="4">
        <f>+IF(B106&lt;=Summary!$B$17,E106*Summary!$E$6/12,-IF(C106&gt;Summary!$B$8,0,-'Market Amortization Table'!$L$4))</f>
        <v>0</v>
      </c>
      <c r="E106" s="4">
        <f t="shared" si="7"/>
        <v>0</v>
      </c>
      <c r="F106" s="4">
        <f t="shared" si="8"/>
        <v>0</v>
      </c>
      <c r="G106" s="4">
        <f>+E106*Summary!$F$6/12</f>
        <v>0</v>
      </c>
      <c r="H106" s="4">
        <f>+IF(Summary!$B$8*12=B106,E106-F106,0)</f>
        <v>0</v>
      </c>
      <c r="I106" s="4">
        <f t="shared" si="5"/>
        <v>0</v>
      </c>
    </row>
    <row r="107" spans="2:9" x14ac:dyDescent="0.2">
      <c r="B107">
        <v>104</v>
      </c>
      <c r="C107">
        <f t="shared" si="6"/>
        <v>9</v>
      </c>
      <c r="D107" s="4">
        <f>+IF(B107&lt;=Summary!$B$17,E107*Summary!$E$6/12,-IF(C107&gt;Summary!$B$8,0,-'Market Amortization Table'!$L$4))</f>
        <v>0</v>
      </c>
      <c r="E107" s="4">
        <f t="shared" si="7"/>
        <v>0</v>
      </c>
      <c r="F107" s="4">
        <f t="shared" si="8"/>
        <v>0</v>
      </c>
      <c r="G107" s="4">
        <f>+E107*Summary!$F$6/12</f>
        <v>0</v>
      </c>
      <c r="H107" s="4">
        <f>+IF(Summary!$B$8*12=B107,E107-F107,0)</f>
        <v>0</v>
      </c>
      <c r="I107" s="4">
        <f t="shared" si="5"/>
        <v>0</v>
      </c>
    </row>
    <row r="108" spans="2:9" x14ac:dyDescent="0.2">
      <c r="B108">
        <v>105</v>
      </c>
      <c r="C108">
        <f t="shared" si="6"/>
        <v>9</v>
      </c>
      <c r="D108" s="4">
        <f>+IF(B108&lt;=Summary!$B$17,E108*Summary!$E$6/12,-IF(C108&gt;Summary!$B$8,0,-'Market Amortization Table'!$L$4))</f>
        <v>0</v>
      </c>
      <c r="E108" s="4">
        <f t="shared" si="7"/>
        <v>0</v>
      </c>
      <c r="F108" s="4">
        <f t="shared" si="8"/>
        <v>0</v>
      </c>
      <c r="G108" s="4">
        <f>+E108*Summary!$F$6/12</f>
        <v>0</v>
      </c>
      <c r="H108" s="4">
        <f>+IF(Summary!$B$8*12=B108,E108-F108,0)</f>
        <v>0</v>
      </c>
      <c r="I108" s="4">
        <f t="shared" si="5"/>
        <v>0</v>
      </c>
    </row>
    <row r="109" spans="2:9" x14ac:dyDescent="0.2">
      <c r="B109">
        <v>106</v>
      </c>
      <c r="C109">
        <f t="shared" si="6"/>
        <v>9</v>
      </c>
      <c r="D109" s="4">
        <f>+IF(B109&lt;=Summary!$B$17,E109*Summary!$E$6/12,-IF(C109&gt;Summary!$B$8,0,-'Market Amortization Table'!$L$4))</f>
        <v>0</v>
      </c>
      <c r="E109" s="4">
        <f t="shared" si="7"/>
        <v>0</v>
      </c>
      <c r="F109" s="4">
        <f t="shared" si="8"/>
        <v>0</v>
      </c>
      <c r="G109" s="4">
        <f>+E109*Summary!$F$6/12</f>
        <v>0</v>
      </c>
      <c r="H109" s="4">
        <f>+IF(Summary!$B$8*12=B109,E109-F109,0)</f>
        <v>0</v>
      </c>
      <c r="I109" s="4">
        <f t="shared" si="5"/>
        <v>0</v>
      </c>
    </row>
    <row r="110" spans="2:9" x14ac:dyDescent="0.2">
      <c r="B110">
        <v>107</v>
      </c>
      <c r="C110">
        <f t="shared" si="6"/>
        <v>9</v>
      </c>
      <c r="D110" s="4">
        <f>+IF(B110&lt;=Summary!$B$17,E110*Summary!$E$6/12,-IF(C110&gt;Summary!$B$8,0,-'Market Amortization Table'!$L$4))</f>
        <v>0</v>
      </c>
      <c r="E110" s="4">
        <f t="shared" si="7"/>
        <v>0</v>
      </c>
      <c r="F110" s="4">
        <f t="shared" si="8"/>
        <v>0</v>
      </c>
      <c r="G110" s="4">
        <f>+E110*Summary!$F$6/12</f>
        <v>0</v>
      </c>
      <c r="H110" s="4">
        <f>+IF(Summary!$B$8*12=B110,E110-F110,0)</f>
        <v>0</v>
      </c>
      <c r="I110" s="4">
        <f t="shared" si="5"/>
        <v>0</v>
      </c>
    </row>
    <row r="111" spans="2:9" x14ac:dyDescent="0.2">
      <c r="B111">
        <v>108</v>
      </c>
      <c r="C111">
        <f t="shared" si="6"/>
        <v>9</v>
      </c>
      <c r="D111" s="4">
        <f>+IF(B111&lt;=Summary!$B$17,E111*Summary!$E$6/12,-IF(C111&gt;Summary!$B$8,0,-'Market Amortization Table'!$L$4))</f>
        <v>0</v>
      </c>
      <c r="E111" s="4">
        <f t="shared" si="7"/>
        <v>0</v>
      </c>
      <c r="F111" s="4">
        <f t="shared" si="8"/>
        <v>0</v>
      </c>
      <c r="G111" s="4">
        <f>+E111*Summary!$F$6/12</f>
        <v>0</v>
      </c>
      <c r="H111" s="4">
        <f>+IF(Summary!$B$8*12=B111,E111-F111,0)</f>
        <v>0</v>
      </c>
      <c r="I111" s="4">
        <f t="shared" si="5"/>
        <v>0</v>
      </c>
    </row>
    <row r="112" spans="2:9" x14ac:dyDescent="0.2">
      <c r="B112">
        <v>109</v>
      </c>
      <c r="C112">
        <f t="shared" si="6"/>
        <v>10</v>
      </c>
      <c r="D112" s="4">
        <f>+IF(B112&lt;=Summary!$B$17,E112*Summary!$E$6/12,-IF(C112&gt;Summary!$B$8,0,-'Market Amortization Table'!$L$4))</f>
        <v>0</v>
      </c>
      <c r="E112" s="4">
        <f t="shared" si="7"/>
        <v>0</v>
      </c>
      <c r="F112" s="4">
        <f t="shared" si="8"/>
        <v>0</v>
      </c>
      <c r="G112" s="4">
        <f>+E112*Summary!$F$6/12</f>
        <v>0</v>
      </c>
      <c r="H112" s="4">
        <f>+IF(Summary!$B$8*12=B112,E112-F112,0)</f>
        <v>0</v>
      </c>
      <c r="I112" s="4">
        <f t="shared" si="5"/>
        <v>0</v>
      </c>
    </row>
    <row r="113" spans="2:9" x14ac:dyDescent="0.2">
      <c r="B113">
        <v>110</v>
      </c>
      <c r="C113">
        <f t="shared" si="6"/>
        <v>10</v>
      </c>
      <c r="D113" s="4">
        <f>+IF(B113&lt;=Summary!$B$17,E113*Summary!$E$6/12,-IF(C113&gt;Summary!$B$8,0,-'Market Amortization Table'!$L$4))</f>
        <v>0</v>
      </c>
      <c r="E113" s="4">
        <f t="shared" si="7"/>
        <v>0</v>
      </c>
      <c r="F113" s="4">
        <f t="shared" si="8"/>
        <v>0</v>
      </c>
      <c r="G113" s="4">
        <f>+E113*Summary!$F$6/12</f>
        <v>0</v>
      </c>
      <c r="H113" s="4">
        <f>+IF(Summary!$B$8*12=B113,E113-F113,0)</f>
        <v>0</v>
      </c>
      <c r="I113" s="4">
        <f t="shared" si="5"/>
        <v>0</v>
      </c>
    </row>
    <row r="114" spans="2:9" x14ac:dyDescent="0.2">
      <c r="B114">
        <v>111</v>
      </c>
      <c r="C114">
        <f t="shared" si="6"/>
        <v>10</v>
      </c>
      <c r="D114" s="4">
        <f>+IF(B114&lt;=Summary!$B$17,E114*Summary!$E$6/12,-IF(C114&gt;Summary!$B$8,0,-'Market Amortization Table'!$L$4))</f>
        <v>0</v>
      </c>
      <c r="E114" s="4">
        <f t="shared" si="7"/>
        <v>0</v>
      </c>
      <c r="F114" s="4">
        <f t="shared" si="8"/>
        <v>0</v>
      </c>
      <c r="G114" s="4">
        <f>+E114*Summary!$F$6/12</f>
        <v>0</v>
      </c>
      <c r="H114" s="4">
        <f>+IF(Summary!$B$8*12=B114,E114-F114,0)</f>
        <v>0</v>
      </c>
      <c r="I114" s="4">
        <f t="shared" si="5"/>
        <v>0</v>
      </c>
    </row>
    <row r="115" spans="2:9" x14ac:dyDescent="0.2">
      <c r="B115">
        <v>112</v>
      </c>
      <c r="C115">
        <f t="shared" si="6"/>
        <v>10</v>
      </c>
      <c r="D115" s="4">
        <f>+IF(B115&lt;=Summary!$B$17,E115*Summary!$E$6/12,-IF(C115&gt;Summary!$B$8,0,-'Market Amortization Table'!$L$4))</f>
        <v>0</v>
      </c>
      <c r="E115" s="4">
        <f t="shared" si="7"/>
        <v>0</v>
      </c>
      <c r="F115" s="4">
        <f t="shared" si="8"/>
        <v>0</v>
      </c>
      <c r="G115" s="4">
        <f>+E115*Summary!$F$6/12</f>
        <v>0</v>
      </c>
      <c r="H115" s="4">
        <f>+IF(Summary!$B$8*12=B115,E115-F115,0)</f>
        <v>0</v>
      </c>
      <c r="I115" s="4">
        <f t="shared" si="5"/>
        <v>0</v>
      </c>
    </row>
    <row r="116" spans="2:9" x14ac:dyDescent="0.2">
      <c r="B116">
        <v>113</v>
      </c>
      <c r="C116">
        <f t="shared" si="6"/>
        <v>10</v>
      </c>
      <c r="D116" s="4">
        <f>+IF(B116&lt;=Summary!$B$17,E116*Summary!$E$6/12,-IF(C116&gt;Summary!$B$8,0,-'Market Amortization Table'!$L$4))</f>
        <v>0</v>
      </c>
      <c r="E116" s="4">
        <f t="shared" si="7"/>
        <v>0</v>
      </c>
      <c r="F116" s="4">
        <f t="shared" si="8"/>
        <v>0</v>
      </c>
      <c r="G116" s="4">
        <f>+E116*Summary!$F$6/12</f>
        <v>0</v>
      </c>
      <c r="H116" s="4">
        <f>+IF(Summary!$B$8*12=B116,E116-F116,0)</f>
        <v>0</v>
      </c>
      <c r="I116" s="4">
        <f t="shared" si="5"/>
        <v>0</v>
      </c>
    </row>
    <row r="117" spans="2:9" x14ac:dyDescent="0.2">
      <c r="B117">
        <v>114</v>
      </c>
      <c r="C117">
        <f t="shared" si="6"/>
        <v>10</v>
      </c>
      <c r="D117" s="4">
        <f>+IF(B117&lt;=Summary!$B$17,E117*Summary!$E$6/12,-IF(C117&gt;Summary!$B$8,0,-'Market Amortization Table'!$L$4))</f>
        <v>0</v>
      </c>
      <c r="E117" s="4">
        <f t="shared" si="7"/>
        <v>0</v>
      </c>
      <c r="F117" s="4">
        <f t="shared" si="8"/>
        <v>0</v>
      </c>
      <c r="G117" s="4">
        <f>+E117*Summary!$F$6/12</f>
        <v>0</v>
      </c>
      <c r="H117" s="4">
        <f>+IF(Summary!$B$8*12=B117,E117-F117,0)</f>
        <v>0</v>
      </c>
      <c r="I117" s="4">
        <f t="shared" si="5"/>
        <v>0</v>
      </c>
    </row>
    <row r="118" spans="2:9" x14ac:dyDescent="0.2">
      <c r="B118">
        <v>115</v>
      </c>
      <c r="C118">
        <f t="shared" si="6"/>
        <v>10</v>
      </c>
      <c r="D118" s="4">
        <f>+IF(B118&lt;=Summary!$B$17,E118*Summary!$E$6/12,-IF(C118&gt;Summary!$B$8,0,-'Market Amortization Table'!$L$4))</f>
        <v>0</v>
      </c>
      <c r="E118" s="4">
        <f t="shared" si="7"/>
        <v>0</v>
      </c>
      <c r="F118" s="4">
        <f t="shared" si="8"/>
        <v>0</v>
      </c>
      <c r="G118" s="4">
        <f>+E118*Summary!$F$6/12</f>
        <v>0</v>
      </c>
      <c r="H118" s="4">
        <f>+IF(Summary!$B$8*12=B118,E118-F118,0)</f>
        <v>0</v>
      </c>
      <c r="I118" s="4">
        <f t="shared" si="5"/>
        <v>0</v>
      </c>
    </row>
    <row r="119" spans="2:9" x14ac:dyDescent="0.2">
      <c r="B119">
        <v>116</v>
      </c>
      <c r="C119">
        <f t="shared" si="6"/>
        <v>10</v>
      </c>
      <c r="D119" s="4">
        <f>+IF(B119&lt;=Summary!$B$17,E119*Summary!$E$6/12,-IF(C119&gt;Summary!$B$8,0,-'Market Amortization Table'!$L$4))</f>
        <v>0</v>
      </c>
      <c r="E119" s="4">
        <f t="shared" si="7"/>
        <v>0</v>
      </c>
      <c r="F119" s="4">
        <f t="shared" si="8"/>
        <v>0</v>
      </c>
      <c r="G119" s="4">
        <f>+E119*Summary!$F$6/12</f>
        <v>0</v>
      </c>
      <c r="H119" s="4">
        <f>+IF(Summary!$B$8*12=B119,E119-F119,0)</f>
        <v>0</v>
      </c>
      <c r="I119" s="4">
        <f t="shared" si="5"/>
        <v>0</v>
      </c>
    </row>
    <row r="120" spans="2:9" x14ac:dyDescent="0.2">
      <c r="B120">
        <v>117</v>
      </c>
      <c r="C120">
        <f t="shared" si="6"/>
        <v>10</v>
      </c>
      <c r="D120" s="4">
        <f>+IF(B120&lt;=Summary!$B$17,E120*Summary!$E$6/12,-IF(C120&gt;Summary!$B$8,0,-'Market Amortization Table'!$L$4))</f>
        <v>0</v>
      </c>
      <c r="E120" s="4">
        <f t="shared" si="7"/>
        <v>0</v>
      </c>
      <c r="F120" s="4">
        <f t="shared" si="8"/>
        <v>0</v>
      </c>
      <c r="G120" s="4">
        <f>+E120*Summary!$F$6/12</f>
        <v>0</v>
      </c>
      <c r="H120" s="4">
        <f>+IF(Summary!$B$8*12=B120,E120-F120,0)</f>
        <v>0</v>
      </c>
      <c r="I120" s="4">
        <f t="shared" si="5"/>
        <v>0</v>
      </c>
    </row>
    <row r="121" spans="2:9" x14ac:dyDescent="0.2">
      <c r="B121">
        <v>118</v>
      </c>
      <c r="C121">
        <f t="shared" si="6"/>
        <v>10</v>
      </c>
      <c r="D121" s="4">
        <f>+IF(B121&lt;=Summary!$B$17,E121*Summary!$E$6/12,-IF(C121&gt;Summary!$B$8,0,-'Market Amortization Table'!$L$4))</f>
        <v>0</v>
      </c>
      <c r="E121" s="4">
        <f t="shared" si="7"/>
        <v>0</v>
      </c>
      <c r="F121" s="4">
        <f t="shared" si="8"/>
        <v>0</v>
      </c>
      <c r="G121" s="4">
        <f>+E121*Summary!$F$6/12</f>
        <v>0</v>
      </c>
      <c r="H121" s="4">
        <f>+IF(Summary!$B$8*12=B121,E121-F121,0)</f>
        <v>0</v>
      </c>
      <c r="I121" s="4">
        <f t="shared" si="5"/>
        <v>0</v>
      </c>
    </row>
    <row r="122" spans="2:9" x14ac:dyDescent="0.2">
      <c r="B122">
        <v>119</v>
      </c>
      <c r="C122">
        <f t="shared" si="6"/>
        <v>10</v>
      </c>
      <c r="D122" s="4">
        <f>+IF(B122&lt;=Summary!$B$17,E122*Summary!$E$6/12,-IF(C122&gt;Summary!$B$8,0,-'Market Amortization Table'!$L$4))</f>
        <v>0</v>
      </c>
      <c r="E122" s="4">
        <f t="shared" si="7"/>
        <v>0</v>
      </c>
      <c r="F122" s="4">
        <f t="shared" si="8"/>
        <v>0</v>
      </c>
      <c r="G122" s="4">
        <f>+E122*Summary!$F$6/12</f>
        <v>0</v>
      </c>
      <c r="H122" s="4">
        <f>+IF(Summary!$B$8*12=B122,E122-F122,0)</f>
        <v>0</v>
      </c>
      <c r="I122" s="4">
        <f t="shared" si="5"/>
        <v>0</v>
      </c>
    </row>
    <row r="123" spans="2:9" x14ac:dyDescent="0.2">
      <c r="B123">
        <v>120</v>
      </c>
      <c r="C123">
        <f t="shared" si="6"/>
        <v>10</v>
      </c>
      <c r="D123" s="4">
        <f>+IF(B123&lt;=Summary!$B$17,E123*Summary!$E$6/12,-IF(C123&gt;Summary!$B$8,0,-'Market Amortization Table'!$L$4))</f>
        <v>0</v>
      </c>
      <c r="E123" s="4">
        <f t="shared" si="7"/>
        <v>0</v>
      </c>
      <c r="F123" s="4">
        <f t="shared" si="8"/>
        <v>0</v>
      </c>
      <c r="G123" s="4">
        <f>+E123*Summary!$F$6/12</f>
        <v>0</v>
      </c>
      <c r="H123" s="4">
        <f>+IF(Summary!$B$8*12=B123,E123-F123,0)</f>
        <v>0</v>
      </c>
      <c r="I123" s="4">
        <f t="shared" si="5"/>
        <v>0</v>
      </c>
    </row>
    <row r="124" spans="2:9" x14ac:dyDescent="0.2">
      <c r="B124">
        <v>121</v>
      </c>
      <c r="C124">
        <f t="shared" si="6"/>
        <v>11</v>
      </c>
      <c r="D124" s="4">
        <f>+IF(B124&lt;=Summary!$B$17,E124*Summary!$E$6/12,-IF(C124&gt;Summary!$B$8,0,-'Market Amortization Table'!$L$4))</f>
        <v>0</v>
      </c>
      <c r="E124" s="4">
        <f t="shared" si="7"/>
        <v>0</v>
      </c>
      <c r="F124" s="4">
        <f t="shared" si="8"/>
        <v>0</v>
      </c>
      <c r="G124" s="4">
        <f>+E124*Summary!$F$6/12</f>
        <v>0</v>
      </c>
      <c r="H124" s="4">
        <f>+IF(Summary!$B$8*12=B124,E124-F124,0)</f>
        <v>0</v>
      </c>
      <c r="I124" s="4">
        <f t="shared" si="5"/>
        <v>0</v>
      </c>
    </row>
    <row r="125" spans="2:9" x14ac:dyDescent="0.2">
      <c r="B125">
        <v>122</v>
      </c>
      <c r="C125">
        <f t="shared" si="6"/>
        <v>11</v>
      </c>
      <c r="D125" s="4">
        <f>+IF(B125&lt;=Summary!$B$17,E125*Summary!$E$6/12,-IF(C125&gt;Summary!$B$8,0,-'Market Amortization Table'!$L$4))</f>
        <v>0</v>
      </c>
      <c r="E125" s="4">
        <f t="shared" si="7"/>
        <v>0</v>
      </c>
      <c r="F125" s="4">
        <f t="shared" si="8"/>
        <v>0</v>
      </c>
      <c r="G125" s="4">
        <f>+E125*Summary!$F$6/12</f>
        <v>0</v>
      </c>
      <c r="H125" s="4">
        <f>+IF(Summary!$B$8*12=B125,E125-F125,0)</f>
        <v>0</v>
      </c>
      <c r="I125" s="4">
        <f t="shared" si="5"/>
        <v>0</v>
      </c>
    </row>
    <row r="126" spans="2:9" x14ac:dyDescent="0.2">
      <c r="B126">
        <v>123</v>
      </c>
      <c r="C126">
        <f t="shared" si="6"/>
        <v>11</v>
      </c>
      <c r="D126" s="4">
        <f>+IF(B126&lt;=Summary!$B$17,E126*Summary!$E$6/12,-IF(C126&gt;Summary!$B$8,0,-'Market Amortization Table'!$L$4))</f>
        <v>0</v>
      </c>
      <c r="E126" s="4">
        <f t="shared" si="7"/>
        <v>0</v>
      </c>
      <c r="F126" s="4">
        <f t="shared" si="8"/>
        <v>0</v>
      </c>
      <c r="G126" s="4">
        <f>+E126*Summary!$F$6/12</f>
        <v>0</v>
      </c>
      <c r="H126" s="4">
        <f>+IF(Summary!$B$8*12=B126,E126-F126,0)</f>
        <v>0</v>
      </c>
      <c r="I126" s="4">
        <f t="shared" si="5"/>
        <v>0</v>
      </c>
    </row>
    <row r="127" spans="2:9" x14ac:dyDescent="0.2">
      <c r="B127">
        <v>124</v>
      </c>
      <c r="C127">
        <f t="shared" si="6"/>
        <v>11</v>
      </c>
      <c r="D127" s="4">
        <f>+IF(B127&lt;=Summary!$B$17,E127*Summary!$E$6/12,-IF(C127&gt;Summary!$B$8,0,-'Market Amortization Table'!$L$4))</f>
        <v>0</v>
      </c>
      <c r="E127" s="4">
        <f t="shared" si="7"/>
        <v>0</v>
      </c>
      <c r="F127" s="4">
        <f t="shared" si="8"/>
        <v>0</v>
      </c>
      <c r="G127" s="4">
        <f>+E127*Summary!$F$6/12</f>
        <v>0</v>
      </c>
      <c r="H127" s="4">
        <f>+IF(Summary!$B$8*12=B127,E127-F127,0)</f>
        <v>0</v>
      </c>
      <c r="I127" s="4">
        <f t="shared" si="5"/>
        <v>0</v>
      </c>
    </row>
    <row r="128" spans="2:9" x14ac:dyDescent="0.2">
      <c r="B128">
        <v>125</v>
      </c>
      <c r="C128">
        <f t="shared" si="6"/>
        <v>11</v>
      </c>
      <c r="D128" s="4">
        <f>+IF(B128&lt;=Summary!$B$17,E128*Summary!$E$6/12,-IF(C128&gt;Summary!$B$8,0,-'Market Amortization Table'!$L$4))</f>
        <v>0</v>
      </c>
      <c r="E128" s="4">
        <f t="shared" si="7"/>
        <v>0</v>
      </c>
      <c r="F128" s="4">
        <f t="shared" si="8"/>
        <v>0</v>
      </c>
      <c r="G128" s="4">
        <f>+E128*Summary!$F$6/12</f>
        <v>0</v>
      </c>
      <c r="H128" s="4">
        <f>+IF(Summary!$B$8*12=B128,E128-F128,0)</f>
        <v>0</v>
      </c>
      <c r="I128" s="4">
        <f t="shared" si="5"/>
        <v>0</v>
      </c>
    </row>
    <row r="129" spans="2:9" x14ac:dyDescent="0.2">
      <c r="B129">
        <v>126</v>
      </c>
      <c r="C129">
        <f t="shared" si="6"/>
        <v>11</v>
      </c>
      <c r="D129" s="4">
        <f>+IF(B129&lt;=Summary!$B$17,E129*Summary!$E$6/12,-IF(C129&gt;Summary!$B$8,0,-'Market Amortization Table'!$L$4))</f>
        <v>0</v>
      </c>
      <c r="E129" s="4">
        <f t="shared" si="7"/>
        <v>0</v>
      </c>
      <c r="F129" s="4">
        <f t="shared" si="8"/>
        <v>0</v>
      </c>
      <c r="G129" s="4">
        <f>+E129*Summary!$F$6/12</f>
        <v>0</v>
      </c>
      <c r="H129" s="4">
        <f>+IF(Summary!$B$8*12=B129,E129-F129,0)</f>
        <v>0</v>
      </c>
      <c r="I129" s="4">
        <f t="shared" si="5"/>
        <v>0</v>
      </c>
    </row>
    <row r="130" spans="2:9" x14ac:dyDescent="0.2">
      <c r="B130">
        <v>127</v>
      </c>
      <c r="C130">
        <f t="shared" si="6"/>
        <v>11</v>
      </c>
      <c r="D130" s="4">
        <f>+IF(B130&lt;=Summary!$B$17,E130*Summary!$E$6/12,-IF(C130&gt;Summary!$B$8,0,-'Market Amortization Table'!$L$4))</f>
        <v>0</v>
      </c>
      <c r="E130" s="4">
        <f t="shared" si="7"/>
        <v>0</v>
      </c>
      <c r="F130" s="4">
        <f t="shared" si="8"/>
        <v>0</v>
      </c>
      <c r="G130" s="4">
        <f>+E130*Summary!$F$6/12</f>
        <v>0</v>
      </c>
      <c r="H130" s="4">
        <f>+IF(Summary!$B$8*12=B130,E130-F130,0)</f>
        <v>0</v>
      </c>
      <c r="I130" s="4">
        <f t="shared" si="5"/>
        <v>0</v>
      </c>
    </row>
    <row r="131" spans="2:9" x14ac:dyDescent="0.2">
      <c r="B131">
        <v>128</v>
      </c>
      <c r="C131">
        <f t="shared" si="6"/>
        <v>11</v>
      </c>
      <c r="D131" s="4">
        <f>+IF(B131&lt;=Summary!$B$17,E131*Summary!$E$6/12,-IF(C131&gt;Summary!$B$8,0,-'Market Amortization Table'!$L$4))</f>
        <v>0</v>
      </c>
      <c r="E131" s="4">
        <f t="shared" si="7"/>
        <v>0</v>
      </c>
      <c r="F131" s="4">
        <f t="shared" si="8"/>
        <v>0</v>
      </c>
      <c r="G131" s="4">
        <f>+E131*Summary!$F$6/12</f>
        <v>0</v>
      </c>
      <c r="H131" s="4">
        <f>+IF(Summary!$B$8*12=B131,E131-F131,0)</f>
        <v>0</v>
      </c>
      <c r="I131" s="4">
        <f t="shared" si="5"/>
        <v>0</v>
      </c>
    </row>
    <row r="132" spans="2:9" x14ac:dyDescent="0.2">
      <c r="B132">
        <v>129</v>
      </c>
      <c r="C132">
        <f t="shared" si="6"/>
        <v>11</v>
      </c>
      <c r="D132" s="4">
        <f>+IF(B132&lt;=Summary!$B$17,E132*Summary!$E$6/12,-IF(C132&gt;Summary!$B$8,0,-'Market Amortization Table'!$L$4))</f>
        <v>0</v>
      </c>
      <c r="E132" s="4">
        <f t="shared" si="7"/>
        <v>0</v>
      </c>
      <c r="F132" s="4">
        <f t="shared" si="8"/>
        <v>0</v>
      </c>
      <c r="G132" s="4">
        <f>+E132*Summary!$F$6/12</f>
        <v>0</v>
      </c>
      <c r="H132" s="4">
        <f>+IF(Summary!$B$8*12=B132,E132-F132,0)</f>
        <v>0</v>
      </c>
      <c r="I132" s="4">
        <f t="shared" ref="I132:I195" si="9">+E132-F132-H132</f>
        <v>0</v>
      </c>
    </row>
    <row r="133" spans="2:9" x14ac:dyDescent="0.2">
      <c r="B133">
        <v>130</v>
      </c>
      <c r="C133">
        <f t="shared" ref="C133:C196" si="10">+ROUNDUP(B133/12,0)</f>
        <v>11</v>
      </c>
      <c r="D133" s="4">
        <f>+IF(B133&lt;=Summary!$B$17,E133*Summary!$E$6/12,-IF(C133&gt;Summary!$B$8,0,-'Market Amortization Table'!$L$4))</f>
        <v>0</v>
      </c>
      <c r="E133" s="4">
        <f t="shared" ref="E133:E196" si="11">+I132</f>
        <v>0</v>
      </c>
      <c r="F133" s="4">
        <f t="shared" si="8"/>
        <v>0</v>
      </c>
      <c r="G133" s="4">
        <f>+E133*Summary!$F$6/12</f>
        <v>0</v>
      </c>
      <c r="H133" s="4">
        <f>+IF(Summary!$B$8*12=B133,E133-F133,0)</f>
        <v>0</v>
      </c>
      <c r="I133" s="4">
        <f t="shared" si="9"/>
        <v>0</v>
      </c>
    </row>
    <row r="134" spans="2:9" x14ac:dyDescent="0.2">
      <c r="B134">
        <v>131</v>
      </c>
      <c r="C134">
        <f t="shared" si="10"/>
        <v>11</v>
      </c>
      <c r="D134" s="4">
        <f>+IF(B134&lt;=Summary!$B$17,E134*Summary!$E$6/12,-IF(C134&gt;Summary!$B$8,0,-'Market Amortization Table'!$L$4))</f>
        <v>0</v>
      </c>
      <c r="E134" s="4">
        <f t="shared" si="11"/>
        <v>0</v>
      </c>
      <c r="F134" s="4">
        <f t="shared" si="8"/>
        <v>0</v>
      </c>
      <c r="G134" s="4">
        <f>+E134*Summary!$F$6/12</f>
        <v>0</v>
      </c>
      <c r="H134" s="4">
        <f>+IF(Summary!$B$8*12=B134,E134-F134,0)</f>
        <v>0</v>
      </c>
      <c r="I134" s="4">
        <f t="shared" si="9"/>
        <v>0</v>
      </c>
    </row>
    <row r="135" spans="2:9" x14ac:dyDescent="0.2">
      <c r="B135">
        <v>132</v>
      </c>
      <c r="C135">
        <f t="shared" si="10"/>
        <v>11</v>
      </c>
      <c r="D135" s="4">
        <f>+IF(B135&lt;=Summary!$B$17,E135*Summary!$E$6/12,-IF(C135&gt;Summary!$B$8,0,-'Market Amortization Table'!$L$4))</f>
        <v>0</v>
      </c>
      <c r="E135" s="4">
        <f t="shared" si="11"/>
        <v>0</v>
      </c>
      <c r="F135" s="4">
        <f t="shared" si="8"/>
        <v>0</v>
      </c>
      <c r="G135" s="4">
        <f>+E135*Summary!$F$6/12</f>
        <v>0</v>
      </c>
      <c r="H135" s="4">
        <f>+IF(Summary!$B$8*12=B135,E135-F135,0)</f>
        <v>0</v>
      </c>
      <c r="I135" s="4">
        <f t="shared" si="9"/>
        <v>0</v>
      </c>
    </row>
    <row r="136" spans="2:9" x14ac:dyDescent="0.2">
      <c r="B136">
        <v>133</v>
      </c>
      <c r="C136">
        <f t="shared" si="10"/>
        <v>12</v>
      </c>
      <c r="D136" s="4">
        <f>+IF(B136&lt;=Summary!$B$17,E136*Summary!$E$6/12,-IF(C136&gt;Summary!$B$8,0,-'Market Amortization Table'!$L$4))</f>
        <v>0</v>
      </c>
      <c r="E136" s="4">
        <f t="shared" si="11"/>
        <v>0</v>
      </c>
      <c r="F136" s="4">
        <f t="shared" si="8"/>
        <v>0</v>
      </c>
      <c r="G136" s="4">
        <f>+E136*Summary!$F$6/12</f>
        <v>0</v>
      </c>
      <c r="H136" s="4">
        <f>+IF(Summary!$B$8*12=B136,E136-F136,0)</f>
        <v>0</v>
      </c>
      <c r="I136" s="4">
        <f t="shared" si="9"/>
        <v>0</v>
      </c>
    </row>
    <row r="137" spans="2:9" x14ac:dyDescent="0.2">
      <c r="B137">
        <v>134</v>
      </c>
      <c r="C137">
        <f t="shared" si="10"/>
        <v>12</v>
      </c>
      <c r="D137" s="4">
        <f>+IF(B137&lt;=Summary!$B$17,E137*Summary!$E$6/12,-IF(C137&gt;Summary!$B$8,0,-'Market Amortization Table'!$L$4))</f>
        <v>0</v>
      </c>
      <c r="E137" s="4">
        <f t="shared" si="11"/>
        <v>0</v>
      </c>
      <c r="F137" s="4">
        <f t="shared" si="8"/>
        <v>0</v>
      </c>
      <c r="G137" s="4">
        <f>+E137*Summary!$F$6/12</f>
        <v>0</v>
      </c>
      <c r="H137" s="4">
        <f>+IF(Summary!$B$8*12=B137,E137-F137,0)</f>
        <v>0</v>
      </c>
      <c r="I137" s="4">
        <f t="shared" si="9"/>
        <v>0</v>
      </c>
    </row>
    <row r="138" spans="2:9" x14ac:dyDescent="0.2">
      <c r="B138">
        <v>135</v>
      </c>
      <c r="C138">
        <f t="shared" si="10"/>
        <v>12</v>
      </c>
      <c r="D138" s="4">
        <f>+IF(B138&lt;=Summary!$B$17,E138*Summary!$E$6/12,-IF(C138&gt;Summary!$B$8,0,-'Market Amortization Table'!$L$4))</f>
        <v>0</v>
      </c>
      <c r="E138" s="4">
        <f t="shared" si="11"/>
        <v>0</v>
      </c>
      <c r="F138" s="4">
        <f t="shared" si="8"/>
        <v>0</v>
      </c>
      <c r="G138" s="4">
        <f>+E138*Summary!$F$6/12</f>
        <v>0</v>
      </c>
      <c r="H138" s="4">
        <f>+IF(Summary!$B$8*12=B138,E138-F138,0)</f>
        <v>0</v>
      </c>
      <c r="I138" s="4">
        <f t="shared" si="9"/>
        <v>0</v>
      </c>
    </row>
    <row r="139" spans="2:9" x14ac:dyDescent="0.2">
      <c r="B139">
        <v>136</v>
      </c>
      <c r="C139">
        <f t="shared" si="10"/>
        <v>12</v>
      </c>
      <c r="D139" s="4">
        <f>+IF(B139&lt;=Summary!$B$17,E139*Summary!$E$6/12,-IF(C139&gt;Summary!$B$8,0,-'Market Amortization Table'!$L$4))</f>
        <v>0</v>
      </c>
      <c r="E139" s="4">
        <f t="shared" si="11"/>
        <v>0</v>
      </c>
      <c r="F139" s="4">
        <f t="shared" si="8"/>
        <v>0</v>
      </c>
      <c r="G139" s="4">
        <f>+E139*Summary!$F$6/12</f>
        <v>0</v>
      </c>
      <c r="H139" s="4">
        <f>+IF(Summary!$B$8*12=B139,E139-F139,0)</f>
        <v>0</v>
      </c>
      <c r="I139" s="4">
        <f t="shared" si="9"/>
        <v>0</v>
      </c>
    </row>
    <row r="140" spans="2:9" x14ac:dyDescent="0.2">
      <c r="B140">
        <v>137</v>
      </c>
      <c r="C140">
        <f t="shared" si="10"/>
        <v>12</v>
      </c>
      <c r="D140" s="4">
        <f>+IF(B140&lt;=Summary!$B$17,E140*Summary!$E$6/12,-IF(C140&gt;Summary!$B$8,0,-'Market Amortization Table'!$L$4))</f>
        <v>0</v>
      </c>
      <c r="E140" s="4">
        <f t="shared" si="11"/>
        <v>0</v>
      </c>
      <c r="F140" s="4">
        <f t="shared" ref="F140:F203" si="12">+D140-G140</f>
        <v>0</v>
      </c>
      <c r="G140" s="4">
        <f>+E140*Summary!$F$6/12</f>
        <v>0</v>
      </c>
      <c r="H140" s="4">
        <f>+IF(Summary!$B$8*12=B140,E140-F140,0)</f>
        <v>0</v>
      </c>
      <c r="I140" s="4">
        <f t="shared" si="9"/>
        <v>0</v>
      </c>
    </row>
    <row r="141" spans="2:9" x14ac:dyDescent="0.2">
      <c r="B141">
        <v>138</v>
      </c>
      <c r="C141">
        <f t="shared" si="10"/>
        <v>12</v>
      </c>
      <c r="D141" s="4">
        <f>+IF(B141&lt;=Summary!$B$17,E141*Summary!$E$6/12,-IF(C141&gt;Summary!$B$8,0,-'Market Amortization Table'!$L$4))</f>
        <v>0</v>
      </c>
      <c r="E141" s="4">
        <f t="shared" si="11"/>
        <v>0</v>
      </c>
      <c r="F141" s="4">
        <f t="shared" si="12"/>
        <v>0</v>
      </c>
      <c r="G141" s="4">
        <f>+E141*Summary!$F$6/12</f>
        <v>0</v>
      </c>
      <c r="H141" s="4">
        <f>+IF(Summary!$B$8*12=B141,E141-F141,0)</f>
        <v>0</v>
      </c>
      <c r="I141" s="4">
        <f t="shared" si="9"/>
        <v>0</v>
      </c>
    </row>
    <row r="142" spans="2:9" x14ac:dyDescent="0.2">
      <c r="B142">
        <v>139</v>
      </c>
      <c r="C142">
        <f t="shared" si="10"/>
        <v>12</v>
      </c>
      <c r="D142" s="4">
        <f>+IF(B142&lt;=Summary!$B$17,E142*Summary!$E$6/12,-IF(C142&gt;Summary!$B$8,0,-'Market Amortization Table'!$L$4))</f>
        <v>0</v>
      </c>
      <c r="E142" s="4">
        <f t="shared" si="11"/>
        <v>0</v>
      </c>
      <c r="F142" s="4">
        <f t="shared" si="12"/>
        <v>0</v>
      </c>
      <c r="G142" s="4">
        <f>+E142*Summary!$F$6/12</f>
        <v>0</v>
      </c>
      <c r="H142" s="4">
        <f>+IF(Summary!$B$8*12=B142,E142-F142,0)</f>
        <v>0</v>
      </c>
      <c r="I142" s="4">
        <f t="shared" si="9"/>
        <v>0</v>
      </c>
    </row>
    <row r="143" spans="2:9" x14ac:dyDescent="0.2">
      <c r="B143">
        <v>140</v>
      </c>
      <c r="C143">
        <f t="shared" si="10"/>
        <v>12</v>
      </c>
      <c r="D143" s="4">
        <f>+IF(B143&lt;=Summary!$B$17,E143*Summary!$E$6/12,-IF(C143&gt;Summary!$B$8,0,-'Market Amortization Table'!$L$4))</f>
        <v>0</v>
      </c>
      <c r="E143" s="4">
        <f t="shared" si="11"/>
        <v>0</v>
      </c>
      <c r="F143" s="4">
        <f t="shared" si="12"/>
        <v>0</v>
      </c>
      <c r="G143" s="4">
        <f>+E143*Summary!$F$6/12</f>
        <v>0</v>
      </c>
      <c r="H143" s="4">
        <f>+IF(Summary!$B$8*12=B143,E143-F143,0)</f>
        <v>0</v>
      </c>
      <c r="I143" s="4">
        <f t="shared" si="9"/>
        <v>0</v>
      </c>
    </row>
    <row r="144" spans="2:9" x14ac:dyDescent="0.2">
      <c r="B144">
        <v>141</v>
      </c>
      <c r="C144">
        <f t="shared" si="10"/>
        <v>12</v>
      </c>
      <c r="D144" s="4">
        <f>+IF(B144&lt;=Summary!$B$17,E144*Summary!$E$6/12,-IF(C144&gt;Summary!$B$8,0,-'Market Amortization Table'!$L$4))</f>
        <v>0</v>
      </c>
      <c r="E144" s="4">
        <f t="shared" si="11"/>
        <v>0</v>
      </c>
      <c r="F144" s="4">
        <f t="shared" si="12"/>
        <v>0</v>
      </c>
      <c r="G144" s="4">
        <f>+E144*Summary!$F$6/12</f>
        <v>0</v>
      </c>
      <c r="H144" s="4">
        <f>+IF(Summary!$B$8*12=B144,E144-F144,0)</f>
        <v>0</v>
      </c>
      <c r="I144" s="4">
        <f t="shared" si="9"/>
        <v>0</v>
      </c>
    </row>
    <row r="145" spans="2:9" x14ac:dyDescent="0.2">
      <c r="B145">
        <v>142</v>
      </c>
      <c r="C145">
        <f t="shared" si="10"/>
        <v>12</v>
      </c>
      <c r="D145" s="4">
        <f>+IF(B145&lt;=Summary!$B$17,E145*Summary!$E$6/12,-IF(C145&gt;Summary!$B$8,0,-'Market Amortization Table'!$L$4))</f>
        <v>0</v>
      </c>
      <c r="E145" s="4">
        <f t="shared" si="11"/>
        <v>0</v>
      </c>
      <c r="F145" s="4">
        <f t="shared" si="12"/>
        <v>0</v>
      </c>
      <c r="G145" s="4">
        <f>+E145*Summary!$F$6/12</f>
        <v>0</v>
      </c>
      <c r="H145" s="4">
        <f>+IF(Summary!$B$8*12=B145,E145-F145,0)</f>
        <v>0</v>
      </c>
      <c r="I145" s="4">
        <f t="shared" si="9"/>
        <v>0</v>
      </c>
    </row>
    <row r="146" spans="2:9" x14ac:dyDescent="0.2">
      <c r="B146">
        <v>143</v>
      </c>
      <c r="C146">
        <f t="shared" si="10"/>
        <v>12</v>
      </c>
      <c r="D146" s="4">
        <f>+IF(B146&lt;=Summary!$B$17,E146*Summary!$E$6/12,-IF(C146&gt;Summary!$B$8,0,-'Market Amortization Table'!$L$4))</f>
        <v>0</v>
      </c>
      <c r="E146" s="4">
        <f t="shared" si="11"/>
        <v>0</v>
      </c>
      <c r="F146" s="4">
        <f t="shared" si="12"/>
        <v>0</v>
      </c>
      <c r="G146" s="4">
        <f>+E146*Summary!$F$6/12</f>
        <v>0</v>
      </c>
      <c r="H146" s="4">
        <f>+IF(Summary!$B$8*12=B146,E146-F146,0)</f>
        <v>0</v>
      </c>
      <c r="I146" s="4">
        <f t="shared" si="9"/>
        <v>0</v>
      </c>
    </row>
    <row r="147" spans="2:9" x14ac:dyDescent="0.2">
      <c r="B147">
        <v>144</v>
      </c>
      <c r="C147">
        <f t="shared" si="10"/>
        <v>12</v>
      </c>
      <c r="D147" s="4">
        <f>+IF(B147&lt;=Summary!$B$17,E147*Summary!$E$6/12,-IF(C147&gt;Summary!$B$8,0,-'Market Amortization Table'!$L$4))</f>
        <v>0</v>
      </c>
      <c r="E147" s="4">
        <f t="shared" si="11"/>
        <v>0</v>
      </c>
      <c r="F147" s="4">
        <f t="shared" si="12"/>
        <v>0</v>
      </c>
      <c r="G147" s="4">
        <f>+E147*Summary!$F$6/12</f>
        <v>0</v>
      </c>
      <c r="H147" s="4">
        <f>+IF(Summary!$B$8*12=B147,E147-F147,0)</f>
        <v>0</v>
      </c>
      <c r="I147" s="4">
        <f t="shared" si="9"/>
        <v>0</v>
      </c>
    </row>
    <row r="148" spans="2:9" x14ac:dyDescent="0.2">
      <c r="B148">
        <v>145</v>
      </c>
      <c r="C148">
        <f t="shared" si="10"/>
        <v>13</v>
      </c>
      <c r="D148" s="4">
        <f>+IF(B148&lt;=Summary!$B$17,E148*Summary!$E$6/12,-IF(C148&gt;Summary!$B$8,0,-'Market Amortization Table'!$L$4))</f>
        <v>0</v>
      </c>
      <c r="E148" s="4">
        <f t="shared" si="11"/>
        <v>0</v>
      </c>
      <c r="F148" s="4">
        <f t="shared" si="12"/>
        <v>0</v>
      </c>
      <c r="G148" s="4">
        <f>+E148*Summary!$F$6/12</f>
        <v>0</v>
      </c>
      <c r="H148" s="4">
        <f>+IF(Summary!$B$8*12=B148,E148-F148,0)</f>
        <v>0</v>
      </c>
      <c r="I148" s="4">
        <f t="shared" si="9"/>
        <v>0</v>
      </c>
    </row>
    <row r="149" spans="2:9" x14ac:dyDescent="0.2">
      <c r="B149">
        <v>146</v>
      </c>
      <c r="C149">
        <f t="shared" si="10"/>
        <v>13</v>
      </c>
      <c r="D149" s="4">
        <f>+IF(B149&lt;=Summary!$B$17,E149*Summary!$E$6/12,-IF(C149&gt;Summary!$B$8,0,-'Market Amortization Table'!$L$4))</f>
        <v>0</v>
      </c>
      <c r="E149" s="4">
        <f t="shared" si="11"/>
        <v>0</v>
      </c>
      <c r="F149" s="4">
        <f t="shared" si="12"/>
        <v>0</v>
      </c>
      <c r="G149" s="4">
        <f>+E149*Summary!$F$6/12</f>
        <v>0</v>
      </c>
      <c r="H149" s="4">
        <f>+IF(Summary!$B$8*12=B149,E149-F149,0)</f>
        <v>0</v>
      </c>
      <c r="I149" s="4">
        <f t="shared" si="9"/>
        <v>0</v>
      </c>
    </row>
    <row r="150" spans="2:9" x14ac:dyDescent="0.2">
      <c r="B150">
        <v>147</v>
      </c>
      <c r="C150">
        <f t="shared" si="10"/>
        <v>13</v>
      </c>
      <c r="D150" s="4">
        <f>+IF(B150&lt;=Summary!$B$17,E150*Summary!$E$6/12,-IF(C150&gt;Summary!$B$8,0,-'Market Amortization Table'!$L$4))</f>
        <v>0</v>
      </c>
      <c r="E150" s="4">
        <f t="shared" si="11"/>
        <v>0</v>
      </c>
      <c r="F150" s="4">
        <f t="shared" si="12"/>
        <v>0</v>
      </c>
      <c r="G150" s="4">
        <f>+E150*Summary!$F$6/12</f>
        <v>0</v>
      </c>
      <c r="H150" s="4">
        <f>+IF(Summary!$B$8*12=B150,E150-F150,0)</f>
        <v>0</v>
      </c>
      <c r="I150" s="4">
        <f t="shared" si="9"/>
        <v>0</v>
      </c>
    </row>
    <row r="151" spans="2:9" x14ac:dyDescent="0.2">
      <c r="B151">
        <v>148</v>
      </c>
      <c r="C151">
        <f t="shared" si="10"/>
        <v>13</v>
      </c>
      <c r="D151" s="4">
        <f>+IF(B151&lt;=Summary!$B$17,E151*Summary!$E$6/12,-IF(C151&gt;Summary!$B$8,0,-'Market Amortization Table'!$L$4))</f>
        <v>0</v>
      </c>
      <c r="E151" s="4">
        <f t="shared" si="11"/>
        <v>0</v>
      </c>
      <c r="F151" s="4">
        <f t="shared" si="12"/>
        <v>0</v>
      </c>
      <c r="G151" s="4">
        <f>+E151*Summary!$F$6/12</f>
        <v>0</v>
      </c>
      <c r="H151" s="4">
        <f>+IF(Summary!$B$8*12=B151,E151-F151,0)</f>
        <v>0</v>
      </c>
      <c r="I151" s="4">
        <f t="shared" si="9"/>
        <v>0</v>
      </c>
    </row>
    <row r="152" spans="2:9" x14ac:dyDescent="0.2">
      <c r="B152">
        <v>149</v>
      </c>
      <c r="C152">
        <f t="shared" si="10"/>
        <v>13</v>
      </c>
      <c r="D152" s="4">
        <f>+IF(B152&lt;=Summary!$B$17,E152*Summary!$E$6/12,-IF(C152&gt;Summary!$B$8,0,-'Market Amortization Table'!$L$4))</f>
        <v>0</v>
      </c>
      <c r="E152" s="4">
        <f t="shared" si="11"/>
        <v>0</v>
      </c>
      <c r="F152" s="4">
        <f t="shared" si="12"/>
        <v>0</v>
      </c>
      <c r="G152" s="4">
        <f>+E152*Summary!$F$6/12</f>
        <v>0</v>
      </c>
      <c r="H152" s="4">
        <f>+IF(Summary!$B$8*12=B152,E152-F152,0)</f>
        <v>0</v>
      </c>
      <c r="I152" s="4">
        <f t="shared" si="9"/>
        <v>0</v>
      </c>
    </row>
    <row r="153" spans="2:9" x14ac:dyDescent="0.2">
      <c r="B153">
        <v>150</v>
      </c>
      <c r="C153">
        <f t="shared" si="10"/>
        <v>13</v>
      </c>
      <c r="D153" s="4">
        <f>+IF(B153&lt;=Summary!$B$17,E153*Summary!$E$6/12,-IF(C153&gt;Summary!$B$8,0,-'Market Amortization Table'!$L$4))</f>
        <v>0</v>
      </c>
      <c r="E153" s="4">
        <f t="shared" si="11"/>
        <v>0</v>
      </c>
      <c r="F153" s="4">
        <f t="shared" si="12"/>
        <v>0</v>
      </c>
      <c r="G153" s="4">
        <f>+E153*Summary!$F$6/12</f>
        <v>0</v>
      </c>
      <c r="H153" s="4">
        <f>+IF(Summary!$B$8*12=B153,E153-F153,0)</f>
        <v>0</v>
      </c>
      <c r="I153" s="4">
        <f t="shared" si="9"/>
        <v>0</v>
      </c>
    </row>
    <row r="154" spans="2:9" x14ac:dyDescent="0.2">
      <c r="B154">
        <v>151</v>
      </c>
      <c r="C154">
        <f t="shared" si="10"/>
        <v>13</v>
      </c>
      <c r="D154" s="4">
        <f>+IF(B154&lt;=Summary!$B$17,E154*Summary!$E$6/12,-IF(C154&gt;Summary!$B$8,0,-'Market Amortization Table'!$L$4))</f>
        <v>0</v>
      </c>
      <c r="E154" s="4">
        <f t="shared" si="11"/>
        <v>0</v>
      </c>
      <c r="F154" s="4">
        <f t="shared" si="12"/>
        <v>0</v>
      </c>
      <c r="G154" s="4">
        <f>+E154*Summary!$F$6/12</f>
        <v>0</v>
      </c>
      <c r="H154" s="4">
        <f>+IF(Summary!$B$8*12=B154,E154-F154,0)</f>
        <v>0</v>
      </c>
      <c r="I154" s="4">
        <f t="shared" si="9"/>
        <v>0</v>
      </c>
    </row>
    <row r="155" spans="2:9" x14ac:dyDescent="0.2">
      <c r="B155">
        <v>152</v>
      </c>
      <c r="C155">
        <f t="shared" si="10"/>
        <v>13</v>
      </c>
      <c r="D155" s="4">
        <f>+IF(B155&lt;=Summary!$B$17,E155*Summary!$E$6/12,-IF(C155&gt;Summary!$B$8,0,-'Market Amortization Table'!$L$4))</f>
        <v>0</v>
      </c>
      <c r="E155" s="4">
        <f t="shared" si="11"/>
        <v>0</v>
      </c>
      <c r="F155" s="4">
        <f t="shared" si="12"/>
        <v>0</v>
      </c>
      <c r="G155" s="4">
        <f>+E155*Summary!$F$6/12</f>
        <v>0</v>
      </c>
      <c r="H155" s="4">
        <f>+IF(Summary!$B$8*12=B155,E155-F155,0)</f>
        <v>0</v>
      </c>
      <c r="I155" s="4">
        <f t="shared" si="9"/>
        <v>0</v>
      </c>
    </row>
    <row r="156" spans="2:9" x14ac:dyDescent="0.2">
      <c r="B156">
        <v>153</v>
      </c>
      <c r="C156">
        <f t="shared" si="10"/>
        <v>13</v>
      </c>
      <c r="D156" s="4">
        <f>+IF(B156&lt;=Summary!$B$17,E156*Summary!$E$6/12,-IF(C156&gt;Summary!$B$8,0,-'Market Amortization Table'!$L$4))</f>
        <v>0</v>
      </c>
      <c r="E156" s="4">
        <f t="shared" si="11"/>
        <v>0</v>
      </c>
      <c r="F156" s="4">
        <f t="shared" si="12"/>
        <v>0</v>
      </c>
      <c r="G156" s="4">
        <f>+E156*Summary!$F$6/12</f>
        <v>0</v>
      </c>
      <c r="H156" s="4">
        <f>+IF(Summary!$B$8*12=B156,E156-F156,0)</f>
        <v>0</v>
      </c>
      <c r="I156" s="4">
        <f t="shared" si="9"/>
        <v>0</v>
      </c>
    </row>
    <row r="157" spans="2:9" x14ac:dyDescent="0.2">
      <c r="B157">
        <v>154</v>
      </c>
      <c r="C157">
        <f t="shared" si="10"/>
        <v>13</v>
      </c>
      <c r="D157" s="4">
        <f>+IF(B157&lt;=Summary!$B$17,E157*Summary!$E$6/12,-IF(C157&gt;Summary!$B$8,0,-'Market Amortization Table'!$L$4))</f>
        <v>0</v>
      </c>
      <c r="E157" s="4">
        <f t="shared" si="11"/>
        <v>0</v>
      </c>
      <c r="F157" s="4">
        <f t="shared" si="12"/>
        <v>0</v>
      </c>
      <c r="G157" s="4">
        <f>+E157*Summary!$F$6/12</f>
        <v>0</v>
      </c>
      <c r="H157" s="4">
        <f>+IF(Summary!$B$8*12=B157,E157-F157,0)</f>
        <v>0</v>
      </c>
      <c r="I157" s="4">
        <f t="shared" si="9"/>
        <v>0</v>
      </c>
    </row>
    <row r="158" spans="2:9" x14ac:dyDescent="0.2">
      <c r="B158">
        <v>155</v>
      </c>
      <c r="C158">
        <f t="shared" si="10"/>
        <v>13</v>
      </c>
      <c r="D158" s="4">
        <f>+IF(B158&lt;=Summary!$B$17,E158*Summary!$E$6/12,-IF(C158&gt;Summary!$B$8,0,-'Market Amortization Table'!$L$4))</f>
        <v>0</v>
      </c>
      <c r="E158" s="4">
        <f t="shared" si="11"/>
        <v>0</v>
      </c>
      <c r="F158" s="4">
        <f t="shared" si="12"/>
        <v>0</v>
      </c>
      <c r="G158" s="4">
        <f>+E158*Summary!$F$6/12</f>
        <v>0</v>
      </c>
      <c r="H158" s="4">
        <f>+IF(Summary!$B$8*12=B158,E158-F158,0)</f>
        <v>0</v>
      </c>
      <c r="I158" s="4">
        <f t="shared" si="9"/>
        <v>0</v>
      </c>
    </row>
    <row r="159" spans="2:9" x14ac:dyDescent="0.2">
      <c r="B159">
        <v>156</v>
      </c>
      <c r="C159">
        <f t="shared" si="10"/>
        <v>13</v>
      </c>
      <c r="D159" s="4">
        <f>+IF(B159&lt;=Summary!$B$17,E159*Summary!$E$6/12,-IF(C159&gt;Summary!$B$8,0,-'Market Amortization Table'!$L$4))</f>
        <v>0</v>
      </c>
      <c r="E159" s="4">
        <f t="shared" si="11"/>
        <v>0</v>
      </c>
      <c r="F159" s="4">
        <f t="shared" si="12"/>
        <v>0</v>
      </c>
      <c r="G159" s="4">
        <f>+E159*Summary!$F$6/12</f>
        <v>0</v>
      </c>
      <c r="H159" s="4">
        <f>+IF(Summary!$B$8*12=B159,E159-F159,0)</f>
        <v>0</v>
      </c>
      <c r="I159" s="4">
        <f t="shared" si="9"/>
        <v>0</v>
      </c>
    </row>
    <row r="160" spans="2:9" x14ac:dyDescent="0.2">
      <c r="B160">
        <v>157</v>
      </c>
      <c r="C160">
        <f t="shared" si="10"/>
        <v>14</v>
      </c>
      <c r="D160" s="4">
        <f>+IF(B160&lt;=Summary!$B$17,E160*Summary!$E$6/12,-IF(C160&gt;Summary!$B$8,0,-'Market Amortization Table'!$L$4))</f>
        <v>0</v>
      </c>
      <c r="E160" s="4">
        <f t="shared" si="11"/>
        <v>0</v>
      </c>
      <c r="F160" s="4">
        <f t="shared" si="12"/>
        <v>0</v>
      </c>
      <c r="G160" s="4">
        <f>+E160*Summary!$F$6/12</f>
        <v>0</v>
      </c>
      <c r="H160" s="4">
        <f>+IF(Summary!$B$8*12=B160,E160-F160,0)</f>
        <v>0</v>
      </c>
      <c r="I160" s="4">
        <f t="shared" si="9"/>
        <v>0</v>
      </c>
    </row>
    <row r="161" spans="2:9" x14ac:dyDescent="0.2">
      <c r="B161">
        <v>158</v>
      </c>
      <c r="C161">
        <f t="shared" si="10"/>
        <v>14</v>
      </c>
      <c r="D161" s="4">
        <f>+IF(B161&lt;=Summary!$B$17,E161*Summary!$E$6/12,-IF(C161&gt;Summary!$B$8,0,-'Market Amortization Table'!$L$4))</f>
        <v>0</v>
      </c>
      <c r="E161" s="4">
        <f t="shared" si="11"/>
        <v>0</v>
      </c>
      <c r="F161" s="4">
        <f t="shared" si="12"/>
        <v>0</v>
      </c>
      <c r="G161" s="4">
        <f>+E161*Summary!$F$6/12</f>
        <v>0</v>
      </c>
      <c r="H161" s="4">
        <f>+IF(Summary!$B$8*12=B161,E161-F161,0)</f>
        <v>0</v>
      </c>
      <c r="I161" s="4">
        <f t="shared" si="9"/>
        <v>0</v>
      </c>
    </row>
    <row r="162" spans="2:9" x14ac:dyDescent="0.2">
      <c r="B162">
        <v>159</v>
      </c>
      <c r="C162">
        <f t="shared" si="10"/>
        <v>14</v>
      </c>
      <c r="D162" s="4">
        <f>+IF(B162&lt;=Summary!$B$17,E162*Summary!$E$6/12,-IF(C162&gt;Summary!$B$8,0,-'Market Amortization Table'!$L$4))</f>
        <v>0</v>
      </c>
      <c r="E162" s="4">
        <f t="shared" si="11"/>
        <v>0</v>
      </c>
      <c r="F162" s="4">
        <f t="shared" si="12"/>
        <v>0</v>
      </c>
      <c r="G162" s="4">
        <f>+E162*Summary!$F$6/12</f>
        <v>0</v>
      </c>
      <c r="H162" s="4">
        <f>+IF(Summary!$B$8*12=B162,E162-F162,0)</f>
        <v>0</v>
      </c>
      <c r="I162" s="4">
        <f t="shared" si="9"/>
        <v>0</v>
      </c>
    </row>
    <row r="163" spans="2:9" x14ac:dyDescent="0.2">
      <c r="B163">
        <v>160</v>
      </c>
      <c r="C163">
        <f t="shared" si="10"/>
        <v>14</v>
      </c>
      <c r="D163" s="4">
        <f>+IF(B163&lt;=Summary!$B$17,E163*Summary!$E$6/12,-IF(C163&gt;Summary!$B$8,0,-'Market Amortization Table'!$L$4))</f>
        <v>0</v>
      </c>
      <c r="E163" s="4">
        <f t="shared" si="11"/>
        <v>0</v>
      </c>
      <c r="F163" s="4">
        <f t="shared" si="12"/>
        <v>0</v>
      </c>
      <c r="G163" s="4">
        <f>+E163*Summary!$F$6/12</f>
        <v>0</v>
      </c>
      <c r="H163" s="4">
        <f>+IF(Summary!$B$8*12=B163,E163-F163,0)</f>
        <v>0</v>
      </c>
      <c r="I163" s="4">
        <f t="shared" si="9"/>
        <v>0</v>
      </c>
    </row>
    <row r="164" spans="2:9" x14ac:dyDescent="0.2">
      <c r="B164">
        <v>161</v>
      </c>
      <c r="C164">
        <f t="shared" si="10"/>
        <v>14</v>
      </c>
      <c r="D164" s="4">
        <f>+IF(B164&lt;=Summary!$B$17,E164*Summary!$E$6/12,-IF(C164&gt;Summary!$B$8,0,-'Market Amortization Table'!$L$4))</f>
        <v>0</v>
      </c>
      <c r="E164" s="4">
        <f t="shared" si="11"/>
        <v>0</v>
      </c>
      <c r="F164" s="4">
        <f t="shared" si="12"/>
        <v>0</v>
      </c>
      <c r="G164" s="4">
        <f>+E164*Summary!$F$6/12</f>
        <v>0</v>
      </c>
      <c r="H164" s="4">
        <f>+IF(Summary!$B$8*12=B164,E164-F164,0)</f>
        <v>0</v>
      </c>
      <c r="I164" s="4">
        <f t="shared" si="9"/>
        <v>0</v>
      </c>
    </row>
    <row r="165" spans="2:9" x14ac:dyDescent="0.2">
      <c r="B165">
        <v>162</v>
      </c>
      <c r="C165">
        <f t="shared" si="10"/>
        <v>14</v>
      </c>
      <c r="D165" s="4">
        <f>+IF(B165&lt;=Summary!$B$17,E165*Summary!$E$6/12,-IF(C165&gt;Summary!$B$8,0,-'Market Amortization Table'!$L$4))</f>
        <v>0</v>
      </c>
      <c r="E165" s="4">
        <f t="shared" si="11"/>
        <v>0</v>
      </c>
      <c r="F165" s="4">
        <f t="shared" si="12"/>
        <v>0</v>
      </c>
      <c r="G165" s="4">
        <f>+E165*Summary!$F$6/12</f>
        <v>0</v>
      </c>
      <c r="H165" s="4">
        <f>+IF(Summary!$B$8*12=B165,E165-F165,0)</f>
        <v>0</v>
      </c>
      <c r="I165" s="4">
        <f t="shared" si="9"/>
        <v>0</v>
      </c>
    </row>
    <row r="166" spans="2:9" x14ac:dyDescent="0.2">
      <c r="B166">
        <v>163</v>
      </c>
      <c r="C166">
        <f t="shared" si="10"/>
        <v>14</v>
      </c>
      <c r="D166" s="4">
        <f>+IF(B166&lt;=Summary!$B$17,E166*Summary!$E$6/12,-IF(C166&gt;Summary!$B$8,0,-'Market Amortization Table'!$L$4))</f>
        <v>0</v>
      </c>
      <c r="E166" s="4">
        <f t="shared" si="11"/>
        <v>0</v>
      </c>
      <c r="F166" s="4">
        <f t="shared" si="12"/>
        <v>0</v>
      </c>
      <c r="G166" s="4">
        <f>+E166*Summary!$F$6/12</f>
        <v>0</v>
      </c>
      <c r="H166" s="4">
        <f>+IF(Summary!$B$8*12=B166,E166-F166,0)</f>
        <v>0</v>
      </c>
      <c r="I166" s="4">
        <f t="shared" si="9"/>
        <v>0</v>
      </c>
    </row>
    <row r="167" spans="2:9" x14ac:dyDescent="0.2">
      <c r="B167">
        <v>164</v>
      </c>
      <c r="C167">
        <f t="shared" si="10"/>
        <v>14</v>
      </c>
      <c r="D167" s="4">
        <f>+IF(B167&lt;=Summary!$B$17,E167*Summary!$E$6/12,-IF(C167&gt;Summary!$B$8,0,-'Market Amortization Table'!$L$4))</f>
        <v>0</v>
      </c>
      <c r="E167" s="4">
        <f t="shared" si="11"/>
        <v>0</v>
      </c>
      <c r="F167" s="4">
        <f t="shared" si="12"/>
        <v>0</v>
      </c>
      <c r="G167" s="4">
        <f>+E167*Summary!$F$6/12</f>
        <v>0</v>
      </c>
      <c r="H167" s="4">
        <f>+IF(Summary!$B$8*12=B167,E167-F167,0)</f>
        <v>0</v>
      </c>
      <c r="I167" s="4">
        <f t="shared" si="9"/>
        <v>0</v>
      </c>
    </row>
    <row r="168" spans="2:9" x14ac:dyDescent="0.2">
      <c r="B168">
        <v>165</v>
      </c>
      <c r="C168">
        <f t="shared" si="10"/>
        <v>14</v>
      </c>
      <c r="D168" s="4">
        <f>+IF(B168&lt;=Summary!$B$17,E168*Summary!$E$6/12,-IF(C168&gt;Summary!$B$8,0,-'Market Amortization Table'!$L$4))</f>
        <v>0</v>
      </c>
      <c r="E168" s="4">
        <f t="shared" si="11"/>
        <v>0</v>
      </c>
      <c r="F168" s="4">
        <f t="shared" si="12"/>
        <v>0</v>
      </c>
      <c r="G168" s="4">
        <f>+E168*Summary!$F$6/12</f>
        <v>0</v>
      </c>
      <c r="H168" s="4">
        <f>+IF(Summary!$B$8*12=B168,E168-F168,0)</f>
        <v>0</v>
      </c>
      <c r="I168" s="4">
        <f t="shared" si="9"/>
        <v>0</v>
      </c>
    </row>
    <row r="169" spans="2:9" x14ac:dyDescent="0.2">
      <c r="B169">
        <v>166</v>
      </c>
      <c r="C169">
        <f t="shared" si="10"/>
        <v>14</v>
      </c>
      <c r="D169" s="4">
        <f>+IF(B169&lt;=Summary!$B$17,E169*Summary!$E$6/12,-IF(C169&gt;Summary!$B$8,0,-'Market Amortization Table'!$L$4))</f>
        <v>0</v>
      </c>
      <c r="E169" s="4">
        <f t="shared" si="11"/>
        <v>0</v>
      </c>
      <c r="F169" s="4">
        <f t="shared" si="12"/>
        <v>0</v>
      </c>
      <c r="G169" s="4">
        <f>+E169*Summary!$F$6/12</f>
        <v>0</v>
      </c>
      <c r="H169" s="4">
        <f>+IF(Summary!$B$8*12=B169,E169-F169,0)</f>
        <v>0</v>
      </c>
      <c r="I169" s="4">
        <f t="shared" si="9"/>
        <v>0</v>
      </c>
    </row>
    <row r="170" spans="2:9" x14ac:dyDescent="0.2">
      <c r="B170">
        <v>167</v>
      </c>
      <c r="C170">
        <f t="shared" si="10"/>
        <v>14</v>
      </c>
      <c r="D170" s="4">
        <f>+IF(B170&lt;=Summary!$B$17,E170*Summary!$E$6/12,-IF(C170&gt;Summary!$B$8,0,-'Market Amortization Table'!$L$4))</f>
        <v>0</v>
      </c>
      <c r="E170" s="4">
        <f t="shared" si="11"/>
        <v>0</v>
      </c>
      <c r="F170" s="4">
        <f t="shared" si="12"/>
        <v>0</v>
      </c>
      <c r="G170" s="4">
        <f>+E170*Summary!$F$6/12</f>
        <v>0</v>
      </c>
      <c r="H170" s="4">
        <f>+IF(Summary!$B$8*12=B170,E170-F170,0)</f>
        <v>0</v>
      </c>
      <c r="I170" s="4">
        <f t="shared" si="9"/>
        <v>0</v>
      </c>
    </row>
    <row r="171" spans="2:9" x14ac:dyDescent="0.2">
      <c r="B171">
        <v>168</v>
      </c>
      <c r="C171">
        <f t="shared" si="10"/>
        <v>14</v>
      </c>
      <c r="D171" s="4">
        <f>+IF(B171&lt;=Summary!$B$17,E171*Summary!$E$6/12,-IF(C171&gt;Summary!$B$8,0,-'Market Amortization Table'!$L$4))</f>
        <v>0</v>
      </c>
      <c r="E171" s="4">
        <f t="shared" si="11"/>
        <v>0</v>
      </c>
      <c r="F171" s="4">
        <f t="shared" si="12"/>
        <v>0</v>
      </c>
      <c r="G171" s="4">
        <f>+E171*Summary!$F$6/12</f>
        <v>0</v>
      </c>
      <c r="H171" s="4">
        <f>+IF(Summary!$B$8*12=B171,E171-F171,0)</f>
        <v>0</v>
      </c>
      <c r="I171" s="4">
        <f t="shared" si="9"/>
        <v>0</v>
      </c>
    </row>
    <row r="172" spans="2:9" x14ac:dyDescent="0.2">
      <c r="B172">
        <v>169</v>
      </c>
      <c r="C172">
        <f t="shared" si="10"/>
        <v>15</v>
      </c>
      <c r="D172" s="4">
        <f>+IF(B172&lt;=Summary!$B$17,E172*Summary!$E$6/12,-IF(C172&gt;Summary!$B$8,0,-'Market Amortization Table'!$L$4))</f>
        <v>0</v>
      </c>
      <c r="E172" s="4">
        <f t="shared" si="11"/>
        <v>0</v>
      </c>
      <c r="F172" s="4">
        <f t="shared" si="12"/>
        <v>0</v>
      </c>
      <c r="G172" s="4">
        <f>+E172*Summary!$F$6/12</f>
        <v>0</v>
      </c>
      <c r="H172" s="4">
        <f>+IF(Summary!$B$8*12=B172,E172-F172,0)</f>
        <v>0</v>
      </c>
      <c r="I172" s="4">
        <f t="shared" si="9"/>
        <v>0</v>
      </c>
    </row>
    <row r="173" spans="2:9" x14ac:dyDescent="0.2">
      <c r="B173">
        <v>170</v>
      </c>
      <c r="C173">
        <f t="shared" si="10"/>
        <v>15</v>
      </c>
      <c r="D173" s="4">
        <f>+IF(B173&lt;=Summary!$B$17,E173*Summary!$E$6/12,-IF(C173&gt;Summary!$B$8,0,-'Market Amortization Table'!$L$4))</f>
        <v>0</v>
      </c>
      <c r="E173" s="4">
        <f t="shared" si="11"/>
        <v>0</v>
      </c>
      <c r="F173" s="4">
        <f t="shared" si="12"/>
        <v>0</v>
      </c>
      <c r="G173" s="4">
        <f>+E173*Summary!$F$6/12</f>
        <v>0</v>
      </c>
      <c r="H173" s="4">
        <f>+IF(Summary!$B$8*12=B173,E173-F173,0)</f>
        <v>0</v>
      </c>
      <c r="I173" s="4">
        <f t="shared" si="9"/>
        <v>0</v>
      </c>
    </row>
    <row r="174" spans="2:9" x14ac:dyDescent="0.2">
      <c r="B174">
        <v>171</v>
      </c>
      <c r="C174">
        <f t="shared" si="10"/>
        <v>15</v>
      </c>
      <c r="D174" s="4">
        <f>+IF(B174&lt;=Summary!$B$17,E174*Summary!$E$6/12,-IF(C174&gt;Summary!$B$8,0,-'Market Amortization Table'!$L$4))</f>
        <v>0</v>
      </c>
      <c r="E174" s="4">
        <f t="shared" si="11"/>
        <v>0</v>
      </c>
      <c r="F174" s="4">
        <f t="shared" si="12"/>
        <v>0</v>
      </c>
      <c r="G174" s="4">
        <f>+E174*Summary!$F$6/12</f>
        <v>0</v>
      </c>
      <c r="H174" s="4">
        <f>+IF(Summary!$B$8*12=B174,E174-F174,0)</f>
        <v>0</v>
      </c>
      <c r="I174" s="4">
        <f t="shared" si="9"/>
        <v>0</v>
      </c>
    </row>
    <row r="175" spans="2:9" x14ac:dyDescent="0.2">
      <c r="B175">
        <v>172</v>
      </c>
      <c r="C175">
        <f t="shared" si="10"/>
        <v>15</v>
      </c>
      <c r="D175" s="4">
        <f>+IF(B175&lt;=Summary!$B$17,E175*Summary!$E$6/12,-IF(C175&gt;Summary!$B$8,0,-'Market Amortization Table'!$L$4))</f>
        <v>0</v>
      </c>
      <c r="E175" s="4">
        <f t="shared" si="11"/>
        <v>0</v>
      </c>
      <c r="F175" s="4">
        <f t="shared" si="12"/>
        <v>0</v>
      </c>
      <c r="G175" s="4">
        <f>+E175*Summary!$F$6/12</f>
        <v>0</v>
      </c>
      <c r="H175" s="4">
        <f>+IF(Summary!$B$8*12=B175,E175-F175,0)</f>
        <v>0</v>
      </c>
      <c r="I175" s="4">
        <f t="shared" si="9"/>
        <v>0</v>
      </c>
    </row>
    <row r="176" spans="2:9" x14ac:dyDescent="0.2">
      <c r="B176">
        <v>173</v>
      </c>
      <c r="C176">
        <f t="shared" si="10"/>
        <v>15</v>
      </c>
      <c r="D176" s="4">
        <f>+IF(B176&lt;=Summary!$B$17,E176*Summary!$E$6/12,-IF(C176&gt;Summary!$B$8,0,-'Market Amortization Table'!$L$4))</f>
        <v>0</v>
      </c>
      <c r="E176" s="4">
        <f t="shared" si="11"/>
        <v>0</v>
      </c>
      <c r="F176" s="4">
        <f t="shared" si="12"/>
        <v>0</v>
      </c>
      <c r="G176" s="4">
        <f>+E176*Summary!$F$6/12</f>
        <v>0</v>
      </c>
      <c r="H176" s="4">
        <f>+IF(Summary!$B$8*12=B176,E176-F176,0)</f>
        <v>0</v>
      </c>
      <c r="I176" s="4">
        <f t="shared" si="9"/>
        <v>0</v>
      </c>
    </row>
    <row r="177" spans="2:9" x14ac:dyDescent="0.2">
      <c r="B177">
        <v>174</v>
      </c>
      <c r="C177">
        <f t="shared" si="10"/>
        <v>15</v>
      </c>
      <c r="D177" s="4">
        <f>+IF(B177&lt;=Summary!$B$17,E177*Summary!$E$6/12,-IF(C177&gt;Summary!$B$8,0,-'Market Amortization Table'!$L$4))</f>
        <v>0</v>
      </c>
      <c r="E177" s="4">
        <f t="shared" si="11"/>
        <v>0</v>
      </c>
      <c r="F177" s="4">
        <f t="shared" si="12"/>
        <v>0</v>
      </c>
      <c r="G177" s="4">
        <f>+E177*Summary!$F$6/12</f>
        <v>0</v>
      </c>
      <c r="H177" s="4">
        <f>+IF(Summary!$B$8*12=B177,E177-F177,0)</f>
        <v>0</v>
      </c>
      <c r="I177" s="4">
        <f t="shared" si="9"/>
        <v>0</v>
      </c>
    </row>
    <row r="178" spans="2:9" x14ac:dyDescent="0.2">
      <c r="B178">
        <v>175</v>
      </c>
      <c r="C178">
        <f t="shared" si="10"/>
        <v>15</v>
      </c>
      <c r="D178" s="4">
        <f>+IF(B178&lt;=Summary!$B$17,E178*Summary!$E$6/12,-IF(C178&gt;Summary!$B$8,0,-'Market Amortization Table'!$L$4))</f>
        <v>0</v>
      </c>
      <c r="E178" s="4">
        <f t="shared" si="11"/>
        <v>0</v>
      </c>
      <c r="F178" s="4">
        <f t="shared" si="12"/>
        <v>0</v>
      </c>
      <c r="G178" s="4">
        <f>+E178*Summary!$F$6/12</f>
        <v>0</v>
      </c>
      <c r="H178" s="4">
        <f>+IF(Summary!$B$8*12=B178,E178-F178,0)</f>
        <v>0</v>
      </c>
      <c r="I178" s="4">
        <f t="shared" si="9"/>
        <v>0</v>
      </c>
    </row>
    <row r="179" spans="2:9" x14ac:dyDescent="0.2">
      <c r="B179">
        <v>176</v>
      </c>
      <c r="C179">
        <f t="shared" si="10"/>
        <v>15</v>
      </c>
      <c r="D179" s="4">
        <f>+IF(B179&lt;=Summary!$B$17,E179*Summary!$E$6/12,-IF(C179&gt;Summary!$B$8,0,-'Market Amortization Table'!$L$4))</f>
        <v>0</v>
      </c>
      <c r="E179" s="4">
        <f t="shared" si="11"/>
        <v>0</v>
      </c>
      <c r="F179" s="4">
        <f t="shared" si="12"/>
        <v>0</v>
      </c>
      <c r="G179" s="4">
        <f>+E179*Summary!$F$6/12</f>
        <v>0</v>
      </c>
      <c r="H179" s="4">
        <f>+IF(Summary!$B$8*12=B179,E179-F179,0)</f>
        <v>0</v>
      </c>
      <c r="I179" s="4">
        <f t="shared" si="9"/>
        <v>0</v>
      </c>
    </row>
    <row r="180" spans="2:9" x14ac:dyDescent="0.2">
      <c r="B180">
        <v>177</v>
      </c>
      <c r="C180">
        <f t="shared" si="10"/>
        <v>15</v>
      </c>
      <c r="D180" s="4">
        <f>+IF(B180&lt;=Summary!$B$17,E180*Summary!$E$6/12,-IF(C180&gt;Summary!$B$8,0,-'Market Amortization Table'!$L$4))</f>
        <v>0</v>
      </c>
      <c r="E180" s="4">
        <f t="shared" si="11"/>
        <v>0</v>
      </c>
      <c r="F180" s="4">
        <f t="shared" si="12"/>
        <v>0</v>
      </c>
      <c r="G180" s="4">
        <f>+E180*Summary!$F$6/12</f>
        <v>0</v>
      </c>
      <c r="H180" s="4">
        <f>+IF(Summary!$B$8*12=B180,E180-F180,0)</f>
        <v>0</v>
      </c>
      <c r="I180" s="4">
        <f t="shared" si="9"/>
        <v>0</v>
      </c>
    </row>
    <row r="181" spans="2:9" x14ac:dyDescent="0.2">
      <c r="B181">
        <v>178</v>
      </c>
      <c r="C181">
        <f t="shared" si="10"/>
        <v>15</v>
      </c>
      <c r="D181" s="4">
        <f>+IF(B181&lt;=Summary!$B$17,E181*Summary!$E$6/12,-IF(C181&gt;Summary!$B$8,0,-'Market Amortization Table'!$L$4))</f>
        <v>0</v>
      </c>
      <c r="E181" s="4">
        <f t="shared" si="11"/>
        <v>0</v>
      </c>
      <c r="F181" s="4">
        <f t="shared" si="12"/>
        <v>0</v>
      </c>
      <c r="G181" s="4">
        <f>+E181*Summary!$F$6/12</f>
        <v>0</v>
      </c>
      <c r="H181" s="4">
        <f>+IF(Summary!$B$8*12=B181,E181-F181,0)</f>
        <v>0</v>
      </c>
      <c r="I181" s="4">
        <f t="shared" si="9"/>
        <v>0</v>
      </c>
    </row>
    <row r="182" spans="2:9" x14ac:dyDescent="0.2">
      <c r="B182">
        <v>179</v>
      </c>
      <c r="C182">
        <f t="shared" si="10"/>
        <v>15</v>
      </c>
      <c r="D182" s="4">
        <f>+IF(B182&lt;=Summary!$B$17,E182*Summary!$E$6/12,-IF(C182&gt;Summary!$B$8,0,-'Market Amortization Table'!$L$4))</f>
        <v>0</v>
      </c>
      <c r="E182" s="4">
        <f t="shared" si="11"/>
        <v>0</v>
      </c>
      <c r="F182" s="4">
        <f t="shared" si="12"/>
        <v>0</v>
      </c>
      <c r="G182" s="4">
        <f>+E182*Summary!$F$6/12</f>
        <v>0</v>
      </c>
      <c r="H182" s="4">
        <f>+IF(Summary!$B$8*12=B182,E182-F182,0)</f>
        <v>0</v>
      </c>
      <c r="I182" s="4">
        <f t="shared" si="9"/>
        <v>0</v>
      </c>
    </row>
    <row r="183" spans="2:9" x14ac:dyDescent="0.2">
      <c r="B183">
        <v>180</v>
      </c>
      <c r="C183">
        <f t="shared" si="10"/>
        <v>15</v>
      </c>
      <c r="D183" s="4">
        <f>+IF(B183&lt;=Summary!$B$17,E183*Summary!$E$6/12,-IF(C183&gt;Summary!$B$8,0,-'Market Amortization Table'!$L$4))</f>
        <v>0</v>
      </c>
      <c r="E183" s="4">
        <f t="shared" si="11"/>
        <v>0</v>
      </c>
      <c r="F183" s="4">
        <f t="shared" si="12"/>
        <v>0</v>
      </c>
      <c r="G183" s="4">
        <f>+E183*Summary!$F$6/12</f>
        <v>0</v>
      </c>
      <c r="H183" s="4">
        <f>+IF(Summary!$B$8*12=B183,E183-F183,0)</f>
        <v>0</v>
      </c>
      <c r="I183" s="4">
        <f t="shared" si="9"/>
        <v>0</v>
      </c>
    </row>
    <row r="184" spans="2:9" x14ac:dyDescent="0.2">
      <c r="B184">
        <v>181</v>
      </c>
      <c r="C184">
        <f t="shared" si="10"/>
        <v>16</v>
      </c>
      <c r="D184" s="4">
        <f>+IF(B184&lt;=Summary!$B$17,E184*Summary!$E$6/12,-IF(C184&gt;Summary!$B$8,0,-'Market Amortization Table'!$L$4))</f>
        <v>0</v>
      </c>
      <c r="E184" s="4">
        <f t="shared" si="11"/>
        <v>0</v>
      </c>
      <c r="F184" s="4">
        <f t="shared" si="12"/>
        <v>0</v>
      </c>
      <c r="G184" s="4">
        <f>+E184*Summary!$F$6/12</f>
        <v>0</v>
      </c>
      <c r="H184" s="4">
        <f>+IF(Summary!$B$8*12=B184,E184-F184,0)</f>
        <v>0</v>
      </c>
      <c r="I184" s="4">
        <f t="shared" si="9"/>
        <v>0</v>
      </c>
    </row>
    <row r="185" spans="2:9" x14ac:dyDescent="0.2">
      <c r="B185">
        <v>182</v>
      </c>
      <c r="C185">
        <f t="shared" si="10"/>
        <v>16</v>
      </c>
      <c r="D185" s="4">
        <f>+IF(B185&lt;=Summary!$B$17,E185*Summary!$E$6/12,-IF(C185&gt;Summary!$B$8,0,-'Market Amortization Table'!$L$4))</f>
        <v>0</v>
      </c>
      <c r="E185" s="4">
        <f t="shared" si="11"/>
        <v>0</v>
      </c>
      <c r="F185" s="4">
        <f t="shared" si="12"/>
        <v>0</v>
      </c>
      <c r="G185" s="4">
        <f>+E185*Summary!$F$6/12</f>
        <v>0</v>
      </c>
      <c r="H185" s="4">
        <f>+IF(Summary!$B$8*12=B185,E185-F185,0)</f>
        <v>0</v>
      </c>
      <c r="I185" s="4">
        <f t="shared" si="9"/>
        <v>0</v>
      </c>
    </row>
    <row r="186" spans="2:9" x14ac:dyDescent="0.2">
      <c r="B186">
        <v>183</v>
      </c>
      <c r="C186">
        <f t="shared" si="10"/>
        <v>16</v>
      </c>
      <c r="D186" s="4">
        <f>+IF(B186&lt;=Summary!$B$17,E186*Summary!$E$6/12,-IF(C186&gt;Summary!$B$8,0,-'Market Amortization Table'!$L$4))</f>
        <v>0</v>
      </c>
      <c r="E186" s="4">
        <f t="shared" si="11"/>
        <v>0</v>
      </c>
      <c r="F186" s="4">
        <f t="shared" si="12"/>
        <v>0</v>
      </c>
      <c r="G186" s="4">
        <f>+E186*Summary!$F$6/12</f>
        <v>0</v>
      </c>
      <c r="H186" s="4">
        <f>+IF(Summary!$B$8*12=B186,E186-F186,0)</f>
        <v>0</v>
      </c>
      <c r="I186" s="4">
        <f t="shared" si="9"/>
        <v>0</v>
      </c>
    </row>
    <row r="187" spans="2:9" x14ac:dyDescent="0.2">
      <c r="B187">
        <v>184</v>
      </c>
      <c r="C187">
        <f t="shared" si="10"/>
        <v>16</v>
      </c>
      <c r="D187" s="4">
        <f>+IF(B187&lt;=Summary!$B$17,E187*Summary!$E$6/12,-IF(C187&gt;Summary!$B$8,0,-'Market Amortization Table'!$L$4))</f>
        <v>0</v>
      </c>
      <c r="E187" s="4">
        <f t="shared" si="11"/>
        <v>0</v>
      </c>
      <c r="F187" s="4">
        <f t="shared" si="12"/>
        <v>0</v>
      </c>
      <c r="G187" s="4">
        <f>+E187*Summary!$F$6/12</f>
        <v>0</v>
      </c>
      <c r="H187" s="4">
        <f>+IF(Summary!$B$8*12=B187,E187-F187,0)</f>
        <v>0</v>
      </c>
      <c r="I187" s="4">
        <f t="shared" si="9"/>
        <v>0</v>
      </c>
    </row>
    <row r="188" spans="2:9" x14ac:dyDescent="0.2">
      <c r="B188">
        <v>185</v>
      </c>
      <c r="C188">
        <f t="shared" si="10"/>
        <v>16</v>
      </c>
      <c r="D188" s="4">
        <f>+IF(B188&lt;=Summary!$B$17,E188*Summary!$E$6/12,-IF(C188&gt;Summary!$B$8,0,-'Market Amortization Table'!$L$4))</f>
        <v>0</v>
      </c>
      <c r="E188" s="4">
        <f t="shared" si="11"/>
        <v>0</v>
      </c>
      <c r="F188" s="4">
        <f t="shared" si="12"/>
        <v>0</v>
      </c>
      <c r="G188" s="4">
        <f>+E188*Summary!$F$6/12</f>
        <v>0</v>
      </c>
      <c r="H188" s="4">
        <f>+IF(Summary!$B$8*12=B188,E188-F188,0)</f>
        <v>0</v>
      </c>
      <c r="I188" s="4">
        <f t="shared" si="9"/>
        <v>0</v>
      </c>
    </row>
    <row r="189" spans="2:9" x14ac:dyDescent="0.2">
      <c r="B189">
        <v>186</v>
      </c>
      <c r="C189">
        <f t="shared" si="10"/>
        <v>16</v>
      </c>
      <c r="D189" s="4">
        <f>+IF(B189&lt;=Summary!$B$17,E189*Summary!$E$6/12,-IF(C189&gt;Summary!$B$8,0,-'Market Amortization Table'!$L$4))</f>
        <v>0</v>
      </c>
      <c r="E189" s="4">
        <f t="shared" si="11"/>
        <v>0</v>
      </c>
      <c r="F189" s="4">
        <f t="shared" si="12"/>
        <v>0</v>
      </c>
      <c r="G189" s="4">
        <f>+E189*Summary!$F$6/12</f>
        <v>0</v>
      </c>
      <c r="H189" s="4">
        <f>+IF(Summary!$B$8*12=B189,E189-F189,0)</f>
        <v>0</v>
      </c>
      <c r="I189" s="4">
        <f t="shared" si="9"/>
        <v>0</v>
      </c>
    </row>
    <row r="190" spans="2:9" x14ac:dyDescent="0.2">
      <c r="B190">
        <v>187</v>
      </c>
      <c r="C190">
        <f t="shared" si="10"/>
        <v>16</v>
      </c>
      <c r="D190" s="4">
        <f>+IF(B190&lt;=Summary!$B$17,E190*Summary!$E$6/12,-IF(C190&gt;Summary!$B$8,0,-'Market Amortization Table'!$L$4))</f>
        <v>0</v>
      </c>
      <c r="E190" s="4">
        <f t="shared" si="11"/>
        <v>0</v>
      </c>
      <c r="F190" s="4">
        <f t="shared" si="12"/>
        <v>0</v>
      </c>
      <c r="G190" s="4">
        <f>+E190*Summary!$F$6/12</f>
        <v>0</v>
      </c>
      <c r="H190" s="4">
        <f>+IF(Summary!$B$8*12=B190,E190-F190,0)</f>
        <v>0</v>
      </c>
      <c r="I190" s="4">
        <f t="shared" si="9"/>
        <v>0</v>
      </c>
    </row>
    <row r="191" spans="2:9" x14ac:dyDescent="0.2">
      <c r="B191">
        <v>188</v>
      </c>
      <c r="C191">
        <f t="shared" si="10"/>
        <v>16</v>
      </c>
      <c r="D191" s="4">
        <f>+IF(B191&lt;=Summary!$B$17,E191*Summary!$E$6/12,-IF(C191&gt;Summary!$B$8,0,-'Market Amortization Table'!$L$4))</f>
        <v>0</v>
      </c>
      <c r="E191" s="4">
        <f t="shared" si="11"/>
        <v>0</v>
      </c>
      <c r="F191" s="4">
        <f t="shared" si="12"/>
        <v>0</v>
      </c>
      <c r="G191" s="4">
        <f>+E191*Summary!$F$6/12</f>
        <v>0</v>
      </c>
      <c r="H191" s="4">
        <f>+IF(Summary!$B$8*12=B191,E191-F191,0)</f>
        <v>0</v>
      </c>
      <c r="I191" s="4">
        <f t="shared" si="9"/>
        <v>0</v>
      </c>
    </row>
    <row r="192" spans="2:9" x14ac:dyDescent="0.2">
      <c r="B192">
        <v>189</v>
      </c>
      <c r="C192">
        <f t="shared" si="10"/>
        <v>16</v>
      </c>
      <c r="D192" s="4">
        <f>+IF(B192&lt;=Summary!$B$17,E192*Summary!$E$6/12,-IF(C192&gt;Summary!$B$8,0,-'Market Amortization Table'!$L$4))</f>
        <v>0</v>
      </c>
      <c r="E192" s="4">
        <f t="shared" si="11"/>
        <v>0</v>
      </c>
      <c r="F192" s="4">
        <f t="shared" si="12"/>
        <v>0</v>
      </c>
      <c r="G192" s="4">
        <f>+E192*Summary!$F$6/12</f>
        <v>0</v>
      </c>
      <c r="H192" s="4">
        <f>+IF(Summary!$B$8*12=B192,E192-F192,0)</f>
        <v>0</v>
      </c>
      <c r="I192" s="4">
        <f t="shared" si="9"/>
        <v>0</v>
      </c>
    </row>
    <row r="193" spans="2:9" x14ac:dyDescent="0.2">
      <c r="B193">
        <v>190</v>
      </c>
      <c r="C193">
        <f t="shared" si="10"/>
        <v>16</v>
      </c>
      <c r="D193" s="4">
        <f>+IF(B193&lt;=Summary!$B$17,E193*Summary!$E$6/12,-IF(C193&gt;Summary!$B$8,0,-'Market Amortization Table'!$L$4))</f>
        <v>0</v>
      </c>
      <c r="E193" s="4">
        <f t="shared" si="11"/>
        <v>0</v>
      </c>
      <c r="F193" s="4">
        <f t="shared" si="12"/>
        <v>0</v>
      </c>
      <c r="G193" s="4">
        <f>+E193*Summary!$F$6/12</f>
        <v>0</v>
      </c>
      <c r="H193" s="4">
        <f>+IF(Summary!$B$8*12=B193,E193-F193,0)</f>
        <v>0</v>
      </c>
      <c r="I193" s="4">
        <f t="shared" si="9"/>
        <v>0</v>
      </c>
    </row>
    <row r="194" spans="2:9" x14ac:dyDescent="0.2">
      <c r="B194">
        <v>191</v>
      </c>
      <c r="C194">
        <f t="shared" si="10"/>
        <v>16</v>
      </c>
      <c r="D194" s="4">
        <f>+IF(B194&lt;=Summary!$B$17,E194*Summary!$E$6/12,-IF(C194&gt;Summary!$B$8,0,-'Market Amortization Table'!$L$4))</f>
        <v>0</v>
      </c>
      <c r="E194" s="4">
        <f t="shared" si="11"/>
        <v>0</v>
      </c>
      <c r="F194" s="4">
        <f t="shared" si="12"/>
        <v>0</v>
      </c>
      <c r="G194" s="4">
        <f>+E194*Summary!$F$6/12</f>
        <v>0</v>
      </c>
      <c r="H194" s="4">
        <f>+IF(Summary!$B$8*12=B194,E194-F194,0)</f>
        <v>0</v>
      </c>
      <c r="I194" s="4">
        <f t="shared" si="9"/>
        <v>0</v>
      </c>
    </row>
    <row r="195" spans="2:9" x14ac:dyDescent="0.2">
      <c r="B195">
        <v>192</v>
      </c>
      <c r="C195">
        <f t="shared" si="10"/>
        <v>16</v>
      </c>
      <c r="D195" s="4">
        <f>+IF(B195&lt;=Summary!$B$17,E195*Summary!$E$6/12,-IF(C195&gt;Summary!$B$8,0,-'Market Amortization Table'!$L$4))</f>
        <v>0</v>
      </c>
      <c r="E195" s="4">
        <f t="shared" si="11"/>
        <v>0</v>
      </c>
      <c r="F195" s="4">
        <f t="shared" si="12"/>
        <v>0</v>
      </c>
      <c r="G195" s="4">
        <f>+E195*Summary!$F$6/12</f>
        <v>0</v>
      </c>
      <c r="H195" s="4">
        <f>+IF(Summary!$B$8*12=B195,E195-F195,0)</f>
        <v>0</v>
      </c>
      <c r="I195" s="4">
        <f t="shared" si="9"/>
        <v>0</v>
      </c>
    </row>
    <row r="196" spans="2:9" x14ac:dyDescent="0.2">
      <c r="B196">
        <v>193</v>
      </c>
      <c r="C196">
        <f t="shared" si="10"/>
        <v>17</v>
      </c>
      <c r="D196" s="4">
        <f>+IF(B196&lt;=Summary!$B$17,E196*Summary!$E$6/12,-IF(C196&gt;Summary!$B$8,0,-'Market Amortization Table'!$L$4))</f>
        <v>0</v>
      </c>
      <c r="E196" s="4">
        <f t="shared" si="11"/>
        <v>0</v>
      </c>
      <c r="F196" s="4">
        <f t="shared" si="12"/>
        <v>0</v>
      </c>
      <c r="G196" s="4">
        <f>+E196*Summary!$F$6/12</f>
        <v>0</v>
      </c>
      <c r="H196" s="4">
        <f>+IF(Summary!$B$8*12=B196,E196-F196,0)</f>
        <v>0</v>
      </c>
      <c r="I196" s="4">
        <f t="shared" ref="I196:I259" si="13">+E196-F196-H196</f>
        <v>0</v>
      </c>
    </row>
    <row r="197" spans="2:9" x14ac:dyDescent="0.2">
      <c r="B197">
        <v>194</v>
      </c>
      <c r="C197">
        <f t="shared" ref="C197:C260" si="14">+ROUNDUP(B197/12,0)</f>
        <v>17</v>
      </c>
      <c r="D197" s="4">
        <f>+IF(B197&lt;=Summary!$B$17,E197*Summary!$E$6/12,-IF(C197&gt;Summary!$B$8,0,-'Market Amortization Table'!$L$4))</f>
        <v>0</v>
      </c>
      <c r="E197" s="4">
        <f t="shared" ref="E197:E260" si="15">+I196</f>
        <v>0</v>
      </c>
      <c r="F197" s="4">
        <f t="shared" si="12"/>
        <v>0</v>
      </c>
      <c r="G197" s="4">
        <f>+E197*Summary!$F$6/12</f>
        <v>0</v>
      </c>
      <c r="H197" s="4">
        <f>+IF(Summary!$B$8*12=B197,E197-F197,0)</f>
        <v>0</v>
      </c>
      <c r="I197" s="4">
        <f t="shared" si="13"/>
        <v>0</v>
      </c>
    </row>
    <row r="198" spans="2:9" x14ac:dyDescent="0.2">
      <c r="B198">
        <v>195</v>
      </c>
      <c r="C198">
        <f t="shared" si="14"/>
        <v>17</v>
      </c>
      <c r="D198" s="4">
        <f>+IF(B198&lt;=Summary!$B$17,E198*Summary!$E$6/12,-IF(C198&gt;Summary!$B$8,0,-'Market Amortization Table'!$L$4))</f>
        <v>0</v>
      </c>
      <c r="E198" s="4">
        <f t="shared" si="15"/>
        <v>0</v>
      </c>
      <c r="F198" s="4">
        <f t="shared" si="12"/>
        <v>0</v>
      </c>
      <c r="G198" s="4">
        <f>+E198*Summary!$F$6/12</f>
        <v>0</v>
      </c>
      <c r="H198" s="4">
        <f>+IF(Summary!$B$8*12=B198,E198-F198,0)</f>
        <v>0</v>
      </c>
      <c r="I198" s="4">
        <f t="shared" si="13"/>
        <v>0</v>
      </c>
    </row>
    <row r="199" spans="2:9" x14ac:dyDescent="0.2">
      <c r="B199">
        <v>196</v>
      </c>
      <c r="C199">
        <f t="shared" si="14"/>
        <v>17</v>
      </c>
      <c r="D199" s="4">
        <f>+IF(B199&lt;=Summary!$B$17,E199*Summary!$E$6/12,-IF(C199&gt;Summary!$B$8,0,-'Market Amortization Table'!$L$4))</f>
        <v>0</v>
      </c>
      <c r="E199" s="4">
        <f t="shared" si="15"/>
        <v>0</v>
      </c>
      <c r="F199" s="4">
        <f t="shared" si="12"/>
        <v>0</v>
      </c>
      <c r="G199" s="4">
        <f>+E199*Summary!$F$6/12</f>
        <v>0</v>
      </c>
      <c r="H199" s="4">
        <f>+IF(Summary!$B$8*12=B199,E199-F199,0)</f>
        <v>0</v>
      </c>
      <c r="I199" s="4">
        <f t="shared" si="13"/>
        <v>0</v>
      </c>
    </row>
    <row r="200" spans="2:9" x14ac:dyDescent="0.2">
      <c r="B200">
        <v>197</v>
      </c>
      <c r="C200">
        <f t="shared" si="14"/>
        <v>17</v>
      </c>
      <c r="D200" s="4">
        <f>+IF(B200&lt;=Summary!$B$17,E200*Summary!$E$6/12,-IF(C200&gt;Summary!$B$8,0,-'Market Amortization Table'!$L$4))</f>
        <v>0</v>
      </c>
      <c r="E200" s="4">
        <f t="shared" si="15"/>
        <v>0</v>
      </c>
      <c r="F200" s="4">
        <f t="shared" si="12"/>
        <v>0</v>
      </c>
      <c r="G200" s="4">
        <f>+E200*Summary!$F$6/12</f>
        <v>0</v>
      </c>
      <c r="H200" s="4">
        <f>+IF(Summary!$B$8*12=B200,E200-F200,0)</f>
        <v>0</v>
      </c>
      <c r="I200" s="4">
        <f t="shared" si="13"/>
        <v>0</v>
      </c>
    </row>
    <row r="201" spans="2:9" x14ac:dyDescent="0.2">
      <c r="B201">
        <v>198</v>
      </c>
      <c r="C201">
        <f t="shared" si="14"/>
        <v>17</v>
      </c>
      <c r="D201" s="4">
        <f>+IF(B201&lt;=Summary!$B$17,E201*Summary!$E$6/12,-IF(C201&gt;Summary!$B$8,0,-'Market Amortization Table'!$L$4))</f>
        <v>0</v>
      </c>
      <c r="E201" s="4">
        <f t="shared" si="15"/>
        <v>0</v>
      </c>
      <c r="F201" s="4">
        <f t="shared" si="12"/>
        <v>0</v>
      </c>
      <c r="G201" s="4">
        <f>+E201*Summary!$F$6/12</f>
        <v>0</v>
      </c>
      <c r="H201" s="4">
        <f>+IF(Summary!$B$8*12=B201,E201-F201,0)</f>
        <v>0</v>
      </c>
      <c r="I201" s="4">
        <f t="shared" si="13"/>
        <v>0</v>
      </c>
    </row>
    <row r="202" spans="2:9" x14ac:dyDescent="0.2">
      <c r="B202">
        <v>199</v>
      </c>
      <c r="C202">
        <f t="shared" si="14"/>
        <v>17</v>
      </c>
      <c r="D202" s="4">
        <f>+IF(B202&lt;=Summary!$B$17,E202*Summary!$E$6/12,-IF(C202&gt;Summary!$B$8,0,-'Market Amortization Table'!$L$4))</f>
        <v>0</v>
      </c>
      <c r="E202" s="4">
        <f t="shared" si="15"/>
        <v>0</v>
      </c>
      <c r="F202" s="4">
        <f t="shared" si="12"/>
        <v>0</v>
      </c>
      <c r="G202" s="4">
        <f>+E202*Summary!$F$6/12</f>
        <v>0</v>
      </c>
      <c r="H202" s="4">
        <f>+IF(Summary!$B$8*12=B202,E202-F202,0)</f>
        <v>0</v>
      </c>
      <c r="I202" s="4">
        <f t="shared" si="13"/>
        <v>0</v>
      </c>
    </row>
    <row r="203" spans="2:9" x14ac:dyDescent="0.2">
      <c r="B203">
        <v>200</v>
      </c>
      <c r="C203">
        <f t="shared" si="14"/>
        <v>17</v>
      </c>
      <c r="D203" s="4">
        <f>+IF(B203&lt;=Summary!$B$17,E203*Summary!$E$6/12,-IF(C203&gt;Summary!$B$8,0,-'Market Amortization Table'!$L$4))</f>
        <v>0</v>
      </c>
      <c r="E203" s="4">
        <f t="shared" si="15"/>
        <v>0</v>
      </c>
      <c r="F203" s="4">
        <f t="shared" si="12"/>
        <v>0</v>
      </c>
      <c r="G203" s="4">
        <f>+E203*Summary!$F$6/12</f>
        <v>0</v>
      </c>
      <c r="H203" s="4">
        <f>+IF(Summary!$B$8*12=B203,E203-F203,0)</f>
        <v>0</v>
      </c>
      <c r="I203" s="4">
        <f t="shared" si="13"/>
        <v>0</v>
      </c>
    </row>
    <row r="204" spans="2:9" x14ac:dyDescent="0.2">
      <c r="B204">
        <v>201</v>
      </c>
      <c r="C204">
        <f t="shared" si="14"/>
        <v>17</v>
      </c>
      <c r="D204" s="4">
        <f>+IF(B204&lt;=Summary!$B$17,E204*Summary!$E$6/12,-IF(C204&gt;Summary!$B$8,0,-'Market Amortization Table'!$L$4))</f>
        <v>0</v>
      </c>
      <c r="E204" s="4">
        <f t="shared" si="15"/>
        <v>0</v>
      </c>
      <c r="F204" s="4">
        <f t="shared" ref="F204:F267" si="16">+D204-G204</f>
        <v>0</v>
      </c>
      <c r="G204" s="4">
        <f>+E204*Summary!$F$6/12</f>
        <v>0</v>
      </c>
      <c r="H204" s="4">
        <f>+IF(Summary!$B$8*12=B204,E204-F204,0)</f>
        <v>0</v>
      </c>
      <c r="I204" s="4">
        <f t="shared" si="13"/>
        <v>0</v>
      </c>
    </row>
    <row r="205" spans="2:9" x14ac:dyDescent="0.2">
      <c r="B205">
        <v>202</v>
      </c>
      <c r="C205">
        <f t="shared" si="14"/>
        <v>17</v>
      </c>
      <c r="D205" s="4">
        <f>+IF(B205&lt;=Summary!$B$17,E205*Summary!$E$6/12,-IF(C205&gt;Summary!$B$8,0,-'Market Amortization Table'!$L$4))</f>
        <v>0</v>
      </c>
      <c r="E205" s="4">
        <f t="shared" si="15"/>
        <v>0</v>
      </c>
      <c r="F205" s="4">
        <f t="shared" si="16"/>
        <v>0</v>
      </c>
      <c r="G205" s="4">
        <f>+E205*Summary!$F$6/12</f>
        <v>0</v>
      </c>
      <c r="H205" s="4">
        <f>+IF(Summary!$B$8*12=B205,E205-F205,0)</f>
        <v>0</v>
      </c>
      <c r="I205" s="4">
        <f t="shared" si="13"/>
        <v>0</v>
      </c>
    </row>
    <row r="206" spans="2:9" x14ac:dyDescent="0.2">
      <c r="B206">
        <v>203</v>
      </c>
      <c r="C206">
        <f t="shared" si="14"/>
        <v>17</v>
      </c>
      <c r="D206" s="4">
        <f>+IF(B206&lt;=Summary!$B$17,E206*Summary!$E$6/12,-IF(C206&gt;Summary!$B$8,0,-'Market Amortization Table'!$L$4))</f>
        <v>0</v>
      </c>
      <c r="E206" s="4">
        <f t="shared" si="15"/>
        <v>0</v>
      </c>
      <c r="F206" s="4">
        <f t="shared" si="16"/>
        <v>0</v>
      </c>
      <c r="G206" s="4">
        <f>+E206*Summary!$F$6/12</f>
        <v>0</v>
      </c>
      <c r="H206" s="4">
        <f>+IF(Summary!$B$8*12=B206,E206-F206,0)</f>
        <v>0</v>
      </c>
      <c r="I206" s="4">
        <f t="shared" si="13"/>
        <v>0</v>
      </c>
    </row>
    <row r="207" spans="2:9" x14ac:dyDescent="0.2">
      <c r="B207">
        <v>204</v>
      </c>
      <c r="C207">
        <f t="shared" si="14"/>
        <v>17</v>
      </c>
      <c r="D207" s="4">
        <f>+IF(B207&lt;=Summary!$B$17,E207*Summary!$E$6/12,-IF(C207&gt;Summary!$B$8,0,-'Market Amortization Table'!$L$4))</f>
        <v>0</v>
      </c>
      <c r="E207" s="4">
        <f t="shared" si="15"/>
        <v>0</v>
      </c>
      <c r="F207" s="4">
        <f t="shared" si="16"/>
        <v>0</v>
      </c>
      <c r="G207" s="4">
        <f>+E207*Summary!$F$6/12</f>
        <v>0</v>
      </c>
      <c r="H207" s="4">
        <f>+IF(Summary!$B$8*12=B207,E207-F207,0)</f>
        <v>0</v>
      </c>
      <c r="I207" s="4">
        <f t="shared" si="13"/>
        <v>0</v>
      </c>
    </row>
    <row r="208" spans="2:9" x14ac:dyDescent="0.2">
      <c r="B208">
        <v>205</v>
      </c>
      <c r="C208">
        <f t="shared" si="14"/>
        <v>18</v>
      </c>
      <c r="D208" s="4">
        <f>+IF(B208&lt;=Summary!$B$17,E208*Summary!$E$6/12,-IF(C208&gt;Summary!$B$8,0,-'Market Amortization Table'!$L$4))</f>
        <v>0</v>
      </c>
      <c r="E208" s="4">
        <f t="shared" si="15"/>
        <v>0</v>
      </c>
      <c r="F208" s="4">
        <f t="shared" si="16"/>
        <v>0</v>
      </c>
      <c r="G208" s="4">
        <f>+E208*Summary!$F$6/12</f>
        <v>0</v>
      </c>
      <c r="H208" s="4">
        <f>+IF(Summary!$B$8*12=B208,E208-F208,0)</f>
        <v>0</v>
      </c>
      <c r="I208" s="4">
        <f t="shared" si="13"/>
        <v>0</v>
      </c>
    </row>
    <row r="209" spans="2:9" x14ac:dyDescent="0.2">
      <c r="B209">
        <v>206</v>
      </c>
      <c r="C209">
        <f t="shared" si="14"/>
        <v>18</v>
      </c>
      <c r="D209" s="4">
        <f>+IF(B209&lt;=Summary!$B$17,E209*Summary!$E$6/12,-IF(C209&gt;Summary!$B$8,0,-'Market Amortization Table'!$L$4))</f>
        <v>0</v>
      </c>
      <c r="E209" s="4">
        <f t="shared" si="15"/>
        <v>0</v>
      </c>
      <c r="F209" s="4">
        <f t="shared" si="16"/>
        <v>0</v>
      </c>
      <c r="G209" s="4">
        <f>+E209*Summary!$F$6/12</f>
        <v>0</v>
      </c>
      <c r="H209" s="4">
        <f>+IF(Summary!$B$8*12=B209,E209-F209,0)</f>
        <v>0</v>
      </c>
      <c r="I209" s="4">
        <f t="shared" si="13"/>
        <v>0</v>
      </c>
    </row>
    <row r="210" spans="2:9" x14ac:dyDescent="0.2">
      <c r="B210">
        <v>207</v>
      </c>
      <c r="C210">
        <f t="shared" si="14"/>
        <v>18</v>
      </c>
      <c r="D210" s="4">
        <f>+IF(B210&lt;=Summary!$B$17,E210*Summary!$E$6/12,-IF(C210&gt;Summary!$B$8,0,-'Market Amortization Table'!$L$4))</f>
        <v>0</v>
      </c>
      <c r="E210" s="4">
        <f t="shared" si="15"/>
        <v>0</v>
      </c>
      <c r="F210" s="4">
        <f t="shared" si="16"/>
        <v>0</v>
      </c>
      <c r="G210" s="4">
        <f>+E210*Summary!$F$6/12</f>
        <v>0</v>
      </c>
      <c r="H210" s="4">
        <f>+IF(Summary!$B$8*12=B210,E210-F210,0)</f>
        <v>0</v>
      </c>
      <c r="I210" s="4">
        <f t="shared" si="13"/>
        <v>0</v>
      </c>
    </row>
    <row r="211" spans="2:9" x14ac:dyDescent="0.2">
      <c r="B211">
        <v>208</v>
      </c>
      <c r="C211">
        <f t="shared" si="14"/>
        <v>18</v>
      </c>
      <c r="D211" s="4">
        <f>+IF(B211&lt;=Summary!$B$17,E211*Summary!$E$6/12,-IF(C211&gt;Summary!$B$8,0,-'Market Amortization Table'!$L$4))</f>
        <v>0</v>
      </c>
      <c r="E211" s="4">
        <f t="shared" si="15"/>
        <v>0</v>
      </c>
      <c r="F211" s="4">
        <f t="shared" si="16"/>
        <v>0</v>
      </c>
      <c r="G211" s="4">
        <f>+E211*Summary!$F$6/12</f>
        <v>0</v>
      </c>
      <c r="H211" s="4">
        <f>+IF(Summary!$B$8*12=B211,E211-F211,0)</f>
        <v>0</v>
      </c>
      <c r="I211" s="4">
        <f t="shared" si="13"/>
        <v>0</v>
      </c>
    </row>
    <row r="212" spans="2:9" x14ac:dyDescent="0.2">
      <c r="B212">
        <v>209</v>
      </c>
      <c r="C212">
        <f t="shared" si="14"/>
        <v>18</v>
      </c>
      <c r="D212" s="4">
        <f>+IF(B212&lt;=Summary!$B$17,E212*Summary!$E$6/12,-IF(C212&gt;Summary!$B$8,0,-'Market Amortization Table'!$L$4))</f>
        <v>0</v>
      </c>
      <c r="E212" s="4">
        <f t="shared" si="15"/>
        <v>0</v>
      </c>
      <c r="F212" s="4">
        <f t="shared" si="16"/>
        <v>0</v>
      </c>
      <c r="G212" s="4">
        <f>+E212*Summary!$F$6/12</f>
        <v>0</v>
      </c>
      <c r="H212" s="4">
        <f>+IF(Summary!$B$8*12=B212,E212-F212,0)</f>
        <v>0</v>
      </c>
      <c r="I212" s="4">
        <f t="shared" si="13"/>
        <v>0</v>
      </c>
    </row>
    <row r="213" spans="2:9" x14ac:dyDescent="0.2">
      <c r="B213">
        <v>210</v>
      </c>
      <c r="C213">
        <f t="shared" si="14"/>
        <v>18</v>
      </c>
      <c r="D213" s="4">
        <f>+IF(B213&lt;=Summary!$B$17,E213*Summary!$E$6/12,-IF(C213&gt;Summary!$B$8,0,-'Market Amortization Table'!$L$4))</f>
        <v>0</v>
      </c>
      <c r="E213" s="4">
        <f t="shared" si="15"/>
        <v>0</v>
      </c>
      <c r="F213" s="4">
        <f t="shared" si="16"/>
        <v>0</v>
      </c>
      <c r="G213" s="4">
        <f>+E213*Summary!$F$6/12</f>
        <v>0</v>
      </c>
      <c r="H213" s="4">
        <f>+IF(Summary!$B$8*12=B213,E213-F213,0)</f>
        <v>0</v>
      </c>
      <c r="I213" s="4">
        <f t="shared" si="13"/>
        <v>0</v>
      </c>
    </row>
    <row r="214" spans="2:9" x14ac:dyDescent="0.2">
      <c r="B214">
        <v>211</v>
      </c>
      <c r="C214">
        <f t="shared" si="14"/>
        <v>18</v>
      </c>
      <c r="D214" s="4">
        <f>+IF(B214&lt;=Summary!$B$17,E214*Summary!$E$6/12,-IF(C214&gt;Summary!$B$8,0,-'Market Amortization Table'!$L$4))</f>
        <v>0</v>
      </c>
      <c r="E214" s="4">
        <f t="shared" si="15"/>
        <v>0</v>
      </c>
      <c r="F214" s="4">
        <f t="shared" si="16"/>
        <v>0</v>
      </c>
      <c r="G214" s="4">
        <f>+E214*Summary!$F$6/12</f>
        <v>0</v>
      </c>
      <c r="H214" s="4">
        <f>+IF(Summary!$B$8*12=B214,E214-F214,0)</f>
        <v>0</v>
      </c>
      <c r="I214" s="4">
        <f t="shared" si="13"/>
        <v>0</v>
      </c>
    </row>
    <row r="215" spans="2:9" x14ac:dyDescent="0.2">
      <c r="B215">
        <v>212</v>
      </c>
      <c r="C215">
        <f t="shared" si="14"/>
        <v>18</v>
      </c>
      <c r="D215" s="4">
        <f>+IF(B215&lt;=Summary!$B$17,E215*Summary!$E$6/12,-IF(C215&gt;Summary!$B$8,0,-'Market Amortization Table'!$L$4))</f>
        <v>0</v>
      </c>
      <c r="E215" s="4">
        <f t="shared" si="15"/>
        <v>0</v>
      </c>
      <c r="F215" s="4">
        <f t="shared" si="16"/>
        <v>0</v>
      </c>
      <c r="G215" s="4">
        <f>+E215*Summary!$F$6/12</f>
        <v>0</v>
      </c>
      <c r="H215" s="4">
        <f>+IF(Summary!$B$8*12=B215,E215-F215,0)</f>
        <v>0</v>
      </c>
      <c r="I215" s="4">
        <f t="shared" si="13"/>
        <v>0</v>
      </c>
    </row>
    <row r="216" spans="2:9" x14ac:dyDescent="0.2">
      <c r="B216">
        <v>213</v>
      </c>
      <c r="C216">
        <f t="shared" si="14"/>
        <v>18</v>
      </c>
      <c r="D216" s="4">
        <f>+IF(B216&lt;=Summary!$B$17,E216*Summary!$E$6/12,-IF(C216&gt;Summary!$B$8,0,-'Market Amortization Table'!$L$4))</f>
        <v>0</v>
      </c>
      <c r="E216" s="4">
        <f t="shared" si="15"/>
        <v>0</v>
      </c>
      <c r="F216" s="4">
        <f t="shared" si="16"/>
        <v>0</v>
      </c>
      <c r="G216" s="4">
        <f>+E216*Summary!$F$6/12</f>
        <v>0</v>
      </c>
      <c r="H216" s="4">
        <f>+IF(Summary!$B$8*12=B216,E216-F216,0)</f>
        <v>0</v>
      </c>
      <c r="I216" s="4">
        <f t="shared" si="13"/>
        <v>0</v>
      </c>
    </row>
    <row r="217" spans="2:9" x14ac:dyDescent="0.2">
      <c r="B217">
        <v>214</v>
      </c>
      <c r="C217">
        <f t="shared" si="14"/>
        <v>18</v>
      </c>
      <c r="D217" s="4">
        <f>+IF(B217&lt;=Summary!$B$17,E217*Summary!$E$6/12,-IF(C217&gt;Summary!$B$8,0,-'Market Amortization Table'!$L$4))</f>
        <v>0</v>
      </c>
      <c r="E217" s="4">
        <f t="shared" si="15"/>
        <v>0</v>
      </c>
      <c r="F217" s="4">
        <f t="shared" si="16"/>
        <v>0</v>
      </c>
      <c r="G217" s="4">
        <f>+E217*Summary!$F$6/12</f>
        <v>0</v>
      </c>
      <c r="H217" s="4">
        <f>+IF(Summary!$B$8*12=B217,E217-F217,0)</f>
        <v>0</v>
      </c>
      <c r="I217" s="4">
        <f t="shared" si="13"/>
        <v>0</v>
      </c>
    </row>
    <row r="218" spans="2:9" x14ac:dyDescent="0.2">
      <c r="B218">
        <v>215</v>
      </c>
      <c r="C218">
        <f t="shared" si="14"/>
        <v>18</v>
      </c>
      <c r="D218" s="4">
        <f>+IF(B218&lt;=Summary!$B$17,E218*Summary!$E$6/12,-IF(C218&gt;Summary!$B$8,0,-'Market Amortization Table'!$L$4))</f>
        <v>0</v>
      </c>
      <c r="E218" s="4">
        <f t="shared" si="15"/>
        <v>0</v>
      </c>
      <c r="F218" s="4">
        <f t="shared" si="16"/>
        <v>0</v>
      </c>
      <c r="G218" s="4">
        <f>+E218*Summary!$F$6/12</f>
        <v>0</v>
      </c>
      <c r="H218" s="4">
        <f>+IF(Summary!$B$8*12=B218,E218-F218,0)</f>
        <v>0</v>
      </c>
      <c r="I218" s="4">
        <f t="shared" si="13"/>
        <v>0</v>
      </c>
    </row>
    <row r="219" spans="2:9" x14ac:dyDescent="0.2">
      <c r="B219">
        <v>216</v>
      </c>
      <c r="C219">
        <f t="shared" si="14"/>
        <v>18</v>
      </c>
      <c r="D219" s="4">
        <f>+IF(B219&lt;=Summary!$B$17,E219*Summary!$E$6/12,-IF(C219&gt;Summary!$B$8,0,-'Market Amortization Table'!$L$4))</f>
        <v>0</v>
      </c>
      <c r="E219" s="4">
        <f t="shared" si="15"/>
        <v>0</v>
      </c>
      <c r="F219" s="4">
        <f t="shared" si="16"/>
        <v>0</v>
      </c>
      <c r="G219" s="4">
        <f>+E219*Summary!$F$6/12</f>
        <v>0</v>
      </c>
      <c r="H219" s="4">
        <f>+IF(Summary!$B$8*12=B219,E219-F219,0)</f>
        <v>0</v>
      </c>
      <c r="I219" s="4">
        <f t="shared" si="13"/>
        <v>0</v>
      </c>
    </row>
    <row r="220" spans="2:9" x14ac:dyDescent="0.2">
      <c r="B220">
        <v>217</v>
      </c>
      <c r="C220">
        <f t="shared" si="14"/>
        <v>19</v>
      </c>
      <c r="D220" s="4">
        <f>+IF(B220&lt;=Summary!$B$17,E220*Summary!$E$6/12,-IF(C220&gt;Summary!$B$8,0,-'Market Amortization Table'!$L$4))</f>
        <v>0</v>
      </c>
      <c r="E220" s="4">
        <f t="shared" si="15"/>
        <v>0</v>
      </c>
      <c r="F220" s="4">
        <f t="shared" si="16"/>
        <v>0</v>
      </c>
      <c r="G220" s="4">
        <f>+E220*Summary!$F$6/12</f>
        <v>0</v>
      </c>
      <c r="H220" s="4">
        <f>+IF(Summary!$B$8*12=B220,E220-F220,0)</f>
        <v>0</v>
      </c>
      <c r="I220" s="4">
        <f t="shared" si="13"/>
        <v>0</v>
      </c>
    </row>
    <row r="221" spans="2:9" x14ac:dyDescent="0.2">
      <c r="B221">
        <v>218</v>
      </c>
      <c r="C221">
        <f t="shared" si="14"/>
        <v>19</v>
      </c>
      <c r="D221" s="4">
        <f>+IF(B221&lt;=Summary!$B$17,E221*Summary!$E$6/12,-IF(C221&gt;Summary!$B$8,0,-'Market Amortization Table'!$L$4))</f>
        <v>0</v>
      </c>
      <c r="E221" s="4">
        <f t="shared" si="15"/>
        <v>0</v>
      </c>
      <c r="F221" s="4">
        <f t="shared" si="16"/>
        <v>0</v>
      </c>
      <c r="G221" s="4">
        <f>+E221*Summary!$F$6/12</f>
        <v>0</v>
      </c>
      <c r="H221" s="4">
        <f>+IF(Summary!$B$8*12=B221,E221-F221,0)</f>
        <v>0</v>
      </c>
      <c r="I221" s="4">
        <f t="shared" si="13"/>
        <v>0</v>
      </c>
    </row>
    <row r="222" spans="2:9" x14ac:dyDescent="0.2">
      <c r="B222">
        <v>219</v>
      </c>
      <c r="C222">
        <f t="shared" si="14"/>
        <v>19</v>
      </c>
      <c r="D222" s="4">
        <f>+IF(B222&lt;=Summary!$B$17,E222*Summary!$E$6/12,-IF(C222&gt;Summary!$B$8,0,-'Market Amortization Table'!$L$4))</f>
        <v>0</v>
      </c>
      <c r="E222" s="4">
        <f t="shared" si="15"/>
        <v>0</v>
      </c>
      <c r="F222" s="4">
        <f t="shared" si="16"/>
        <v>0</v>
      </c>
      <c r="G222" s="4">
        <f>+E222*Summary!$F$6/12</f>
        <v>0</v>
      </c>
      <c r="H222" s="4">
        <f>+IF(Summary!$B$8*12=B222,E222-F222,0)</f>
        <v>0</v>
      </c>
      <c r="I222" s="4">
        <f t="shared" si="13"/>
        <v>0</v>
      </c>
    </row>
    <row r="223" spans="2:9" x14ac:dyDescent="0.2">
      <c r="B223">
        <v>220</v>
      </c>
      <c r="C223">
        <f t="shared" si="14"/>
        <v>19</v>
      </c>
      <c r="D223" s="4">
        <f>+IF(B223&lt;=Summary!$B$17,E223*Summary!$E$6/12,-IF(C223&gt;Summary!$B$8,0,-'Market Amortization Table'!$L$4))</f>
        <v>0</v>
      </c>
      <c r="E223" s="4">
        <f t="shared" si="15"/>
        <v>0</v>
      </c>
      <c r="F223" s="4">
        <f t="shared" si="16"/>
        <v>0</v>
      </c>
      <c r="G223" s="4">
        <f>+E223*Summary!$F$6/12</f>
        <v>0</v>
      </c>
      <c r="H223" s="4">
        <f>+IF(Summary!$B$8*12=B223,E223-F223,0)</f>
        <v>0</v>
      </c>
      <c r="I223" s="4">
        <f t="shared" si="13"/>
        <v>0</v>
      </c>
    </row>
    <row r="224" spans="2:9" x14ac:dyDescent="0.2">
      <c r="B224">
        <v>221</v>
      </c>
      <c r="C224">
        <f t="shared" si="14"/>
        <v>19</v>
      </c>
      <c r="D224" s="4">
        <f>+IF(B224&lt;=Summary!$B$17,E224*Summary!$E$6/12,-IF(C224&gt;Summary!$B$8,0,-'Market Amortization Table'!$L$4))</f>
        <v>0</v>
      </c>
      <c r="E224" s="4">
        <f t="shared" si="15"/>
        <v>0</v>
      </c>
      <c r="F224" s="4">
        <f t="shared" si="16"/>
        <v>0</v>
      </c>
      <c r="G224" s="4">
        <f>+E224*Summary!$F$6/12</f>
        <v>0</v>
      </c>
      <c r="H224" s="4">
        <f>+IF(Summary!$B$8*12=B224,E224-F224,0)</f>
        <v>0</v>
      </c>
      <c r="I224" s="4">
        <f t="shared" si="13"/>
        <v>0</v>
      </c>
    </row>
    <row r="225" spans="2:9" x14ac:dyDescent="0.2">
      <c r="B225">
        <v>222</v>
      </c>
      <c r="C225">
        <f t="shared" si="14"/>
        <v>19</v>
      </c>
      <c r="D225" s="4">
        <f>+IF(B225&lt;=Summary!$B$17,E225*Summary!$E$6/12,-IF(C225&gt;Summary!$B$8,0,-'Market Amortization Table'!$L$4))</f>
        <v>0</v>
      </c>
      <c r="E225" s="4">
        <f t="shared" si="15"/>
        <v>0</v>
      </c>
      <c r="F225" s="4">
        <f t="shared" si="16"/>
        <v>0</v>
      </c>
      <c r="G225" s="4">
        <f>+E225*Summary!$F$6/12</f>
        <v>0</v>
      </c>
      <c r="H225" s="4">
        <f>+IF(Summary!$B$8*12=B225,E225-F225,0)</f>
        <v>0</v>
      </c>
      <c r="I225" s="4">
        <f t="shared" si="13"/>
        <v>0</v>
      </c>
    </row>
    <row r="226" spans="2:9" x14ac:dyDescent="0.2">
      <c r="B226">
        <v>223</v>
      </c>
      <c r="C226">
        <f t="shared" si="14"/>
        <v>19</v>
      </c>
      <c r="D226" s="4">
        <f>+IF(B226&lt;=Summary!$B$17,E226*Summary!$E$6/12,-IF(C226&gt;Summary!$B$8,0,-'Market Amortization Table'!$L$4))</f>
        <v>0</v>
      </c>
      <c r="E226" s="4">
        <f t="shared" si="15"/>
        <v>0</v>
      </c>
      <c r="F226" s="4">
        <f t="shared" si="16"/>
        <v>0</v>
      </c>
      <c r="G226" s="4">
        <f>+E226*Summary!$F$6/12</f>
        <v>0</v>
      </c>
      <c r="H226" s="4">
        <f>+IF(Summary!$B$8*12=B226,E226-F226,0)</f>
        <v>0</v>
      </c>
      <c r="I226" s="4">
        <f t="shared" si="13"/>
        <v>0</v>
      </c>
    </row>
    <row r="227" spans="2:9" x14ac:dyDescent="0.2">
      <c r="B227">
        <v>224</v>
      </c>
      <c r="C227">
        <f t="shared" si="14"/>
        <v>19</v>
      </c>
      <c r="D227" s="4">
        <f>+IF(B227&lt;=Summary!$B$17,E227*Summary!$E$6/12,-IF(C227&gt;Summary!$B$8,0,-'Market Amortization Table'!$L$4))</f>
        <v>0</v>
      </c>
      <c r="E227" s="4">
        <f t="shared" si="15"/>
        <v>0</v>
      </c>
      <c r="F227" s="4">
        <f t="shared" si="16"/>
        <v>0</v>
      </c>
      <c r="G227" s="4">
        <f>+E227*Summary!$F$6/12</f>
        <v>0</v>
      </c>
      <c r="H227" s="4">
        <f>+IF(Summary!$B$8*12=B227,E227-F227,0)</f>
        <v>0</v>
      </c>
      <c r="I227" s="4">
        <f t="shared" si="13"/>
        <v>0</v>
      </c>
    </row>
    <row r="228" spans="2:9" x14ac:dyDescent="0.2">
      <c r="B228">
        <v>225</v>
      </c>
      <c r="C228">
        <f t="shared" si="14"/>
        <v>19</v>
      </c>
      <c r="D228" s="4">
        <f>+IF(B228&lt;=Summary!$B$17,E228*Summary!$E$6/12,-IF(C228&gt;Summary!$B$8,0,-'Market Amortization Table'!$L$4))</f>
        <v>0</v>
      </c>
      <c r="E228" s="4">
        <f t="shared" si="15"/>
        <v>0</v>
      </c>
      <c r="F228" s="4">
        <f t="shared" si="16"/>
        <v>0</v>
      </c>
      <c r="G228" s="4">
        <f>+E228*Summary!$F$6/12</f>
        <v>0</v>
      </c>
      <c r="H228" s="4">
        <f>+IF(Summary!$B$8*12=B228,E228-F228,0)</f>
        <v>0</v>
      </c>
      <c r="I228" s="4">
        <f t="shared" si="13"/>
        <v>0</v>
      </c>
    </row>
    <row r="229" spans="2:9" x14ac:dyDescent="0.2">
      <c r="B229">
        <v>226</v>
      </c>
      <c r="C229">
        <f t="shared" si="14"/>
        <v>19</v>
      </c>
      <c r="D229" s="4">
        <f>+IF(B229&lt;=Summary!$B$17,E229*Summary!$E$6/12,-IF(C229&gt;Summary!$B$8,0,-'Market Amortization Table'!$L$4))</f>
        <v>0</v>
      </c>
      <c r="E229" s="4">
        <f t="shared" si="15"/>
        <v>0</v>
      </c>
      <c r="F229" s="4">
        <f t="shared" si="16"/>
        <v>0</v>
      </c>
      <c r="G229" s="4">
        <f>+E229*Summary!$F$6/12</f>
        <v>0</v>
      </c>
      <c r="H229" s="4">
        <f>+IF(Summary!$B$8*12=B229,E229-F229,0)</f>
        <v>0</v>
      </c>
      <c r="I229" s="4">
        <f t="shared" si="13"/>
        <v>0</v>
      </c>
    </row>
    <row r="230" spans="2:9" x14ac:dyDescent="0.2">
      <c r="B230">
        <v>227</v>
      </c>
      <c r="C230">
        <f t="shared" si="14"/>
        <v>19</v>
      </c>
      <c r="D230" s="4">
        <f>+IF(B230&lt;=Summary!$B$17,E230*Summary!$E$6/12,-IF(C230&gt;Summary!$B$8,0,-'Market Amortization Table'!$L$4))</f>
        <v>0</v>
      </c>
      <c r="E230" s="4">
        <f t="shared" si="15"/>
        <v>0</v>
      </c>
      <c r="F230" s="4">
        <f t="shared" si="16"/>
        <v>0</v>
      </c>
      <c r="G230" s="4">
        <f>+E230*Summary!$F$6/12</f>
        <v>0</v>
      </c>
      <c r="H230" s="4">
        <f>+IF(Summary!$B$8*12=B230,E230-F230,0)</f>
        <v>0</v>
      </c>
      <c r="I230" s="4">
        <f t="shared" si="13"/>
        <v>0</v>
      </c>
    </row>
    <row r="231" spans="2:9" x14ac:dyDescent="0.2">
      <c r="B231">
        <v>228</v>
      </c>
      <c r="C231">
        <f t="shared" si="14"/>
        <v>19</v>
      </c>
      <c r="D231" s="4">
        <f>+IF(B231&lt;=Summary!$B$17,E231*Summary!$E$6/12,-IF(C231&gt;Summary!$B$8,0,-'Market Amortization Table'!$L$4))</f>
        <v>0</v>
      </c>
      <c r="E231" s="4">
        <f t="shared" si="15"/>
        <v>0</v>
      </c>
      <c r="F231" s="4">
        <f t="shared" si="16"/>
        <v>0</v>
      </c>
      <c r="G231" s="4">
        <f>+E231*Summary!$F$6/12</f>
        <v>0</v>
      </c>
      <c r="H231" s="4">
        <f>+IF(Summary!$B$8*12=B231,E231-F231,0)</f>
        <v>0</v>
      </c>
      <c r="I231" s="4">
        <f t="shared" si="13"/>
        <v>0</v>
      </c>
    </row>
    <row r="232" spans="2:9" x14ac:dyDescent="0.2">
      <c r="B232">
        <v>229</v>
      </c>
      <c r="C232">
        <f t="shared" si="14"/>
        <v>20</v>
      </c>
      <c r="D232" s="4">
        <f>+IF(B232&lt;=Summary!$B$17,E232*Summary!$E$6/12,-IF(C232&gt;Summary!$B$8,0,-'Market Amortization Table'!$L$4))</f>
        <v>0</v>
      </c>
      <c r="E232" s="4">
        <f t="shared" si="15"/>
        <v>0</v>
      </c>
      <c r="F232" s="4">
        <f t="shared" si="16"/>
        <v>0</v>
      </c>
      <c r="G232" s="4">
        <f>+E232*Summary!$F$6/12</f>
        <v>0</v>
      </c>
      <c r="H232" s="4">
        <f>+IF(Summary!$B$8*12=B232,E232-F232,0)</f>
        <v>0</v>
      </c>
      <c r="I232" s="4">
        <f t="shared" si="13"/>
        <v>0</v>
      </c>
    </row>
    <row r="233" spans="2:9" x14ac:dyDescent="0.2">
      <c r="B233">
        <v>230</v>
      </c>
      <c r="C233">
        <f t="shared" si="14"/>
        <v>20</v>
      </c>
      <c r="D233" s="4">
        <f>+IF(B233&lt;=Summary!$B$17,E233*Summary!$E$6/12,-IF(C233&gt;Summary!$B$8,0,-'Market Amortization Table'!$L$4))</f>
        <v>0</v>
      </c>
      <c r="E233" s="4">
        <f t="shared" si="15"/>
        <v>0</v>
      </c>
      <c r="F233" s="4">
        <f t="shared" si="16"/>
        <v>0</v>
      </c>
      <c r="G233" s="4">
        <f>+E233*Summary!$F$6/12</f>
        <v>0</v>
      </c>
      <c r="H233" s="4">
        <f>+IF(Summary!$B$8*12=B233,E233-F233,0)</f>
        <v>0</v>
      </c>
      <c r="I233" s="4">
        <f t="shared" si="13"/>
        <v>0</v>
      </c>
    </row>
    <row r="234" spans="2:9" x14ac:dyDescent="0.2">
      <c r="B234">
        <v>231</v>
      </c>
      <c r="C234">
        <f t="shared" si="14"/>
        <v>20</v>
      </c>
      <c r="D234" s="4">
        <f>+IF(B234&lt;=Summary!$B$17,E234*Summary!$E$6/12,-IF(C234&gt;Summary!$B$8,0,-'Market Amortization Table'!$L$4))</f>
        <v>0</v>
      </c>
      <c r="E234" s="4">
        <f t="shared" si="15"/>
        <v>0</v>
      </c>
      <c r="F234" s="4">
        <f t="shared" si="16"/>
        <v>0</v>
      </c>
      <c r="G234" s="4">
        <f>+E234*Summary!$F$6/12</f>
        <v>0</v>
      </c>
      <c r="H234" s="4">
        <f>+IF(Summary!$B$8*12=B234,E234-F234,0)</f>
        <v>0</v>
      </c>
      <c r="I234" s="4">
        <f t="shared" si="13"/>
        <v>0</v>
      </c>
    </row>
    <row r="235" spans="2:9" x14ac:dyDescent="0.2">
      <c r="B235">
        <v>232</v>
      </c>
      <c r="C235">
        <f t="shared" si="14"/>
        <v>20</v>
      </c>
      <c r="D235" s="4">
        <f>+IF(B235&lt;=Summary!$B$17,E235*Summary!$E$6/12,-IF(C235&gt;Summary!$B$8,0,-'Market Amortization Table'!$L$4))</f>
        <v>0</v>
      </c>
      <c r="E235" s="4">
        <f t="shared" si="15"/>
        <v>0</v>
      </c>
      <c r="F235" s="4">
        <f t="shared" si="16"/>
        <v>0</v>
      </c>
      <c r="G235" s="4">
        <f>+E235*Summary!$F$6/12</f>
        <v>0</v>
      </c>
      <c r="H235" s="4">
        <f>+IF(Summary!$B$8*12=B235,E235-F235,0)</f>
        <v>0</v>
      </c>
      <c r="I235" s="4">
        <f t="shared" si="13"/>
        <v>0</v>
      </c>
    </row>
    <row r="236" spans="2:9" x14ac:dyDescent="0.2">
      <c r="B236">
        <v>233</v>
      </c>
      <c r="C236">
        <f t="shared" si="14"/>
        <v>20</v>
      </c>
      <c r="D236" s="4">
        <f>+IF(B236&lt;=Summary!$B$17,E236*Summary!$E$6/12,-IF(C236&gt;Summary!$B$8,0,-'Market Amortization Table'!$L$4))</f>
        <v>0</v>
      </c>
      <c r="E236" s="4">
        <f t="shared" si="15"/>
        <v>0</v>
      </c>
      <c r="F236" s="4">
        <f t="shared" si="16"/>
        <v>0</v>
      </c>
      <c r="G236" s="4">
        <f>+E236*Summary!$F$6/12</f>
        <v>0</v>
      </c>
      <c r="H236" s="4">
        <f>+IF(Summary!$B$8*12=B236,E236-F236,0)</f>
        <v>0</v>
      </c>
      <c r="I236" s="4">
        <f t="shared" si="13"/>
        <v>0</v>
      </c>
    </row>
    <row r="237" spans="2:9" x14ac:dyDescent="0.2">
      <c r="B237">
        <v>234</v>
      </c>
      <c r="C237">
        <f t="shared" si="14"/>
        <v>20</v>
      </c>
      <c r="D237" s="4">
        <f>+IF(B237&lt;=Summary!$B$17,E237*Summary!$E$6/12,-IF(C237&gt;Summary!$B$8,0,-'Market Amortization Table'!$L$4))</f>
        <v>0</v>
      </c>
      <c r="E237" s="4">
        <f t="shared" si="15"/>
        <v>0</v>
      </c>
      <c r="F237" s="4">
        <f t="shared" si="16"/>
        <v>0</v>
      </c>
      <c r="G237" s="4">
        <f>+E237*Summary!$F$6/12</f>
        <v>0</v>
      </c>
      <c r="H237" s="4">
        <f>+IF(Summary!$B$8*12=B237,E237-F237,0)</f>
        <v>0</v>
      </c>
      <c r="I237" s="4">
        <f t="shared" si="13"/>
        <v>0</v>
      </c>
    </row>
    <row r="238" spans="2:9" x14ac:dyDescent="0.2">
      <c r="B238">
        <v>235</v>
      </c>
      <c r="C238">
        <f t="shared" si="14"/>
        <v>20</v>
      </c>
      <c r="D238" s="4">
        <f>+IF(B238&lt;=Summary!$B$17,E238*Summary!$E$6/12,-IF(C238&gt;Summary!$B$8,0,-'Market Amortization Table'!$L$4))</f>
        <v>0</v>
      </c>
      <c r="E238" s="4">
        <f t="shared" si="15"/>
        <v>0</v>
      </c>
      <c r="F238" s="4">
        <f t="shared" si="16"/>
        <v>0</v>
      </c>
      <c r="G238" s="4">
        <f>+E238*Summary!$F$6/12</f>
        <v>0</v>
      </c>
      <c r="H238" s="4">
        <f>+IF(Summary!$B$8*12=B238,E238-F238,0)</f>
        <v>0</v>
      </c>
      <c r="I238" s="4">
        <f t="shared" si="13"/>
        <v>0</v>
      </c>
    </row>
    <row r="239" spans="2:9" x14ac:dyDescent="0.2">
      <c r="B239">
        <v>236</v>
      </c>
      <c r="C239">
        <f t="shared" si="14"/>
        <v>20</v>
      </c>
      <c r="D239" s="4">
        <f>+IF(B239&lt;=Summary!$B$17,E239*Summary!$E$6/12,-IF(C239&gt;Summary!$B$8,0,-'Market Amortization Table'!$L$4))</f>
        <v>0</v>
      </c>
      <c r="E239" s="4">
        <f t="shared" si="15"/>
        <v>0</v>
      </c>
      <c r="F239" s="4">
        <f t="shared" si="16"/>
        <v>0</v>
      </c>
      <c r="G239" s="4">
        <f>+E239*Summary!$F$6/12</f>
        <v>0</v>
      </c>
      <c r="H239" s="4">
        <f>+IF(Summary!$B$8*12=B239,E239-F239,0)</f>
        <v>0</v>
      </c>
      <c r="I239" s="4">
        <f t="shared" si="13"/>
        <v>0</v>
      </c>
    </row>
    <row r="240" spans="2:9" x14ac:dyDescent="0.2">
      <c r="B240">
        <v>237</v>
      </c>
      <c r="C240">
        <f t="shared" si="14"/>
        <v>20</v>
      </c>
      <c r="D240" s="4">
        <f>+IF(B240&lt;=Summary!$B$17,E240*Summary!$E$6/12,-IF(C240&gt;Summary!$B$8,0,-'Market Amortization Table'!$L$4))</f>
        <v>0</v>
      </c>
      <c r="E240" s="4">
        <f t="shared" si="15"/>
        <v>0</v>
      </c>
      <c r="F240" s="4">
        <f t="shared" si="16"/>
        <v>0</v>
      </c>
      <c r="G240" s="4">
        <f>+E240*Summary!$F$6/12</f>
        <v>0</v>
      </c>
      <c r="H240" s="4">
        <f>+IF(Summary!$B$8*12=B240,E240-F240,0)</f>
        <v>0</v>
      </c>
      <c r="I240" s="4">
        <f t="shared" si="13"/>
        <v>0</v>
      </c>
    </row>
    <row r="241" spans="2:9" x14ac:dyDescent="0.2">
      <c r="B241">
        <v>238</v>
      </c>
      <c r="C241">
        <f t="shared" si="14"/>
        <v>20</v>
      </c>
      <c r="D241" s="4">
        <f>+IF(B241&lt;=Summary!$B$17,E241*Summary!$E$6/12,-IF(C241&gt;Summary!$B$8,0,-'Market Amortization Table'!$L$4))</f>
        <v>0</v>
      </c>
      <c r="E241" s="4">
        <f t="shared" si="15"/>
        <v>0</v>
      </c>
      <c r="F241" s="4">
        <f t="shared" si="16"/>
        <v>0</v>
      </c>
      <c r="G241" s="4">
        <f>+E241*Summary!$F$6/12</f>
        <v>0</v>
      </c>
      <c r="H241" s="4">
        <f>+IF(Summary!$B$8*12=B241,E241-F241,0)</f>
        <v>0</v>
      </c>
      <c r="I241" s="4">
        <f t="shared" si="13"/>
        <v>0</v>
      </c>
    </row>
    <row r="242" spans="2:9" x14ac:dyDescent="0.2">
      <c r="B242">
        <v>239</v>
      </c>
      <c r="C242">
        <f t="shared" si="14"/>
        <v>20</v>
      </c>
      <c r="D242" s="4">
        <f>+IF(B242&lt;=Summary!$B$17,E242*Summary!$E$6/12,-IF(C242&gt;Summary!$B$8,0,-'Market Amortization Table'!$L$4))</f>
        <v>0</v>
      </c>
      <c r="E242" s="4">
        <f t="shared" si="15"/>
        <v>0</v>
      </c>
      <c r="F242" s="4">
        <f t="shared" si="16"/>
        <v>0</v>
      </c>
      <c r="G242" s="4">
        <f>+E242*Summary!$F$6/12</f>
        <v>0</v>
      </c>
      <c r="H242" s="4">
        <f>+IF(Summary!$B$8*12=B242,E242-F242,0)</f>
        <v>0</v>
      </c>
      <c r="I242" s="4">
        <f t="shared" si="13"/>
        <v>0</v>
      </c>
    </row>
    <row r="243" spans="2:9" x14ac:dyDescent="0.2">
      <c r="B243">
        <v>240</v>
      </c>
      <c r="C243">
        <f t="shared" si="14"/>
        <v>20</v>
      </c>
      <c r="D243" s="4">
        <f>+IF(B243&lt;=Summary!$B$17,E243*Summary!$E$6/12,-IF(C243&gt;Summary!$B$8,0,-'Market Amortization Table'!$L$4))</f>
        <v>0</v>
      </c>
      <c r="E243" s="4">
        <f t="shared" si="15"/>
        <v>0</v>
      </c>
      <c r="F243" s="4">
        <f t="shared" si="16"/>
        <v>0</v>
      </c>
      <c r="G243" s="4">
        <f>+E243*Summary!$F$6/12</f>
        <v>0</v>
      </c>
      <c r="H243" s="4">
        <f>+IF(Summary!$B$8*12=B243,E243-F243,0)</f>
        <v>0</v>
      </c>
      <c r="I243" s="4">
        <f t="shared" si="13"/>
        <v>0</v>
      </c>
    </row>
    <row r="244" spans="2:9" x14ac:dyDescent="0.2">
      <c r="B244">
        <v>241</v>
      </c>
      <c r="C244">
        <f t="shared" si="14"/>
        <v>21</v>
      </c>
      <c r="D244" s="4">
        <f>+IF(B244&lt;=Summary!$B$17,E244*Summary!$E$6/12,-IF(C244&gt;Summary!$B$8,0,-'Market Amortization Table'!$L$4))</f>
        <v>0</v>
      </c>
      <c r="E244" s="4">
        <f t="shared" si="15"/>
        <v>0</v>
      </c>
      <c r="F244" s="4">
        <f t="shared" si="16"/>
        <v>0</v>
      </c>
      <c r="G244" s="4">
        <f>+E244*Summary!$F$6/12</f>
        <v>0</v>
      </c>
      <c r="H244" s="4">
        <f>+IF(Summary!$B$8*12=B244,E244-F244,0)</f>
        <v>0</v>
      </c>
      <c r="I244" s="4">
        <f t="shared" si="13"/>
        <v>0</v>
      </c>
    </row>
    <row r="245" spans="2:9" x14ac:dyDescent="0.2">
      <c r="B245">
        <v>242</v>
      </c>
      <c r="C245">
        <f t="shared" si="14"/>
        <v>21</v>
      </c>
      <c r="D245" s="4">
        <f>+IF(B245&lt;=Summary!$B$17,E245*Summary!$E$6/12,-IF(C245&gt;Summary!$B$8,0,-'Market Amortization Table'!$L$4))</f>
        <v>0</v>
      </c>
      <c r="E245" s="4">
        <f t="shared" si="15"/>
        <v>0</v>
      </c>
      <c r="F245" s="4">
        <f t="shared" si="16"/>
        <v>0</v>
      </c>
      <c r="G245" s="4">
        <f>+E245*Summary!$F$6/12</f>
        <v>0</v>
      </c>
      <c r="H245" s="4">
        <f>+IF(Summary!$B$8*12=B245,E245-F245,0)</f>
        <v>0</v>
      </c>
      <c r="I245" s="4">
        <f t="shared" si="13"/>
        <v>0</v>
      </c>
    </row>
    <row r="246" spans="2:9" x14ac:dyDescent="0.2">
      <c r="B246">
        <v>243</v>
      </c>
      <c r="C246">
        <f t="shared" si="14"/>
        <v>21</v>
      </c>
      <c r="D246" s="4">
        <f>+IF(B246&lt;=Summary!$B$17,E246*Summary!$E$6/12,-IF(C246&gt;Summary!$B$8,0,-'Market Amortization Table'!$L$4))</f>
        <v>0</v>
      </c>
      <c r="E246" s="4">
        <f t="shared" si="15"/>
        <v>0</v>
      </c>
      <c r="F246" s="4">
        <f t="shared" si="16"/>
        <v>0</v>
      </c>
      <c r="G246" s="4">
        <f>+E246*Summary!$F$6/12</f>
        <v>0</v>
      </c>
      <c r="H246" s="4">
        <f>+IF(Summary!$B$8*12=B246,E246-F246,0)</f>
        <v>0</v>
      </c>
      <c r="I246" s="4">
        <f t="shared" si="13"/>
        <v>0</v>
      </c>
    </row>
    <row r="247" spans="2:9" x14ac:dyDescent="0.2">
      <c r="B247">
        <v>244</v>
      </c>
      <c r="C247">
        <f t="shared" si="14"/>
        <v>21</v>
      </c>
      <c r="D247" s="4">
        <f>+IF(B247&lt;=Summary!$B$17,E247*Summary!$E$6/12,-IF(C247&gt;Summary!$B$8,0,-'Market Amortization Table'!$L$4))</f>
        <v>0</v>
      </c>
      <c r="E247" s="4">
        <f t="shared" si="15"/>
        <v>0</v>
      </c>
      <c r="F247" s="4">
        <f t="shared" si="16"/>
        <v>0</v>
      </c>
      <c r="G247" s="4">
        <f>+E247*Summary!$F$6/12</f>
        <v>0</v>
      </c>
      <c r="H247" s="4">
        <f>+IF(Summary!$B$8*12=B247,E247-F247,0)</f>
        <v>0</v>
      </c>
      <c r="I247" s="4">
        <f t="shared" si="13"/>
        <v>0</v>
      </c>
    </row>
    <row r="248" spans="2:9" x14ac:dyDescent="0.2">
      <c r="B248">
        <v>245</v>
      </c>
      <c r="C248">
        <f t="shared" si="14"/>
        <v>21</v>
      </c>
      <c r="D248" s="4">
        <f>+IF(B248&lt;=Summary!$B$17,E248*Summary!$E$6/12,-IF(C248&gt;Summary!$B$8,0,-'Market Amortization Table'!$L$4))</f>
        <v>0</v>
      </c>
      <c r="E248" s="4">
        <f t="shared" si="15"/>
        <v>0</v>
      </c>
      <c r="F248" s="4">
        <f t="shared" si="16"/>
        <v>0</v>
      </c>
      <c r="G248" s="4">
        <f>+E248*Summary!$F$6/12</f>
        <v>0</v>
      </c>
      <c r="H248" s="4">
        <f>+IF(Summary!$B$8*12=B248,E248-F248,0)</f>
        <v>0</v>
      </c>
      <c r="I248" s="4">
        <f t="shared" si="13"/>
        <v>0</v>
      </c>
    </row>
    <row r="249" spans="2:9" x14ac:dyDescent="0.2">
      <c r="B249">
        <v>246</v>
      </c>
      <c r="C249">
        <f t="shared" si="14"/>
        <v>21</v>
      </c>
      <c r="D249" s="4">
        <f>+IF(B249&lt;=Summary!$B$17,E249*Summary!$E$6/12,-IF(C249&gt;Summary!$B$8,0,-'Market Amortization Table'!$L$4))</f>
        <v>0</v>
      </c>
      <c r="E249" s="4">
        <f t="shared" si="15"/>
        <v>0</v>
      </c>
      <c r="F249" s="4">
        <f t="shared" si="16"/>
        <v>0</v>
      </c>
      <c r="G249" s="4">
        <f>+E249*Summary!$F$6/12</f>
        <v>0</v>
      </c>
      <c r="H249" s="4">
        <f>+IF(Summary!$B$8*12=B249,E249-F249,0)</f>
        <v>0</v>
      </c>
      <c r="I249" s="4">
        <f t="shared" si="13"/>
        <v>0</v>
      </c>
    </row>
    <row r="250" spans="2:9" x14ac:dyDescent="0.2">
      <c r="B250">
        <v>247</v>
      </c>
      <c r="C250">
        <f t="shared" si="14"/>
        <v>21</v>
      </c>
      <c r="D250" s="4">
        <f>+IF(B250&lt;=Summary!$B$17,E250*Summary!$E$6/12,-IF(C250&gt;Summary!$B$8,0,-'Market Amortization Table'!$L$4))</f>
        <v>0</v>
      </c>
      <c r="E250" s="4">
        <f t="shared" si="15"/>
        <v>0</v>
      </c>
      <c r="F250" s="4">
        <f t="shared" si="16"/>
        <v>0</v>
      </c>
      <c r="G250" s="4">
        <f>+E250*Summary!$F$6/12</f>
        <v>0</v>
      </c>
      <c r="H250" s="4">
        <f>+IF(Summary!$B$8*12=B250,E250-F250,0)</f>
        <v>0</v>
      </c>
      <c r="I250" s="4">
        <f t="shared" si="13"/>
        <v>0</v>
      </c>
    </row>
    <row r="251" spans="2:9" x14ac:dyDescent="0.2">
      <c r="B251">
        <v>248</v>
      </c>
      <c r="C251">
        <f t="shared" si="14"/>
        <v>21</v>
      </c>
      <c r="D251" s="4">
        <f>+IF(B251&lt;=Summary!$B$17,E251*Summary!$E$6/12,-IF(C251&gt;Summary!$B$8,0,-'Market Amortization Table'!$L$4))</f>
        <v>0</v>
      </c>
      <c r="E251" s="4">
        <f t="shared" si="15"/>
        <v>0</v>
      </c>
      <c r="F251" s="4">
        <f t="shared" si="16"/>
        <v>0</v>
      </c>
      <c r="G251" s="4">
        <f>+E251*Summary!$F$6/12</f>
        <v>0</v>
      </c>
      <c r="H251" s="4">
        <f>+IF(Summary!$B$8*12=B251,E251-F251,0)</f>
        <v>0</v>
      </c>
      <c r="I251" s="4">
        <f t="shared" si="13"/>
        <v>0</v>
      </c>
    </row>
    <row r="252" spans="2:9" x14ac:dyDescent="0.2">
      <c r="B252">
        <v>249</v>
      </c>
      <c r="C252">
        <f t="shared" si="14"/>
        <v>21</v>
      </c>
      <c r="D252" s="4">
        <f>+IF(B252&lt;=Summary!$B$17,E252*Summary!$E$6/12,-IF(C252&gt;Summary!$B$8,0,-'Market Amortization Table'!$L$4))</f>
        <v>0</v>
      </c>
      <c r="E252" s="4">
        <f t="shared" si="15"/>
        <v>0</v>
      </c>
      <c r="F252" s="4">
        <f t="shared" si="16"/>
        <v>0</v>
      </c>
      <c r="G252" s="4">
        <f>+E252*Summary!$F$6/12</f>
        <v>0</v>
      </c>
      <c r="H252" s="4">
        <f>+IF(Summary!$B$8*12=B252,E252-F252,0)</f>
        <v>0</v>
      </c>
      <c r="I252" s="4">
        <f t="shared" si="13"/>
        <v>0</v>
      </c>
    </row>
    <row r="253" spans="2:9" x14ac:dyDescent="0.2">
      <c r="B253">
        <v>250</v>
      </c>
      <c r="C253">
        <f t="shared" si="14"/>
        <v>21</v>
      </c>
      <c r="D253" s="4">
        <f>+IF(B253&lt;=Summary!$B$17,E253*Summary!$E$6/12,-IF(C253&gt;Summary!$B$8,0,-'Market Amortization Table'!$L$4))</f>
        <v>0</v>
      </c>
      <c r="E253" s="4">
        <f t="shared" si="15"/>
        <v>0</v>
      </c>
      <c r="F253" s="4">
        <f t="shared" si="16"/>
        <v>0</v>
      </c>
      <c r="G253" s="4">
        <f>+E253*Summary!$F$6/12</f>
        <v>0</v>
      </c>
      <c r="H253" s="4">
        <f>+IF(Summary!$B$8*12=B253,E253-F253,0)</f>
        <v>0</v>
      </c>
      <c r="I253" s="4">
        <f t="shared" si="13"/>
        <v>0</v>
      </c>
    </row>
    <row r="254" spans="2:9" x14ac:dyDescent="0.2">
      <c r="B254">
        <v>251</v>
      </c>
      <c r="C254">
        <f t="shared" si="14"/>
        <v>21</v>
      </c>
      <c r="D254" s="4">
        <f>+IF(B254&lt;=Summary!$B$17,E254*Summary!$E$6/12,-IF(C254&gt;Summary!$B$8,0,-'Market Amortization Table'!$L$4))</f>
        <v>0</v>
      </c>
      <c r="E254" s="4">
        <f t="shared" si="15"/>
        <v>0</v>
      </c>
      <c r="F254" s="4">
        <f t="shared" si="16"/>
        <v>0</v>
      </c>
      <c r="G254" s="4">
        <f>+E254*Summary!$F$6/12</f>
        <v>0</v>
      </c>
      <c r="H254" s="4">
        <f>+IF(Summary!$B$8*12=B254,E254-F254,0)</f>
        <v>0</v>
      </c>
      <c r="I254" s="4">
        <f t="shared" si="13"/>
        <v>0</v>
      </c>
    </row>
    <row r="255" spans="2:9" x14ac:dyDescent="0.2">
      <c r="B255">
        <v>252</v>
      </c>
      <c r="C255">
        <f t="shared" si="14"/>
        <v>21</v>
      </c>
      <c r="D255" s="4">
        <f>+IF(B255&lt;=Summary!$B$17,E255*Summary!$E$6/12,-IF(C255&gt;Summary!$B$8,0,-'Market Amortization Table'!$L$4))</f>
        <v>0</v>
      </c>
      <c r="E255" s="4">
        <f t="shared" si="15"/>
        <v>0</v>
      </c>
      <c r="F255" s="4">
        <f t="shared" si="16"/>
        <v>0</v>
      </c>
      <c r="G255" s="4">
        <f>+E255*Summary!$F$6/12</f>
        <v>0</v>
      </c>
      <c r="H255" s="4">
        <f>+IF(Summary!$B$8*12=B255,E255-F255,0)</f>
        <v>0</v>
      </c>
      <c r="I255" s="4">
        <f t="shared" si="13"/>
        <v>0</v>
      </c>
    </row>
    <row r="256" spans="2:9" x14ac:dyDescent="0.2">
      <c r="B256">
        <v>253</v>
      </c>
      <c r="C256">
        <f t="shared" si="14"/>
        <v>22</v>
      </c>
      <c r="D256" s="4">
        <f>+IF(B256&lt;=Summary!$B$17,E256*Summary!$E$6/12,-IF(C256&gt;Summary!$B$8,0,-'Market Amortization Table'!$L$4))</f>
        <v>0</v>
      </c>
      <c r="E256" s="4">
        <f t="shared" si="15"/>
        <v>0</v>
      </c>
      <c r="F256" s="4">
        <f t="shared" si="16"/>
        <v>0</v>
      </c>
      <c r="G256" s="4">
        <f>+E256*Summary!$F$6/12</f>
        <v>0</v>
      </c>
      <c r="H256" s="4">
        <f>+IF(Summary!$B$8*12=B256,E256-F256,0)</f>
        <v>0</v>
      </c>
      <c r="I256" s="4">
        <f t="shared" si="13"/>
        <v>0</v>
      </c>
    </row>
    <row r="257" spans="2:9" x14ac:dyDescent="0.2">
      <c r="B257">
        <v>254</v>
      </c>
      <c r="C257">
        <f t="shared" si="14"/>
        <v>22</v>
      </c>
      <c r="D257" s="4">
        <f>+IF(B257&lt;=Summary!$B$17,E257*Summary!$E$6/12,-IF(C257&gt;Summary!$B$8,0,-'Market Amortization Table'!$L$4))</f>
        <v>0</v>
      </c>
      <c r="E257" s="4">
        <f t="shared" si="15"/>
        <v>0</v>
      </c>
      <c r="F257" s="4">
        <f t="shared" si="16"/>
        <v>0</v>
      </c>
      <c r="G257" s="4">
        <f>+E257*Summary!$F$6/12</f>
        <v>0</v>
      </c>
      <c r="H257" s="4">
        <f>+IF(Summary!$B$8*12=B257,E257-F257,0)</f>
        <v>0</v>
      </c>
      <c r="I257" s="4">
        <f t="shared" si="13"/>
        <v>0</v>
      </c>
    </row>
    <row r="258" spans="2:9" x14ac:dyDescent="0.2">
      <c r="B258">
        <v>255</v>
      </c>
      <c r="C258">
        <f t="shared" si="14"/>
        <v>22</v>
      </c>
      <c r="D258" s="4">
        <f>+IF(B258&lt;=Summary!$B$17,E258*Summary!$E$6/12,-IF(C258&gt;Summary!$B$8,0,-'Market Amortization Table'!$L$4))</f>
        <v>0</v>
      </c>
      <c r="E258" s="4">
        <f t="shared" si="15"/>
        <v>0</v>
      </c>
      <c r="F258" s="4">
        <f t="shared" si="16"/>
        <v>0</v>
      </c>
      <c r="G258" s="4">
        <f>+E258*Summary!$F$6/12</f>
        <v>0</v>
      </c>
      <c r="H258" s="4">
        <f>+IF(Summary!$B$8*12=B258,E258-F258,0)</f>
        <v>0</v>
      </c>
      <c r="I258" s="4">
        <f t="shared" si="13"/>
        <v>0</v>
      </c>
    </row>
    <row r="259" spans="2:9" x14ac:dyDescent="0.2">
      <c r="B259">
        <v>256</v>
      </c>
      <c r="C259">
        <f t="shared" si="14"/>
        <v>22</v>
      </c>
      <c r="D259" s="4">
        <f>+IF(B259&lt;=Summary!$B$17,E259*Summary!$E$6/12,-IF(C259&gt;Summary!$B$8,0,-'Market Amortization Table'!$L$4))</f>
        <v>0</v>
      </c>
      <c r="E259" s="4">
        <f t="shared" si="15"/>
        <v>0</v>
      </c>
      <c r="F259" s="4">
        <f t="shared" si="16"/>
        <v>0</v>
      </c>
      <c r="G259" s="4">
        <f>+E259*Summary!$F$6/12</f>
        <v>0</v>
      </c>
      <c r="H259" s="4">
        <f>+IF(Summary!$B$8*12=B259,E259-F259,0)</f>
        <v>0</v>
      </c>
      <c r="I259" s="4">
        <f t="shared" si="13"/>
        <v>0</v>
      </c>
    </row>
    <row r="260" spans="2:9" x14ac:dyDescent="0.2">
      <c r="B260">
        <v>257</v>
      </c>
      <c r="C260">
        <f t="shared" si="14"/>
        <v>22</v>
      </c>
      <c r="D260" s="4">
        <f>+IF(B260&lt;=Summary!$B$17,E260*Summary!$E$6/12,-IF(C260&gt;Summary!$B$8,0,-'Market Amortization Table'!$L$4))</f>
        <v>0</v>
      </c>
      <c r="E260" s="4">
        <f t="shared" si="15"/>
        <v>0</v>
      </c>
      <c r="F260" s="4">
        <f t="shared" si="16"/>
        <v>0</v>
      </c>
      <c r="G260" s="4">
        <f>+E260*Summary!$F$6/12</f>
        <v>0</v>
      </c>
      <c r="H260" s="4">
        <f>+IF(Summary!$B$8*12=B260,E260-F260,0)</f>
        <v>0</v>
      </c>
      <c r="I260" s="4">
        <f t="shared" ref="I260:I323" si="17">+E260-F260-H260</f>
        <v>0</v>
      </c>
    </row>
    <row r="261" spans="2:9" x14ac:dyDescent="0.2">
      <c r="B261">
        <v>258</v>
      </c>
      <c r="C261">
        <f t="shared" ref="C261:C324" si="18">+ROUNDUP(B261/12,0)</f>
        <v>22</v>
      </c>
      <c r="D261" s="4">
        <f>+IF(B261&lt;=Summary!$B$17,E261*Summary!$E$6/12,-IF(C261&gt;Summary!$B$8,0,-'Market Amortization Table'!$L$4))</f>
        <v>0</v>
      </c>
      <c r="E261" s="4">
        <f t="shared" ref="E261:E324" si="19">+I260</f>
        <v>0</v>
      </c>
      <c r="F261" s="4">
        <f t="shared" si="16"/>
        <v>0</v>
      </c>
      <c r="G261" s="4">
        <f>+E261*Summary!$F$6/12</f>
        <v>0</v>
      </c>
      <c r="H261" s="4">
        <f>+IF(Summary!$B$8*12=B261,E261-F261,0)</f>
        <v>0</v>
      </c>
      <c r="I261" s="4">
        <f t="shared" si="17"/>
        <v>0</v>
      </c>
    </row>
    <row r="262" spans="2:9" x14ac:dyDescent="0.2">
      <c r="B262">
        <v>259</v>
      </c>
      <c r="C262">
        <f t="shared" si="18"/>
        <v>22</v>
      </c>
      <c r="D262" s="4">
        <f>+IF(B262&lt;=Summary!$B$17,E262*Summary!$E$6/12,-IF(C262&gt;Summary!$B$8,0,-'Market Amortization Table'!$L$4))</f>
        <v>0</v>
      </c>
      <c r="E262" s="4">
        <f t="shared" si="19"/>
        <v>0</v>
      </c>
      <c r="F262" s="4">
        <f t="shared" si="16"/>
        <v>0</v>
      </c>
      <c r="G262" s="4">
        <f>+E262*Summary!$F$6/12</f>
        <v>0</v>
      </c>
      <c r="H262" s="4">
        <f>+IF(Summary!$B$8*12=B262,E262-F262,0)</f>
        <v>0</v>
      </c>
      <c r="I262" s="4">
        <f t="shared" si="17"/>
        <v>0</v>
      </c>
    </row>
    <row r="263" spans="2:9" x14ac:dyDescent="0.2">
      <c r="B263">
        <v>260</v>
      </c>
      <c r="C263">
        <f t="shared" si="18"/>
        <v>22</v>
      </c>
      <c r="D263" s="4">
        <f>+IF(B263&lt;=Summary!$B$17,E263*Summary!$E$6/12,-IF(C263&gt;Summary!$B$8,0,-'Market Amortization Table'!$L$4))</f>
        <v>0</v>
      </c>
      <c r="E263" s="4">
        <f t="shared" si="19"/>
        <v>0</v>
      </c>
      <c r="F263" s="4">
        <f t="shared" si="16"/>
        <v>0</v>
      </c>
      <c r="G263" s="4">
        <f>+E263*Summary!$F$6/12</f>
        <v>0</v>
      </c>
      <c r="H263" s="4">
        <f>+IF(Summary!$B$8*12=B263,E263-F263,0)</f>
        <v>0</v>
      </c>
      <c r="I263" s="4">
        <f t="shared" si="17"/>
        <v>0</v>
      </c>
    </row>
    <row r="264" spans="2:9" x14ac:dyDescent="0.2">
      <c r="B264">
        <v>261</v>
      </c>
      <c r="C264">
        <f t="shared" si="18"/>
        <v>22</v>
      </c>
      <c r="D264" s="4">
        <f>+IF(B264&lt;=Summary!$B$17,E264*Summary!$E$6/12,-IF(C264&gt;Summary!$B$8,0,-'Market Amortization Table'!$L$4))</f>
        <v>0</v>
      </c>
      <c r="E264" s="4">
        <f t="shared" si="19"/>
        <v>0</v>
      </c>
      <c r="F264" s="4">
        <f t="shared" si="16"/>
        <v>0</v>
      </c>
      <c r="G264" s="4">
        <f>+E264*Summary!$F$6/12</f>
        <v>0</v>
      </c>
      <c r="H264" s="4">
        <f>+IF(Summary!$B$8*12=B264,E264-F264,0)</f>
        <v>0</v>
      </c>
      <c r="I264" s="4">
        <f t="shared" si="17"/>
        <v>0</v>
      </c>
    </row>
    <row r="265" spans="2:9" x14ac:dyDescent="0.2">
      <c r="B265">
        <v>262</v>
      </c>
      <c r="C265">
        <f t="shared" si="18"/>
        <v>22</v>
      </c>
      <c r="D265" s="4">
        <f>+IF(B265&lt;=Summary!$B$17,E265*Summary!$E$6/12,-IF(C265&gt;Summary!$B$8,0,-'Market Amortization Table'!$L$4))</f>
        <v>0</v>
      </c>
      <c r="E265" s="4">
        <f t="shared" si="19"/>
        <v>0</v>
      </c>
      <c r="F265" s="4">
        <f t="shared" si="16"/>
        <v>0</v>
      </c>
      <c r="G265" s="4">
        <f>+E265*Summary!$F$6/12</f>
        <v>0</v>
      </c>
      <c r="H265" s="4">
        <f>+IF(Summary!$B$8*12=B265,E265-F265,0)</f>
        <v>0</v>
      </c>
      <c r="I265" s="4">
        <f t="shared" si="17"/>
        <v>0</v>
      </c>
    </row>
    <row r="266" spans="2:9" x14ac:dyDescent="0.2">
      <c r="B266">
        <v>263</v>
      </c>
      <c r="C266">
        <f t="shared" si="18"/>
        <v>22</v>
      </c>
      <c r="D266" s="4">
        <f>+IF(B266&lt;=Summary!$B$17,E266*Summary!$E$6/12,-IF(C266&gt;Summary!$B$8,0,-'Market Amortization Table'!$L$4))</f>
        <v>0</v>
      </c>
      <c r="E266" s="4">
        <f t="shared" si="19"/>
        <v>0</v>
      </c>
      <c r="F266" s="4">
        <f t="shared" si="16"/>
        <v>0</v>
      </c>
      <c r="G266" s="4">
        <f>+E266*Summary!$F$6/12</f>
        <v>0</v>
      </c>
      <c r="H266" s="4">
        <f>+IF(Summary!$B$8*12=B266,E266-F266,0)</f>
        <v>0</v>
      </c>
      <c r="I266" s="4">
        <f t="shared" si="17"/>
        <v>0</v>
      </c>
    </row>
    <row r="267" spans="2:9" x14ac:dyDescent="0.2">
      <c r="B267">
        <v>264</v>
      </c>
      <c r="C267">
        <f t="shared" si="18"/>
        <v>22</v>
      </c>
      <c r="D267" s="4">
        <f>+IF(B267&lt;=Summary!$B$17,E267*Summary!$E$6/12,-IF(C267&gt;Summary!$B$8,0,-'Market Amortization Table'!$L$4))</f>
        <v>0</v>
      </c>
      <c r="E267" s="4">
        <f t="shared" si="19"/>
        <v>0</v>
      </c>
      <c r="F267" s="4">
        <f t="shared" si="16"/>
        <v>0</v>
      </c>
      <c r="G267" s="4">
        <f>+E267*Summary!$F$6/12</f>
        <v>0</v>
      </c>
      <c r="H267" s="4">
        <f>+IF(Summary!$B$8*12=B267,E267-F267,0)</f>
        <v>0</v>
      </c>
      <c r="I267" s="4">
        <f t="shared" si="17"/>
        <v>0</v>
      </c>
    </row>
    <row r="268" spans="2:9" x14ac:dyDescent="0.2">
      <c r="B268">
        <v>265</v>
      </c>
      <c r="C268">
        <f t="shared" si="18"/>
        <v>23</v>
      </c>
      <c r="D268" s="4">
        <f>+IF(B268&lt;=Summary!$B$17,E268*Summary!$E$6/12,-IF(C268&gt;Summary!$B$8,0,-'Market Amortization Table'!$L$4))</f>
        <v>0</v>
      </c>
      <c r="E268" s="4">
        <f t="shared" si="19"/>
        <v>0</v>
      </c>
      <c r="F268" s="4">
        <f t="shared" ref="F268:F331" si="20">+D268-G268</f>
        <v>0</v>
      </c>
      <c r="G268" s="4">
        <f>+E268*Summary!$F$6/12</f>
        <v>0</v>
      </c>
      <c r="H268" s="4">
        <f>+IF(Summary!$B$8*12=B268,E268-F268,0)</f>
        <v>0</v>
      </c>
      <c r="I268" s="4">
        <f t="shared" si="17"/>
        <v>0</v>
      </c>
    </row>
    <row r="269" spans="2:9" x14ac:dyDescent="0.2">
      <c r="B269">
        <v>266</v>
      </c>
      <c r="C269">
        <f t="shared" si="18"/>
        <v>23</v>
      </c>
      <c r="D269" s="4">
        <f>+IF(B269&lt;=Summary!$B$17,E269*Summary!$E$6/12,-IF(C269&gt;Summary!$B$8,0,-'Market Amortization Table'!$L$4))</f>
        <v>0</v>
      </c>
      <c r="E269" s="4">
        <f t="shared" si="19"/>
        <v>0</v>
      </c>
      <c r="F269" s="4">
        <f t="shared" si="20"/>
        <v>0</v>
      </c>
      <c r="G269" s="4">
        <f>+E269*Summary!$F$6/12</f>
        <v>0</v>
      </c>
      <c r="H269" s="4">
        <f>+IF(Summary!$B$8*12=B269,E269-F269,0)</f>
        <v>0</v>
      </c>
      <c r="I269" s="4">
        <f t="shared" si="17"/>
        <v>0</v>
      </c>
    </row>
    <row r="270" spans="2:9" x14ac:dyDescent="0.2">
      <c r="B270">
        <v>267</v>
      </c>
      <c r="C270">
        <f t="shared" si="18"/>
        <v>23</v>
      </c>
      <c r="D270" s="4">
        <f>+IF(B270&lt;=Summary!$B$17,E270*Summary!$E$6/12,-IF(C270&gt;Summary!$B$8,0,-'Market Amortization Table'!$L$4))</f>
        <v>0</v>
      </c>
      <c r="E270" s="4">
        <f t="shared" si="19"/>
        <v>0</v>
      </c>
      <c r="F270" s="4">
        <f t="shared" si="20"/>
        <v>0</v>
      </c>
      <c r="G270" s="4">
        <f>+E270*Summary!$F$6/12</f>
        <v>0</v>
      </c>
      <c r="H270" s="4">
        <f>+IF(Summary!$B$8*12=B270,E270-F270,0)</f>
        <v>0</v>
      </c>
      <c r="I270" s="4">
        <f t="shared" si="17"/>
        <v>0</v>
      </c>
    </row>
    <row r="271" spans="2:9" x14ac:dyDescent="0.2">
      <c r="B271">
        <v>268</v>
      </c>
      <c r="C271">
        <f t="shared" si="18"/>
        <v>23</v>
      </c>
      <c r="D271" s="4">
        <f>+IF(B271&lt;=Summary!$B$17,E271*Summary!$E$6/12,-IF(C271&gt;Summary!$B$8,0,-'Market Amortization Table'!$L$4))</f>
        <v>0</v>
      </c>
      <c r="E271" s="4">
        <f t="shared" si="19"/>
        <v>0</v>
      </c>
      <c r="F271" s="4">
        <f t="shared" si="20"/>
        <v>0</v>
      </c>
      <c r="G271" s="4">
        <f>+E271*Summary!$F$6/12</f>
        <v>0</v>
      </c>
      <c r="H271" s="4">
        <f>+IF(Summary!$B$8*12=B271,E271-F271,0)</f>
        <v>0</v>
      </c>
      <c r="I271" s="4">
        <f t="shared" si="17"/>
        <v>0</v>
      </c>
    </row>
    <row r="272" spans="2:9" x14ac:dyDescent="0.2">
      <c r="B272">
        <v>269</v>
      </c>
      <c r="C272">
        <f t="shared" si="18"/>
        <v>23</v>
      </c>
      <c r="D272" s="4">
        <f>+IF(B272&lt;=Summary!$B$17,E272*Summary!$E$6/12,-IF(C272&gt;Summary!$B$8,0,-'Market Amortization Table'!$L$4))</f>
        <v>0</v>
      </c>
      <c r="E272" s="4">
        <f t="shared" si="19"/>
        <v>0</v>
      </c>
      <c r="F272" s="4">
        <f t="shared" si="20"/>
        <v>0</v>
      </c>
      <c r="G272" s="4">
        <f>+E272*Summary!$F$6/12</f>
        <v>0</v>
      </c>
      <c r="H272" s="4">
        <f>+IF(Summary!$B$8*12=B272,E272-F272,0)</f>
        <v>0</v>
      </c>
      <c r="I272" s="4">
        <f t="shared" si="17"/>
        <v>0</v>
      </c>
    </row>
    <row r="273" spans="2:9" x14ac:dyDescent="0.2">
      <c r="B273">
        <v>270</v>
      </c>
      <c r="C273">
        <f t="shared" si="18"/>
        <v>23</v>
      </c>
      <c r="D273" s="4">
        <f>+IF(B273&lt;=Summary!$B$17,E273*Summary!$E$6/12,-IF(C273&gt;Summary!$B$8,0,-'Market Amortization Table'!$L$4))</f>
        <v>0</v>
      </c>
      <c r="E273" s="4">
        <f t="shared" si="19"/>
        <v>0</v>
      </c>
      <c r="F273" s="4">
        <f t="shared" si="20"/>
        <v>0</v>
      </c>
      <c r="G273" s="4">
        <f>+E273*Summary!$F$6/12</f>
        <v>0</v>
      </c>
      <c r="H273" s="4">
        <f>+IF(Summary!$B$8*12=B273,E273-F273,0)</f>
        <v>0</v>
      </c>
      <c r="I273" s="4">
        <f t="shared" si="17"/>
        <v>0</v>
      </c>
    </row>
    <row r="274" spans="2:9" x14ac:dyDescent="0.2">
      <c r="B274">
        <v>271</v>
      </c>
      <c r="C274">
        <f t="shared" si="18"/>
        <v>23</v>
      </c>
      <c r="D274" s="4">
        <f>+IF(B274&lt;=Summary!$B$17,E274*Summary!$E$6/12,-IF(C274&gt;Summary!$B$8,0,-'Market Amortization Table'!$L$4))</f>
        <v>0</v>
      </c>
      <c r="E274" s="4">
        <f t="shared" si="19"/>
        <v>0</v>
      </c>
      <c r="F274" s="4">
        <f t="shared" si="20"/>
        <v>0</v>
      </c>
      <c r="G274" s="4">
        <f>+E274*Summary!$F$6/12</f>
        <v>0</v>
      </c>
      <c r="H274" s="4">
        <f>+IF(Summary!$B$8*12=B274,E274-F274,0)</f>
        <v>0</v>
      </c>
      <c r="I274" s="4">
        <f t="shared" si="17"/>
        <v>0</v>
      </c>
    </row>
    <row r="275" spans="2:9" x14ac:dyDescent="0.2">
      <c r="B275">
        <v>272</v>
      </c>
      <c r="C275">
        <f t="shared" si="18"/>
        <v>23</v>
      </c>
      <c r="D275" s="4">
        <f>+IF(B275&lt;=Summary!$B$17,E275*Summary!$E$6/12,-IF(C275&gt;Summary!$B$8,0,-'Market Amortization Table'!$L$4))</f>
        <v>0</v>
      </c>
      <c r="E275" s="4">
        <f t="shared" si="19"/>
        <v>0</v>
      </c>
      <c r="F275" s="4">
        <f t="shared" si="20"/>
        <v>0</v>
      </c>
      <c r="G275" s="4">
        <f>+E275*Summary!$F$6/12</f>
        <v>0</v>
      </c>
      <c r="H275" s="4">
        <f>+IF(Summary!$B$8*12=B275,E275-F275,0)</f>
        <v>0</v>
      </c>
      <c r="I275" s="4">
        <f t="shared" si="17"/>
        <v>0</v>
      </c>
    </row>
    <row r="276" spans="2:9" x14ac:dyDescent="0.2">
      <c r="B276">
        <v>273</v>
      </c>
      <c r="C276">
        <f t="shared" si="18"/>
        <v>23</v>
      </c>
      <c r="D276" s="4">
        <f>+IF(B276&lt;=Summary!$B$17,E276*Summary!$E$6/12,-IF(C276&gt;Summary!$B$8,0,-'Market Amortization Table'!$L$4))</f>
        <v>0</v>
      </c>
      <c r="E276" s="4">
        <f t="shared" si="19"/>
        <v>0</v>
      </c>
      <c r="F276" s="4">
        <f t="shared" si="20"/>
        <v>0</v>
      </c>
      <c r="G276" s="4">
        <f>+E276*Summary!$F$6/12</f>
        <v>0</v>
      </c>
      <c r="H276" s="4">
        <f>+IF(Summary!$B$8*12=B276,E276-F276,0)</f>
        <v>0</v>
      </c>
      <c r="I276" s="4">
        <f t="shared" si="17"/>
        <v>0</v>
      </c>
    </row>
    <row r="277" spans="2:9" x14ac:dyDescent="0.2">
      <c r="B277">
        <v>274</v>
      </c>
      <c r="C277">
        <f t="shared" si="18"/>
        <v>23</v>
      </c>
      <c r="D277" s="4">
        <f>+IF(B277&lt;=Summary!$B$17,E277*Summary!$E$6/12,-IF(C277&gt;Summary!$B$8,0,-'Market Amortization Table'!$L$4))</f>
        <v>0</v>
      </c>
      <c r="E277" s="4">
        <f t="shared" si="19"/>
        <v>0</v>
      </c>
      <c r="F277" s="4">
        <f t="shared" si="20"/>
        <v>0</v>
      </c>
      <c r="G277" s="4">
        <f>+E277*Summary!$F$6/12</f>
        <v>0</v>
      </c>
      <c r="H277" s="4">
        <f>+IF(Summary!$B$8*12=B277,E277-F277,0)</f>
        <v>0</v>
      </c>
      <c r="I277" s="4">
        <f t="shared" si="17"/>
        <v>0</v>
      </c>
    </row>
    <row r="278" spans="2:9" x14ac:dyDescent="0.2">
      <c r="B278">
        <v>275</v>
      </c>
      <c r="C278">
        <f t="shared" si="18"/>
        <v>23</v>
      </c>
      <c r="D278" s="4">
        <f>+IF(B278&lt;=Summary!$B$17,E278*Summary!$E$6/12,-IF(C278&gt;Summary!$B$8,0,-'Market Amortization Table'!$L$4))</f>
        <v>0</v>
      </c>
      <c r="E278" s="4">
        <f t="shared" si="19"/>
        <v>0</v>
      </c>
      <c r="F278" s="4">
        <f t="shared" si="20"/>
        <v>0</v>
      </c>
      <c r="G278" s="4">
        <f>+E278*Summary!$F$6/12</f>
        <v>0</v>
      </c>
      <c r="H278" s="4">
        <f>+IF(Summary!$B$8*12=B278,E278-F278,0)</f>
        <v>0</v>
      </c>
      <c r="I278" s="4">
        <f t="shared" si="17"/>
        <v>0</v>
      </c>
    </row>
    <row r="279" spans="2:9" x14ac:dyDescent="0.2">
      <c r="B279">
        <v>276</v>
      </c>
      <c r="C279">
        <f t="shared" si="18"/>
        <v>23</v>
      </c>
      <c r="D279" s="4">
        <f>+IF(B279&lt;=Summary!$B$17,E279*Summary!$E$6/12,-IF(C279&gt;Summary!$B$8,0,-'Market Amortization Table'!$L$4))</f>
        <v>0</v>
      </c>
      <c r="E279" s="4">
        <f t="shared" si="19"/>
        <v>0</v>
      </c>
      <c r="F279" s="4">
        <f t="shared" si="20"/>
        <v>0</v>
      </c>
      <c r="G279" s="4">
        <f>+E279*Summary!$F$6/12</f>
        <v>0</v>
      </c>
      <c r="H279" s="4">
        <f>+IF(Summary!$B$8*12=B279,E279-F279,0)</f>
        <v>0</v>
      </c>
      <c r="I279" s="4">
        <f t="shared" si="17"/>
        <v>0</v>
      </c>
    </row>
    <row r="280" spans="2:9" x14ac:dyDescent="0.2">
      <c r="B280">
        <v>277</v>
      </c>
      <c r="C280">
        <f t="shared" si="18"/>
        <v>24</v>
      </c>
      <c r="D280" s="4">
        <f>+IF(B280&lt;=Summary!$B$17,E280*Summary!$E$6/12,-IF(C280&gt;Summary!$B$8,0,-'Market Amortization Table'!$L$4))</f>
        <v>0</v>
      </c>
      <c r="E280" s="4">
        <f t="shared" si="19"/>
        <v>0</v>
      </c>
      <c r="F280" s="4">
        <f t="shared" si="20"/>
        <v>0</v>
      </c>
      <c r="G280" s="4">
        <f>+E280*Summary!$F$6/12</f>
        <v>0</v>
      </c>
      <c r="H280" s="4">
        <f>+IF(Summary!$B$8*12=B280,E280-F280,0)</f>
        <v>0</v>
      </c>
      <c r="I280" s="4">
        <f t="shared" si="17"/>
        <v>0</v>
      </c>
    </row>
    <row r="281" spans="2:9" x14ac:dyDescent="0.2">
      <c r="B281">
        <v>278</v>
      </c>
      <c r="C281">
        <f t="shared" si="18"/>
        <v>24</v>
      </c>
      <c r="D281" s="4">
        <f>+IF(B281&lt;=Summary!$B$17,E281*Summary!$E$6/12,-IF(C281&gt;Summary!$B$8,0,-'Market Amortization Table'!$L$4))</f>
        <v>0</v>
      </c>
      <c r="E281" s="4">
        <f t="shared" si="19"/>
        <v>0</v>
      </c>
      <c r="F281" s="4">
        <f t="shared" si="20"/>
        <v>0</v>
      </c>
      <c r="G281" s="4">
        <f>+E281*Summary!$F$6/12</f>
        <v>0</v>
      </c>
      <c r="H281" s="4">
        <f>+IF(Summary!$B$8*12=B281,E281-F281,0)</f>
        <v>0</v>
      </c>
      <c r="I281" s="4">
        <f t="shared" si="17"/>
        <v>0</v>
      </c>
    </row>
    <row r="282" spans="2:9" x14ac:dyDescent="0.2">
      <c r="B282">
        <v>279</v>
      </c>
      <c r="C282">
        <f t="shared" si="18"/>
        <v>24</v>
      </c>
      <c r="D282" s="4">
        <f>+IF(B282&lt;=Summary!$B$17,E282*Summary!$E$6/12,-IF(C282&gt;Summary!$B$8,0,-'Market Amortization Table'!$L$4))</f>
        <v>0</v>
      </c>
      <c r="E282" s="4">
        <f t="shared" si="19"/>
        <v>0</v>
      </c>
      <c r="F282" s="4">
        <f t="shared" si="20"/>
        <v>0</v>
      </c>
      <c r="G282" s="4">
        <f>+E282*Summary!$F$6/12</f>
        <v>0</v>
      </c>
      <c r="H282" s="4">
        <f>+IF(Summary!$B$8*12=B282,E282-F282,0)</f>
        <v>0</v>
      </c>
      <c r="I282" s="4">
        <f t="shared" si="17"/>
        <v>0</v>
      </c>
    </row>
    <row r="283" spans="2:9" x14ac:dyDescent="0.2">
      <c r="B283">
        <v>280</v>
      </c>
      <c r="C283">
        <f t="shared" si="18"/>
        <v>24</v>
      </c>
      <c r="D283" s="4">
        <f>+IF(B283&lt;=Summary!$B$17,E283*Summary!$E$6/12,-IF(C283&gt;Summary!$B$8,0,-'Market Amortization Table'!$L$4))</f>
        <v>0</v>
      </c>
      <c r="E283" s="4">
        <f t="shared" si="19"/>
        <v>0</v>
      </c>
      <c r="F283" s="4">
        <f t="shared" si="20"/>
        <v>0</v>
      </c>
      <c r="G283" s="4">
        <f>+E283*Summary!$F$6/12</f>
        <v>0</v>
      </c>
      <c r="H283" s="4">
        <f>+IF(Summary!$B$8*12=B283,E283-F283,0)</f>
        <v>0</v>
      </c>
      <c r="I283" s="4">
        <f t="shared" si="17"/>
        <v>0</v>
      </c>
    </row>
    <row r="284" spans="2:9" x14ac:dyDescent="0.2">
      <c r="B284">
        <v>281</v>
      </c>
      <c r="C284">
        <f t="shared" si="18"/>
        <v>24</v>
      </c>
      <c r="D284" s="4">
        <f>+IF(B284&lt;=Summary!$B$17,E284*Summary!$E$6/12,-IF(C284&gt;Summary!$B$8,0,-'Market Amortization Table'!$L$4))</f>
        <v>0</v>
      </c>
      <c r="E284" s="4">
        <f t="shared" si="19"/>
        <v>0</v>
      </c>
      <c r="F284" s="4">
        <f t="shared" si="20"/>
        <v>0</v>
      </c>
      <c r="G284" s="4">
        <f>+E284*Summary!$F$6/12</f>
        <v>0</v>
      </c>
      <c r="H284" s="4">
        <f>+IF(Summary!$B$8*12=B284,E284-F284,0)</f>
        <v>0</v>
      </c>
      <c r="I284" s="4">
        <f t="shared" si="17"/>
        <v>0</v>
      </c>
    </row>
    <row r="285" spans="2:9" x14ac:dyDescent="0.2">
      <c r="B285">
        <v>282</v>
      </c>
      <c r="C285">
        <f t="shared" si="18"/>
        <v>24</v>
      </c>
      <c r="D285" s="4">
        <f>+IF(B285&lt;=Summary!$B$17,E285*Summary!$E$6/12,-IF(C285&gt;Summary!$B$8,0,-'Market Amortization Table'!$L$4))</f>
        <v>0</v>
      </c>
      <c r="E285" s="4">
        <f t="shared" si="19"/>
        <v>0</v>
      </c>
      <c r="F285" s="4">
        <f t="shared" si="20"/>
        <v>0</v>
      </c>
      <c r="G285" s="4">
        <f>+E285*Summary!$F$6/12</f>
        <v>0</v>
      </c>
      <c r="H285" s="4">
        <f>+IF(Summary!$B$8*12=B285,E285-F285,0)</f>
        <v>0</v>
      </c>
      <c r="I285" s="4">
        <f t="shared" si="17"/>
        <v>0</v>
      </c>
    </row>
    <row r="286" spans="2:9" x14ac:dyDescent="0.2">
      <c r="B286">
        <v>283</v>
      </c>
      <c r="C286">
        <f t="shared" si="18"/>
        <v>24</v>
      </c>
      <c r="D286" s="4">
        <f>+IF(B286&lt;=Summary!$B$17,E286*Summary!$E$6/12,-IF(C286&gt;Summary!$B$8,0,-'Market Amortization Table'!$L$4))</f>
        <v>0</v>
      </c>
      <c r="E286" s="4">
        <f t="shared" si="19"/>
        <v>0</v>
      </c>
      <c r="F286" s="4">
        <f t="shared" si="20"/>
        <v>0</v>
      </c>
      <c r="G286" s="4">
        <f>+E286*Summary!$F$6/12</f>
        <v>0</v>
      </c>
      <c r="H286" s="4">
        <f>+IF(Summary!$B$8*12=B286,E286-F286,0)</f>
        <v>0</v>
      </c>
      <c r="I286" s="4">
        <f t="shared" si="17"/>
        <v>0</v>
      </c>
    </row>
    <row r="287" spans="2:9" x14ac:dyDescent="0.2">
      <c r="B287">
        <v>284</v>
      </c>
      <c r="C287">
        <f t="shared" si="18"/>
        <v>24</v>
      </c>
      <c r="D287" s="4">
        <f>+IF(B287&lt;=Summary!$B$17,E287*Summary!$E$6/12,-IF(C287&gt;Summary!$B$8,0,-'Market Amortization Table'!$L$4))</f>
        <v>0</v>
      </c>
      <c r="E287" s="4">
        <f t="shared" si="19"/>
        <v>0</v>
      </c>
      <c r="F287" s="4">
        <f t="shared" si="20"/>
        <v>0</v>
      </c>
      <c r="G287" s="4">
        <f>+E287*Summary!$F$6/12</f>
        <v>0</v>
      </c>
      <c r="H287" s="4">
        <f>+IF(Summary!$B$8*12=B287,E287-F287,0)</f>
        <v>0</v>
      </c>
      <c r="I287" s="4">
        <f t="shared" si="17"/>
        <v>0</v>
      </c>
    </row>
    <row r="288" spans="2:9" x14ac:dyDescent="0.2">
      <c r="B288">
        <v>285</v>
      </c>
      <c r="C288">
        <f t="shared" si="18"/>
        <v>24</v>
      </c>
      <c r="D288" s="4">
        <f>+IF(B288&lt;=Summary!$B$17,E288*Summary!$E$6/12,-IF(C288&gt;Summary!$B$8,0,-'Market Amortization Table'!$L$4))</f>
        <v>0</v>
      </c>
      <c r="E288" s="4">
        <f t="shared" si="19"/>
        <v>0</v>
      </c>
      <c r="F288" s="4">
        <f t="shared" si="20"/>
        <v>0</v>
      </c>
      <c r="G288" s="4">
        <f>+E288*Summary!$F$6/12</f>
        <v>0</v>
      </c>
      <c r="H288" s="4">
        <f>+IF(Summary!$B$8*12=B288,E288-F288,0)</f>
        <v>0</v>
      </c>
      <c r="I288" s="4">
        <f t="shared" si="17"/>
        <v>0</v>
      </c>
    </row>
    <row r="289" spans="2:9" x14ac:dyDescent="0.2">
      <c r="B289">
        <v>286</v>
      </c>
      <c r="C289">
        <f t="shared" si="18"/>
        <v>24</v>
      </c>
      <c r="D289" s="4">
        <f>+IF(B289&lt;=Summary!$B$17,E289*Summary!$E$6/12,-IF(C289&gt;Summary!$B$8,0,-'Market Amortization Table'!$L$4))</f>
        <v>0</v>
      </c>
      <c r="E289" s="4">
        <f t="shared" si="19"/>
        <v>0</v>
      </c>
      <c r="F289" s="4">
        <f t="shared" si="20"/>
        <v>0</v>
      </c>
      <c r="G289" s="4">
        <f>+E289*Summary!$F$6/12</f>
        <v>0</v>
      </c>
      <c r="H289" s="4">
        <f>+IF(Summary!$B$8*12=B289,E289-F289,0)</f>
        <v>0</v>
      </c>
      <c r="I289" s="4">
        <f t="shared" si="17"/>
        <v>0</v>
      </c>
    </row>
    <row r="290" spans="2:9" x14ac:dyDescent="0.2">
      <c r="B290">
        <v>287</v>
      </c>
      <c r="C290">
        <f t="shared" si="18"/>
        <v>24</v>
      </c>
      <c r="D290" s="4">
        <f>+IF(B290&lt;=Summary!$B$17,E290*Summary!$E$6/12,-IF(C290&gt;Summary!$B$8,0,-'Market Amortization Table'!$L$4))</f>
        <v>0</v>
      </c>
      <c r="E290" s="4">
        <f t="shared" si="19"/>
        <v>0</v>
      </c>
      <c r="F290" s="4">
        <f t="shared" si="20"/>
        <v>0</v>
      </c>
      <c r="G290" s="4">
        <f>+E290*Summary!$F$6/12</f>
        <v>0</v>
      </c>
      <c r="H290" s="4">
        <f>+IF(Summary!$B$8*12=B290,E290-F290,0)</f>
        <v>0</v>
      </c>
      <c r="I290" s="4">
        <f t="shared" si="17"/>
        <v>0</v>
      </c>
    </row>
    <row r="291" spans="2:9" x14ac:dyDescent="0.2">
      <c r="B291">
        <v>288</v>
      </c>
      <c r="C291">
        <f t="shared" si="18"/>
        <v>24</v>
      </c>
      <c r="D291" s="4">
        <f>+IF(B291&lt;=Summary!$B$17,E291*Summary!$E$6/12,-IF(C291&gt;Summary!$B$8,0,-'Market Amortization Table'!$L$4))</f>
        <v>0</v>
      </c>
      <c r="E291" s="4">
        <f t="shared" si="19"/>
        <v>0</v>
      </c>
      <c r="F291" s="4">
        <f t="shared" si="20"/>
        <v>0</v>
      </c>
      <c r="G291" s="4">
        <f>+E291*Summary!$F$6/12</f>
        <v>0</v>
      </c>
      <c r="H291" s="4">
        <f>+IF(Summary!$B$8*12=B291,E291-F291,0)</f>
        <v>0</v>
      </c>
      <c r="I291" s="4">
        <f t="shared" si="17"/>
        <v>0</v>
      </c>
    </row>
    <row r="292" spans="2:9" x14ac:dyDescent="0.2">
      <c r="B292">
        <v>289</v>
      </c>
      <c r="C292">
        <f t="shared" si="18"/>
        <v>25</v>
      </c>
      <c r="D292" s="4">
        <f>+IF(B292&lt;=Summary!$B$17,E292*Summary!$E$6/12,-IF(C292&gt;Summary!$B$8,0,-'Market Amortization Table'!$L$4))</f>
        <v>0</v>
      </c>
      <c r="E292" s="4">
        <f t="shared" si="19"/>
        <v>0</v>
      </c>
      <c r="F292" s="4">
        <f t="shared" si="20"/>
        <v>0</v>
      </c>
      <c r="G292" s="4">
        <f>+E292*Summary!$F$6/12</f>
        <v>0</v>
      </c>
      <c r="H292" s="4">
        <f>+IF(Summary!$B$8*12=B292,E292-F292,0)</f>
        <v>0</v>
      </c>
      <c r="I292" s="4">
        <f t="shared" si="17"/>
        <v>0</v>
      </c>
    </row>
    <row r="293" spans="2:9" x14ac:dyDescent="0.2">
      <c r="B293">
        <v>290</v>
      </c>
      <c r="C293">
        <f t="shared" si="18"/>
        <v>25</v>
      </c>
      <c r="D293" s="4">
        <f>+IF(B293&lt;=Summary!$B$17,E293*Summary!$E$6/12,-IF(C293&gt;Summary!$B$8,0,-'Market Amortization Table'!$L$4))</f>
        <v>0</v>
      </c>
      <c r="E293" s="4">
        <f t="shared" si="19"/>
        <v>0</v>
      </c>
      <c r="F293" s="4">
        <f t="shared" si="20"/>
        <v>0</v>
      </c>
      <c r="G293" s="4">
        <f>+E293*Summary!$F$6/12</f>
        <v>0</v>
      </c>
      <c r="H293" s="4">
        <f>+IF(Summary!$B$8*12=B293,E293-F293,0)</f>
        <v>0</v>
      </c>
      <c r="I293" s="4">
        <f t="shared" si="17"/>
        <v>0</v>
      </c>
    </row>
    <row r="294" spans="2:9" x14ac:dyDescent="0.2">
      <c r="B294">
        <v>291</v>
      </c>
      <c r="C294">
        <f t="shared" si="18"/>
        <v>25</v>
      </c>
      <c r="D294" s="4">
        <f>+IF(B294&lt;=Summary!$B$17,E294*Summary!$E$6/12,-IF(C294&gt;Summary!$B$8,0,-'Market Amortization Table'!$L$4))</f>
        <v>0</v>
      </c>
      <c r="E294" s="4">
        <f t="shared" si="19"/>
        <v>0</v>
      </c>
      <c r="F294" s="4">
        <f t="shared" si="20"/>
        <v>0</v>
      </c>
      <c r="G294" s="4">
        <f>+E294*Summary!$F$6/12</f>
        <v>0</v>
      </c>
      <c r="H294" s="4">
        <f>+IF(Summary!$B$8*12=B294,E294-F294,0)</f>
        <v>0</v>
      </c>
      <c r="I294" s="4">
        <f t="shared" si="17"/>
        <v>0</v>
      </c>
    </row>
    <row r="295" spans="2:9" x14ac:dyDescent="0.2">
      <c r="B295">
        <v>292</v>
      </c>
      <c r="C295">
        <f t="shared" si="18"/>
        <v>25</v>
      </c>
      <c r="D295" s="4">
        <f>+IF(B295&lt;=Summary!$B$17,E295*Summary!$E$6/12,-IF(C295&gt;Summary!$B$8,0,-'Market Amortization Table'!$L$4))</f>
        <v>0</v>
      </c>
      <c r="E295" s="4">
        <f t="shared" si="19"/>
        <v>0</v>
      </c>
      <c r="F295" s="4">
        <f t="shared" si="20"/>
        <v>0</v>
      </c>
      <c r="G295" s="4">
        <f>+E295*Summary!$F$6/12</f>
        <v>0</v>
      </c>
      <c r="H295" s="4">
        <f>+IF(Summary!$B$8*12=B295,E295-F295,0)</f>
        <v>0</v>
      </c>
      <c r="I295" s="4">
        <f t="shared" si="17"/>
        <v>0</v>
      </c>
    </row>
    <row r="296" spans="2:9" x14ac:dyDescent="0.2">
      <c r="B296">
        <v>293</v>
      </c>
      <c r="C296">
        <f t="shared" si="18"/>
        <v>25</v>
      </c>
      <c r="D296" s="4">
        <f>+IF(B296&lt;=Summary!$B$17,E296*Summary!$E$6/12,-IF(C296&gt;Summary!$B$8,0,-'Market Amortization Table'!$L$4))</f>
        <v>0</v>
      </c>
      <c r="E296" s="4">
        <f t="shared" si="19"/>
        <v>0</v>
      </c>
      <c r="F296" s="4">
        <f t="shared" si="20"/>
        <v>0</v>
      </c>
      <c r="G296" s="4">
        <f>+E296*Summary!$F$6/12</f>
        <v>0</v>
      </c>
      <c r="H296" s="4">
        <f>+IF(Summary!$B$8*12=B296,E296-F296,0)</f>
        <v>0</v>
      </c>
      <c r="I296" s="4">
        <f t="shared" si="17"/>
        <v>0</v>
      </c>
    </row>
    <row r="297" spans="2:9" x14ac:dyDescent="0.2">
      <c r="B297">
        <v>294</v>
      </c>
      <c r="C297">
        <f t="shared" si="18"/>
        <v>25</v>
      </c>
      <c r="D297" s="4">
        <f>+IF(B297&lt;=Summary!$B$17,E297*Summary!$E$6/12,-IF(C297&gt;Summary!$B$8,0,-'Market Amortization Table'!$L$4))</f>
        <v>0</v>
      </c>
      <c r="E297" s="4">
        <f t="shared" si="19"/>
        <v>0</v>
      </c>
      <c r="F297" s="4">
        <f t="shared" si="20"/>
        <v>0</v>
      </c>
      <c r="G297" s="4">
        <f>+E297*Summary!$F$6/12</f>
        <v>0</v>
      </c>
      <c r="H297" s="4">
        <f>+IF(Summary!$B$8*12=B297,E297-F297,0)</f>
        <v>0</v>
      </c>
      <c r="I297" s="4">
        <f t="shared" si="17"/>
        <v>0</v>
      </c>
    </row>
    <row r="298" spans="2:9" x14ac:dyDescent="0.2">
      <c r="B298">
        <v>295</v>
      </c>
      <c r="C298">
        <f t="shared" si="18"/>
        <v>25</v>
      </c>
      <c r="D298" s="4">
        <f>+IF(B298&lt;=Summary!$B$17,E298*Summary!$E$6/12,-IF(C298&gt;Summary!$B$8,0,-'Market Amortization Table'!$L$4))</f>
        <v>0</v>
      </c>
      <c r="E298" s="4">
        <f t="shared" si="19"/>
        <v>0</v>
      </c>
      <c r="F298" s="4">
        <f t="shared" si="20"/>
        <v>0</v>
      </c>
      <c r="G298" s="4">
        <f>+E298*Summary!$F$6/12</f>
        <v>0</v>
      </c>
      <c r="H298" s="4">
        <f>+IF(Summary!$B$8*12=B298,E298-F298,0)</f>
        <v>0</v>
      </c>
      <c r="I298" s="4">
        <f t="shared" si="17"/>
        <v>0</v>
      </c>
    </row>
    <row r="299" spans="2:9" x14ac:dyDescent="0.2">
      <c r="B299">
        <v>296</v>
      </c>
      <c r="C299">
        <f t="shared" si="18"/>
        <v>25</v>
      </c>
      <c r="D299" s="4">
        <f>+IF(B299&lt;=Summary!$B$17,E299*Summary!$E$6/12,-IF(C299&gt;Summary!$B$8,0,-'Market Amortization Table'!$L$4))</f>
        <v>0</v>
      </c>
      <c r="E299" s="4">
        <f t="shared" si="19"/>
        <v>0</v>
      </c>
      <c r="F299" s="4">
        <f t="shared" si="20"/>
        <v>0</v>
      </c>
      <c r="G299" s="4">
        <f>+E299*Summary!$F$6/12</f>
        <v>0</v>
      </c>
      <c r="H299" s="4">
        <f>+IF(Summary!$B$8*12=B299,E299-F299,0)</f>
        <v>0</v>
      </c>
      <c r="I299" s="4">
        <f t="shared" si="17"/>
        <v>0</v>
      </c>
    </row>
    <row r="300" spans="2:9" x14ac:dyDescent="0.2">
      <c r="B300">
        <v>297</v>
      </c>
      <c r="C300">
        <f t="shared" si="18"/>
        <v>25</v>
      </c>
      <c r="D300" s="4">
        <f>+IF(B300&lt;=Summary!$B$17,E300*Summary!$E$6/12,-IF(C300&gt;Summary!$B$8,0,-'Market Amortization Table'!$L$4))</f>
        <v>0</v>
      </c>
      <c r="E300" s="4">
        <f t="shared" si="19"/>
        <v>0</v>
      </c>
      <c r="F300" s="4">
        <f t="shared" si="20"/>
        <v>0</v>
      </c>
      <c r="G300" s="4">
        <f>+E300*Summary!$F$6/12</f>
        <v>0</v>
      </c>
      <c r="H300" s="4">
        <f>+IF(Summary!$B$8*12=B300,E300-F300,0)</f>
        <v>0</v>
      </c>
      <c r="I300" s="4">
        <f t="shared" si="17"/>
        <v>0</v>
      </c>
    </row>
    <row r="301" spans="2:9" x14ac:dyDescent="0.2">
      <c r="B301">
        <v>298</v>
      </c>
      <c r="C301">
        <f t="shared" si="18"/>
        <v>25</v>
      </c>
      <c r="D301" s="4">
        <f>+IF(B301&lt;=Summary!$B$17,E301*Summary!$E$6/12,-IF(C301&gt;Summary!$B$8,0,-'Market Amortization Table'!$L$4))</f>
        <v>0</v>
      </c>
      <c r="E301" s="4">
        <f t="shared" si="19"/>
        <v>0</v>
      </c>
      <c r="F301" s="4">
        <f t="shared" si="20"/>
        <v>0</v>
      </c>
      <c r="G301" s="4">
        <f>+E301*Summary!$F$6/12</f>
        <v>0</v>
      </c>
      <c r="H301" s="4">
        <f>+IF(Summary!$B$8*12=B301,E301-F301,0)</f>
        <v>0</v>
      </c>
      <c r="I301" s="4">
        <f t="shared" si="17"/>
        <v>0</v>
      </c>
    </row>
    <row r="302" spans="2:9" x14ac:dyDescent="0.2">
      <c r="B302">
        <v>299</v>
      </c>
      <c r="C302">
        <f t="shared" si="18"/>
        <v>25</v>
      </c>
      <c r="D302" s="4">
        <f>+IF(B302&lt;=Summary!$B$17,E302*Summary!$E$6/12,-IF(C302&gt;Summary!$B$8,0,-'Market Amortization Table'!$L$4))</f>
        <v>0</v>
      </c>
      <c r="E302" s="4">
        <f t="shared" si="19"/>
        <v>0</v>
      </c>
      <c r="F302" s="4">
        <f t="shared" si="20"/>
        <v>0</v>
      </c>
      <c r="G302" s="4">
        <f>+E302*Summary!$F$6/12</f>
        <v>0</v>
      </c>
      <c r="H302" s="4">
        <f>+IF(Summary!$B$8*12=B302,E302-F302,0)</f>
        <v>0</v>
      </c>
      <c r="I302" s="4">
        <f t="shared" si="17"/>
        <v>0</v>
      </c>
    </row>
    <row r="303" spans="2:9" x14ac:dyDescent="0.2">
      <c r="B303">
        <v>300</v>
      </c>
      <c r="C303">
        <f t="shared" si="18"/>
        <v>25</v>
      </c>
      <c r="D303" s="4">
        <f>+IF(B303&lt;=Summary!$B$17,E303*Summary!$E$6/12,-IF(C303&gt;Summary!$B$8,0,-'Market Amortization Table'!$L$4))</f>
        <v>0</v>
      </c>
      <c r="E303" s="4">
        <f t="shared" si="19"/>
        <v>0</v>
      </c>
      <c r="F303" s="4">
        <f t="shared" si="20"/>
        <v>0</v>
      </c>
      <c r="G303" s="4">
        <f>+E303*Summary!$F$6/12</f>
        <v>0</v>
      </c>
      <c r="H303" s="4">
        <f>+IF(Summary!$B$8*12=B303,E303-F303,0)</f>
        <v>0</v>
      </c>
      <c r="I303" s="4">
        <f t="shared" si="17"/>
        <v>0</v>
      </c>
    </row>
    <row r="304" spans="2:9" x14ac:dyDescent="0.2">
      <c r="B304">
        <v>301</v>
      </c>
      <c r="C304">
        <f t="shared" si="18"/>
        <v>26</v>
      </c>
      <c r="D304" s="4">
        <f>+IF(B304&lt;=Summary!$B$17,E304*Summary!$E$6/12,-IF(C304&gt;Summary!$B$8,0,-'Market Amortization Table'!$L$4))</f>
        <v>0</v>
      </c>
      <c r="E304" s="4">
        <f t="shared" si="19"/>
        <v>0</v>
      </c>
      <c r="F304" s="4">
        <f t="shared" si="20"/>
        <v>0</v>
      </c>
      <c r="G304" s="4">
        <f>+E304*Summary!$F$6/12</f>
        <v>0</v>
      </c>
      <c r="H304" s="4">
        <f>+IF(Summary!$B$8*12=B304,E304-F304,0)</f>
        <v>0</v>
      </c>
      <c r="I304" s="4">
        <f t="shared" si="17"/>
        <v>0</v>
      </c>
    </row>
    <row r="305" spans="2:9" x14ac:dyDescent="0.2">
      <c r="B305">
        <v>302</v>
      </c>
      <c r="C305">
        <f t="shared" si="18"/>
        <v>26</v>
      </c>
      <c r="D305" s="4">
        <f>+IF(B305&lt;=Summary!$B$17,E305*Summary!$E$6/12,-IF(C305&gt;Summary!$B$8,0,-'Market Amortization Table'!$L$4))</f>
        <v>0</v>
      </c>
      <c r="E305" s="4">
        <f t="shared" si="19"/>
        <v>0</v>
      </c>
      <c r="F305" s="4">
        <f t="shared" si="20"/>
        <v>0</v>
      </c>
      <c r="G305" s="4">
        <f>+E305*Summary!$F$6/12</f>
        <v>0</v>
      </c>
      <c r="H305" s="4">
        <f>+IF(Summary!$B$8*12=B305,E305-F305,0)</f>
        <v>0</v>
      </c>
      <c r="I305" s="4">
        <f t="shared" si="17"/>
        <v>0</v>
      </c>
    </row>
    <row r="306" spans="2:9" x14ac:dyDescent="0.2">
      <c r="B306">
        <v>303</v>
      </c>
      <c r="C306">
        <f t="shared" si="18"/>
        <v>26</v>
      </c>
      <c r="D306" s="4">
        <f>+IF(B306&lt;=Summary!$B$17,E306*Summary!$E$6/12,-IF(C306&gt;Summary!$B$8,0,-'Market Amortization Table'!$L$4))</f>
        <v>0</v>
      </c>
      <c r="E306" s="4">
        <f t="shared" si="19"/>
        <v>0</v>
      </c>
      <c r="F306" s="4">
        <f t="shared" si="20"/>
        <v>0</v>
      </c>
      <c r="G306" s="4">
        <f>+E306*Summary!$F$6/12</f>
        <v>0</v>
      </c>
      <c r="H306" s="4">
        <f>+IF(Summary!$B$8*12=B306,E306-F306,0)</f>
        <v>0</v>
      </c>
      <c r="I306" s="4">
        <f t="shared" si="17"/>
        <v>0</v>
      </c>
    </row>
    <row r="307" spans="2:9" x14ac:dyDescent="0.2">
      <c r="B307">
        <v>304</v>
      </c>
      <c r="C307">
        <f t="shared" si="18"/>
        <v>26</v>
      </c>
      <c r="D307" s="4">
        <f>+IF(B307&lt;=Summary!$B$17,E307*Summary!$E$6/12,-IF(C307&gt;Summary!$B$8,0,-'Market Amortization Table'!$L$4))</f>
        <v>0</v>
      </c>
      <c r="E307" s="4">
        <f t="shared" si="19"/>
        <v>0</v>
      </c>
      <c r="F307" s="4">
        <f t="shared" si="20"/>
        <v>0</v>
      </c>
      <c r="G307" s="4">
        <f>+E307*Summary!$F$6/12</f>
        <v>0</v>
      </c>
      <c r="H307" s="4">
        <f>+IF(Summary!$B$8*12=B307,E307-F307,0)</f>
        <v>0</v>
      </c>
      <c r="I307" s="4">
        <f t="shared" si="17"/>
        <v>0</v>
      </c>
    </row>
    <row r="308" spans="2:9" x14ac:dyDescent="0.2">
      <c r="B308">
        <v>305</v>
      </c>
      <c r="C308">
        <f t="shared" si="18"/>
        <v>26</v>
      </c>
      <c r="D308" s="4">
        <f>+IF(B308&lt;=Summary!$B$17,E308*Summary!$E$6/12,-IF(C308&gt;Summary!$B$8,0,-'Market Amortization Table'!$L$4))</f>
        <v>0</v>
      </c>
      <c r="E308" s="4">
        <f t="shared" si="19"/>
        <v>0</v>
      </c>
      <c r="F308" s="4">
        <f t="shared" si="20"/>
        <v>0</v>
      </c>
      <c r="G308" s="4">
        <f>+E308*Summary!$F$6/12</f>
        <v>0</v>
      </c>
      <c r="H308" s="4">
        <f>+IF(Summary!$B$8*12=B308,E308-F308,0)</f>
        <v>0</v>
      </c>
      <c r="I308" s="4">
        <f t="shared" si="17"/>
        <v>0</v>
      </c>
    </row>
    <row r="309" spans="2:9" x14ac:dyDescent="0.2">
      <c r="B309">
        <v>306</v>
      </c>
      <c r="C309">
        <f t="shared" si="18"/>
        <v>26</v>
      </c>
      <c r="D309" s="4">
        <f>+IF(B309&lt;=Summary!$B$17,E309*Summary!$E$6/12,-IF(C309&gt;Summary!$B$8,0,-'Market Amortization Table'!$L$4))</f>
        <v>0</v>
      </c>
      <c r="E309" s="4">
        <f t="shared" si="19"/>
        <v>0</v>
      </c>
      <c r="F309" s="4">
        <f t="shared" si="20"/>
        <v>0</v>
      </c>
      <c r="G309" s="4">
        <f>+E309*Summary!$F$6/12</f>
        <v>0</v>
      </c>
      <c r="H309" s="4">
        <f>+IF(Summary!$B$8*12=B309,E309-F309,0)</f>
        <v>0</v>
      </c>
      <c r="I309" s="4">
        <f t="shared" si="17"/>
        <v>0</v>
      </c>
    </row>
    <row r="310" spans="2:9" x14ac:dyDescent="0.2">
      <c r="B310">
        <v>307</v>
      </c>
      <c r="C310">
        <f t="shared" si="18"/>
        <v>26</v>
      </c>
      <c r="D310" s="4">
        <f>+IF(B310&lt;=Summary!$B$17,E310*Summary!$E$6/12,-IF(C310&gt;Summary!$B$8,0,-'Market Amortization Table'!$L$4))</f>
        <v>0</v>
      </c>
      <c r="E310" s="4">
        <f t="shared" si="19"/>
        <v>0</v>
      </c>
      <c r="F310" s="4">
        <f t="shared" si="20"/>
        <v>0</v>
      </c>
      <c r="G310" s="4">
        <f>+E310*Summary!$F$6/12</f>
        <v>0</v>
      </c>
      <c r="H310" s="4">
        <f>+IF(Summary!$B$8*12=B310,E310-F310,0)</f>
        <v>0</v>
      </c>
      <c r="I310" s="4">
        <f t="shared" si="17"/>
        <v>0</v>
      </c>
    </row>
    <row r="311" spans="2:9" x14ac:dyDescent="0.2">
      <c r="B311">
        <v>308</v>
      </c>
      <c r="C311">
        <f t="shared" si="18"/>
        <v>26</v>
      </c>
      <c r="D311" s="4">
        <f>+IF(B311&lt;=Summary!$B$17,E311*Summary!$E$6/12,-IF(C311&gt;Summary!$B$8,0,-'Market Amortization Table'!$L$4))</f>
        <v>0</v>
      </c>
      <c r="E311" s="4">
        <f t="shared" si="19"/>
        <v>0</v>
      </c>
      <c r="F311" s="4">
        <f t="shared" si="20"/>
        <v>0</v>
      </c>
      <c r="G311" s="4">
        <f>+E311*Summary!$F$6/12</f>
        <v>0</v>
      </c>
      <c r="H311" s="4">
        <f>+IF(Summary!$B$8*12=B311,E311-F311,0)</f>
        <v>0</v>
      </c>
      <c r="I311" s="4">
        <f t="shared" si="17"/>
        <v>0</v>
      </c>
    </row>
    <row r="312" spans="2:9" x14ac:dyDescent="0.2">
      <c r="B312">
        <v>309</v>
      </c>
      <c r="C312">
        <f t="shared" si="18"/>
        <v>26</v>
      </c>
      <c r="D312" s="4">
        <f>+IF(B312&lt;=Summary!$B$17,E312*Summary!$E$6/12,-IF(C312&gt;Summary!$B$8,0,-'Market Amortization Table'!$L$4))</f>
        <v>0</v>
      </c>
      <c r="E312" s="4">
        <f t="shared" si="19"/>
        <v>0</v>
      </c>
      <c r="F312" s="4">
        <f t="shared" si="20"/>
        <v>0</v>
      </c>
      <c r="G312" s="4">
        <f>+E312*Summary!$F$6/12</f>
        <v>0</v>
      </c>
      <c r="H312" s="4">
        <f>+IF(Summary!$B$8*12=B312,E312-F312,0)</f>
        <v>0</v>
      </c>
      <c r="I312" s="4">
        <f t="shared" si="17"/>
        <v>0</v>
      </c>
    </row>
    <row r="313" spans="2:9" x14ac:dyDescent="0.2">
      <c r="B313">
        <v>310</v>
      </c>
      <c r="C313">
        <f t="shared" si="18"/>
        <v>26</v>
      </c>
      <c r="D313" s="4">
        <f>+IF(B313&lt;=Summary!$B$17,E313*Summary!$E$6/12,-IF(C313&gt;Summary!$B$8,0,-'Market Amortization Table'!$L$4))</f>
        <v>0</v>
      </c>
      <c r="E313" s="4">
        <f t="shared" si="19"/>
        <v>0</v>
      </c>
      <c r="F313" s="4">
        <f t="shared" si="20"/>
        <v>0</v>
      </c>
      <c r="G313" s="4">
        <f>+E313*Summary!$F$6/12</f>
        <v>0</v>
      </c>
      <c r="H313" s="4">
        <f>+IF(Summary!$B$8*12=B313,E313-F313,0)</f>
        <v>0</v>
      </c>
      <c r="I313" s="4">
        <f t="shared" si="17"/>
        <v>0</v>
      </c>
    </row>
    <row r="314" spans="2:9" x14ac:dyDescent="0.2">
      <c r="B314">
        <v>311</v>
      </c>
      <c r="C314">
        <f t="shared" si="18"/>
        <v>26</v>
      </c>
      <c r="D314" s="4">
        <f>+IF(B314&lt;=Summary!$B$17,E314*Summary!$E$6/12,-IF(C314&gt;Summary!$B$8,0,-'Market Amortization Table'!$L$4))</f>
        <v>0</v>
      </c>
      <c r="E314" s="4">
        <f t="shared" si="19"/>
        <v>0</v>
      </c>
      <c r="F314" s="4">
        <f t="shared" si="20"/>
        <v>0</v>
      </c>
      <c r="G314" s="4">
        <f>+E314*Summary!$F$6/12</f>
        <v>0</v>
      </c>
      <c r="H314" s="4">
        <f>+IF(Summary!$B$8*12=B314,E314-F314,0)</f>
        <v>0</v>
      </c>
      <c r="I314" s="4">
        <f t="shared" si="17"/>
        <v>0</v>
      </c>
    </row>
    <row r="315" spans="2:9" x14ac:dyDescent="0.2">
      <c r="B315">
        <v>312</v>
      </c>
      <c r="C315">
        <f t="shared" si="18"/>
        <v>26</v>
      </c>
      <c r="D315" s="4">
        <f>+IF(B315&lt;=Summary!$B$17,E315*Summary!$E$6/12,-IF(C315&gt;Summary!$B$8,0,-'Market Amortization Table'!$L$4))</f>
        <v>0</v>
      </c>
      <c r="E315" s="4">
        <f t="shared" si="19"/>
        <v>0</v>
      </c>
      <c r="F315" s="4">
        <f t="shared" si="20"/>
        <v>0</v>
      </c>
      <c r="G315" s="4">
        <f>+E315*Summary!$F$6/12</f>
        <v>0</v>
      </c>
      <c r="H315" s="4">
        <f>+IF(Summary!$B$8*12=B315,E315-F315,0)</f>
        <v>0</v>
      </c>
      <c r="I315" s="4">
        <f t="shared" si="17"/>
        <v>0</v>
      </c>
    </row>
    <row r="316" spans="2:9" x14ac:dyDescent="0.2">
      <c r="B316">
        <v>313</v>
      </c>
      <c r="C316">
        <f t="shared" si="18"/>
        <v>27</v>
      </c>
      <c r="D316" s="4">
        <f>+IF(B316&lt;=Summary!$B$17,E316*Summary!$E$6/12,-IF(C316&gt;Summary!$B$8,0,-'Market Amortization Table'!$L$4))</f>
        <v>0</v>
      </c>
      <c r="E316" s="4">
        <f t="shared" si="19"/>
        <v>0</v>
      </c>
      <c r="F316" s="4">
        <f t="shared" si="20"/>
        <v>0</v>
      </c>
      <c r="G316" s="4">
        <f>+E316*Summary!$F$6/12</f>
        <v>0</v>
      </c>
      <c r="H316" s="4">
        <f>+IF(Summary!$B$8*12=B316,E316-F316,0)</f>
        <v>0</v>
      </c>
      <c r="I316" s="4">
        <f t="shared" si="17"/>
        <v>0</v>
      </c>
    </row>
    <row r="317" spans="2:9" x14ac:dyDescent="0.2">
      <c r="B317">
        <v>314</v>
      </c>
      <c r="C317">
        <f t="shared" si="18"/>
        <v>27</v>
      </c>
      <c r="D317" s="4">
        <f>+IF(B317&lt;=Summary!$B$17,E317*Summary!$E$6/12,-IF(C317&gt;Summary!$B$8,0,-'Market Amortization Table'!$L$4))</f>
        <v>0</v>
      </c>
      <c r="E317" s="4">
        <f t="shared" si="19"/>
        <v>0</v>
      </c>
      <c r="F317" s="4">
        <f t="shared" si="20"/>
        <v>0</v>
      </c>
      <c r="G317" s="4">
        <f>+E317*Summary!$F$6/12</f>
        <v>0</v>
      </c>
      <c r="H317" s="4">
        <f>+IF(Summary!$B$8*12=B317,E317-F317,0)</f>
        <v>0</v>
      </c>
      <c r="I317" s="4">
        <f t="shared" si="17"/>
        <v>0</v>
      </c>
    </row>
    <row r="318" spans="2:9" x14ac:dyDescent="0.2">
      <c r="B318">
        <v>315</v>
      </c>
      <c r="C318">
        <f t="shared" si="18"/>
        <v>27</v>
      </c>
      <c r="D318" s="4">
        <f>+IF(B318&lt;=Summary!$B$17,E318*Summary!$E$6/12,-IF(C318&gt;Summary!$B$8,0,-'Market Amortization Table'!$L$4))</f>
        <v>0</v>
      </c>
      <c r="E318" s="4">
        <f t="shared" si="19"/>
        <v>0</v>
      </c>
      <c r="F318" s="4">
        <f t="shared" si="20"/>
        <v>0</v>
      </c>
      <c r="G318" s="4">
        <f>+E318*Summary!$F$6/12</f>
        <v>0</v>
      </c>
      <c r="H318" s="4">
        <f>+IF(Summary!$B$8*12=B318,E318-F318,0)</f>
        <v>0</v>
      </c>
      <c r="I318" s="4">
        <f t="shared" si="17"/>
        <v>0</v>
      </c>
    </row>
    <row r="319" spans="2:9" x14ac:dyDescent="0.2">
      <c r="B319">
        <v>316</v>
      </c>
      <c r="C319">
        <f t="shared" si="18"/>
        <v>27</v>
      </c>
      <c r="D319" s="4">
        <f>+IF(B319&lt;=Summary!$B$17,E319*Summary!$E$6/12,-IF(C319&gt;Summary!$B$8,0,-'Market Amortization Table'!$L$4))</f>
        <v>0</v>
      </c>
      <c r="E319" s="4">
        <f t="shared" si="19"/>
        <v>0</v>
      </c>
      <c r="F319" s="4">
        <f t="shared" si="20"/>
        <v>0</v>
      </c>
      <c r="G319" s="4">
        <f>+E319*Summary!$F$6/12</f>
        <v>0</v>
      </c>
      <c r="H319" s="4">
        <f>+IF(Summary!$B$8*12=B319,E319-F319,0)</f>
        <v>0</v>
      </c>
      <c r="I319" s="4">
        <f t="shared" si="17"/>
        <v>0</v>
      </c>
    </row>
    <row r="320" spans="2:9" x14ac:dyDescent="0.2">
      <c r="B320">
        <v>317</v>
      </c>
      <c r="C320">
        <f t="shared" si="18"/>
        <v>27</v>
      </c>
      <c r="D320" s="4">
        <f>+IF(B320&lt;=Summary!$B$17,E320*Summary!$E$6/12,-IF(C320&gt;Summary!$B$8,0,-'Market Amortization Table'!$L$4))</f>
        <v>0</v>
      </c>
      <c r="E320" s="4">
        <f t="shared" si="19"/>
        <v>0</v>
      </c>
      <c r="F320" s="4">
        <f t="shared" si="20"/>
        <v>0</v>
      </c>
      <c r="G320" s="4">
        <f>+E320*Summary!$F$6/12</f>
        <v>0</v>
      </c>
      <c r="H320" s="4">
        <f>+IF(Summary!$B$8*12=B320,E320-F320,0)</f>
        <v>0</v>
      </c>
      <c r="I320" s="4">
        <f t="shared" si="17"/>
        <v>0</v>
      </c>
    </row>
    <row r="321" spans="2:9" x14ac:dyDescent="0.2">
      <c r="B321">
        <v>318</v>
      </c>
      <c r="C321">
        <f t="shared" si="18"/>
        <v>27</v>
      </c>
      <c r="D321" s="4">
        <f>+IF(B321&lt;=Summary!$B$17,E321*Summary!$E$6/12,-IF(C321&gt;Summary!$B$8,0,-'Market Amortization Table'!$L$4))</f>
        <v>0</v>
      </c>
      <c r="E321" s="4">
        <f t="shared" si="19"/>
        <v>0</v>
      </c>
      <c r="F321" s="4">
        <f t="shared" si="20"/>
        <v>0</v>
      </c>
      <c r="G321" s="4">
        <f>+E321*Summary!$F$6/12</f>
        <v>0</v>
      </c>
      <c r="H321" s="4">
        <f>+IF(Summary!$B$8*12=B321,E321-F321,0)</f>
        <v>0</v>
      </c>
      <c r="I321" s="4">
        <f t="shared" si="17"/>
        <v>0</v>
      </c>
    </row>
    <row r="322" spans="2:9" x14ac:dyDescent="0.2">
      <c r="B322">
        <v>319</v>
      </c>
      <c r="C322">
        <f t="shared" si="18"/>
        <v>27</v>
      </c>
      <c r="D322" s="4">
        <f>+IF(B322&lt;=Summary!$B$17,E322*Summary!$E$6/12,-IF(C322&gt;Summary!$B$8,0,-'Market Amortization Table'!$L$4))</f>
        <v>0</v>
      </c>
      <c r="E322" s="4">
        <f t="shared" si="19"/>
        <v>0</v>
      </c>
      <c r="F322" s="4">
        <f t="shared" si="20"/>
        <v>0</v>
      </c>
      <c r="G322" s="4">
        <f>+E322*Summary!$F$6/12</f>
        <v>0</v>
      </c>
      <c r="H322" s="4">
        <f>+IF(Summary!$B$8*12=B322,E322-F322,0)</f>
        <v>0</v>
      </c>
      <c r="I322" s="4">
        <f t="shared" si="17"/>
        <v>0</v>
      </c>
    </row>
    <row r="323" spans="2:9" x14ac:dyDescent="0.2">
      <c r="B323">
        <v>320</v>
      </c>
      <c r="C323">
        <f t="shared" si="18"/>
        <v>27</v>
      </c>
      <c r="D323" s="4">
        <f>+IF(B323&lt;=Summary!$B$17,E323*Summary!$E$6/12,-IF(C323&gt;Summary!$B$8,0,-'Market Amortization Table'!$L$4))</f>
        <v>0</v>
      </c>
      <c r="E323" s="4">
        <f t="shared" si="19"/>
        <v>0</v>
      </c>
      <c r="F323" s="4">
        <f t="shared" si="20"/>
        <v>0</v>
      </c>
      <c r="G323" s="4">
        <f>+E323*Summary!$F$6/12</f>
        <v>0</v>
      </c>
      <c r="H323" s="4">
        <f>+IF(Summary!$B$8*12=B323,E323-F323,0)</f>
        <v>0</v>
      </c>
      <c r="I323" s="4">
        <f t="shared" si="17"/>
        <v>0</v>
      </c>
    </row>
    <row r="324" spans="2:9" x14ac:dyDescent="0.2">
      <c r="B324">
        <v>321</v>
      </c>
      <c r="C324">
        <f t="shared" si="18"/>
        <v>27</v>
      </c>
      <c r="D324" s="4">
        <f>+IF(B324&lt;=Summary!$B$17,E324*Summary!$E$6/12,-IF(C324&gt;Summary!$B$8,0,-'Market Amortization Table'!$L$4))</f>
        <v>0</v>
      </c>
      <c r="E324" s="4">
        <f t="shared" si="19"/>
        <v>0</v>
      </c>
      <c r="F324" s="4">
        <f t="shared" si="20"/>
        <v>0</v>
      </c>
      <c r="G324" s="4">
        <f>+E324*Summary!$F$6/12</f>
        <v>0</v>
      </c>
      <c r="H324" s="4">
        <f>+IF(Summary!$B$8*12=B324,E324-F324,0)</f>
        <v>0</v>
      </c>
      <c r="I324" s="4">
        <f t="shared" ref="I324:I363" si="21">+E324-F324-H324</f>
        <v>0</v>
      </c>
    </row>
    <row r="325" spans="2:9" x14ac:dyDescent="0.2">
      <c r="B325">
        <v>322</v>
      </c>
      <c r="C325">
        <f t="shared" ref="C325:C363" si="22">+ROUNDUP(B325/12,0)</f>
        <v>27</v>
      </c>
      <c r="D325" s="4">
        <f>+IF(B325&lt;=Summary!$B$17,E325*Summary!$E$6/12,-IF(C325&gt;Summary!$B$8,0,-'Market Amortization Table'!$L$4))</f>
        <v>0</v>
      </c>
      <c r="E325" s="4">
        <f t="shared" ref="E325:E363" si="23">+I324</f>
        <v>0</v>
      </c>
      <c r="F325" s="4">
        <f t="shared" si="20"/>
        <v>0</v>
      </c>
      <c r="G325" s="4">
        <f>+E325*Summary!$F$6/12</f>
        <v>0</v>
      </c>
      <c r="H325" s="4">
        <f>+IF(Summary!$B$8*12=B325,E325-F325,0)</f>
        <v>0</v>
      </c>
      <c r="I325" s="4">
        <f t="shared" si="21"/>
        <v>0</v>
      </c>
    </row>
    <row r="326" spans="2:9" x14ac:dyDescent="0.2">
      <c r="B326">
        <v>323</v>
      </c>
      <c r="C326">
        <f t="shared" si="22"/>
        <v>27</v>
      </c>
      <c r="D326" s="4">
        <f>+IF(B326&lt;=Summary!$B$17,E326*Summary!$E$6/12,-IF(C326&gt;Summary!$B$8,0,-'Market Amortization Table'!$L$4))</f>
        <v>0</v>
      </c>
      <c r="E326" s="4">
        <f t="shared" si="23"/>
        <v>0</v>
      </c>
      <c r="F326" s="4">
        <f t="shared" si="20"/>
        <v>0</v>
      </c>
      <c r="G326" s="4">
        <f>+E326*Summary!$F$6/12</f>
        <v>0</v>
      </c>
      <c r="H326" s="4">
        <f>+IF(Summary!$B$8*12=B326,E326-F326,0)</f>
        <v>0</v>
      </c>
      <c r="I326" s="4">
        <f t="shared" si="21"/>
        <v>0</v>
      </c>
    </row>
    <row r="327" spans="2:9" x14ac:dyDescent="0.2">
      <c r="B327">
        <v>324</v>
      </c>
      <c r="C327">
        <f t="shared" si="22"/>
        <v>27</v>
      </c>
      <c r="D327" s="4">
        <f>+IF(B327&lt;=Summary!$B$17,E327*Summary!$E$6/12,-IF(C327&gt;Summary!$B$8,0,-'Market Amortization Table'!$L$4))</f>
        <v>0</v>
      </c>
      <c r="E327" s="4">
        <f t="shared" si="23"/>
        <v>0</v>
      </c>
      <c r="F327" s="4">
        <f t="shared" si="20"/>
        <v>0</v>
      </c>
      <c r="G327" s="4">
        <f>+E327*Summary!$F$6/12</f>
        <v>0</v>
      </c>
      <c r="H327" s="4">
        <f>+IF(Summary!$B$8*12=B327,E327-F327,0)</f>
        <v>0</v>
      </c>
      <c r="I327" s="4">
        <f t="shared" si="21"/>
        <v>0</v>
      </c>
    </row>
    <row r="328" spans="2:9" x14ac:dyDescent="0.2">
      <c r="B328">
        <v>325</v>
      </c>
      <c r="C328">
        <f t="shared" si="22"/>
        <v>28</v>
      </c>
      <c r="D328" s="4">
        <f>+IF(B328&lt;=Summary!$B$17,E328*Summary!$E$6/12,-IF(C328&gt;Summary!$B$8,0,-'Market Amortization Table'!$L$4))</f>
        <v>0</v>
      </c>
      <c r="E328" s="4">
        <f t="shared" si="23"/>
        <v>0</v>
      </c>
      <c r="F328" s="4">
        <f t="shared" si="20"/>
        <v>0</v>
      </c>
      <c r="G328" s="4">
        <f>+E328*Summary!$F$6/12</f>
        <v>0</v>
      </c>
      <c r="H328" s="4">
        <f>+IF(Summary!$B$8*12=B328,E328-F328,0)</f>
        <v>0</v>
      </c>
      <c r="I328" s="4">
        <f t="shared" si="21"/>
        <v>0</v>
      </c>
    </row>
    <row r="329" spans="2:9" x14ac:dyDescent="0.2">
      <c r="B329">
        <v>326</v>
      </c>
      <c r="C329">
        <f t="shared" si="22"/>
        <v>28</v>
      </c>
      <c r="D329" s="4">
        <f>+IF(B329&lt;=Summary!$B$17,E329*Summary!$E$6/12,-IF(C329&gt;Summary!$B$8,0,-'Market Amortization Table'!$L$4))</f>
        <v>0</v>
      </c>
      <c r="E329" s="4">
        <f t="shared" si="23"/>
        <v>0</v>
      </c>
      <c r="F329" s="4">
        <f t="shared" si="20"/>
        <v>0</v>
      </c>
      <c r="G329" s="4">
        <f>+E329*Summary!$F$6/12</f>
        <v>0</v>
      </c>
      <c r="H329" s="4">
        <f>+IF(Summary!$B$8*12=B329,E329-F329,0)</f>
        <v>0</v>
      </c>
      <c r="I329" s="4">
        <f t="shared" si="21"/>
        <v>0</v>
      </c>
    </row>
    <row r="330" spans="2:9" x14ac:dyDescent="0.2">
      <c r="B330">
        <v>327</v>
      </c>
      <c r="C330">
        <f t="shared" si="22"/>
        <v>28</v>
      </c>
      <c r="D330" s="4">
        <f>+IF(B330&lt;=Summary!$B$17,E330*Summary!$E$6/12,-IF(C330&gt;Summary!$B$8,0,-'Market Amortization Table'!$L$4))</f>
        <v>0</v>
      </c>
      <c r="E330" s="4">
        <f t="shared" si="23"/>
        <v>0</v>
      </c>
      <c r="F330" s="4">
        <f t="shared" si="20"/>
        <v>0</v>
      </c>
      <c r="G330" s="4">
        <f>+E330*Summary!$F$6/12</f>
        <v>0</v>
      </c>
      <c r="H330" s="4">
        <f>+IF(Summary!$B$8*12=B330,E330-F330,0)</f>
        <v>0</v>
      </c>
      <c r="I330" s="4">
        <f t="shared" si="21"/>
        <v>0</v>
      </c>
    </row>
    <row r="331" spans="2:9" x14ac:dyDescent="0.2">
      <c r="B331">
        <v>328</v>
      </c>
      <c r="C331">
        <f t="shared" si="22"/>
        <v>28</v>
      </c>
      <c r="D331" s="4">
        <f>+IF(B331&lt;=Summary!$B$17,E331*Summary!$E$6/12,-IF(C331&gt;Summary!$B$8,0,-'Market Amortization Table'!$L$4))</f>
        <v>0</v>
      </c>
      <c r="E331" s="4">
        <f t="shared" si="23"/>
        <v>0</v>
      </c>
      <c r="F331" s="4">
        <f t="shared" si="20"/>
        <v>0</v>
      </c>
      <c r="G331" s="4">
        <f>+E331*Summary!$F$6/12</f>
        <v>0</v>
      </c>
      <c r="H331" s="4">
        <f>+IF(Summary!$B$8*12=B331,E331-F331,0)</f>
        <v>0</v>
      </c>
      <c r="I331" s="4">
        <f t="shared" si="21"/>
        <v>0</v>
      </c>
    </row>
    <row r="332" spans="2:9" x14ac:dyDescent="0.2">
      <c r="B332">
        <v>329</v>
      </c>
      <c r="C332">
        <f t="shared" si="22"/>
        <v>28</v>
      </c>
      <c r="D332" s="4">
        <f>+IF(B332&lt;=Summary!$B$17,E332*Summary!$E$6/12,-IF(C332&gt;Summary!$B$8,0,-'Market Amortization Table'!$L$4))</f>
        <v>0</v>
      </c>
      <c r="E332" s="4">
        <f t="shared" si="23"/>
        <v>0</v>
      </c>
      <c r="F332" s="4">
        <f t="shared" ref="F332:F363" si="24">+D332-G332</f>
        <v>0</v>
      </c>
      <c r="G332" s="4">
        <f>+E332*Summary!$F$6/12</f>
        <v>0</v>
      </c>
      <c r="H332" s="4">
        <f>+IF(Summary!$B$8*12=B332,E332-F332,0)</f>
        <v>0</v>
      </c>
      <c r="I332" s="4">
        <f t="shared" si="21"/>
        <v>0</v>
      </c>
    </row>
    <row r="333" spans="2:9" x14ac:dyDescent="0.2">
      <c r="B333">
        <v>330</v>
      </c>
      <c r="C333">
        <f t="shared" si="22"/>
        <v>28</v>
      </c>
      <c r="D333" s="4">
        <f>+IF(B333&lt;=Summary!$B$17,E333*Summary!$E$6/12,-IF(C333&gt;Summary!$B$8,0,-'Market Amortization Table'!$L$4))</f>
        <v>0</v>
      </c>
      <c r="E333" s="4">
        <f t="shared" si="23"/>
        <v>0</v>
      </c>
      <c r="F333" s="4">
        <f t="shared" si="24"/>
        <v>0</v>
      </c>
      <c r="G333" s="4">
        <f>+E333*Summary!$F$6/12</f>
        <v>0</v>
      </c>
      <c r="H333" s="4">
        <f>+IF(Summary!$B$8*12=B333,E333-F333,0)</f>
        <v>0</v>
      </c>
      <c r="I333" s="4">
        <f t="shared" si="21"/>
        <v>0</v>
      </c>
    </row>
    <row r="334" spans="2:9" x14ac:dyDescent="0.2">
      <c r="B334">
        <v>331</v>
      </c>
      <c r="C334">
        <f t="shared" si="22"/>
        <v>28</v>
      </c>
      <c r="D334" s="4">
        <f>+IF(B334&lt;=Summary!$B$17,E334*Summary!$E$6/12,-IF(C334&gt;Summary!$B$8,0,-'Market Amortization Table'!$L$4))</f>
        <v>0</v>
      </c>
      <c r="E334" s="4">
        <f t="shared" si="23"/>
        <v>0</v>
      </c>
      <c r="F334" s="4">
        <f t="shared" si="24"/>
        <v>0</v>
      </c>
      <c r="G334" s="4">
        <f>+E334*Summary!$F$6/12</f>
        <v>0</v>
      </c>
      <c r="H334" s="4">
        <f>+IF(Summary!$B$8*12=B334,E334-F334,0)</f>
        <v>0</v>
      </c>
      <c r="I334" s="4">
        <f t="shared" si="21"/>
        <v>0</v>
      </c>
    </row>
    <row r="335" spans="2:9" x14ac:dyDescent="0.2">
      <c r="B335">
        <v>332</v>
      </c>
      <c r="C335">
        <f t="shared" si="22"/>
        <v>28</v>
      </c>
      <c r="D335" s="4">
        <f>+IF(B335&lt;=Summary!$B$17,E335*Summary!$E$6/12,-IF(C335&gt;Summary!$B$8,0,-'Market Amortization Table'!$L$4))</f>
        <v>0</v>
      </c>
      <c r="E335" s="4">
        <f t="shared" si="23"/>
        <v>0</v>
      </c>
      <c r="F335" s="4">
        <f t="shared" si="24"/>
        <v>0</v>
      </c>
      <c r="G335" s="4">
        <f>+E335*Summary!$F$6/12</f>
        <v>0</v>
      </c>
      <c r="H335" s="4">
        <f>+IF(Summary!$B$8*12=B335,E335-F335,0)</f>
        <v>0</v>
      </c>
      <c r="I335" s="4">
        <f t="shared" si="21"/>
        <v>0</v>
      </c>
    </row>
    <row r="336" spans="2:9" x14ac:dyDescent="0.2">
      <c r="B336">
        <v>333</v>
      </c>
      <c r="C336">
        <f t="shared" si="22"/>
        <v>28</v>
      </c>
      <c r="D336" s="4">
        <f>+IF(B336&lt;=Summary!$B$17,E336*Summary!$E$6/12,-IF(C336&gt;Summary!$B$8,0,-'Market Amortization Table'!$L$4))</f>
        <v>0</v>
      </c>
      <c r="E336" s="4">
        <f t="shared" si="23"/>
        <v>0</v>
      </c>
      <c r="F336" s="4">
        <f t="shared" si="24"/>
        <v>0</v>
      </c>
      <c r="G336" s="4">
        <f>+E336*Summary!$F$6/12</f>
        <v>0</v>
      </c>
      <c r="H336" s="4">
        <f>+IF(Summary!$B$8*12=B336,E336-F336,0)</f>
        <v>0</v>
      </c>
      <c r="I336" s="4">
        <f t="shared" si="21"/>
        <v>0</v>
      </c>
    </row>
    <row r="337" spans="2:9" x14ac:dyDescent="0.2">
      <c r="B337">
        <v>334</v>
      </c>
      <c r="C337">
        <f t="shared" si="22"/>
        <v>28</v>
      </c>
      <c r="D337" s="4">
        <f>+IF(B337&lt;=Summary!$B$17,E337*Summary!$E$6/12,-IF(C337&gt;Summary!$B$8,0,-'Market Amortization Table'!$L$4))</f>
        <v>0</v>
      </c>
      <c r="E337" s="4">
        <f t="shared" si="23"/>
        <v>0</v>
      </c>
      <c r="F337" s="4">
        <f t="shared" si="24"/>
        <v>0</v>
      </c>
      <c r="G337" s="4">
        <f>+E337*Summary!$F$6/12</f>
        <v>0</v>
      </c>
      <c r="H337" s="4">
        <f>+IF(Summary!$B$8*12=B337,E337-F337,0)</f>
        <v>0</v>
      </c>
      <c r="I337" s="4">
        <f t="shared" si="21"/>
        <v>0</v>
      </c>
    </row>
    <row r="338" spans="2:9" x14ac:dyDescent="0.2">
      <c r="B338">
        <v>335</v>
      </c>
      <c r="C338">
        <f t="shared" si="22"/>
        <v>28</v>
      </c>
      <c r="D338" s="4">
        <f>+IF(B338&lt;=Summary!$B$17,E338*Summary!$E$6/12,-IF(C338&gt;Summary!$B$8,0,-'Market Amortization Table'!$L$4))</f>
        <v>0</v>
      </c>
      <c r="E338" s="4">
        <f t="shared" si="23"/>
        <v>0</v>
      </c>
      <c r="F338" s="4">
        <f t="shared" si="24"/>
        <v>0</v>
      </c>
      <c r="G338" s="4">
        <f>+E338*Summary!$F$6/12</f>
        <v>0</v>
      </c>
      <c r="H338" s="4">
        <f>+IF(Summary!$B$8*12=B338,E338-F338,0)</f>
        <v>0</v>
      </c>
      <c r="I338" s="4">
        <f t="shared" si="21"/>
        <v>0</v>
      </c>
    </row>
    <row r="339" spans="2:9" x14ac:dyDescent="0.2">
      <c r="B339">
        <v>336</v>
      </c>
      <c r="C339">
        <f t="shared" si="22"/>
        <v>28</v>
      </c>
      <c r="D339" s="4">
        <f>+IF(B339&lt;=Summary!$B$17,E339*Summary!$E$6/12,-IF(C339&gt;Summary!$B$8,0,-'Market Amortization Table'!$L$4))</f>
        <v>0</v>
      </c>
      <c r="E339" s="4">
        <f t="shared" si="23"/>
        <v>0</v>
      </c>
      <c r="F339" s="4">
        <f t="shared" si="24"/>
        <v>0</v>
      </c>
      <c r="G339" s="4">
        <f>+E339*Summary!$F$6/12</f>
        <v>0</v>
      </c>
      <c r="H339" s="4">
        <f>+IF(Summary!$B$8*12=B339,E339-F339,0)</f>
        <v>0</v>
      </c>
      <c r="I339" s="4">
        <f t="shared" si="21"/>
        <v>0</v>
      </c>
    </row>
    <row r="340" spans="2:9" x14ac:dyDescent="0.2">
      <c r="B340">
        <v>337</v>
      </c>
      <c r="C340">
        <f t="shared" si="22"/>
        <v>29</v>
      </c>
      <c r="D340" s="4">
        <f>+IF(B340&lt;=Summary!$B$17,E340*Summary!$E$6/12,-IF(C340&gt;Summary!$B$8,0,-'Market Amortization Table'!$L$4))</f>
        <v>0</v>
      </c>
      <c r="E340" s="4">
        <f t="shared" si="23"/>
        <v>0</v>
      </c>
      <c r="F340" s="4">
        <f t="shared" si="24"/>
        <v>0</v>
      </c>
      <c r="G340" s="4">
        <f>+E340*Summary!$F$6/12</f>
        <v>0</v>
      </c>
      <c r="H340" s="4">
        <f>+IF(Summary!$B$8*12=B340,E340-F340,0)</f>
        <v>0</v>
      </c>
      <c r="I340" s="4">
        <f t="shared" si="21"/>
        <v>0</v>
      </c>
    </row>
    <row r="341" spans="2:9" x14ac:dyDescent="0.2">
      <c r="B341">
        <v>338</v>
      </c>
      <c r="C341">
        <f t="shared" si="22"/>
        <v>29</v>
      </c>
      <c r="D341" s="4">
        <f>+IF(B341&lt;=Summary!$B$17,E341*Summary!$E$6/12,-IF(C341&gt;Summary!$B$8,0,-'Market Amortization Table'!$L$4))</f>
        <v>0</v>
      </c>
      <c r="E341" s="4">
        <f t="shared" si="23"/>
        <v>0</v>
      </c>
      <c r="F341" s="4">
        <f t="shared" si="24"/>
        <v>0</v>
      </c>
      <c r="G341" s="4">
        <f>+E341*Summary!$F$6/12</f>
        <v>0</v>
      </c>
      <c r="H341" s="4">
        <f>+IF(Summary!$B$8*12=B341,E341-F341,0)</f>
        <v>0</v>
      </c>
      <c r="I341" s="4">
        <f t="shared" si="21"/>
        <v>0</v>
      </c>
    </row>
    <row r="342" spans="2:9" x14ac:dyDescent="0.2">
      <c r="B342">
        <v>339</v>
      </c>
      <c r="C342">
        <f t="shared" si="22"/>
        <v>29</v>
      </c>
      <c r="D342" s="4">
        <f>+IF(B342&lt;=Summary!$B$17,E342*Summary!$E$6/12,-IF(C342&gt;Summary!$B$8,0,-'Market Amortization Table'!$L$4))</f>
        <v>0</v>
      </c>
      <c r="E342" s="4">
        <f t="shared" si="23"/>
        <v>0</v>
      </c>
      <c r="F342" s="4">
        <f t="shared" si="24"/>
        <v>0</v>
      </c>
      <c r="G342" s="4">
        <f>+E342*Summary!$F$6/12</f>
        <v>0</v>
      </c>
      <c r="H342" s="4">
        <f>+IF(Summary!$B$8*12=B342,E342-F342,0)</f>
        <v>0</v>
      </c>
      <c r="I342" s="4">
        <f t="shared" si="21"/>
        <v>0</v>
      </c>
    </row>
    <row r="343" spans="2:9" x14ac:dyDescent="0.2">
      <c r="B343">
        <v>340</v>
      </c>
      <c r="C343">
        <f t="shared" si="22"/>
        <v>29</v>
      </c>
      <c r="D343" s="4">
        <f>+IF(B343&lt;=Summary!$B$17,E343*Summary!$E$6/12,-IF(C343&gt;Summary!$B$8,0,-'Market Amortization Table'!$L$4))</f>
        <v>0</v>
      </c>
      <c r="E343" s="4">
        <f t="shared" si="23"/>
        <v>0</v>
      </c>
      <c r="F343" s="4">
        <f t="shared" si="24"/>
        <v>0</v>
      </c>
      <c r="G343" s="4">
        <f>+E343*Summary!$F$6/12</f>
        <v>0</v>
      </c>
      <c r="H343" s="4">
        <f>+IF(Summary!$B$8*12=B343,E343-F343,0)</f>
        <v>0</v>
      </c>
      <c r="I343" s="4">
        <f t="shared" si="21"/>
        <v>0</v>
      </c>
    </row>
    <row r="344" spans="2:9" x14ac:dyDescent="0.2">
      <c r="B344">
        <v>341</v>
      </c>
      <c r="C344">
        <f t="shared" si="22"/>
        <v>29</v>
      </c>
      <c r="D344" s="4">
        <f>+IF(B344&lt;=Summary!$B$17,E344*Summary!$E$6/12,-IF(C344&gt;Summary!$B$8,0,-'Market Amortization Table'!$L$4))</f>
        <v>0</v>
      </c>
      <c r="E344" s="4">
        <f t="shared" si="23"/>
        <v>0</v>
      </c>
      <c r="F344" s="4">
        <f t="shared" si="24"/>
        <v>0</v>
      </c>
      <c r="G344" s="4">
        <f>+E344*Summary!$F$6/12</f>
        <v>0</v>
      </c>
      <c r="H344" s="4">
        <f>+IF(Summary!$B$8*12=B344,E344-F344,0)</f>
        <v>0</v>
      </c>
      <c r="I344" s="4">
        <f t="shared" si="21"/>
        <v>0</v>
      </c>
    </row>
    <row r="345" spans="2:9" x14ac:dyDescent="0.2">
      <c r="B345">
        <v>342</v>
      </c>
      <c r="C345">
        <f t="shared" si="22"/>
        <v>29</v>
      </c>
      <c r="D345" s="4">
        <f>+IF(B345&lt;=Summary!$B$17,E345*Summary!$E$6/12,-IF(C345&gt;Summary!$B$8,0,-'Market Amortization Table'!$L$4))</f>
        <v>0</v>
      </c>
      <c r="E345" s="4">
        <f t="shared" si="23"/>
        <v>0</v>
      </c>
      <c r="F345" s="4">
        <f t="shared" si="24"/>
        <v>0</v>
      </c>
      <c r="G345" s="4">
        <f>+E345*Summary!$F$6/12</f>
        <v>0</v>
      </c>
      <c r="H345" s="4">
        <f>+IF(Summary!$B$8*12=B345,E345-F345,0)</f>
        <v>0</v>
      </c>
      <c r="I345" s="4">
        <f t="shared" si="21"/>
        <v>0</v>
      </c>
    </row>
    <row r="346" spans="2:9" x14ac:dyDescent="0.2">
      <c r="B346">
        <v>343</v>
      </c>
      <c r="C346">
        <f t="shared" si="22"/>
        <v>29</v>
      </c>
      <c r="D346" s="4">
        <f>+IF(B346&lt;=Summary!$B$17,E346*Summary!$E$6/12,-IF(C346&gt;Summary!$B$8,0,-'Market Amortization Table'!$L$4))</f>
        <v>0</v>
      </c>
      <c r="E346" s="4">
        <f t="shared" si="23"/>
        <v>0</v>
      </c>
      <c r="F346" s="4">
        <f t="shared" si="24"/>
        <v>0</v>
      </c>
      <c r="G346" s="4">
        <f>+E346*Summary!$F$6/12</f>
        <v>0</v>
      </c>
      <c r="H346" s="4">
        <f>+IF(Summary!$B$8*12=B346,E346-F346,0)</f>
        <v>0</v>
      </c>
      <c r="I346" s="4">
        <f t="shared" si="21"/>
        <v>0</v>
      </c>
    </row>
    <row r="347" spans="2:9" x14ac:dyDescent="0.2">
      <c r="B347">
        <v>344</v>
      </c>
      <c r="C347">
        <f t="shared" si="22"/>
        <v>29</v>
      </c>
      <c r="D347" s="4">
        <f>+IF(B347&lt;=Summary!$B$17,E347*Summary!$E$6/12,-IF(C347&gt;Summary!$B$8,0,-'Market Amortization Table'!$L$4))</f>
        <v>0</v>
      </c>
      <c r="E347" s="4">
        <f t="shared" si="23"/>
        <v>0</v>
      </c>
      <c r="F347" s="4">
        <f t="shared" si="24"/>
        <v>0</v>
      </c>
      <c r="G347" s="4">
        <f>+E347*Summary!$F$6/12</f>
        <v>0</v>
      </c>
      <c r="H347" s="4">
        <f>+IF(Summary!$B$8*12=B347,E347-F347,0)</f>
        <v>0</v>
      </c>
      <c r="I347" s="4">
        <f t="shared" si="21"/>
        <v>0</v>
      </c>
    </row>
    <row r="348" spans="2:9" x14ac:dyDescent="0.2">
      <c r="B348">
        <v>345</v>
      </c>
      <c r="C348">
        <f t="shared" si="22"/>
        <v>29</v>
      </c>
      <c r="D348" s="4">
        <f>+IF(B348&lt;=Summary!$B$17,E348*Summary!$E$6/12,-IF(C348&gt;Summary!$B$8,0,-'Market Amortization Table'!$L$4))</f>
        <v>0</v>
      </c>
      <c r="E348" s="4">
        <f t="shared" si="23"/>
        <v>0</v>
      </c>
      <c r="F348" s="4">
        <f t="shared" si="24"/>
        <v>0</v>
      </c>
      <c r="G348" s="4">
        <f>+E348*Summary!$F$6/12</f>
        <v>0</v>
      </c>
      <c r="H348" s="4">
        <f>+IF(Summary!$B$8*12=B348,E348-F348,0)</f>
        <v>0</v>
      </c>
      <c r="I348" s="4">
        <f t="shared" si="21"/>
        <v>0</v>
      </c>
    </row>
    <row r="349" spans="2:9" x14ac:dyDescent="0.2">
      <c r="B349">
        <v>346</v>
      </c>
      <c r="C349">
        <f t="shared" si="22"/>
        <v>29</v>
      </c>
      <c r="D349" s="4">
        <f>+IF(B349&lt;=Summary!$B$17,E349*Summary!$E$6/12,-IF(C349&gt;Summary!$B$8,0,-'Market Amortization Table'!$L$4))</f>
        <v>0</v>
      </c>
      <c r="E349" s="4">
        <f t="shared" si="23"/>
        <v>0</v>
      </c>
      <c r="F349" s="4">
        <f t="shared" si="24"/>
        <v>0</v>
      </c>
      <c r="G349" s="4">
        <f>+E349*Summary!$F$6/12</f>
        <v>0</v>
      </c>
      <c r="H349" s="4">
        <f>+IF(Summary!$B$8*12=B349,E349-F349,0)</f>
        <v>0</v>
      </c>
      <c r="I349" s="4">
        <f t="shared" si="21"/>
        <v>0</v>
      </c>
    </row>
    <row r="350" spans="2:9" x14ac:dyDescent="0.2">
      <c r="B350">
        <v>347</v>
      </c>
      <c r="C350">
        <f t="shared" si="22"/>
        <v>29</v>
      </c>
      <c r="D350" s="4">
        <f>+IF(B350&lt;=Summary!$B$17,E350*Summary!$E$6/12,-IF(C350&gt;Summary!$B$8,0,-'Market Amortization Table'!$L$4))</f>
        <v>0</v>
      </c>
      <c r="E350" s="4">
        <f t="shared" si="23"/>
        <v>0</v>
      </c>
      <c r="F350" s="4">
        <f t="shared" si="24"/>
        <v>0</v>
      </c>
      <c r="G350" s="4">
        <f>+E350*Summary!$F$6/12</f>
        <v>0</v>
      </c>
      <c r="H350" s="4">
        <f>+IF(Summary!$B$8*12=B350,E350-F350,0)</f>
        <v>0</v>
      </c>
      <c r="I350" s="4">
        <f t="shared" si="21"/>
        <v>0</v>
      </c>
    </row>
    <row r="351" spans="2:9" x14ac:dyDescent="0.2">
      <c r="B351">
        <v>348</v>
      </c>
      <c r="C351">
        <f t="shared" si="22"/>
        <v>29</v>
      </c>
      <c r="D351" s="4">
        <f>+IF(B351&lt;=Summary!$B$17,E351*Summary!$E$6/12,-IF(C351&gt;Summary!$B$8,0,-'Market Amortization Table'!$L$4))</f>
        <v>0</v>
      </c>
      <c r="E351" s="4">
        <f t="shared" si="23"/>
        <v>0</v>
      </c>
      <c r="F351" s="4">
        <f t="shared" si="24"/>
        <v>0</v>
      </c>
      <c r="G351" s="4">
        <f>+E351*Summary!$F$6/12</f>
        <v>0</v>
      </c>
      <c r="H351" s="4">
        <f>+IF(Summary!$B$8*12=B351,E351-F351,0)</f>
        <v>0</v>
      </c>
      <c r="I351" s="4">
        <f t="shared" si="21"/>
        <v>0</v>
      </c>
    </row>
    <row r="352" spans="2:9" x14ac:dyDescent="0.2">
      <c r="B352">
        <v>349</v>
      </c>
      <c r="C352">
        <f t="shared" si="22"/>
        <v>30</v>
      </c>
      <c r="D352" s="4">
        <f>+IF(B352&lt;=Summary!$B$17,E352*Summary!$E$6/12,-IF(C352&gt;Summary!$B$8,0,-'Market Amortization Table'!$L$4))</f>
        <v>0</v>
      </c>
      <c r="E352" s="4">
        <f t="shared" si="23"/>
        <v>0</v>
      </c>
      <c r="F352" s="4">
        <f t="shared" si="24"/>
        <v>0</v>
      </c>
      <c r="G352" s="4">
        <f>+E352*Summary!$F$6/12</f>
        <v>0</v>
      </c>
      <c r="H352" s="4">
        <f>+IF(Summary!$B$8*12=B352,E352-F352,0)</f>
        <v>0</v>
      </c>
      <c r="I352" s="4">
        <f t="shared" si="21"/>
        <v>0</v>
      </c>
    </row>
    <row r="353" spans="2:9" x14ac:dyDescent="0.2">
      <c r="B353">
        <v>350</v>
      </c>
      <c r="C353">
        <f t="shared" si="22"/>
        <v>30</v>
      </c>
      <c r="D353" s="4">
        <f>+IF(B353&lt;=Summary!$B$17,E353*Summary!$E$6/12,-IF(C353&gt;Summary!$B$8,0,-'Market Amortization Table'!$L$4))</f>
        <v>0</v>
      </c>
      <c r="E353" s="4">
        <f t="shared" si="23"/>
        <v>0</v>
      </c>
      <c r="F353" s="4">
        <f t="shared" si="24"/>
        <v>0</v>
      </c>
      <c r="G353" s="4">
        <f>+E353*Summary!$F$6/12</f>
        <v>0</v>
      </c>
      <c r="H353" s="4">
        <f>+IF(Summary!$B$8*12=B353,E353-F353,0)</f>
        <v>0</v>
      </c>
      <c r="I353" s="4">
        <f t="shared" si="21"/>
        <v>0</v>
      </c>
    </row>
    <row r="354" spans="2:9" x14ac:dyDescent="0.2">
      <c r="B354">
        <v>351</v>
      </c>
      <c r="C354">
        <f t="shared" si="22"/>
        <v>30</v>
      </c>
      <c r="D354" s="4">
        <f>+IF(B354&lt;=Summary!$B$17,E354*Summary!$E$6/12,-IF(C354&gt;Summary!$B$8,0,-'Market Amortization Table'!$L$4))</f>
        <v>0</v>
      </c>
      <c r="E354" s="4">
        <f t="shared" si="23"/>
        <v>0</v>
      </c>
      <c r="F354" s="4">
        <f t="shared" si="24"/>
        <v>0</v>
      </c>
      <c r="G354" s="4">
        <f>+E354*Summary!$F$6/12</f>
        <v>0</v>
      </c>
      <c r="H354" s="4">
        <f>+IF(Summary!$B$8*12=B354,E354-F354,0)</f>
        <v>0</v>
      </c>
      <c r="I354" s="4">
        <f t="shared" si="21"/>
        <v>0</v>
      </c>
    </row>
    <row r="355" spans="2:9" x14ac:dyDescent="0.2">
      <c r="B355">
        <v>352</v>
      </c>
      <c r="C355">
        <f t="shared" si="22"/>
        <v>30</v>
      </c>
      <c r="D355" s="4">
        <f>+IF(B355&lt;=Summary!$B$17,E355*Summary!$E$6/12,-IF(C355&gt;Summary!$B$8,0,-'Market Amortization Table'!$L$4))</f>
        <v>0</v>
      </c>
      <c r="E355" s="4">
        <f t="shared" si="23"/>
        <v>0</v>
      </c>
      <c r="F355" s="4">
        <f t="shared" si="24"/>
        <v>0</v>
      </c>
      <c r="G355" s="4">
        <f>+E355*Summary!$F$6/12</f>
        <v>0</v>
      </c>
      <c r="H355" s="4">
        <f>+IF(Summary!$B$8*12=B355,E355-F355,0)</f>
        <v>0</v>
      </c>
      <c r="I355" s="4">
        <f t="shared" si="21"/>
        <v>0</v>
      </c>
    </row>
    <row r="356" spans="2:9" x14ac:dyDescent="0.2">
      <c r="B356">
        <v>353</v>
      </c>
      <c r="C356">
        <f t="shared" si="22"/>
        <v>30</v>
      </c>
      <c r="D356" s="4">
        <f>+IF(B356&lt;=Summary!$B$17,E356*Summary!$E$6/12,-IF(C356&gt;Summary!$B$8,0,-'Market Amortization Table'!$L$4))</f>
        <v>0</v>
      </c>
      <c r="E356" s="4">
        <f t="shared" si="23"/>
        <v>0</v>
      </c>
      <c r="F356" s="4">
        <f t="shared" si="24"/>
        <v>0</v>
      </c>
      <c r="G356" s="4">
        <f>+E356*Summary!$F$6/12</f>
        <v>0</v>
      </c>
      <c r="H356" s="4">
        <f>+IF(Summary!$B$8*12=B356,E356-F356,0)</f>
        <v>0</v>
      </c>
      <c r="I356" s="4">
        <f t="shared" si="21"/>
        <v>0</v>
      </c>
    </row>
    <row r="357" spans="2:9" x14ac:dyDescent="0.2">
      <c r="B357">
        <v>354</v>
      </c>
      <c r="C357">
        <f t="shared" si="22"/>
        <v>30</v>
      </c>
      <c r="D357" s="4">
        <f>+IF(B357&lt;=Summary!$B$17,E357*Summary!$E$6/12,-IF(C357&gt;Summary!$B$8,0,-'Market Amortization Table'!$L$4))</f>
        <v>0</v>
      </c>
      <c r="E357" s="4">
        <f t="shared" si="23"/>
        <v>0</v>
      </c>
      <c r="F357" s="4">
        <f t="shared" si="24"/>
        <v>0</v>
      </c>
      <c r="G357" s="4">
        <f>+E357*Summary!$F$6/12</f>
        <v>0</v>
      </c>
      <c r="H357" s="4">
        <f>+IF(Summary!$B$8*12=B357,E357-F357,0)</f>
        <v>0</v>
      </c>
      <c r="I357" s="4">
        <f t="shared" si="21"/>
        <v>0</v>
      </c>
    </row>
    <row r="358" spans="2:9" x14ac:dyDescent="0.2">
      <c r="B358">
        <v>355</v>
      </c>
      <c r="C358">
        <f t="shared" si="22"/>
        <v>30</v>
      </c>
      <c r="D358" s="4">
        <f>+IF(B358&lt;=Summary!$B$17,E358*Summary!$E$6/12,-IF(C358&gt;Summary!$B$8,0,-'Market Amortization Table'!$L$4))</f>
        <v>0</v>
      </c>
      <c r="E358" s="4">
        <f t="shared" si="23"/>
        <v>0</v>
      </c>
      <c r="F358" s="4">
        <f t="shared" si="24"/>
        <v>0</v>
      </c>
      <c r="G358" s="4">
        <f>+E358*Summary!$F$6/12</f>
        <v>0</v>
      </c>
      <c r="H358" s="4">
        <f>+IF(Summary!$B$8*12=B358,E358-F358,0)</f>
        <v>0</v>
      </c>
      <c r="I358" s="4">
        <f t="shared" si="21"/>
        <v>0</v>
      </c>
    </row>
    <row r="359" spans="2:9" x14ac:dyDescent="0.2">
      <c r="B359">
        <v>356</v>
      </c>
      <c r="C359">
        <f t="shared" si="22"/>
        <v>30</v>
      </c>
      <c r="D359" s="4">
        <f>+IF(B359&lt;=Summary!$B$17,E359*Summary!$E$6/12,-IF(C359&gt;Summary!$B$8,0,-'Market Amortization Table'!$L$4))</f>
        <v>0</v>
      </c>
      <c r="E359" s="4">
        <f t="shared" si="23"/>
        <v>0</v>
      </c>
      <c r="F359" s="4">
        <f t="shared" si="24"/>
        <v>0</v>
      </c>
      <c r="G359" s="4">
        <f>+E359*Summary!$F$6/12</f>
        <v>0</v>
      </c>
      <c r="H359" s="4">
        <f>+IF(Summary!$B$8*12=B359,E359-F359,0)</f>
        <v>0</v>
      </c>
      <c r="I359" s="4">
        <f t="shared" si="21"/>
        <v>0</v>
      </c>
    </row>
    <row r="360" spans="2:9" x14ac:dyDescent="0.2">
      <c r="B360">
        <v>357</v>
      </c>
      <c r="C360">
        <f t="shared" si="22"/>
        <v>30</v>
      </c>
      <c r="D360" s="4">
        <f>+IF(B360&lt;=Summary!$B$17,E360*Summary!$E$6/12,-IF(C360&gt;Summary!$B$8,0,-'Market Amortization Table'!$L$4))</f>
        <v>0</v>
      </c>
      <c r="E360" s="4">
        <f t="shared" si="23"/>
        <v>0</v>
      </c>
      <c r="F360" s="4">
        <f t="shared" si="24"/>
        <v>0</v>
      </c>
      <c r="G360" s="4">
        <f>+E360*Summary!$F$6/12</f>
        <v>0</v>
      </c>
      <c r="H360" s="4">
        <f>+IF(Summary!$B$8*12=B360,E360-F360,0)</f>
        <v>0</v>
      </c>
      <c r="I360" s="4">
        <f t="shared" si="21"/>
        <v>0</v>
      </c>
    </row>
    <row r="361" spans="2:9" x14ac:dyDescent="0.2">
      <c r="B361">
        <v>358</v>
      </c>
      <c r="C361">
        <f t="shared" si="22"/>
        <v>30</v>
      </c>
      <c r="D361" s="4">
        <f>+IF(B361&lt;=Summary!$B$17,E361*Summary!$E$6/12,-IF(C361&gt;Summary!$B$8,0,-'Market Amortization Table'!$L$4))</f>
        <v>0</v>
      </c>
      <c r="E361" s="4">
        <f t="shared" si="23"/>
        <v>0</v>
      </c>
      <c r="F361" s="4">
        <f t="shared" si="24"/>
        <v>0</v>
      </c>
      <c r="G361" s="4">
        <f>+E361*Summary!$F$6/12</f>
        <v>0</v>
      </c>
      <c r="H361" s="4">
        <f>+IF(Summary!$B$8*12=B361,E361-F361,0)</f>
        <v>0</v>
      </c>
      <c r="I361" s="4">
        <f t="shared" si="21"/>
        <v>0</v>
      </c>
    </row>
    <row r="362" spans="2:9" x14ac:dyDescent="0.2">
      <c r="B362">
        <v>359</v>
      </c>
      <c r="C362">
        <f t="shared" si="22"/>
        <v>30</v>
      </c>
      <c r="D362" s="4">
        <f>+IF(B362&lt;=Summary!$B$17,E362*Summary!$E$6/12,-IF(C362&gt;Summary!$B$8,0,-'Market Amortization Table'!$L$4))</f>
        <v>0</v>
      </c>
      <c r="E362" s="4">
        <f t="shared" si="23"/>
        <v>0</v>
      </c>
      <c r="F362" s="4">
        <f t="shared" si="24"/>
        <v>0</v>
      </c>
      <c r="G362" s="4">
        <f>+E362*Summary!$F$6/12</f>
        <v>0</v>
      </c>
      <c r="H362" s="4">
        <f>+IF(Summary!$B$8*12=B362,E362-F362,0)</f>
        <v>0</v>
      </c>
      <c r="I362" s="4">
        <f t="shared" si="21"/>
        <v>0</v>
      </c>
    </row>
    <row r="363" spans="2:9" x14ac:dyDescent="0.2">
      <c r="B363">
        <v>360</v>
      </c>
      <c r="C363">
        <f t="shared" si="22"/>
        <v>30</v>
      </c>
      <c r="D363" s="4">
        <f>+IF(B363&lt;=Summary!$B$17,E363*Summary!$E$6/12,-IF(C363&gt;Summary!$B$8,0,-'Market Amortization Table'!$L$4))</f>
        <v>0</v>
      </c>
      <c r="E363" s="4">
        <f t="shared" si="23"/>
        <v>0</v>
      </c>
      <c r="F363" s="4">
        <f t="shared" si="24"/>
        <v>0</v>
      </c>
      <c r="G363" s="4">
        <f>+E363*Summary!$F$6/12</f>
        <v>0</v>
      </c>
      <c r="H363" s="4">
        <f>+IF(Summary!$B$8*12=B363,E363-F363,0)</f>
        <v>0</v>
      </c>
      <c r="I363" s="4">
        <f t="shared" si="21"/>
        <v>0</v>
      </c>
    </row>
  </sheetData>
  <mergeCells count="1">
    <mergeCell ref="K2:L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Market</vt:lpstr>
      <vt:lpstr>Current</vt:lpstr>
      <vt:lpstr>Current Amortization Table</vt:lpstr>
      <vt:lpstr>Market Amortization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Gaughran</dc:creator>
  <cp:lastModifiedBy>Ethan Douangpraseuth Truong</cp:lastModifiedBy>
  <cp:lastPrinted>2025-04-26T04:14:18Z</cp:lastPrinted>
  <dcterms:created xsi:type="dcterms:W3CDTF">2024-05-03T18:02:07Z</dcterms:created>
  <dcterms:modified xsi:type="dcterms:W3CDTF">2025-05-29T20:57:34Z</dcterms:modified>
</cp:coreProperties>
</file>