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esktop/Academy/Day 2 - Accounting Bases/"/>
    </mc:Choice>
  </mc:AlternateContent>
  <xr:revisionPtr revIDLastSave="49" documentId="8_{D4937AAE-E594-4E98-B70A-5B6CA385E77D}" xr6:coauthVersionLast="47" xr6:coauthVersionMax="47" xr10:uidLastSave="{8C18DA73-7953-465C-B4A5-392426093549}"/>
  <bookViews>
    <workbookView xWindow="-108" yWindow="-108" windowWidth="23256" windowHeight="12576" activeTab="4" xr2:uid="{59141161-E29E-4CE2-BA89-44AA1FE615AA}"/>
  </bookViews>
  <sheets>
    <sheet name="Lead - BMB" sheetId="4" r:id="rId1"/>
    <sheet name="Lead - MED" sheetId="8" r:id="rId2"/>
    <sheet name="BdV - BMB" sheetId="2" r:id="rId3"/>
    <sheet name="BdV - MED" sheetId="7" r:id="rId4"/>
    <sheet name="Consolidato" sheetId="6" r:id="rId5"/>
  </sheets>
  <definedNames>
    <definedName name="_xlnm._FilterDatabase" localSheetId="2" hidden="1">'BdV - BMB'!$A$3:$F$53</definedName>
    <definedName name="_xlnm._FilterDatabase" localSheetId="3" hidden="1">'BdV - MED'!$A$1:$E$32</definedName>
    <definedName name="CIQWBGuid" hidden="1">"Copy of Esercizio 2 Clean giusto.xlsx"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6" l="1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3" i="6"/>
  <c r="G16" i="6"/>
  <c r="G29" i="6"/>
  <c r="G28" i="6"/>
  <c r="E20" i="6"/>
  <c r="E19" i="6"/>
  <c r="F19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13" i="6"/>
  <c r="B44" i="8"/>
  <c r="B53" i="8" s="1"/>
  <c r="C42" i="8"/>
  <c r="B42" i="8"/>
  <c r="B60" i="8" s="1"/>
  <c r="C40" i="8"/>
  <c r="B40" i="8"/>
  <c r="H54" i="8" s="1"/>
  <c r="C39" i="8"/>
  <c r="B39" i="8"/>
  <c r="B58" i="8" s="1"/>
  <c r="C37" i="8"/>
  <c r="B37" i="8"/>
  <c r="B36" i="8"/>
  <c r="B35" i="8"/>
  <c r="B34" i="8"/>
  <c r="B33" i="8"/>
  <c r="B31" i="8"/>
  <c r="B24" i="8" s="1"/>
  <c r="B30" i="8"/>
  <c r="E20" i="4"/>
  <c r="F36" i="7"/>
  <c r="E36" i="7"/>
  <c r="F38" i="7" s="1"/>
  <c r="B21" i="8"/>
  <c r="B22" i="4"/>
  <c r="C22" i="4"/>
  <c r="E21" i="4"/>
  <c r="D21" i="4"/>
  <c r="B20" i="8"/>
  <c r="B66" i="8" s="1"/>
  <c r="B18" i="8"/>
  <c r="K53" i="8" s="1"/>
  <c r="B57" i="8"/>
  <c r="B13" i="8"/>
  <c r="B10" i="8"/>
  <c r="D21" i="8" s="1"/>
  <c r="B61" i="8"/>
  <c r="B4" i="8"/>
  <c r="H53" i="8" s="1"/>
  <c r="A60" i="8"/>
  <c r="K54" i="8"/>
  <c r="F37" i="7"/>
  <c r="B65" i="4"/>
  <c r="B57" i="4"/>
  <c r="H55" i="4"/>
  <c r="H53" i="4"/>
  <c r="H52" i="4"/>
  <c r="B56" i="4"/>
  <c r="B14" i="4"/>
  <c r="B59" i="4"/>
  <c r="B55" i="4"/>
  <c r="B54" i="4"/>
  <c r="B21" i="4"/>
  <c r="B66" i="4"/>
  <c r="B67" i="4" s="1"/>
  <c r="K54" i="4"/>
  <c r="K53" i="4"/>
  <c r="C26" i="4"/>
  <c r="B26" i="4"/>
  <c r="C25" i="4"/>
  <c r="B25" i="4"/>
  <c r="C24" i="4"/>
  <c r="B24" i="4"/>
  <c r="A60" i="4"/>
  <c r="C44" i="4"/>
  <c r="C42" i="4"/>
  <c r="C40" i="4"/>
  <c r="C39" i="4"/>
  <c r="C37" i="4"/>
  <c r="C36" i="4"/>
  <c r="C35" i="4"/>
  <c r="C34" i="4"/>
  <c r="C33" i="4"/>
  <c r="C31" i="4"/>
  <c r="C30" i="4"/>
  <c r="B44" i="4"/>
  <c r="B53" i="4" s="1"/>
  <c r="B42" i="4"/>
  <c r="B60" i="4" s="1"/>
  <c r="B40" i="4"/>
  <c r="B39" i="4"/>
  <c r="B58" i="4" s="1"/>
  <c r="B37" i="4"/>
  <c r="B36" i="4"/>
  <c r="B35" i="4"/>
  <c r="B34" i="4"/>
  <c r="B33" i="4"/>
  <c r="B31" i="4"/>
  <c r="B30" i="4"/>
  <c r="B7" i="8" l="1"/>
  <c r="B11" i="8"/>
  <c r="B14" i="8" s="1"/>
  <c r="B16" i="8" s="1"/>
  <c r="B22" i="8" s="1"/>
  <c r="B25" i="8"/>
  <c r="B47" i="8"/>
  <c r="B32" i="8"/>
  <c r="B38" i="8" s="1"/>
  <c r="B41" i="8" s="1"/>
  <c r="B43" i="8" s="1"/>
  <c r="B45" i="8" s="1"/>
  <c r="B26" i="8"/>
  <c r="H54" i="4"/>
  <c r="B48" i="8" l="1"/>
  <c r="B52" i="8"/>
  <c r="B54" i="8" s="1"/>
  <c r="K52" i="8"/>
  <c r="K55" i="8" s="1"/>
  <c r="B62" i="8" s="1"/>
  <c r="C47" i="4"/>
  <c r="B47" i="4"/>
  <c r="C3" i="4"/>
  <c r="B20" i="4"/>
  <c r="B18" i="4"/>
  <c r="B17" i="4"/>
  <c r="B15" i="4"/>
  <c r="B13" i="4"/>
  <c r="B12" i="4"/>
  <c r="B10" i="4"/>
  <c r="B9" i="4"/>
  <c r="B8" i="4"/>
  <c r="B4" i="4"/>
  <c r="B5" i="4"/>
  <c r="B3" i="4"/>
  <c r="I4" i="2"/>
  <c r="F34" i="2"/>
  <c r="I5" i="2"/>
  <c r="I6" i="2"/>
  <c r="F32" i="7"/>
  <c r="F31" i="7"/>
  <c r="F30" i="7"/>
  <c r="F29" i="7"/>
  <c r="F28" i="7"/>
  <c r="C10" i="8" s="1"/>
  <c r="F27" i="7"/>
  <c r="C18" i="8" s="1"/>
  <c r="F26" i="7"/>
  <c r="F25" i="7"/>
  <c r="F24" i="7"/>
  <c r="C4" i="8" s="1"/>
  <c r="F23" i="7"/>
  <c r="C20" i="8" s="1"/>
  <c r="F22" i="7"/>
  <c r="C44" i="8" s="1"/>
  <c r="F21" i="7"/>
  <c r="F20" i="7"/>
  <c r="F19" i="7"/>
  <c r="C36" i="8" s="1"/>
  <c r="F18" i="7"/>
  <c r="F17" i="7"/>
  <c r="F16" i="7"/>
  <c r="F15" i="7"/>
  <c r="F14" i="7"/>
  <c r="F13" i="7"/>
  <c r="C33" i="8" s="1"/>
  <c r="F12" i="7"/>
  <c r="F11" i="7"/>
  <c r="F10" i="7"/>
  <c r="C35" i="8" s="1"/>
  <c r="F9" i="7"/>
  <c r="F8" i="7"/>
  <c r="F7" i="7"/>
  <c r="F6" i="7"/>
  <c r="F5" i="7"/>
  <c r="F4" i="7"/>
  <c r="F3" i="7"/>
  <c r="C31" i="8" s="1"/>
  <c r="C24" i="8" s="1"/>
  <c r="F2" i="7"/>
  <c r="C30" i="8" s="1"/>
  <c r="C32" i="8" s="1"/>
  <c r="G53" i="2"/>
  <c r="G52" i="2"/>
  <c r="G51" i="2"/>
  <c r="G50" i="2"/>
  <c r="G49" i="2"/>
  <c r="G48" i="2"/>
  <c r="G47" i="2"/>
  <c r="G46" i="2"/>
  <c r="C18" i="4" s="1"/>
  <c r="G45" i="2"/>
  <c r="G44" i="2"/>
  <c r="C15" i="4" s="1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C32" i="4" s="1"/>
  <c r="G20" i="2"/>
  <c r="G19" i="2"/>
  <c r="G18" i="2"/>
  <c r="G17" i="2"/>
  <c r="G16" i="2"/>
  <c r="G15" i="2"/>
  <c r="C5" i="4" s="1"/>
  <c r="B61" i="4" s="1"/>
  <c r="G14" i="2"/>
  <c r="C4" i="4" s="1"/>
  <c r="G13" i="2"/>
  <c r="C8" i="4" s="1"/>
  <c r="G12" i="2"/>
  <c r="G11" i="2"/>
  <c r="G10" i="2"/>
  <c r="G9" i="2"/>
  <c r="C10" i="4" s="1"/>
  <c r="G8" i="2"/>
  <c r="G7" i="2"/>
  <c r="G6" i="2"/>
  <c r="G5" i="2"/>
  <c r="G4" i="2"/>
  <c r="C20" i="4" s="1"/>
  <c r="H52" i="8" l="1"/>
  <c r="H55" i="8" s="1"/>
  <c r="B56" i="8" s="1"/>
  <c r="C7" i="8"/>
  <c r="C47" i="8"/>
  <c r="C34" i="8"/>
  <c r="C38" i="8" s="1"/>
  <c r="B65" i="8"/>
  <c r="B67" i="8" s="1"/>
  <c r="E20" i="8"/>
  <c r="C26" i="8"/>
  <c r="C25" i="8"/>
  <c r="C11" i="8"/>
  <c r="C13" i="8"/>
  <c r="E21" i="8" s="1"/>
  <c r="C12" i="4"/>
  <c r="C9" i="4"/>
  <c r="C13" i="4"/>
  <c r="C17" i="4"/>
  <c r="B32" i="4"/>
  <c r="B38" i="4" s="1"/>
  <c r="B52" i="4" s="1"/>
  <c r="C38" i="4"/>
  <c r="C7" i="4"/>
  <c r="B11" i="4"/>
  <c r="B16" i="4" s="1"/>
  <c r="B7" i="4"/>
  <c r="I7" i="2"/>
  <c r="B19" i="4" s="1"/>
  <c r="C41" i="8" l="1"/>
  <c r="C43" i="8" s="1"/>
  <c r="C45" i="8" s="1"/>
  <c r="C21" i="8" s="1"/>
  <c r="C48" i="8"/>
  <c r="C14" i="8"/>
  <c r="C11" i="4"/>
  <c r="C41" i="4"/>
  <c r="C43" i="4" s="1"/>
  <c r="C45" i="4" s="1"/>
  <c r="C19" i="4" s="1"/>
  <c r="C48" i="4"/>
  <c r="B41" i="4"/>
  <c r="B43" i="4" s="1"/>
  <c r="B45" i="4" s="1"/>
  <c r="B48" i="4"/>
  <c r="C14" i="4"/>
  <c r="C16" i="4"/>
  <c r="B55" i="8" l="1"/>
  <c r="B59" i="8" s="1"/>
  <c r="B63" i="8" s="1"/>
  <c r="B69" i="8" s="1"/>
  <c r="C16" i="8"/>
  <c r="C22" i="8" s="1"/>
  <c r="C21" i="4"/>
  <c r="K52" i="4"/>
  <c r="K55" i="4" s="1"/>
  <c r="B62" i="4" s="1"/>
  <c r="B63" i="4" s="1"/>
  <c r="B69" i="4" s="1"/>
</calcChain>
</file>

<file path=xl/sharedStrings.xml><?xml version="1.0" encoding="utf-8"?>
<sst xmlns="http://schemas.openxmlformats.org/spreadsheetml/2006/main" count="562" uniqueCount="166">
  <si>
    <t>ERARIO C/IVA</t>
  </si>
  <si>
    <t>FORNITORI NAZIONALI</t>
  </si>
  <si>
    <t>CASSA DI RISPARMIO /INTESA SANPAOL</t>
  </si>
  <si>
    <t>BANCA DI CREDITO COOP.DI ROMA</t>
  </si>
  <si>
    <t>OPERAI C/SALARI</t>
  </si>
  <si>
    <t>CREDITI V/CLIENTI NAZIONALI</t>
  </si>
  <si>
    <t>INPS</t>
  </si>
  <si>
    <t>RICEVUTE BANCARIE ALL'INCASSO</t>
  </si>
  <si>
    <t>FORNITORI C/ANTICIPI PER ACCONTI V</t>
  </si>
  <si>
    <t>FORNITORI C/ NOTE ACCR.DA RICEVERE</t>
  </si>
  <si>
    <t>DEBITI TRIBUTARI</t>
  </si>
  <si>
    <t>ERARIO CREDITO D'IMPOSTA IRES</t>
  </si>
  <si>
    <t>ERARIO CREDITO D'IMPOSTA PER ACCON</t>
  </si>
  <si>
    <t>DEBITI V/SO SOCI PER DISTRIBUZIONE</t>
  </si>
  <si>
    <t>FONDO SVALUTAZIONE CREDITI V/CLIEN</t>
  </si>
  <si>
    <t>RATEI ATTIVI</t>
  </si>
  <si>
    <t>FONDO TRATTAMENTO DI FINE RAPPORTO</t>
  </si>
  <si>
    <t>MERCI</t>
  </si>
  <si>
    <t>FONDO AMMORTAMENTO IMPIANTI TECNIC</t>
  </si>
  <si>
    <t>IMPIANTI TECNICI SPECIFICI</t>
  </si>
  <si>
    <t>CAPITALE SOTTOSCRITTO RICHIAMATO E</t>
  </si>
  <si>
    <t>RISERVA LEGALE</t>
  </si>
  <si>
    <t>RISERVA STATUTARIA</t>
  </si>
  <si>
    <t>DEPOSITO CAUZIONALE ENEL</t>
  </si>
  <si>
    <t>ERARIO C/IMP.SOSTIT.TFR</t>
  </si>
  <si>
    <t>MERCI C/ ACQUISTI</t>
  </si>
  <si>
    <t>VENDITE ITALIA</t>
  </si>
  <si>
    <t>RICAVI PER PRESTAZIONI</t>
  </si>
  <si>
    <t>ACQUISTO VALORI BOLLATI</t>
  </si>
  <si>
    <t>MATERIE DI CONSUMO</t>
  </si>
  <si>
    <t>RETTIFICHE SU VENDITE</t>
  </si>
  <si>
    <t>SALARI OPERAI</t>
  </si>
  <si>
    <t>RIMANENZE FINALI DI MERCI</t>
  </si>
  <si>
    <t>CORRISPETTIVI NETTI</t>
  </si>
  <si>
    <t>CORRISPETTIVO ENERGIA GSE</t>
  </si>
  <si>
    <t>SERVIZI/PRODOTTI PULIZIA</t>
  </si>
  <si>
    <t>CANONI SERVIZIO DI LOCALIZZAZIONE</t>
  </si>
  <si>
    <t>COMPENSI PROFESSIONALI E DI LAVORO</t>
  </si>
  <si>
    <t>RIMBORSI SPESE   AMMINISTRATORE</t>
  </si>
  <si>
    <t>PEDAGGI AUTOSTRADALI</t>
  </si>
  <si>
    <t>RIMBORSI SPESE DIPENDENTI</t>
  </si>
  <si>
    <t>SPESE PRANZI E ALLOGGI</t>
  </si>
  <si>
    <t>PUBBLICITA' E PROPAGANDA</t>
  </si>
  <si>
    <t>AMMORTAMENTO ORD. IMPIANTI TECNICI</t>
  </si>
  <si>
    <t>SVALUTAZIONE CREDITI V/CLIENTI</t>
  </si>
  <si>
    <t>INTERESSI PASSIVI DIVERSI</t>
  </si>
  <si>
    <t>IMPOSTA IRAP INDEDUCIBILE</t>
  </si>
  <si>
    <t>IMPOSTA IRES INDEDUCIBILE</t>
  </si>
  <si>
    <t>RIMANENZE INIZIALI DI MERCI</t>
  </si>
  <si>
    <t>Liabilities</t>
  </si>
  <si>
    <t>Equity</t>
  </si>
  <si>
    <t>Assets</t>
  </si>
  <si>
    <t>Expenses</t>
  </si>
  <si>
    <t>Revenue</t>
  </si>
  <si>
    <t>Account N</t>
  </si>
  <si>
    <t>Account Description</t>
  </si>
  <si>
    <t>EY Mapping</t>
  </si>
  <si>
    <t>Other assets</t>
  </si>
  <si>
    <t>Other expenses</t>
  </si>
  <si>
    <t>Accounts payables</t>
  </si>
  <si>
    <t>Inventory</t>
  </si>
  <si>
    <t>Tangible assets</t>
  </si>
  <si>
    <t>Intangible assets</t>
  </si>
  <si>
    <t>BS</t>
  </si>
  <si>
    <t>P&amp;L</t>
  </si>
  <si>
    <t>Accounts receivables</t>
  </si>
  <si>
    <t>Operating revenues</t>
  </si>
  <si>
    <t>Share capital</t>
  </si>
  <si>
    <t>Reserves</t>
  </si>
  <si>
    <t>Other revenue</t>
  </si>
  <si>
    <t>COGS</t>
  </si>
  <si>
    <t xml:space="preserve">Employees leaving indemnity </t>
  </si>
  <si>
    <t>Financial items</t>
  </si>
  <si>
    <t>Cost of services</t>
  </si>
  <si>
    <t>Personnel costs</t>
  </si>
  <si>
    <t>Depreciation</t>
  </si>
  <si>
    <t>Bad debt accrual</t>
  </si>
  <si>
    <t>Taxes</t>
  </si>
  <si>
    <t>Other liabilities</t>
  </si>
  <si>
    <t>Net financial position</t>
  </si>
  <si>
    <t>Rent and leasing</t>
  </si>
  <si>
    <t>Sub_Type</t>
  </si>
  <si>
    <t>FY19A</t>
  </si>
  <si>
    <t>Currency: €</t>
  </si>
  <si>
    <t>Net invested capital</t>
  </si>
  <si>
    <t>Total sources</t>
  </si>
  <si>
    <t>Net working capital</t>
  </si>
  <si>
    <t>Trade working capital</t>
  </si>
  <si>
    <t>Fixed assets</t>
  </si>
  <si>
    <t>Gross margin</t>
  </si>
  <si>
    <t>EBITDA</t>
  </si>
  <si>
    <t>EBIT</t>
  </si>
  <si>
    <t>EBT</t>
  </si>
  <si>
    <t>Net result</t>
  </si>
  <si>
    <t>Financial assets</t>
  </si>
  <si>
    <t>BS/P&amp;L</t>
  </si>
  <si>
    <t>Debiti commerciali IC</t>
  </si>
  <si>
    <t>Crediti commerciali IC</t>
  </si>
  <si>
    <t>Currency €/000</t>
  </si>
  <si>
    <t>Local language</t>
  </si>
  <si>
    <t>EY mapping</t>
  </si>
  <si>
    <t xml:space="preserve">Accountancy fees </t>
  </si>
  <si>
    <t xml:space="preserve">Audit fees </t>
  </si>
  <si>
    <t xml:space="preserve">Bank charges </t>
  </si>
  <si>
    <t xml:space="preserve">Entertainment and meals </t>
  </si>
  <si>
    <t xml:space="preserve">Exchange rate differences - realised </t>
  </si>
  <si>
    <t xml:space="preserve">General expenses </t>
  </si>
  <si>
    <t xml:space="preserve">Wages and salaries </t>
  </si>
  <si>
    <t xml:space="preserve">Gifts </t>
  </si>
  <si>
    <t xml:space="preserve">Hotels </t>
  </si>
  <si>
    <t xml:space="preserve">IT Services </t>
  </si>
  <si>
    <t xml:space="preserve">Miscellaneous motor expenses </t>
  </si>
  <si>
    <t xml:space="preserve">Office stationery </t>
  </si>
  <si>
    <t xml:space="preserve">Postage and carriage </t>
  </si>
  <si>
    <t xml:space="preserve">Professional fees </t>
  </si>
  <si>
    <t xml:space="preserve">Registration fees </t>
  </si>
  <si>
    <t xml:space="preserve">Rent </t>
  </si>
  <si>
    <t xml:space="preserve">Telephone </t>
  </si>
  <si>
    <t>Travelling</t>
  </si>
  <si>
    <t>Cash and Equivalents</t>
  </si>
  <si>
    <t>TR</t>
  </si>
  <si>
    <t>TP</t>
  </si>
  <si>
    <t>Due to shareholder</t>
  </si>
  <si>
    <t>Other payables</t>
  </si>
  <si>
    <t>Accrued expenses</t>
  </si>
  <si>
    <t>Tax liabilities</t>
  </si>
  <si>
    <t>Tax on salaries liability</t>
  </si>
  <si>
    <t>BMB vs MED</t>
  </si>
  <si>
    <t>MED vs BMB</t>
  </si>
  <si>
    <t xml:space="preserve">IVA </t>
  </si>
  <si>
    <t>Partecipazione in MED</t>
  </si>
  <si>
    <t>Goodwill</t>
  </si>
  <si>
    <t>KPIs</t>
  </si>
  <si>
    <t>DOI</t>
  </si>
  <si>
    <t>DSO</t>
  </si>
  <si>
    <t>DPO</t>
  </si>
  <si>
    <t>Gross margin %</t>
  </si>
  <si>
    <t>EBITDA %</t>
  </si>
  <si>
    <t>CF</t>
  </si>
  <si>
    <t>FY18A</t>
  </si>
  <si>
    <t>Delta NWC</t>
  </si>
  <si>
    <t>Nopat</t>
  </si>
  <si>
    <t>Capex</t>
  </si>
  <si>
    <t>Bop</t>
  </si>
  <si>
    <t>BoP</t>
  </si>
  <si>
    <t>EoP</t>
  </si>
  <si>
    <t>D&amp;A</t>
  </si>
  <si>
    <t>Total Capex</t>
  </si>
  <si>
    <t>2k19</t>
  </si>
  <si>
    <t>D TFR</t>
  </si>
  <si>
    <t>Operating Cash flow</t>
  </si>
  <si>
    <t>Chg in financial assets</t>
  </si>
  <si>
    <t>Change in Equity</t>
  </si>
  <si>
    <t>Net income</t>
  </si>
  <si>
    <t>total</t>
  </si>
  <si>
    <t>check</t>
  </si>
  <si>
    <t>Cash flow</t>
  </si>
  <si>
    <t>Eop</t>
  </si>
  <si>
    <t>Delta</t>
  </si>
  <si>
    <t>Aggregate</t>
  </si>
  <si>
    <t>Intercompany BMB</t>
  </si>
  <si>
    <t>Intercompany MED</t>
  </si>
  <si>
    <t>Consolidation</t>
  </si>
  <si>
    <t>Elisione partecipazione</t>
  </si>
  <si>
    <t>BMB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</si>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</sst>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;\(#,##0\);\-"/>
    <numFmt numFmtId="165" formatCode="#,##0;\(#,##0\);&quot;-&quot;"/>
    <numFmt numFmtId="166" formatCode="#,##0_);\(#,##0\);&quot; - &quot;_);@_)"/>
    <numFmt numFmtId="167" formatCode="_-* #,##0_-;\-* #,##0_-;_-* &quot;-&quot;??_-;_-@_-"/>
    <numFmt numFmtId="168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indexed="25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8B9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0">
    <xf numFmtId="0" fontId="0" fillId="0" borderId="0"/>
    <xf numFmtId="0" fontId="3" fillId="0" borderId="0" applyFill="0" applyBorder="0">
      <alignment horizontal="left" vertical="top" wrapText="1"/>
    </xf>
    <xf numFmtId="0" fontId="4" fillId="0" borderId="0"/>
    <xf numFmtId="0" fontId="4" fillId="0" borderId="0"/>
    <xf numFmtId="165" fontId="8" fillId="0" borderId="2">
      <alignment horizontal="left"/>
    </xf>
    <xf numFmtId="0" fontId="10" fillId="0" borderId="0"/>
    <xf numFmtId="0" fontId="5" fillId="0" borderId="0"/>
    <xf numFmtId="166" fontId="3" fillId="0" borderId="0" applyFill="0" applyBorder="0">
      <alignment horizontal="right" vertical="top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/>
    <xf numFmtId="16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/>
    <xf numFmtId="0" fontId="2" fillId="0" borderId="0" xfId="0" applyNumberFormat="1" applyFont="1"/>
    <xf numFmtId="0" fontId="1" fillId="0" borderId="0" xfId="1" applyFont="1" applyFill="1" applyBorder="1">
      <alignment horizontal="left" vertical="top" wrapText="1"/>
    </xf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left" indent="1"/>
    </xf>
    <xf numFmtId="164" fontId="0" fillId="0" borderId="0" xfId="0" applyNumberFormat="1"/>
    <xf numFmtId="165" fontId="9" fillId="3" borderId="3" xfId="4" applyFont="1" applyFill="1" applyBorder="1" applyAlignment="1">
      <alignment horizontal="left" vertical="top"/>
    </xf>
    <xf numFmtId="0" fontId="11" fillId="0" borderId="0" xfId="5" applyFont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11" fillId="0" borderId="0" xfId="5" applyFont="1" applyAlignment="1"/>
    <xf numFmtId="164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0" fillId="0" borderId="0" xfId="0" applyFont="1"/>
    <xf numFmtId="0" fontId="10" fillId="0" borderId="0" xfId="5" applyFont="1" applyAlignment="1">
      <alignment horizontal="left"/>
    </xf>
    <xf numFmtId="0" fontId="10" fillId="0" borderId="0" xfId="0" applyNumberFormat="1" applyFont="1"/>
    <xf numFmtId="9" fontId="0" fillId="0" borderId="0" xfId="0" applyNumberFormat="1"/>
    <xf numFmtId="167" fontId="0" fillId="0" borderId="0" xfId="8" applyNumberFormat="1" applyFont="1"/>
    <xf numFmtId="167" fontId="0" fillId="0" borderId="0" xfId="0" applyNumberFormat="1"/>
    <xf numFmtId="0" fontId="7" fillId="0" borderId="0" xfId="0" applyFont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horizontal="left"/>
    </xf>
    <xf numFmtId="167" fontId="6" fillId="2" borderId="0" xfId="8" applyNumberFormat="1" applyFont="1" applyFill="1" applyAlignment="1">
      <alignment horizontal="right"/>
    </xf>
    <xf numFmtId="167" fontId="7" fillId="0" borderId="1" xfId="8" applyNumberFormat="1" applyFont="1" applyBorder="1" applyAlignment="1">
      <alignment horizontal="left"/>
    </xf>
    <xf numFmtId="167" fontId="7" fillId="0" borderId="1" xfId="0" applyNumberFormat="1" applyFont="1" applyBorder="1" applyAlignment="1">
      <alignment horizontal="left"/>
    </xf>
    <xf numFmtId="167" fontId="14" fillId="0" borderId="0" xfId="0" applyNumberFormat="1" applyFont="1" applyBorder="1" applyAlignment="1">
      <alignment horizontal="left"/>
    </xf>
    <xf numFmtId="43" fontId="1" fillId="0" borderId="0" xfId="8" applyFont="1"/>
    <xf numFmtId="167" fontId="7" fillId="0" borderId="0" xfId="0" applyNumberFormat="1" applyFont="1"/>
    <xf numFmtId="168" fontId="0" fillId="0" borderId="0" xfId="0" applyNumberFormat="1"/>
    <xf numFmtId="10" fontId="15" fillId="0" borderId="0" xfId="9" applyNumberFormat="1" applyFont="1"/>
    <xf numFmtId="1" fontId="15" fillId="0" borderId="0" xfId="0" applyNumberFormat="1" applyFont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167" fontId="17" fillId="4" borderId="0" xfId="8" applyNumberFormat="1" applyFont="1" applyFill="1" applyBorder="1" applyAlignment="1">
      <alignment horizontal="left"/>
    </xf>
    <xf numFmtId="0" fontId="16" fillId="4" borderId="0" xfId="0" applyFont="1" applyFill="1"/>
    <xf numFmtId="167" fontId="16" fillId="4" borderId="0" xfId="0" applyNumberFormat="1" applyFont="1" applyFill="1"/>
    <xf numFmtId="164" fontId="0" fillId="0" borderId="0" xfId="8" applyNumberFormat="1" applyFont="1"/>
    <xf numFmtId="164" fontId="7" fillId="0" borderId="0" xfId="0" applyNumberFormat="1" applyFont="1"/>
    <xf numFmtId="167" fontId="15" fillId="0" borderId="0" xfId="0" applyNumberFormat="1" applyFont="1"/>
    <xf numFmtId="164" fontId="15" fillId="0" borderId="0" xfId="0" applyNumberFormat="1" applyFont="1"/>
  </cellXfs>
  <cellStyles count="10">
    <cellStyle name="Comma" xfId="8" builtinId="3"/>
    <cellStyle name="EY0dp" xfId="7" xr:uid="{A153458C-EEBD-48AD-8C15-145E03D395DD}"/>
    <cellStyle name="EY2dp" xfId="2" xr:uid="{DE61D1F3-A580-417F-A859-4926CFB5B934}"/>
    <cellStyle name="EY3dp" xfId="3" xr:uid="{A8933988-810B-45B0-8FEC-AB44D4DD1C57}"/>
    <cellStyle name="EYCurrency" xfId="4" xr:uid="{BA4C5762-6BB1-43D7-9F5B-11C6942EC480}"/>
    <cellStyle name="EYtext" xfId="1" xr:uid="{7A7E454C-5090-4FF2-A7F3-367EB99FDD1D}"/>
    <cellStyle name="Normal" xfId="0" builtinId="0"/>
    <cellStyle name="Normal 3 2" xfId="6" xr:uid="{53EC74A8-59CD-42FC-88C8-7A2AA61E8D7A}"/>
    <cellStyle name="Normal 5" xfId="5" xr:uid="{08290648-E938-47E4-AA13-13EC21FFE4C4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9B31-FA07-4370-919D-6D4CAAD631DF}">
  <dimension ref="A1:K69"/>
  <sheetViews>
    <sheetView showGridLines="0" topLeftCell="A16" zoomScale="80" zoomScaleNormal="80" workbookViewId="0">
      <selection activeCell="A28" sqref="A28:B45"/>
    </sheetView>
  </sheetViews>
  <sheetFormatPr defaultRowHeight="14.4" x14ac:dyDescent="0.3"/>
  <cols>
    <col min="1" max="1" width="26.5546875" bestFit="1" customWidth="1"/>
    <col min="2" max="2" width="13.109375" bestFit="1" customWidth="1"/>
    <col min="3" max="3" width="12.6640625" bestFit="1" customWidth="1"/>
    <col min="4" max="4" width="12" bestFit="1" customWidth="1"/>
    <col min="5" max="5" width="10.77734375" bestFit="1" customWidth="1"/>
    <col min="7" max="7" width="13.33203125" customWidth="1"/>
    <col min="10" max="10" width="15.5546875" bestFit="1" customWidth="1"/>
  </cols>
  <sheetData>
    <row r="1" spans="1:5" x14ac:dyDescent="0.3">
      <c r="A1" s="11" t="s">
        <v>63</v>
      </c>
    </row>
    <row r="2" spans="1:5" x14ac:dyDescent="0.3">
      <c r="A2" s="9" t="s">
        <v>83</v>
      </c>
      <c r="B2" s="30" t="s">
        <v>82</v>
      </c>
      <c r="C2" s="30" t="s">
        <v>139</v>
      </c>
    </row>
    <row r="3" spans="1:5" x14ac:dyDescent="0.3">
      <c r="A3" s="7" t="s">
        <v>62</v>
      </c>
      <c r="B3" s="23">
        <f>SUMIF('BdV - BMB'!$D$4:$D$53,'Lead - BMB'!A3,'BdV - BMB'!$F$4:$F$53)</f>
        <v>0</v>
      </c>
      <c r="C3" s="23">
        <f>SUMIF('BdV - BMB'!$D$4:$D$53,'Lead - BMB'!A3,'BdV - BMB'!$G$4:$G$53)</f>
        <v>0</v>
      </c>
    </row>
    <row r="4" spans="1:5" x14ac:dyDescent="0.3">
      <c r="A4" s="7" t="s">
        <v>61</v>
      </c>
      <c r="B4" s="23">
        <f>SUMIF('BdV - BMB'!$D$4:$D$53,'Lead - BMB'!A4,'BdV - BMB'!$F$4:$F$53)</f>
        <v>42287.5</v>
      </c>
      <c r="C4" s="23">
        <f>SUMIF('BdV - BMB'!$D$4:$D$53,'Lead - BMB'!A4,'BdV - BMB'!$G$4:$G$53)</f>
        <v>40173.125</v>
      </c>
    </row>
    <row r="5" spans="1:5" x14ac:dyDescent="0.3">
      <c r="A5" s="7" t="s">
        <v>94</v>
      </c>
      <c r="B5" s="23">
        <f>SUMIF('BdV - BMB'!$D$4:$D$53,'Lead - BMB'!A5,'BdV - BMB'!$F$4:$F$53)</f>
        <v>500000</v>
      </c>
      <c r="C5" s="23">
        <f>SUMIF('BdV - BMB'!$D$4:$D$53,'Lead - BMB'!A5,'BdV - BMB'!$G$4:$G$53)</f>
        <v>475000</v>
      </c>
    </row>
    <row r="6" spans="1:5" x14ac:dyDescent="0.3">
      <c r="A6" s="7" t="s">
        <v>131</v>
      </c>
      <c r="B6" s="23"/>
    </row>
    <row r="7" spans="1:5" x14ac:dyDescent="0.3">
      <c r="A7" s="18" t="s">
        <v>88</v>
      </c>
      <c r="B7" s="31">
        <f>SUM(B3:B5)</f>
        <v>542287.5</v>
      </c>
      <c r="C7" s="31">
        <f>SUM(C3:C5)</f>
        <v>515173.125</v>
      </c>
    </row>
    <row r="8" spans="1:5" x14ac:dyDescent="0.3">
      <c r="A8" s="7" t="s">
        <v>60</v>
      </c>
      <c r="B8" s="12">
        <f>SUMIF('BdV - BMB'!$D$4:$D$53,'Lead - BMB'!A8,'BdV - BMB'!$F$4:$F$53)</f>
        <v>140735</v>
      </c>
      <c r="C8" s="12">
        <f>SUMIF('BdV - BMB'!$D$4:$D$53,'Lead - BMB'!A8,'BdV - BMB'!$G$4:$G$53)</f>
        <v>133698.25</v>
      </c>
    </row>
    <row r="9" spans="1:5" x14ac:dyDescent="0.3">
      <c r="A9" s="7" t="s">
        <v>65</v>
      </c>
      <c r="B9" s="12">
        <f>SUMIF('BdV - BMB'!$D$4:$D$53,'Lead - BMB'!A9,'BdV - BMB'!$F$4:$F$53)</f>
        <v>637462.98</v>
      </c>
      <c r="C9" s="12">
        <f>SUMIF('BdV - BMB'!$D$4:$D$53,'Lead - BMB'!A9,'BdV - BMB'!$G$4:$G$53)</f>
        <v>605589.83100000001</v>
      </c>
    </row>
    <row r="10" spans="1:5" x14ac:dyDescent="0.3">
      <c r="A10" s="7" t="s">
        <v>59</v>
      </c>
      <c r="B10" s="12">
        <f>SUMIF('BdV - BMB'!$D$4:$D$53,'Lead - BMB'!A10,'BdV - BMB'!$F$4:$F$53)</f>
        <v>-146689.90000000002</v>
      </c>
      <c r="C10" s="12">
        <f>SUMIF('BdV - BMB'!$D$4:$D$53,'Lead - BMB'!A10,'BdV - BMB'!$G$4:$G$53)</f>
        <v>-139355.405</v>
      </c>
    </row>
    <row r="11" spans="1:5" x14ac:dyDescent="0.3">
      <c r="A11" s="8" t="s">
        <v>87</v>
      </c>
      <c r="B11" s="31">
        <f>B8+B9+B10</f>
        <v>631508.07999999996</v>
      </c>
      <c r="C11" s="31">
        <f>C8+C9+C10</f>
        <v>599932.67599999998</v>
      </c>
    </row>
    <row r="12" spans="1:5" x14ac:dyDescent="0.3">
      <c r="A12" s="7" t="s">
        <v>57</v>
      </c>
      <c r="B12" s="12">
        <f>SUMIF('BdV - BMB'!$D$4:$D$53,'Lead - BMB'!A12,'BdV - BMB'!$F$4:$F$53)</f>
        <v>94367.8</v>
      </c>
      <c r="C12" s="12">
        <f>SUMIF('BdV - BMB'!$D$4:$D$53,'Lead - BMB'!A12,'BdV - BMB'!$G$4:$G$53)</f>
        <v>89649.41</v>
      </c>
    </row>
    <row r="13" spans="1:5" x14ac:dyDescent="0.3">
      <c r="A13" s="7" t="s">
        <v>78</v>
      </c>
      <c r="B13" s="12">
        <f>SUMIF('BdV - BMB'!$D$4:$D$53,'Lead - BMB'!A13,'BdV - BMB'!$F$4:$F$53)</f>
        <v>-773298.68</v>
      </c>
      <c r="C13" s="12">
        <f>SUMIF('BdV - BMB'!$D$4:$D$53,'Lead - BMB'!A13,'BdV - BMB'!$G$4:$G$53)</f>
        <v>-734633.74600000004</v>
      </c>
    </row>
    <row r="14" spans="1:5" x14ac:dyDescent="0.3">
      <c r="A14" s="8" t="s">
        <v>86</v>
      </c>
      <c r="B14" s="31">
        <f>B11+B12+B13</f>
        <v>-47422.800000000047</v>
      </c>
      <c r="C14" s="31">
        <f>C11+C12+C13</f>
        <v>-45051.660000000033</v>
      </c>
    </row>
    <row r="15" spans="1:5" x14ac:dyDescent="0.3">
      <c r="A15" s="7" t="s">
        <v>71</v>
      </c>
      <c r="B15" s="12">
        <f>SUMIF('BdV - BMB'!$D$4:$D$53,'Lead - BMB'!A15,'BdV - BMB'!$F$4:$F$53)</f>
        <v>-39464.879999999997</v>
      </c>
      <c r="C15" s="12">
        <f>SUMIF('BdV - BMB'!$D$4:$D$53,'Lead - BMB'!A15,'BdV - BMB'!$G$4:$G$53)</f>
        <v>-37491.635999999999</v>
      </c>
    </row>
    <row r="16" spans="1:5" x14ac:dyDescent="0.3">
      <c r="A16" s="8" t="s">
        <v>84</v>
      </c>
      <c r="B16" s="31">
        <f>B14+B15+B7</f>
        <v>455399.81999999995</v>
      </c>
      <c r="C16" s="31">
        <f>C14+C15+C7</f>
        <v>432629.82899999997</v>
      </c>
      <c r="E16" s="24"/>
    </row>
    <row r="17" spans="1:5" x14ac:dyDescent="0.3">
      <c r="A17" s="7" t="s">
        <v>68</v>
      </c>
      <c r="B17" s="12">
        <f>SUMIF('BdV - BMB'!$D$4:$D$53,'Lead - BMB'!A17,'BdV - BMB'!$F$4:$F$53)</f>
        <v>-97168.499999999942</v>
      </c>
      <c r="C17" s="12">
        <f>SUMIF('BdV - BMB'!$D$4:$D$53,'Lead - BMB'!A17,'BdV - BMB'!$G$4:$G$53)</f>
        <v>-92310.074999999939</v>
      </c>
    </row>
    <row r="18" spans="1:5" x14ac:dyDescent="0.3">
      <c r="A18" s="7" t="s">
        <v>67</v>
      </c>
      <c r="B18" s="12">
        <f>SUMIF('BdV - BMB'!$D$4:$D$53,'Lead - BMB'!A18,'BdV - BMB'!$F$4:$F$53)</f>
        <v>-100000</v>
      </c>
      <c r="C18" s="12">
        <f>SUMIF('BdV - BMB'!$D$4:$D$53,'Lead - BMB'!A18,'BdV - BMB'!$G$4:$G$53)</f>
        <v>-95000</v>
      </c>
    </row>
    <row r="19" spans="1:5" x14ac:dyDescent="0.3">
      <c r="A19" s="7" t="s">
        <v>93</v>
      </c>
      <c r="B19" s="12">
        <f>-'BdV - BMB'!I7</f>
        <v>-623162.74</v>
      </c>
      <c r="C19" s="12">
        <f>-C45</f>
        <v>-592004.2030000001</v>
      </c>
    </row>
    <row r="20" spans="1:5" x14ac:dyDescent="0.3">
      <c r="A20" s="7" t="s">
        <v>79</v>
      </c>
      <c r="B20" s="12">
        <f>SUMIF('BdV - BMB'!$D$4:$D$53,'Lead - BMB'!A20,'BdV - BMB'!$F$4:$F$53)</f>
        <v>364931.42000000004</v>
      </c>
      <c r="C20" s="12">
        <f>SUMIF('BdV - BMB'!$D$4:$D$53,'Lead - BMB'!A20,'BdV - BMB'!$G$4:$G$53)</f>
        <v>346684.84899999999</v>
      </c>
      <c r="E20" s="24">
        <f>B20-C20</f>
        <v>18246.571000000054</v>
      </c>
    </row>
    <row r="21" spans="1:5" x14ac:dyDescent="0.3">
      <c r="A21" s="8" t="s">
        <v>85</v>
      </c>
      <c r="B21" s="31">
        <f>+B17+B18+B19+B20</f>
        <v>-455399.81999999995</v>
      </c>
      <c r="C21" s="31">
        <f>+C17+C18+C19+C20</f>
        <v>-432629.42900000006</v>
      </c>
      <c r="D21" s="35">
        <f>B10+B13+B15+B17+B18+B19</f>
        <v>-1779784.7</v>
      </c>
      <c r="E21" s="35">
        <f>C10+C13+C15+C17+C18+C19</f>
        <v>-1690795.0649999999</v>
      </c>
    </row>
    <row r="22" spans="1:5" x14ac:dyDescent="0.3">
      <c r="A22" s="39" t="s">
        <v>155</v>
      </c>
      <c r="B22" s="40">
        <f>+B16+B21</f>
        <v>0</v>
      </c>
      <c r="C22" s="40">
        <f>+C16+C21</f>
        <v>0.39999999990686774</v>
      </c>
      <c r="D22" s="35"/>
      <c r="E22" s="35"/>
    </row>
    <row r="23" spans="1:5" s="28" customFormat="1" x14ac:dyDescent="0.3">
      <c r="A23" s="26" t="s">
        <v>132</v>
      </c>
      <c r="B23" s="33"/>
    </row>
    <row r="24" spans="1:5" s="28" customFormat="1" x14ac:dyDescent="0.3">
      <c r="A24" s="29" t="s">
        <v>133</v>
      </c>
      <c r="B24" s="38">
        <f>B8/B31*-365</f>
        <v>118.90973954628609</v>
      </c>
      <c r="C24" s="38">
        <f>C8/C31*-365</f>
        <v>118.90973954628613</v>
      </c>
    </row>
    <row r="25" spans="1:5" s="28" customFormat="1" x14ac:dyDescent="0.3">
      <c r="A25" s="29" t="s">
        <v>135</v>
      </c>
      <c r="B25" s="38">
        <f>B10/B31*(365)</f>
        <v>123.94115041084844</v>
      </c>
      <c r="C25" s="38">
        <f>C10/C31*(365)</f>
        <v>123.94115041084848</v>
      </c>
    </row>
    <row r="26" spans="1:5" s="28" customFormat="1" x14ac:dyDescent="0.3">
      <c r="A26" s="29" t="s">
        <v>134</v>
      </c>
      <c r="B26" s="38">
        <f>B9/B30*(365)</f>
        <v>153.51630279961117</v>
      </c>
      <c r="C26" s="38">
        <f>C9/C30*(365)</f>
        <v>153.51630279961117</v>
      </c>
    </row>
    <row r="28" spans="1:5" x14ac:dyDescent="0.3">
      <c r="A28" s="11" t="s">
        <v>64</v>
      </c>
    </row>
    <row r="29" spans="1:5" x14ac:dyDescent="0.3">
      <c r="A29" s="9" t="s">
        <v>83</v>
      </c>
      <c r="B29" s="10" t="s">
        <v>82</v>
      </c>
      <c r="C29" s="30" t="s">
        <v>139</v>
      </c>
    </row>
    <row r="30" spans="1:5" x14ac:dyDescent="0.3">
      <c r="A30" s="7" t="s">
        <v>66</v>
      </c>
      <c r="B30" s="12">
        <f>-SUMIF('BdV - BMB'!$D$18:$D$53,'Lead - BMB'!A30,'BdV - BMB'!$F$18:$F$53)</f>
        <v>1515630.48</v>
      </c>
      <c r="C30" s="12">
        <f>-SUMIF('BdV - BMB'!$D$18:$D$53,'Lead - BMB'!A30,'BdV - BMB'!$G$18:$G$53)</f>
        <v>1439848.956</v>
      </c>
    </row>
    <row r="31" spans="1:5" x14ac:dyDescent="0.3">
      <c r="A31" s="7" t="s">
        <v>70</v>
      </c>
      <c r="B31" s="12">
        <f>-SUMIF('BdV - BMB'!$D$18:$D$53,'Lead - BMB'!A31,'BdV - BMB'!$F$18:$F$53)</f>
        <v>-431993.84000000008</v>
      </c>
      <c r="C31" s="12">
        <f>-SUMIF('BdV - BMB'!$D$18:$D$53,'Lead - BMB'!A31,'BdV - BMB'!$G$18:$G$53)</f>
        <v>-410394.14799999993</v>
      </c>
    </row>
    <row r="32" spans="1:5" x14ac:dyDescent="0.3">
      <c r="A32" s="8" t="s">
        <v>89</v>
      </c>
      <c r="B32" s="32">
        <f>SUM(B30:B31)</f>
        <v>1083636.6399999999</v>
      </c>
      <c r="C32" s="32">
        <f>SUM(C30:C31)</f>
        <v>1029454.8080000001</v>
      </c>
    </row>
    <row r="33" spans="1:3" x14ac:dyDescent="0.3">
      <c r="A33" s="7" t="s">
        <v>73</v>
      </c>
      <c r="B33" s="12">
        <f>-SUMIF('BdV - BMB'!$D$18:$D$53,'Lead - BMB'!A33,'BdV - BMB'!$F$18:$F$53)</f>
        <v>-34177.270000000004</v>
      </c>
      <c r="C33" s="12">
        <f>-SUMIF('BdV - BMB'!$D$18:$D$53,'Lead - BMB'!A33,'BdV - BMB'!$G$18:$G$53)</f>
        <v>-32468.406500000001</v>
      </c>
    </row>
    <row r="34" spans="1:3" x14ac:dyDescent="0.3">
      <c r="A34" s="7" t="s">
        <v>58</v>
      </c>
      <c r="B34" s="12">
        <f>-SUMIF('BdV - BMB'!$D$18:$D$53,'Lead - BMB'!A34,'BdV - BMB'!$F$18:$F$53)</f>
        <v>-12814.34</v>
      </c>
      <c r="C34" s="12">
        <f>-SUMIF('BdV - BMB'!$D$18:$D$53,'Lead - BMB'!A34,'BdV - BMB'!$G$18:$G$53)</f>
        <v>-12173.623</v>
      </c>
    </row>
    <row r="35" spans="1:3" x14ac:dyDescent="0.3">
      <c r="A35" s="7" t="s">
        <v>74</v>
      </c>
      <c r="B35" s="12">
        <f>-SUMIF('BdV - BMB'!$D$18:$D$53,'Lead - BMB'!A35,'BdV - BMB'!$F$18:$F$53)</f>
        <v>-443211.79</v>
      </c>
      <c r="C35" s="12">
        <f>-SUMIF('BdV - BMB'!$D$18:$D$53,'Lead - BMB'!A35,'BdV - BMB'!$G$18:$G$53)</f>
        <v>-421051.20049999998</v>
      </c>
    </row>
    <row r="36" spans="1:3" x14ac:dyDescent="0.3">
      <c r="A36" s="7" t="s">
        <v>80</v>
      </c>
      <c r="B36" s="12">
        <f>-SUMIF('BdV - BMB'!$D$18:$D$53,'Lead - BMB'!A36,'BdV - BMB'!$F$18:$F$53)</f>
        <v>-2562.06</v>
      </c>
      <c r="C36" s="12">
        <f>-SUMIF('BdV - BMB'!$D$18:$D$53,'Lead - BMB'!A36,'BdV - BMB'!$G$18:$G$53)</f>
        <v>-2433.9569999999999</v>
      </c>
    </row>
    <row r="37" spans="1:3" x14ac:dyDescent="0.3">
      <c r="A37" s="7" t="s">
        <v>69</v>
      </c>
      <c r="B37" s="12">
        <f>-SUMIF('BdV - BMB'!$D$18:$D$53,'Lead - BMB'!A37,'BdV - BMB'!$F$18:$F$53)</f>
        <v>126427.73</v>
      </c>
      <c r="C37" s="12">
        <f>-SUMIF('BdV - BMB'!$D$18:$D$53,'Lead - BMB'!A37,'BdV - BMB'!$G$18:$G$53)</f>
        <v>120106.34349999999</v>
      </c>
    </row>
    <row r="38" spans="1:3" x14ac:dyDescent="0.3">
      <c r="A38" s="8" t="s">
        <v>90</v>
      </c>
      <c r="B38" s="32">
        <f>SUM(B33:B37)+B32</f>
        <v>717298.90999999992</v>
      </c>
      <c r="C38" s="32">
        <f>SUM(C33:C37)+C32</f>
        <v>681433.96450000012</v>
      </c>
    </row>
    <row r="39" spans="1:3" x14ac:dyDescent="0.3">
      <c r="A39" s="7" t="s">
        <v>76</v>
      </c>
      <c r="B39" s="12">
        <f>-SUMIF('BdV - BMB'!$D$18:$D$53,'Lead - BMB'!A39,'BdV - BMB'!$F$18:$F$53)</f>
        <v>-3199.87</v>
      </c>
      <c r="C39" s="12">
        <f>-SUMIF('BdV - BMB'!$D$18:$D$53,'Lead - BMB'!A39,'BdV - BMB'!$G$18:$G$53)</f>
        <v>-3039.8764999999999</v>
      </c>
    </row>
    <row r="40" spans="1:3" x14ac:dyDescent="0.3">
      <c r="A40" s="7" t="s">
        <v>75</v>
      </c>
      <c r="B40" s="12">
        <f>-SUMIF('BdV - BMB'!$D$18:$D$53,'Lead - BMB'!A40,'BdV - BMB'!$F$18:$F$53)</f>
        <v>-4757.4399999999996</v>
      </c>
      <c r="C40" s="12">
        <f>-SUMIF('BdV - BMB'!$D$18:$D$53,'Lead - BMB'!A40,'BdV - BMB'!$G$18:$G$53)</f>
        <v>-4519.5679999999993</v>
      </c>
    </row>
    <row r="41" spans="1:3" x14ac:dyDescent="0.3">
      <c r="A41" s="8" t="s">
        <v>91</v>
      </c>
      <c r="B41" s="32">
        <f>SUM(B39:B40)+B38</f>
        <v>709341.59999999986</v>
      </c>
      <c r="C41" s="32">
        <f>SUM(C39:C40)+C38</f>
        <v>673874.52000000014</v>
      </c>
    </row>
    <row r="42" spans="1:3" x14ac:dyDescent="0.3">
      <c r="A42" s="7" t="s">
        <v>72</v>
      </c>
      <c r="B42" s="12">
        <f>-SUMIF('BdV - BMB'!$D$18:$D$53,'Lead - BMB'!A42,'BdV - BMB'!$F$18:$F$53)</f>
        <v>-548.97</v>
      </c>
      <c r="C42" s="12">
        <f>-SUMIF('BdV - BMB'!$D$18:$D$53,'Lead - BMB'!A42,'BdV - BMB'!$G$18:$G$53)</f>
        <v>-521.52150000000006</v>
      </c>
    </row>
    <row r="43" spans="1:3" x14ac:dyDescent="0.3">
      <c r="A43" s="8" t="s">
        <v>92</v>
      </c>
      <c r="B43" s="32">
        <f>B41+B42</f>
        <v>708792.62999999989</v>
      </c>
      <c r="C43" s="32">
        <f>C41+C42</f>
        <v>673352.9985000001</v>
      </c>
    </row>
    <row r="44" spans="1:3" x14ac:dyDescent="0.3">
      <c r="A44" s="7" t="s">
        <v>77</v>
      </c>
      <c r="B44" s="12">
        <f>-SUMIF('BdV - BMB'!$D$18:$D$53,'Lead - BMB'!A44,'BdV - BMB'!$F$18:$F$53)</f>
        <v>-85629.89</v>
      </c>
      <c r="C44" s="12">
        <f>-SUMIF('BdV - BMB'!$D$18:$D$53,'Lead - BMB'!A44,'BdV - BMB'!$G$18:$G$53)</f>
        <v>-81348.795499999993</v>
      </c>
    </row>
    <row r="45" spans="1:3" x14ac:dyDescent="0.3">
      <c r="A45" s="8" t="s">
        <v>93</v>
      </c>
      <c r="B45" s="32">
        <f>B43+B44</f>
        <v>623162.73999999987</v>
      </c>
      <c r="C45" s="32">
        <f>C43+C44</f>
        <v>592004.2030000001</v>
      </c>
    </row>
    <row r="46" spans="1:3" s="28" customFormat="1" x14ac:dyDescent="0.3">
      <c r="A46" s="26" t="s">
        <v>132</v>
      </c>
      <c r="B46" s="27"/>
    </row>
    <row r="47" spans="1:3" s="28" customFormat="1" x14ac:dyDescent="0.3">
      <c r="A47" s="28" t="s">
        <v>136</v>
      </c>
      <c r="B47" s="37">
        <f>(B30+B31)/B30</f>
        <v>0.71497416705422812</v>
      </c>
      <c r="C47" s="37">
        <f>(C30+C31)/C30</f>
        <v>0.71497416705422823</v>
      </c>
    </row>
    <row r="48" spans="1:3" s="28" customFormat="1" x14ac:dyDescent="0.3">
      <c r="A48" s="28" t="s">
        <v>137</v>
      </c>
      <c r="B48" s="37">
        <f>B38/B30</f>
        <v>0.47326767273775067</v>
      </c>
      <c r="C48" s="37">
        <f>C38/C30</f>
        <v>0.47326767273775078</v>
      </c>
    </row>
    <row r="50" spans="1:11" x14ac:dyDescent="0.3">
      <c r="A50" s="11" t="s">
        <v>138</v>
      </c>
      <c r="G50" s="25" t="s">
        <v>142</v>
      </c>
      <c r="J50" s="25" t="s">
        <v>152</v>
      </c>
    </row>
    <row r="51" spans="1:11" x14ac:dyDescent="0.3">
      <c r="A51" s="9" t="s">
        <v>83</v>
      </c>
      <c r="B51" s="10" t="s">
        <v>82</v>
      </c>
      <c r="H51" t="s">
        <v>148</v>
      </c>
    </row>
    <row r="52" spans="1:11" x14ac:dyDescent="0.3">
      <c r="A52" t="s">
        <v>90</v>
      </c>
      <c r="B52" s="12">
        <f>+B38</f>
        <v>717298.90999999992</v>
      </c>
      <c r="D52" s="24"/>
      <c r="G52" t="s">
        <v>144</v>
      </c>
      <c r="H52" s="12">
        <f>C4</f>
        <v>40173.125</v>
      </c>
      <c r="J52" t="s">
        <v>144</v>
      </c>
      <c r="K52" s="12">
        <f>+C17+C18+C19</f>
        <v>-779314.27800000005</v>
      </c>
    </row>
    <row r="53" spans="1:11" x14ac:dyDescent="0.3">
      <c r="A53" t="s">
        <v>77</v>
      </c>
      <c r="B53" s="43">
        <f>+B44</f>
        <v>-85629.89</v>
      </c>
      <c r="D53" s="24"/>
      <c r="G53" t="s">
        <v>145</v>
      </c>
      <c r="H53" s="12">
        <f>+B4</f>
        <v>42287.5</v>
      </c>
      <c r="J53" t="s">
        <v>145</v>
      </c>
      <c r="K53" s="12">
        <f>+B17+B18+B19</f>
        <v>-820331.24</v>
      </c>
    </row>
    <row r="54" spans="1:11" x14ac:dyDescent="0.3">
      <c r="A54" s="25" t="s">
        <v>141</v>
      </c>
      <c r="B54" s="12">
        <f>B52+B53</f>
        <v>631669.0199999999</v>
      </c>
      <c r="D54" s="24"/>
      <c r="G54" t="s">
        <v>146</v>
      </c>
      <c r="H54" s="12">
        <f>+B40</f>
        <v>-4757.4399999999996</v>
      </c>
      <c r="J54" t="s">
        <v>153</v>
      </c>
      <c r="K54" s="12">
        <f>+B19</f>
        <v>-623162.74</v>
      </c>
    </row>
    <row r="55" spans="1:11" x14ac:dyDescent="0.3">
      <c r="A55" t="s">
        <v>140</v>
      </c>
      <c r="B55" s="12">
        <f>C14-B14</f>
        <v>2371.140000000014</v>
      </c>
      <c r="C55" s="25"/>
      <c r="D55" s="24"/>
      <c r="G55" t="s">
        <v>147</v>
      </c>
      <c r="H55" s="12">
        <f>+H52-(H53-H54)</f>
        <v>-6871.8150000000023</v>
      </c>
      <c r="J55" t="s">
        <v>154</v>
      </c>
      <c r="K55" s="12">
        <f>+K52-(K53-K54)</f>
        <v>-582145.77800000005</v>
      </c>
    </row>
    <row r="56" spans="1:11" x14ac:dyDescent="0.3">
      <c r="A56" t="s">
        <v>142</v>
      </c>
      <c r="B56" s="12">
        <f>+H55</f>
        <v>-6871.8150000000023</v>
      </c>
      <c r="D56" s="24"/>
    </row>
    <row r="57" spans="1:11" x14ac:dyDescent="0.3">
      <c r="A57" t="s">
        <v>149</v>
      </c>
      <c r="B57" s="12">
        <f>+C15-B15</f>
        <v>1973.2439999999988</v>
      </c>
      <c r="C57" s="25"/>
      <c r="D57" s="24"/>
    </row>
    <row r="58" spans="1:11" x14ac:dyDescent="0.3">
      <c r="A58" t="s">
        <v>76</v>
      </c>
      <c r="B58" s="12">
        <f>+B39</f>
        <v>-3199.87</v>
      </c>
      <c r="D58" s="12"/>
    </row>
    <row r="59" spans="1:11" x14ac:dyDescent="0.3">
      <c r="A59" s="11" t="s">
        <v>150</v>
      </c>
      <c r="B59" s="12">
        <f>+B54+B55+B56+B57+B58</f>
        <v>625941.71899999992</v>
      </c>
      <c r="C59" s="25"/>
      <c r="D59" s="36"/>
    </row>
    <row r="60" spans="1:11" x14ac:dyDescent="0.3">
      <c r="A60" t="str">
        <f>+A42</f>
        <v>Financial items</v>
      </c>
      <c r="B60" s="12">
        <f>+B42</f>
        <v>-548.97</v>
      </c>
    </row>
    <row r="61" spans="1:11" x14ac:dyDescent="0.3">
      <c r="A61" t="s">
        <v>151</v>
      </c>
      <c r="B61" s="12">
        <f>+C5-B5</f>
        <v>-25000</v>
      </c>
    </row>
    <row r="62" spans="1:11" x14ac:dyDescent="0.3">
      <c r="A62" t="s">
        <v>152</v>
      </c>
      <c r="B62" s="12">
        <f>+K55</f>
        <v>-582145.77800000005</v>
      </c>
    </row>
    <row r="63" spans="1:11" x14ac:dyDescent="0.3">
      <c r="A63" s="25" t="s">
        <v>156</v>
      </c>
      <c r="B63" s="12">
        <f>+SUM(B59:B62)</f>
        <v>18246.970999999903</v>
      </c>
    </row>
    <row r="64" spans="1:11" x14ac:dyDescent="0.3">
      <c r="B64" s="12"/>
    </row>
    <row r="65" spans="1:2" x14ac:dyDescent="0.3">
      <c r="A65" t="s">
        <v>143</v>
      </c>
      <c r="B65" s="12">
        <f>+C20</f>
        <v>346684.84899999999</v>
      </c>
    </row>
    <row r="66" spans="1:2" x14ac:dyDescent="0.3">
      <c r="A66" t="s">
        <v>157</v>
      </c>
      <c r="B66" s="12">
        <f>+B20</f>
        <v>364931.42000000004</v>
      </c>
    </row>
    <row r="67" spans="1:2" x14ac:dyDescent="0.3">
      <c r="A67" s="25" t="s">
        <v>158</v>
      </c>
      <c r="B67" s="44">
        <f>+B66-B65</f>
        <v>18246.571000000054</v>
      </c>
    </row>
    <row r="69" spans="1:2" x14ac:dyDescent="0.3">
      <c r="A69" s="41" t="s">
        <v>155</v>
      </c>
      <c r="B69" s="42">
        <f>+B63-B67</f>
        <v>0.39999999984866008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026B-33FA-466D-9DFC-244FEED7C0DE}">
  <dimension ref="A1:K69"/>
  <sheetViews>
    <sheetView showGridLines="0" topLeftCell="A12" zoomScale="80" zoomScaleNormal="80" workbookViewId="0">
      <selection activeCell="B30" sqref="B30:B45"/>
    </sheetView>
  </sheetViews>
  <sheetFormatPr defaultRowHeight="14.4" x14ac:dyDescent="0.3"/>
  <cols>
    <col min="1" max="1" width="26.5546875" bestFit="1" customWidth="1"/>
    <col min="2" max="2" width="13.109375" bestFit="1" customWidth="1"/>
    <col min="3" max="3" width="12.6640625" bestFit="1" customWidth="1"/>
    <col min="4" max="4" width="12" bestFit="1" customWidth="1"/>
    <col min="5" max="5" width="10.77734375" bestFit="1" customWidth="1"/>
    <col min="6" max="6" width="10.21875" bestFit="1" customWidth="1"/>
    <col min="7" max="7" width="13.33203125" customWidth="1"/>
    <col min="10" max="10" width="15.5546875" bestFit="1" customWidth="1"/>
  </cols>
  <sheetData>
    <row r="1" spans="1:5" x14ac:dyDescent="0.3">
      <c r="A1" s="11" t="s">
        <v>63</v>
      </c>
    </row>
    <row r="2" spans="1:5" x14ac:dyDescent="0.3">
      <c r="A2" s="9" t="s">
        <v>83</v>
      </c>
      <c r="B2" s="30" t="s">
        <v>82</v>
      </c>
      <c r="C2" s="30" t="s">
        <v>139</v>
      </c>
    </row>
    <row r="3" spans="1:5" x14ac:dyDescent="0.3">
      <c r="A3" s="7" t="s">
        <v>62</v>
      </c>
      <c r="B3" s="23"/>
      <c r="C3" s="23"/>
    </row>
    <row r="4" spans="1:5" x14ac:dyDescent="0.3">
      <c r="A4" s="7" t="s">
        <v>61</v>
      </c>
      <c r="B4" s="23">
        <f>SUMIF('BdV - MED'!$D$2:$D$32,'Lead - MED'!A4,'BdV - MED'!$E$2:$E$32)</f>
        <v>282789</v>
      </c>
      <c r="C4" s="23">
        <f>SUMIF('BdV - MED'!$D$2:$D$32,'Lead - MED'!A4,'BdV - MED'!$F$2:$F$32)</f>
        <v>268649.55</v>
      </c>
    </row>
    <row r="5" spans="1:5" x14ac:dyDescent="0.3">
      <c r="A5" s="7" t="s">
        <v>94</v>
      </c>
      <c r="B5" s="23"/>
      <c r="C5" s="23"/>
    </row>
    <row r="6" spans="1:5" x14ac:dyDescent="0.3">
      <c r="A6" s="7" t="s">
        <v>131</v>
      </c>
      <c r="B6" s="23"/>
    </row>
    <row r="7" spans="1:5" x14ac:dyDescent="0.3">
      <c r="A7" s="18" t="s">
        <v>88</v>
      </c>
      <c r="B7" s="31">
        <f>SUM(B3:B5)</f>
        <v>282789</v>
      </c>
      <c r="C7" s="31">
        <f>SUM(C3:C5)</f>
        <v>268649.55</v>
      </c>
    </row>
    <row r="8" spans="1:5" x14ac:dyDescent="0.3">
      <c r="A8" s="7" t="s">
        <v>60</v>
      </c>
      <c r="B8" s="12"/>
      <c r="C8" s="12"/>
    </row>
    <row r="9" spans="1:5" x14ac:dyDescent="0.3">
      <c r="A9" s="7" t="s">
        <v>65</v>
      </c>
      <c r="B9" s="12"/>
      <c r="C9" s="12"/>
    </row>
    <row r="10" spans="1:5" x14ac:dyDescent="0.3">
      <c r="A10" s="7" t="s">
        <v>59</v>
      </c>
      <c r="B10" s="12">
        <f>SUMIF('BdV - MED'!$D$2:$D$32,'Lead - MED'!A10,'BdV - MED'!$E$2:$E$32)</f>
        <v>-232335</v>
      </c>
      <c r="C10" s="12">
        <f>SUMIF('BdV - MED'!$D$2:$D$32,'Lead - MED'!A10,'BdV - MED'!$F$2:$F$32)</f>
        <v>-220718.25</v>
      </c>
    </row>
    <row r="11" spans="1:5" x14ac:dyDescent="0.3">
      <c r="A11" s="8" t="s">
        <v>87</v>
      </c>
      <c r="B11" s="31">
        <f>B8+B9+B10</f>
        <v>-232335</v>
      </c>
      <c r="C11" s="31">
        <f>C8+C9+C10</f>
        <v>-220718.25</v>
      </c>
    </row>
    <row r="12" spans="1:5" x14ac:dyDescent="0.3">
      <c r="A12" s="7" t="s">
        <v>57</v>
      </c>
      <c r="B12" s="12"/>
      <c r="C12" s="12"/>
    </row>
    <row r="13" spans="1:5" x14ac:dyDescent="0.3">
      <c r="A13" s="7" t="s">
        <v>78</v>
      </c>
      <c r="B13" s="12">
        <f>SUMIF('BdV - MED'!$D$2:$D$32,'Lead - MED'!A13,'BdV - MED'!$E$2:$E$32)</f>
        <v>-1090034</v>
      </c>
      <c r="C13" s="12">
        <f>SUMIF('BdV - MED'!$D$2:$D$32,'Lead - MED'!A13,'BdV - MED'!$F$2:$F$32)</f>
        <v>-1035532.3</v>
      </c>
    </row>
    <row r="14" spans="1:5" x14ac:dyDescent="0.3">
      <c r="A14" s="8" t="s">
        <v>86</v>
      </c>
      <c r="B14" s="31">
        <f>B11+B12+B13</f>
        <v>-1322369</v>
      </c>
      <c r="C14" s="31">
        <f>C11+C12+C13</f>
        <v>-1256250.55</v>
      </c>
    </row>
    <row r="15" spans="1:5" x14ac:dyDescent="0.3">
      <c r="A15" s="7" t="s">
        <v>71</v>
      </c>
      <c r="B15" s="12"/>
      <c r="C15" s="12"/>
    </row>
    <row r="16" spans="1:5" x14ac:dyDescent="0.3">
      <c r="A16" s="8" t="s">
        <v>84</v>
      </c>
      <c r="B16" s="31">
        <f>B14+B15+B7</f>
        <v>-1039580</v>
      </c>
      <c r="C16" s="31">
        <f>C14+C15+C7</f>
        <v>-987601</v>
      </c>
      <c r="E16" s="24"/>
    </row>
    <row r="17" spans="1:6" x14ac:dyDescent="0.3">
      <c r="A17" s="7" t="s">
        <v>68</v>
      </c>
      <c r="B17" s="12"/>
      <c r="C17" s="12"/>
    </row>
    <row r="18" spans="1:6" x14ac:dyDescent="0.3">
      <c r="A18" s="7" t="s">
        <v>67</v>
      </c>
      <c r="B18" s="12">
        <f>SUMIF('BdV - MED'!$D$2:$D$32,'Lead - MED'!A18,'BdV - MED'!$E$2:$E$32)</f>
        <v>-1165</v>
      </c>
      <c r="C18" s="12">
        <f>SUMIF('BdV - MED'!$D$2:$D$32,'Lead - MED'!A18,'BdV - MED'!$F$2:$F$32)</f>
        <v>-1106.75</v>
      </c>
    </row>
    <row r="19" spans="1:6" x14ac:dyDescent="0.3">
      <c r="A19" s="7" t="s">
        <v>93</v>
      </c>
      <c r="B19" s="12">
        <v>-144547</v>
      </c>
      <c r="C19" s="12">
        <v>-137319.65</v>
      </c>
    </row>
    <row r="20" spans="1:6" x14ac:dyDescent="0.3">
      <c r="A20" s="7" t="s">
        <v>79</v>
      </c>
      <c r="B20" s="12">
        <f>SUMIF('BdV - MED'!$D$2:$D$32,'Lead - MED'!A20,'BdV - MED'!$E$2:$E$32)</f>
        <v>1185292</v>
      </c>
      <c r="C20" s="12">
        <f>SUMIF('BdV - MED'!$D$2:$D$32,'Lead - MED'!A20,'BdV - MED'!$F$2:$F$32)</f>
        <v>1126027.3999999999</v>
      </c>
      <c r="E20" s="24">
        <f>B20-C20</f>
        <v>59264.600000000093</v>
      </c>
    </row>
    <row r="21" spans="1:6" x14ac:dyDescent="0.3">
      <c r="A21" s="8" t="s">
        <v>85</v>
      </c>
      <c r="B21" s="31">
        <f>+B17+B18+B19+B20</f>
        <v>1039580</v>
      </c>
      <c r="C21" s="31">
        <f>+C17+C18+C19+C20</f>
        <v>987600.99999999988</v>
      </c>
      <c r="D21" s="35">
        <f>B10+B13+B15+B17+B18+B19</f>
        <v>-1468081</v>
      </c>
      <c r="E21" s="35">
        <f>C10+C13+C15+C17+C18+C19</f>
        <v>-1394676.95</v>
      </c>
    </row>
    <row r="22" spans="1:6" x14ac:dyDescent="0.3">
      <c r="A22" s="39" t="s">
        <v>155</v>
      </c>
      <c r="B22" s="40">
        <f>+B16+B21</f>
        <v>0</v>
      </c>
      <c r="C22" s="40">
        <f>+C16+C21</f>
        <v>0</v>
      </c>
      <c r="D22" s="35"/>
      <c r="E22" s="35"/>
    </row>
    <row r="23" spans="1:6" s="28" customFormat="1" x14ac:dyDescent="0.3">
      <c r="A23" s="26" t="s">
        <v>132</v>
      </c>
      <c r="B23" s="33"/>
    </row>
    <row r="24" spans="1:6" s="28" customFormat="1" x14ac:dyDescent="0.3">
      <c r="A24" s="29" t="s">
        <v>133</v>
      </c>
      <c r="B24" s="38">
        <f>B8/B31*-365</f>
        <v>0</v>
      </c>
      <c r="C24" s="38">
        <f>C8/C31*-365</f>
        <v>0</v>
      </c>
      <c r="E24" s="45"/>
      <c r="F24" s="46"/>
    </row>
    <row r="25" spans="1:6" s="28" customFormat="1" x14ac:dyDescent="0.3">
      <c r="A25" s="29" t="s">
        <v>135</v>
      </c>
      <c r="B25" s="38">
        <f>B10/B31*(365)</f>
        <v>95.409416926841615</v>
      </c>
      <c r="C25" s="38">
        <f>C10/C31*(365)</f>
        <v>95.409416926841615</v>
      </c>
      <c r="F25" s="46"/>
    </row>
    <row r="26" spans="1:6" s="28" customFormat="1" x14ac:dyDescent="0.3">
      <c r="A26" s="29" t="s">
        <v>134</v>
      </c>
      <c r="B26" s="38">
        <f>B9/B30*(365)</f>
        <v>0</v>
      </c>
      <c r="C26" s="38">
        <f>C9/C30*(365)</f>
        <v>0</v>
      </c>
      <c r="F26" s="45"/>
    </row>
    <row r="28" spans="1:6" x14ac:dyDescent="0.3">
      <c r="A28" s="11" t="s">
        <v>64</v>
      </c>
    </row>
    <row r="29" spans="1:6" x14ac:dyDescent="0.3">
      <c r="A29" s="9" t="s">
        <v>83</v>
      </c>
      <c r="B29" s="10" t="s">
        <v>82</v>
      </c>
      <c r="C29" s="30" t="s">
        <v>139</v>
      </c>
    </row>
    <row r="30" spans="1:6" x14ac:dyDescent="0.3">
      <c r="A30" s="7" t="s">
        <v>66</v>
      </c>
      <c r="B30" s="12">
        <f>-SUMIF('BdV - MED'!$D$2:$D$32,'Lead - MED'!A30,'BdV - MED'!$E$2:$E$32)</f>
        <v>1184786</v>
      </c>
      <c r="C30" s="12">
        <f>-SUMIF('BdV - MED'!$D$2:$D$32,'Lead - MED'!A30,'BdV - MED'!$F$2:$F$32)</f>
        <v>1125546.7</v>
      </c>
    </row>
    <row r="31" spans="1:6" x14ac:dyDescent="0.3">
      <c r="A31" s="7" t="s">
        <v>70</v>
      </c>
      <c r="B31" s="12">
        <f>-SUMIF('BdV - MED'!$D$2:$D$32,'Lead - MED'!A31,'BdV - MED'!$E$2:$E$32)</f>
        <v>-888825</v>
      </c>
      <c r="C31" s="12">
        <f>-SUMIF('BdV - MED'!$D$2:$D$32,'Lead - MED'!A31,'BdV - MED'!$F$2:$F$32)</f>
        <v>-844383.75</v>
      </c>
    </row>
    <row r="32" spans="1:6" x14ac:dyDescent="0.3">
      <c r="A32" s="8" t="s">
        <v>89</v>
      </c>
      <c r="B32" s="32">
        <f>SUM(B30:B31)</f>
        <v>295961</v>
      </c>
      <c r="C32" s="32">
        <f>SUM(C30:C31)</f>
        <v>281162.94999999995</v>
      </c>
    </row>
    <row r="33" spans="1:3" x14ac:dyDescent="0.3">
      <c r="A33" s="7" t="s">
        <v>73</v>
      </c>
      <c r="B33" s="12">
        <f>-SUMIF('BdV - MED'!$D$2:$D$32,'Lead - MED'!A33,'BdV - MED'!$E$2:$E$32)</f>
        <v>-747</v>
      </c>
      <c r="C33" s="12">
        <f>-SUMIF('BdV - MED'!$D$2:$D$32,'Lead - MED'!A33,'BdV - MED'!$F$2:$F$32)</f>
        <v>-709.65</v>
      </c>
    </row>
    <row r="34" spans="1:3" x14ac:dyDescent="0.3">
      <c r="A34" s="7" t="s">
        <v>58</v>
      </c>
      <c r="B34" s="12">
        <f>-SUMIF('BdV - MED'!$D$2:$D$32,'Lead - MED'!A34,'BdV - MED'!$E$2:$E$32)</f>
        <v>-28643</v>
      </c>
      <c r="C34" s="12">
        <f>-SUMIF('BdV - MED'!$D$2:$D$32,'Lead - MED'!A34,'BdV - MED'!$F$2:$F$32)</f>
        <v>-27210.850000000002</v>
      </c>
    </row>
    <row r="35" spans="1:3" x14ac:dyDescent="0.3">
      <c r="A35" s="7" t="s">
        <v>74</v>
      </c>
      <c r="B35" s="12">
        <f>-SUMIF('BdV - MED'!$D$2:$D$32,'Lead - MED'!A35,'BdV - MED'!$E$2:$E$32)</f>
        <v>-33387</v>
      </c>
      <c r="C35" s="12">
        <f>-SUMIF('BdV - MED'!$D$2:$D$32,'Lead - MED'!A35,'BdV - MED'!$F$2:$F$32)</f>
        <v>-31717.65</v>
      </c>
    </row>
    <row r="36" spans="1:3" x14ac:dyDescent="0.3">
      <c r="A36" s="7" t="s">
        <v>80</v>
      </c>
      <c r="B36" s="12">
        <f>-SUMIF('BdV - MED'!$D$2:$D$32,'Lead - MED'!A36,'BdV - MED'!$E$2:$E$32)</f>
        <v>-10800</v>
      </c>
      <c r="C36" s="12">
        <f>-SUMIF('BdV - MED'!$D$2:$D$32,'Lead - MED'!A36,'BdV - MED'!$F$2:$F$32)</f>
        <v>-10260</v>
      </c>
    </row>
    <row r="37" spans="1:3" x14ac:dyDescent="0.3">
      <c r="A37" s="7" t="s">
        <v>69</v>
      </c>
      <c r="B37" s="12">
        <f>-SUMIF('BdV - MED'!$D$2:$D$32,'Lead - MED'!A37,'BdV - MED'!$E$2:$E$32)</f>
        <v>0</v>
      </c>
      <c r="C37" s="12">
        <f>-SUMIF('BdV - MED'!$D$2:$D$32,'Lead - MED'!A37,'BdV - MED'!$F$2:$F$32)</f>
        <v>0</v>
      </c>
    </row>
    <row r="38" spans="1:3" x14ac:dyDescent="0.3">
      <c r="A38" s="8" t="s">
        <v>90</v>
      </c>
      <c r="B38" s="32">
        <f>SUM(B33:B37)+B32</f>
        <v>222384</v>
      </c>
      <c r="C38" s="32">
        <f>SUM(C33:C37)+C32</f>
        <v>211264.79999999993</v>
      </c>
    </row>
    <row r="39" spans="1:3" x14ac:dyDescent="0.3">
      <c r="A39" s="7" t="s">
        <v>76</v>
      </c>
      <c r="B39" s="12">
        <f>-SUMIF('BdV - MED'!$D$2:$D$32,'Lead - MED'!A39,'BdV - MED'!$E$2:$E$32)</f>
        <v>0</v>
      </c>
      <c r="C39" s="12">
        <f>-SUMIF('BdV - MED'!$D$2:$D$32,'Lead - MED'!A39,'BdV - MED'!$F$2:$F$32)</f>
        <v>0</v>
      </c>
    </row>
    <row r="40" spans="1:3" x14ac:dyDescent="0.3">
      <c r="A40" s="7" t="s">
        <v>75</v>
      </c>
      <c r="B40" s="12">
        <f>-SUMIF('BdV - MED'!$D$2:$D$32,'Lead - MED'!A40,'BdV - MED'!$E$2:$E$32)</f>
        <v>0</v>
      </c>
      <c r="C40" s="12">
        <f>-SUMIF('BdV - MED'!$D$2:$D$32,'Lead - MED'!A40,'BdV - MED'!$F$2:$F$32)</f>
        <v>0</v>
      </c>
    </row>
    <row r="41" spans="1:3" x14ac:dyDescent="0.3">
      <c r="A41" s="8" t="s">
        <v>91</v>
      </c>
      <c r="B41" s="32">
        <f>SUM(B39:B40)+B38</f>
        <v>222384</v>
      </c>
      <c r="C41" s="32">
        <f>SUM(C39:C40)+C38</f>
        <v>211264.79999999993</v>
      </c>
    </row>
    <row r="42" spans="1:3" x14ac:dyDescent="0.3">
      <c r="A42" s="7" t="s">
        <v>72</v>
      </c>
      <c r="B42" s="12">
        <f>-SUMIF('BdV - MED'!$D$2:$D$32,'Lead - MED'!A42,'BdV - MED'!$E$2:$E$32)</f>
        <v>0</v>
      </c>
      <c r="C42" s="12">
        <f>-SUMIF('BdV - MED'!$D$2:$D$32,'Lead - MED'!A42,'BdV - MED'!$F$2:$F$32)</f>
        <v>0</v>
      </c>
    </row>
    <row r="43" spans="1:3" x14ac:dyDescent="0.3">
      <c r="A43" s="8" t="s">
        <v>92</v>
      </c>
      <c r="B43" s="32">
        <f>B41+B42</f>
        <v>222384</v>
      </c>
      <c r="C43" s="32">
        <f>C41+C42</f>
        <v>211264.79999999993</v>
      </c>
    </row>
    <row r="44" spans="1:3" x14ac:dyDescent="0.3">
      <c r="A44" s="7" t="s">
        <v>77</v>
      </c>
      <c r="B44" s="12">
        <f>-SUMIF('BdV - MED'!$D$2:$D$32,'Lead - MED'!A44,'BdV - MED'!$E$2:$E$32)</f>
        <v>-77837</v>
      </c>
      <c r="C44" s="12">
        <f>-SUMIF('BdV - MED'!$D$2:$D$32,'Lead - MED'!A44,'BdV - MED'!$F$2:$F$32)</f>
        <v>-73945.149999999994</v>
      </c>
    </row>
    <row r="45" spans="1:3" x14ac:dyDescent="0.3">
      <c r="A45" s="8" t="s">
        <v>93</v>
      </c>
      <c r="B45" s="32">
        <f>B43+B44</f>
        <v>144547</v>
      </c>
      <c r="C45" s="32">
        <f>C43+C44</f>
        <v>137319.64999999994</v>
      </c>
    </row>
    <row r="46" spans="1:3" s="28" customFormat="1" x14ac:dyDescent="0.3">
      <c r="A46" s="26" t="s">
        <v>132</v>
      </c>
      <c r="B46" s="27"/>
    </row>
    <row r="47" spans="1:3" s="28" customFormat="1" x14ac:dyDescent="0.3">
      <c r="A47" s="28" t="s">
        <v>136</v>
      </c>
      <c r="B47" s="37">
        <f>(B30+B31)/B30</f>
        <v>0.24980122992675471</v>
      </c>
      <c r="C47" s="37">
        <f>(C30+C31)/C30</f>
        <v>0.24980122992675469</v>
      </c>
    </row>
    <row r="48" spans="1:3" s="28" customFormat="1" x14ac:dyDescent="0.3">
      <c r="A48" s="28" t="s">
        <v>137</v>
      </c>
      <c r="B48" s="37">
        <f>B38/B30</f>
        <v>0.18769971961181176</v>
      </c>
      <c r="C48" s="37">
        <f>C38/C30</f>
        <v>0.1876997196118117</v>
      </c>
    </row>
    <row r="50" spans="1:11" x14ac:dyDescent="0.3">
      <c r="A50" s="11" t="s">
        <v>138</v>
      </c>
      <c r="G50" s="25" t="s">
        <v>142</v>
      </c>
      <c r="J50" s="25" t="s">
        <v>152</v>
      </c>
    </row>
    <row r="51" spans="1:11" x14ac:dyDescent="0.3">
      <c r="A51" s="9" t="s">
        <v>83</v>
      </c>
      <c r="B51" s="10" t="s">
        <v>82</v>
      </c>
      <c r="H51" t="s">
        <v>148</v>
      </c>
    </row>
    <row r="52" spans="1:11" x14ac:dyDescent="0.3">
      <c r="A52" t="s">
        <v>90</v>
      </c>
      <c r="B52" s="12">
        <f>+B38</f>
        <v>222384</v>
      </c>
      <c r="D52" s="24"/>
      <c r="G52" t="s">
        <v>144</v>
      </c>
      <c r="H52" s="12">
        <f>C4</f>
        <v>268649.55</v>
      </c>
      <c r="J52" t="s">
        <v>144</v>
      </c>
      <c r="K52" s="12">
        <f>+C17+C18+C19</f>
        <v>-138426.4</v>
      </c>
    </row>
    <row r="53" spans="1:11" x14ac:dyDescent="0.3">
      <c r="A53" t="s">
        <v>77</v>
      </c>
      <c r="B53" s="43">
        <f>+B44</f>
        <v>-77837</v>
      </c>
      <c r="D53" s="24"/>
      <c r="G53" t="s">
        <v>145</v>
      </c>
      <c r="H53" s="12">
        <f>+B4</f>
        <v>282789</v>
      </c>
      <c r="J53" t="s">
        <v>145</v>
      </c>
      <c r="K53" s="12">
        <f>+B17+B18+B19</f>
        <v>-145712</v>
      </c>
    </row>
    <row r="54" spans="1:11" x14ac:dyDescent="0.3">
      <c r="A54" s="25" t="s">
        <v>141</v>
      </c>
      <c r="B54" s="12">
        <f>B52+B53</f>
        <v>144547</v>
      </c>
      <c r="D54" s="24"/>
      <c r="G54" t="s">
        <v>146</v>
      </c>
      <c r="H54" s="12">
        <f>+B40</f>
        <v>0</v>
      </c>
      <c r="J54" t="s">
        <v>153</v>
      </c>
      <c r="K54" s="12">
        <f>+B19</f>
        <v>-144547</v>
      </c>
    </row>
    <row r="55" spans="1:11" x14ac:dyDescent="0.3">
      <c r="A55" t="s">
        <v>140</v>
      </c>
      <c r="B55" s="12">
        <f>C14-B14</f>
        <v>66118.449999999953</v>
      </c>
      <c r="C55" s="25"/>
      <c r="D55" s="24"/>
      <c r="G55" t="s">
        <v>147</v>
      </c>
      <c r="H55" s="12">
        <f>+H52-(H53-H54)</f>
        <v>-14139.450000000012</v>
      </c>
      <c r="J55" t="s">
        <v>154</v>
      </c>
      <c r="K55" s="12">
        <f>+K52-(K53-K54)</f>
        <v>-137261.4</v>
      </c>
    </row>
    <row r="56" spans="1:11" x14ac:dyDescent="0.3">
      <c r="A56" t="s">
        <v>142</v>
      </c>
      <c r="B56" s="12">
        <f>+H55</f>
        <v>-14139.450000000012</v>
      </c>
      <c r="D56" s="24"/>
    </row>
    <row r="57" spans="1:11" x14ac:dyDescent="0.3">
      <c r="A57" t="s">
        <v>149</v>
      </c>
      <c r="B57" s="12">
        <f>+C15-B15</f>
        <v>0</v>
      </c>
      <c r="C57" s="25"/>
      <c r="D57" s="24"/>
    </row>
    <row r="58" spans="1:11" x14ac:dyDescent="0.3">
      <c r="A58" t="s">
        <v>76</v>
      </c>
      <c r="B58" s="12">
        <f>+B39</f>
        <v>0</v>
      </c>
      <c r="D58" s="12"/>
    </row>
    <row r="59" spans="1:11" x14ac:dyDescent="0.3">
      <c r="A59" s="11" t="s">
        <v>150</v>
      </c>
      <c r="B59" s="12">
        <f>+B54+B55+B56+B57+B58</f>
        <v>196525.99999999994</v>
      </c>
      <c r="C59" s="25"/>
      <c r="D59" s="36"/>
    </row>
    <row r="60" spans="1:11" x14ac:dyDescent="0.3">
      <c r="A60" t="str">
        <f>+A42</f>
        <v>Financial items</v>
      </c>
      <c r="B60" s="12">
        <f>+B42</f>
        <v>0</v>
      </c>
    </row>
    <row r="61" spans="1:11" x14ac:dyDescent="0.3">
      <c r="A61" t="s">
        <v>151</v>
      </c>
      <c r="B61" s="12">
        <f>+C5-B5</f>
        <v>0</v>
      </c>
    </row>
    <row r="62" spans="1:11" x14ac:dyDescent="0.3">
      <c r="A62" t="s">
        <v>152</v>
      </c>
      <c r="B62" s="12">
        <f>+K55</f>
        <v>-137261.4</v>
      </c>
    </row>
    <row r="63" spans="1:11" x14ac:dyDescent="0.3">
      <c r="A63" s="25" t="s">
        <v>156</v>
      </c>
      <c r="B63" s="12">
        <f>+SUM(B59:B62)</f>
        <v>59264.599999999948</v>
      </c>
    </row>
    <row r="64" spans="1:11" x14ac:dyDescent="0.3">
      <c r="B64" s="12"/>
    </row>
    <row r="65" spans="1:2" x14ac:dyDescent="0.3">
      <c r="A65" t="s">
        <v>143</v>
      </c>
      <c r="B65" s="12">
        <f>+C20</f>
        <v>1126027.3999999999</v>
      </c>
    </row>
    <row r="66" spans="1:2" x14ac:dyDescent="0.3">
      <c r="A66" t="s">
        <v>157</v>
      </c>
      <c r="B66" s="12">
        <f>+B20</f>
        <v>1185292</v>
      </c>
    </row>
    <row r="67" spans="1:2" x14ac:dyDescent="0.3">
      <c r="A67" s="25" t="s">
        <v>158</v>
      </c>
      <c r="B67" s="44">
        <f>+B66-B65</f>
        <v>59264.600000000093</v>
      </c>
    </row>
    <row r="69" spans="1:2" x14ac:dyDescent="0.3">
      <c r="A69" s="41" t="s">
        <v>155</v>
      </c>
      <c r="B69" s="42">
        <f>+B63-B67</f>
        <v>-1.4551915228366852E-10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1F55-CA1F-41EF-8BD8-4E49629CDD21}">
  <sheetPr codeName="Sheet2" filterMode="1"/>
  <dimension ref="A3:I53"/>
  <sheetViews>
    <sheetView showGridLines="0" topLeftCell="A7" zoomScaleNormal="100" workbookViewId="0">
      <selection activeCell="C16" sqref="C16"/>
    </sheetView>
  </sheetViews>
  <sheetFormatPr defaultColWidth="9.109375" defaultRowHeight="13.2" x14ac:dyDescent="0.3"/>
  <cols>
    <col min="1" max="1" width="11.6640625" style="3" bestFit="1" customWidth="1"/>
    <col min="2" max="3" width="11.6640625" style="3" customWidth="1"/>
    <col min="4" max="4" width="24.44140625" style="3" bestFit="1" customWidth="1"/>
    <col min="5" max="5" width="35.44140625" style="4" bestFit="1" customWidth="1"/>
    <col min="6" max="6" width="16.44140625" style="2" bestFit="1" customWidth="1"/>
    <col min="7" max="8" width="9.109375" style="3"/>
    <col min="9" max="9" width="9.88671875" style="3" bestFit="1" customWidth="1"/>
    <col min="10" max="16384" width="9.109375" style="3"/>
  </cols>
  <sheetData>
    <row r="3" spans="1:9" ht="69.45" customHeight="1" x14ac:dyDescent="0.3">
      <c r="A3" s="5" t="s">
        <v>54</v>
      </c>
      <c r="B3" s="5" t="s">
        <v>95</v>
      </c>
      <c r="C3" s="5" t="s">
        <v>81</v>
      </c>
      <c r="D3" s="5" t="s">
        <v>56</v>
      </c>
      <c r="E3" s="5" t="s">
        <v>55</v>
      </c>
      <c r="F3" s="13" t="s">
        <v>82</v>
      </c>
      <c r="G3" s="13" t="s">
        <v>139</v>
      </c>
    </row>
    <row r="4" spans="1:9" ht="15.45" customHeight="1" x14ac:dyDescent="0.3">
      <c r="A4" s="3">
        <v>102054</v>
      </c>
      <c r="B4" s="3" t="s">
        <v>63</v>
      </c>
      <c r="C4" s="3" t="s">
        <v>51</v>
      </c>
      <c r="D4" s="3" t="s">
        <v>79</v>
      </c>
      <c r="E4" s="4" t="s">
        <v>2</v>
      </c>
      <c r="F4" s="2">
        <v>72632.66</v>
      </c>
      <c r="G4" s="2">
        <f>+F4-(F4*5%)</f>
        <v>69001.027000000002</v>
      </c>
      <c r="H4" s="3" t="s">
        <v>51</v>
      </c>
      <c r="I4" s="34">
        <f>SUMIFS($F$4:$F$53,$C$4:$C$53,H4)</f>
        <v>1779784.7</v>
      </c>
    </row>
    <row r="5" spans="1:9" ht="17.55" customHeight="1" x14ac:dyDescent="0.3">
      <c r="A5" s="3">
        <v>102151</v>
      </c>
      <c r="B5" s="3" t="s">
        <v>63</v>
      </c>
      <c r="C5" s="3" t="s">
        <v>51</v>
      </c>
      <c r="D5" s="3" t="s">
        <v>79</v>
      </c>
      <c r="E5" s="4" t="s">
        <v>3</v>
      </c>
      <c r="F5" s="2">
        <v>292298.76</v>
      </c>
      <c r="G5" s="2">
        <f t="shared" ref="G5:G53" si="0">+F5-(F5*5%)</f>
        <v>277683.82199999999</v>
      </c>
      <c r="H5" s="3" t="s">
        <v>49</v>
      </c>
      <c r="I5" s="34">
        <f t="shared" ref="I5:I6" si="1">SUMIFS($F$4:$F$53,$C$4:$C$53,H5)</f>
        <v>-959453.46000000008</v>
      </c>
    </row>
    <row r="6" spans="1:9" ht="22.5" customHeight="1" x14ac:dyDescent="0.3">
      <c r="A6" s="21">
        <v>204001</v>
      </c>
      <c r="B6" s="3" t="s">
        <v>63</v>
      </c>
      <c r="C6" s="3" t="s">
        <v>51</v>
      </c>
      <c r="D6" s="3" t="s">
        <v>65</v>
      </c>
      <c r="E6" s="4" t="s">
        <v>5</v>
      </c>
      <c r="F6" s="2">
        <v>604605.84</v>
      </c>
      <c r="G6" s="2">
        <f t="shared" si="0"/>
        <v>574375.54799999995</v>
      </c>
      <c r="H6" s="3" t="s">
        <v>50</v>
      </c>
      <c r="I6" s="34">
        <f t="shared" si="1"/>
        <v>-197168.49999999994</v>
      </c>
    </row>
    <row r="7" spans="1:9" ht="28.95" customHeight="1" x14ac:dyDescent="0.3">
      <c r="A7" s="3">
        <v>205005</v>
      </c>
      <c r="B7" s="3" t="s">
        <v>63</v>
      </c>
      <c r="C7" s="3" t="s">
        <v>51</v>
      </c>
      <c r="D7" s="3" t="s">
        <v>65</v>
      </c>
      <c r="E7" s="4" t="s">
        <v>7</v>
      </c>
      <c r="F7" s="2">
        <v>35351.599999999999</v>
      </c>
      <c r="G7" s="2">
        <f t="shared" si="0"/>
        <v>33584.019999999997</v>
      </c>
      <c r="H7" s="3" t="s">
        <v>93</v>
      </c>
      <c r="I7" s="34">
        <f>SUM(I4:I6)</f>
        <v>623162.74</v>
      </c>
    </row>
    <row r="8" spans="1:9" ht="19.05" customHeight="1" x14ac:dyDescent="0.3">
      <c r="A8" s="3">
        <v>208001</v>
      </c>
      <c r="B8" s="3" t="s">
        <v>63</v>
      </c>
      <c r="C8" s="3" t="s">
        <v>51</v>
      </c>
      <c r="D8" s="3" t="s">
        <v>65</v>
      </c>
      <c r="E8" s="4" t="s">
        <v>8</v>
      </c>
      <c r="F8" s="2">
        <v>705.41</v>
      </c>
      <c r="G8" s="2">
        <f t="shared" si="0"/>
        <v>670.1395</v>
      </c>
    </row>
    <row r="9" spans="1:9" ht="27.45" customHeight="1" x14ac:dyDescent="0.3">
      <c r="A9" s="3">
        <v>208004</v>
      </c>
      <c r="B9" s="3" t="s">
        <v>63</v>
      </c>
      <c r="C9" s="3" t="s">
        <v>49</v>
      </c>
      <c r="D9" s="3" t="s">
        <v>59</v>
      </c>
      <c r="E9" s="4" t="s">
        <v>9</v>
      </c>
      <c r="F9" s="2">
        <v>1244.73</v>
      </c>
      <c r="G9" s="2">
        <f t="shared" si="0"/>
        <v>1182.4935</v>
      </c>
    </row>
    <row r="10" spans="1:9" ht="14.55" customHeight="1" x14ac:dyDescent="0.3">
      <c r="A10" s="3">
        <v>215014</v>
      </c>
      <c r="B10" s="3" t="s">
        <v>63</v>
      </c>
      <c r="C10" s="3" t="s">
        <v>51</v>
      </c>
      <c r="D10" s="3" t="s">
        <v>57</v>
      </c>
      <c r="E10" s="4" t="s">
        <v>11</v>
      </c>
      <c r="F10" s="2">
        <v>76273</v>
      </c>
      <c r="G10" s="2">
        <f t="shared" si="0"/>
        <v>72459.350000000006</v>
      </c>
    </row>
    <row r="11" spans="1:9" ht="28.05" customHeight="1" x14ac:dyDescent="0.3">
      <c r="A11" s="3">
        <v>215023</v>
      </c>
      <c r="B11" s="3" t="s">
        <v>63</v>
      </c>
      <c r="C11" s="3" t="s">
        <v>51</v>
      </c>
      <c r="D11" s="3" t="s">
        <v>57</v>
      </c>
      <c r="E11" s="4" t="s">
        <v>12</v>
      </c>
      <c r="F11" s="2">
        <v>17157</v>
      </c>
      <c r="G11" s="2">
        <f t="shared" si="0"/>
        <v>16299.15</v>
      </c>
    </row>
    <row r="12" spans="1:9" ht="31.5" customHeight="1" x14ac:dyDescent="0.3">
      <c r="A12" s="3">
        <v>217001</v>
      </c>
      <c r="B12" s="3" t="s">
        <v>63</v>
      </c>
      <c r="C12" s="3" t="s">
        <v>51</v>
      </c>
      <c r="D12" s="3" t="s">
        <v>57</v>
      </c>
      <c r="E12" s="4" t="s">
        <v>15</v>
      </c>
      <c r="F12" s="2">
        <v>858.52</v>
      </c>
      <c r="G12" s="2">
        <f t="shared" si="0"/>
        <v>815.59399999999994</v>
      </c>
    </row>
    <row r="13" spans="1:9" ht="18.45" customHeight="1" x14ac:dyDescent="0.3">
      <c r="A13" s="3">
        <v>320001</v>
      </c>
      <c r="B13" s="3" t="s">
        <v>63</v>
      </c>
      <c r="C13" s="3" t="s">
        <v>51</v>
      </c>
      <c r="D13" s="3" t="s">
        <v>60</v>
      </c>
      <c r="E13" s="4" t="s">
        <v>17</v>
      </c>
      <c r="F13" s="2">
        <v>140735</v>
      </c>
      <c r="G13" s="2">
        <f t="shared" si="0"/>
        <v>133698.25</v>
      </c>
    </row>
    <row r="14" spans="1:9" ht="25.95" customHeight="1" x14ac:dyDescent="0.3">
      <c r="A14" s="3">
        <v>401003</v>
      </c>
      <c r="B14" s="3" t="s">
        <v>63</v>
      </c>
      <c r="C14" s="3" t="s">
        <v>51</v>
      </c>
      <c r="D14" s="3" t="s">
        <v>61</v>
      </c>
      <c r="E14" s="4" t="s">
        <v>19</v>
      </c>
      <c r="F14" s="2">
        <v>42287.5</v>
      </c>
      <c r="G14" s="2">
        <f t="shared" si="0"/>
        <v>40173.125</v>
      </c>
    </row>
    <row r="15" spans="1:9" ht="40.950000000000003" customHeight="1" x14ac:dyDescent="0.3">
      <c r="A15" s="3">
        <v>404013</v>
      </c>
      <c r="B15" s="3" t="s">
        <v>63</v>
      </c>
      <c r="C15" s="3" t="s">
        <v>51</v>
      </c>
      <c r="D15" s="3" t="s">
        <v>94</v>
      </c>
      <c r="E15" s="4" t="s">
        <v>130</v>
      </c>
      <c r="F15" s="2">
        <v>500000</v>
      </c>
      <c r="G15" s="2">
        <f t="shared" si="0"/>
        <v>475000</v>
      </c>
    </row>
    <row r="16" spans="1:9" ht="64.05" customHeight="1" x14ac:dyDescent="0.3">
      <c r="A16" s="3">
        <v>411003</v>
      </c>
      <c r="B16" s="3" t="s">
        <v>63</v>
      </c>
      <c r="C16" s="3" t="s">
        <v>51</v>
      </c>
      <c r="D16" s="3" t="s">
        <v>57</v>
      </c>
      <c r="E16" s="4" t="s">
        <v>23</v>
      </c>
      <c r="F16" s="2">
        <v>77.5</v>
      </c>
      <c r="G16" s="2">
        <f t="shared" si="0"/>
        <v>73.625</v>
      </c>
    </row>
    <row r="17" spans="1:7" ht="27.45" customHeight="1" x14ac:dyDescent="0.3">
      <c r="A17" s="3">
        <v>507018</v>
      </c>
      <c r="B17" s="3" t="s">
        <v>63</v>
      </c>
      <c r="C17" s="3" t="s">
        <v>51</v>
      </c>
      <c r="D17" s="3" t="s">
        <v>57</v>
      </c>
      <c r="E17" s="4" t="s">
        <v>24</v>
      </c>
      <c r="F17" s="2">
        <v>1.78</v>
      </c>
      <c r="G17" s="2">
        <f t="shared" si="0"/>
        <v>1.6910000000000001</v>
      </c>
    </row>
    <row r="18" spans="1:7" x14ac:dyDescent="0.3">
      <c r="A18" s="3">
        <v>801000</v>
      </c>
      <c r="B18" s="3" t="s">
        <v>64</v>
      </c>
      <c r="C18" s="3" t="s">
        <v>52</v>
      </c>
      <c r="D18" s="3" t="s">
        <v>70</v>
      </c>
      <c r="E18" s="4" t="s">
        <v>25</v>
      </c>
      <c r="F18" s="2">
        <v>478975</v>
      </c>
      <c r="G18" s="2">
        <f t="shared" si="0"/>
        <v>455026.25</v>
      </c>
    </row>
    <row r="19" spans="1:7" x14ac:dyDescent="0.3">
      <c r="A19" s="3">
        <v>801052</v>
      </c>
      <c r="B19" s="3" t="s">
        <v>64</v>
      </c>
      <c r="C19" s="3" t="s">
        <v>52</v>
      </c>
      <c r="D19" s="3" t="s">
        <v>58</v>
      </c>
      <c r="E19" s="4" t="s">
        <v>28</v>
      </c>
      <c r="F19" s="2">
        <v>96</v>
      </c>
      <c r="G19" s="2">
        <f t="shared" si="0"/>
        <v>91.2</v>
      </c>
    </row>
    <row r="20" spans="1:7" x14ac:dyDescent="0.3">
      <c r="A20" s="3">
        <v>801054</v>
      </c>
      <c r="B20" s="3" t="s">
        <v>64</v>
      </c>
      <c r="C20" s="3" t="s">
        <v>52</v>
      </c>
      <c r="D20" s="3" t="s">
        <v>70</v>
      </c>
      <c r="E20" s="4" t="s">
        <v>29</v>
      </c>
      <c r="F20" s="2">
        <v>5597.84</v>
      </c>
      <c r="G20" s="2">
        <f t="shared" si="0"/>
        <v>5317.9480000000003</v>
      </c>
    </row>
    <row r="21" spans="1:7" x14ac:dyDescent="0.3">
      <c r="A21" s="3">
        <v>802000</v>
      </c>
      <c r="B21" s="3" t="s">
        <v>64</v>
      </c>
      <c r="C21" s="3" t="s">
        <v>53</v>
      </c>
      <c r="D21" s="6" t="s">
        <v>66</v>
      </c>
      <c r="E21" s="4" t="s">
        <v>30</v>
      </c>
      <c r="F21" s="2">
        <v>1044.05</v>
      </c>
      <c r="G21" s="2">
        <f t="shared" si="0"/>
        <v>991.84749999999997</v>
      </c>
    </row>
    <row r="22" spans="1:7" x14ac:dyDescent="0.3">
      <c r="A22" s="3">
        <v>804001</v>
      </c>
      <c r="B22" s="3" t="s">
        <v>64</v>
      </c>
      <c r="C22" s="3" t="s">
        <v>52</v>
      </c>
      <c r="D22" s="3" t="s">
        <v>74</v>
      </c>
      <c r="E22" s="4" t="s">
        <v>31</v>
      </c>
      <c r="F22" s="2">
        <v>404960.93</v>
      </c>
      <c r="G22" s="2">
        <f t="shared" si="0"/>
        <v>384712.8835</v>
      </c>
    </row>
    <row r="23" spans="1:7" x14ac:dyDescent="0.3">
      <c r="A23" s="3">
        <v>811007</v>
      </c>
      <c r="B23" s="3" t="s">
        <v>64</v>
      </c>
      <c r="C23" s="3" t="s">
        <v>52</v>
      </c>
      <c r="D23" s="3" t="s">
        <v>73</v>
      </c>
      <c r="E23" s="4" t="s">
        <v>35</v>
      </c>
      <c r="F23" s="2">
        <v>1600</v>
      </c>
      <c r="G23" s="2">
        <f t="shared" si="0"/>
        <v>1520</v>
      </c>
    </row>
    <row r="24" spans="1:7" x14ac:dyDescent="0.3">
      <c r="A24" s="3">
        <v>811010</v>
      </c>
      <c r="B24" s="3" t="s">
        <v>64</v>
      </c>
      <c r="C24" s="3" t="s">
        <v>52</v>
      </c>
      <c r="D24" s="3" t="s">
        <v>80</v>
      </c>
      <c r="E24" s="4" t="s">
        <v>36</v>
      </c>
      <c r="F24" s="2">
        <v>2562.06</v>
      </c>
      <c r="G24" s="2">
        <f t="shared" si="0"/>
        <v>2433.9569999999999</v>
      </c>
    </row>
    <row r="25" spans="1:7" x14ac:dyDescent="0.3">
      <c r="A25" s="3">
        <v>816000</v>
      </c>
      <c r="B25" s="3" t="s">
        <v>64</v>
      </c>
      <c r="C25" s="3" t="s">
        <v>52</v>
      </c>
      <c r="D25" s="3" t="s">
        <v>74</v>
      </c>
      <c r="E25" s="4" t="s">
        <v>37</v>
      </c>
      <c r="F25" s="2">
        <v>12996.74</v>
      </c>
      <c r="G25" s="2">
        <f t="shared" si="0"/>
        <v>12346.903</v>
      </c>
    </row>
    <row r="26" spans="1:7" x14ac:dyDescent="0.3">
      <c r="A26" s="3">
        <v>817005</v>
      </c>
      <c r="B26" s="3" t="s">
        <v>64</v>
      </c>
      <c r="C26" s="3" t="s">
        <v>52</v>
      </c>
      <c r="D26" s="3" t="s">
        <v>58</v>
      </c>
      <c r="E26" s="4" t="s">
        <v>38</v>
      </c>
      <c r="F26" s="2">
        <v>8171.38</v>
      </c>
      <c r="G26" s="2">
        <f t="shared" si="0"/>
        <v>7762.8109999999997</v>
      </c>
    </row>
    <row r="27" spans="1:7" x14ac:dyDescent="0.3">
      <c r="A27" s="3">
        <v>817006</v>
      </c>
      <c r="B27" s="3" t="s">
        <v>64</v>
      </c>
      <c r="C27" s="3" t="s">
        <v>52</v>
      </c>
      <c r="D27" s="3" t="s">
        <v>58</v>
      </c>
      <c r="E27" s="4" t="s">
        <v>39</v>
      </c>
      <c r="F27" s="2">
        <v>4546.96</v>
      </c>
      <c r="G27" s="2">
        <f t="shared" si="0"/>
        <v>4319.6120000000001</v>
      </c>
    </row>
    <row r="28" spans="1:7" x14ac:dyDescent="0.3">
      <c r="A28" s="3">
        <v>817007</v>
      </c>
      <c r="B28" s="3" t="s">
        <v>64</v>
      </c>
      <c r="C28" s="3" t="s">
        <v>52</v>
      </c>
      <c r="D28" s="3" t="s">
        <v>74</v>
      </c>
      <c r="E28" s="4" t="s">
        <v>40</v>
      </c>
      <c r="F28" s="2">
        <v>4186.51</v>
      </c>
      <c r="G28" s="2">
        <f t="shared" si="0"/>
        <v>3977.1845000000003</v>
      </c>
    </row>
    <row r="29" spans="1:7" x14ac:dyDescent="0.3">
      <c r="A29" s="3">
        <v>817009</v>
      </c>
      <c r="B29" s="3" t="s">
        <v>64</v>
      </c>
      <c r="C29" s="3" t="s">
        <v>52</v>
      </c>
      <c r="D29" s="3" t="s">
        <v>74</v>
      </c>
      <c r="E29" s="4" t="s">
        <v>41</v>
      </c>
      <c r="F29" s="2">
        <v>21067.61</v>
      </c>
      <c r="G29" s="2">
        <f t="shared" si="0"/>
        <v>20014.229500000001</v>
      </c>
    </row>
    <row r="30" spans="1:7" x14ac:dyDescent="0.3">
      <c r="A30" s="3">
        <v>820000</v>
      </c>
      <c r="B30" s="3" t="s">
        <v>64</v>
      </c>
      <c r="C30" s="3" t="s">
        <v>52</v>
      </c>
      <c r="D30" s="3" t="s">
        <v>73</v>
      </c>
      <c r="E30" s="4" t="s">
        <v>42</v>
      </c>
      <c r="F30" s="2">
        <v>32577.27</v>
      </c>
      <c r="G30" s="2">
        <f t="shared" si="0"/>
        <v>30948.406500000001</v>
      </c>
    </row>
    <row r="31" spans="1:7" x14ac:dyDescent="0.3">
      <c r="A31" s="3">
        <v>822003</v>
      </c>
      <c r="B31" s="3" t="s">
        <v>64</v>
      </c>
      <c r="C31" s="3" t="s">
        <v>52</v>
      </c>
      <c r="D31" s="3" t="s">
        <v>75</v>
      </c>
      <c r="E31" s="4" t="s">
        <v>43</v>
      </c>
      <c r="F31" s="2">
        <v>4757.4399999999996</v>
      </c>
      <c r="G31" s="2">
        <f t="shared" si="0"/>
        <v>4519.5679999999993</v>
      </c>
    </row>
    <row r="32" spans="1:7" x14ac:dyDescent="0.3">
      <c r="A32" s="3">
        <v>830004</v>
      </c>
      <c r="B32" s="3" t="s">
        <v>64</v>
      </c>
      <c r="C32" s="3" t="s">
        <v>52</v>
      </c>
      <c r="D32" s="3" t="s">
        <v>76</v>
      </c>
      <c r="E32" s="4" t="s">
        <v>44</v>
      </c>
      <c r="F32" s="2">
        <v>3199.87</v>
      </c>
      <c r="G32" s="2">
        <f t="shared" si="0"/>
        <v>3039.8764999999999</v>
      </c>
    </row>
    <row r="33" spans="1:7" x14ac:dyDescent="0.3">
      <c r="A33" s="3">
        <v>833010</v>
      </c>
      <c r="B33" s="3" t="s">
        <v>64</v>
      </c>
      <c r="C33" s="3" t="s">
        <v>52</v>
      </c>
      <c r="D33" s="3" t="s">
        <v>72</v>
      </c>
      <c r="E33" s="4" t="s">
        <v>45</v>
      </c>
      <c r="F33" s="2">
        <v>548.97</v>
      </c>
      <c r="G33" s="2">
        <f t="shared" si="0"/>
        <v>521.52150000000006</v>
      </c>
    </row>
    <row r="34" spans="1:7" x14ac:dyDescent="0.3">
      <c r="A34" s="3">
        <v>837006</v>
      </c>
      <c r="B34" s="3" t="s">
        <v>64</v>
      </c>
      <c r="C34" s="3" t="s">
        <v>52</v>
      </c>
      <c r="D34" s="3" t="s">
        <v>77</v>
      </c>
      <c r="E34" s="4" t="s">
        <v>46</v>
      </c>
      <c r="F34" s="2">
        <f>16758.02</f>
        <v>16758.02</v>
      </c>
      <c r="G34" s="2">
        <v>15920.519</v>
      </c>
    </row>
    <row r="35" spans="1:7" x14ac:dyDescent="0.3">
      <c r="A35" s="3">
        <v>837010</v>
      </c>
      <c r="B35" s="3" t="s">
        <v>64</v>
      </c>
      <c r="C35" s="3" t="s">
        <v>52</v>
      </c>
      <c r="D35" s="3" t="s">
        <v>77</v>
      </c>
      <c r="E35" s="4" t="s">
        <v>47</v>
      </c>
      <c r="F35" s="2">
        <v>68871.87</v>
      </c>
      <c r="G35" s="2">
        <f t="shared" si="0"/>
        <v>65428.276499999993</v>
      </c>
    </row>
    <row r="36" spans="1:7" ht="30" customHeight="1" x14ac:dyDescent="0.3">
      <c r="A36" s="3">
        <v>842010</v>
      </c>
      <c r="B36" s="3" t="s">
        <v>64</v>
      </c>
      <c r="C36" s="3" t="s">
        <v>52</v>
      </c>
      <c r="D36" s="3" t="s">
        <v>70</v>
      </c>
      <c r="E36" s="4" t="s">
        <v>48</v>
      </c>
      <c r="F36" s="2">
        <v>88156</v>
      </c>
      <c r="G36" s="2">
        <f t="shared" si="0"/>
        <v>83748.2</v>
      </c>
    </row>
    <row r="37" spans="1:7" hidden="1" x14ac:dyDescent="0.3">
      <c r="A37" s="3">
        <v>216003</v>
      </c>
      <c r="B37" s="3" t="s">
        <v>63</v>
      </c>
      <c r="C37" s="3" t="s">
        <v>49</v>
      </c>
      <c r="D37" s="3" t="s">
        <v>78</v>
      </c>
      <c r="E37" s="4" t="s">
        <v>0</v>
      </c>
      <c r="F37" s="2">
        <v>-13080.24</v>
      </c>
      <c r="G37" s="2">
        <f t="shared" si="0"/>
        <v>-12426.227999999999</v>
      </c>
    </row>
    <row r="38" spans="1:7" hidden="1" x14ac:dyDescent="0.3">
      <c r="A38" s="3">
        <v>501001</v>
      </c>
      <c r="B38" s="3" t="s">
        <v>63</v>
      </c>
      <c r="C38" s="3" t="s">
        <v>49</v>
      </c>
      <c r="D38" s="3" t="s">
        <v>59</v>
      </c>
      <c r="E38" s="4" t="s">
        <v>1</v>
      </c>
      <c r="F38" s="2">
        <v>-128208.8</v>
      </c>
      <c r="G38" s="2">
        <f t="shared" si="0"/>
        <v>-121798.36</v>
      </c>
    </row>
    <row r="39" spans="1:7" hidden="1" x14ac:dyDescent="0.3">
      <c r="A39" s="3">
        <v>505001</v>
      </c>
      <c r="B39" s="3" t="s">
        <v>63</v>
      </c>
      <c r="C39" s="3" t="s">
        <v>49</v>
      </c>
      <c r="D39" s="3" t="s">
        <v>59</v>
      </c>
      <c r="E39" s="4" t="s">
        <v>4</v>
      </c>
      <c r="F39" s="2">
        <v>-19725.830000000002</v>
      </c>
      <c r="G39" s="2">
        <f t="shared" si="0"/>
        <v>-18739.538500000002</v>
      </c>
    </row>
    <row r="40" spans="1:7" hidden="1" x14ac:dyDescent="0.3">
      <c r="A40" s="3">
        <v>506001</v>
      </c>
      <c r="B40" s="3" t="s">
        <v>63</v>
      </c>
      <c r="C40" s="3" t="s">
        <v>49</v>
      </c>
      <c r="D40" s="3" t="s">
        <v>78</v>
      </c>
      <c r="E40" s="4" t="s">
        <v>6</v>
      </c>
      <c r="F40" s="2">
        <v>-16460.25</v>
      </c>
      <c r="G40" s="2">
        <f t="shared" si="0"/>
        <v>-15637.237499999999</v>
      </c>
    </row>
    <row r="41" spans="1:7" hidden="1" x14ac:dyDescent="0.3">
      <c r="A41" s="3">
        <v>511007</v>
      </c>
      <c r="B41" s="3" t="s">
        <v>63</v>
      </c>
      <c r="C41" s="3" t="s">
        <v>49</v>
      </c>
      <c r="D41" s="3" t="s">
        <v>78</v>
      </c>
      <c r="E41" s="4" t="s">
        <v>10</v>
      </c>
      <c r="F41" s="2">
        <v>-85629.89</v>
      </c>
      <c r="G41" s="2">
        <f t="shared" si="0"/>
        <v>-81348.395499999999</v>
      </c>
    </row>
    <row r="42" spans="1:7" ht="16.95" customHeight="1" x14ac:dyDescent="0.3">
      <c r="A42" s="3">
        <v>511022</v>
      </c>
      <c r="B42" s="3" t="s">
        <v>63</v>
      </c>
      <c r="C42" s="3" t="s">
        <v>49</v>
      </c>
      <c r="D42" s="3" t="s">
        <v>78</v>
      </c>
      <c r="E42" s="4" t="s">
        <v>13</v>
      </c>
      <c r="F42" s="2">
        <v>-623275</v>
      </c>
      <c r="G42" s="2">
        <f t="shared" si="0"/>
        <v>-592111.25</v>
      </c>
    </row>
    <row r="43" spans="1:7" ht="22.95" customHeight="1" x14ac:dyDescent="0.3">
      <c r="A43" s="3">
        <v>513004</v>
      </c>
      <c r="B43" s="3" t="s">
        <v>63</v>
      </c>
      <c r="C43" s="3" t="s">
        <v>51</v>
      </c>
      <c r="D43" s="3" t="s">
        <v>65</v>
      </c>
      <c r="E43" s="4" t="s">
        <v>14</v>
      </c>
      <c r="F43" s="2">
        <v>-3199.87</v>
      </c>
      <c r="G43" s="2">
        <f t="shared" si="0"/>
        <v>-3039.8764999999999</v>
      </c>
    </row>
    <row r="44" spans="1:7" ht="34.049999999999997" customHeight="1" x14ac:dyDescent="0.3">
      <c r="A44" s="3">
        <v>605000</v>
      </c>
      <c r="B44" s="3" t="s">
        <v>63</v>
      </c>
      <c r="C44" s="3" t="s">
        <v>49</v>
      </c>
      <c r="D44" s="3" t="s">
        <v>71</v>
      </c>
      <c r="E44" s="4" t="s">
        <v>16</v>
      </c>
      <c r="F44" s="2">
        <v>-39464.879999999997</v>
      </c>
      <c r="G44" s="2">
        <f t="shared" si="0"/>
        <v>-37491.635999999999</v>
      </c>
    </row>
    <row r="45" spans="1:7" ht="37.5" customHeight="1" x14ac:dyDescent="0.3">
      <c r="A45" s="3">
        <v>607003</v>
      </c>
      <c r="B45" s="3" t="s">
        <v>63</v>
      </c>
      <c r="C45" s="3" t="s">
        <v>49</v>
      </c>
      <c r="D45" s="3" t="s">
        <v>78</v>
      </c>
      <c r="E45" s="4" t="s">
        <v>18</v>
      </c>
      <c r="F45" s="2">
        <v>-34853.300000000003</v>
      </c>
      <c r="G45" s="2">
        <f t="shared" si="0"/>
        <v>-33110.635000000002</v>
      </c>
    </row>
    <row r="46" spans="1:7" ht="37.5" customHeight="1" x14ac:dyDescent="0.3">
      <c r="A46" s="3">
        <v>701003</v>
      </c>
      <c r="B46" s="3" t="s">
        <v>63</v>
      </c>
      <c r="C46" s="3" t="s">
        <v>50</v>
      </c>
      <c r="D46" s="3" t="s">
        <v>67</v>
      </c>
      <c r="E46" s="4" t="s">
        <v>20</v>
      </c>
      <c r="F46" s="2">
        <v>-100000</v>
      </c>
      <c r="G46" s="2">
        <f t="shared" si="0"/>
        <v>-95000</v>
      </c>
    </row>
    <row r="47" spans="1:7" ht="32.549999999999997" customHeight="1" x14ac:dyDescent="0.3">
      <c r="A47" s="3">
        <v>703001</v>
      </c>
      <c r="B47" s="3" t="s">
        <v>63</v>
      </c>
      <c r="C47" s="3" t="s">
        <v>50</v>
      </c>
      <c r="D47" s="3" t="s">
        <v>68</v>
      </c>
      <c r="E47" s="4" t="s">
        <v>21</v>
      </c>
      <c r="F47" s="2">
        <v>-20000</v>
      </c>
      <c r="G47" s="2">
        <f t="shared" si="0"/>
        <v>-19000</v>
      </c>
    </row>
    <row r="48" spans="1:7" ht="13.95" customHeight="1" x14ac:dyDescent="0.3">
      <c r="A48" s="3">
        <v>703002</v>
      </c>
      <c r="B48" s="3" t="s">
        <v>63</v>
      </c>
      <c r="C48" s="3" t="s">
        <v>50</v>
      </c>
      <c r="D48" s="3" t="s">
        <v>68</v>
      </c>
      <c r="E48" s="4" t="s">
        <v>22</v>
      </c>
      <c r="F48" s="2">
        <v>-77168.499999999942</v>
      </c>
      <c r="G48" s="2">
        <f t="shared" si="0"/>
        <v>-73310.074999999939</v>
      </c>
    </row>
    <row r="49" spans="1:7" x14ac:dyDescent="0.3">
      <c r="A49" s="3">
        <v>901001</v>
      </c>
      <c r="B49" s="3" t="s">
        <v>64</v>
      </c>
      <c r="C49" s="3" t="s">
        <v>53</v>
      </c>
      <c r="D49" s="6" t="s">
        <v>66</v>
      </c>
      <c r="E49" s="4" t="s">
        <v>26</v>
      </c>
      <c r="F49" s="2">
        <v>-176378.95</v>
      </c>
      <c r="G49" s="2">
        <f t="shared" si="0"/>
        <v>-167560.0025</v>
      </c>
    </row>
    <row r="50" spans="1:7" x14ac:dyDescent="0.3">
      <c r="A50" s="3">
        <v>901007</v>
      </c>
      <c r="B50" s="3" t="s">
        <v>64</v>
      </c>
      <c r="C50" s="3" t="s">
        <v>53</v>
      </c>
      <c r="D50" s="6" t="s">
        <v>66</v>
      </c>
      <c r="E50" s="4" t="s">
        <v>27</v>
      </c>
      <c r="F50" s="2">
        <v>-1340295.58</v>
      </c>
      <c r="G50" s="2">
        <f t="shared" si="0"/>
        <v>-1273280.801</v>
      </c>
    </row>
    <row r="51" spans="1:7" x14ac:dyDescent="0.3">
      <c r="A51" s="3">
        <v>915010</v>
      </c>
      <c r="B51" s="3" t="s">
        <v>64</v>
      </c>
      <c r="C51" s="3" t="s">
        <v>52</v>
      </c>
      <c r="D51" s="3" t="s">
        <v>70</v>
      </c>
      <c r="E51" s="4" t="s">
        <v>32</v>
      </c>
      <c r="F51" s="2">
        <v>-140735</v>
      </c>
      <c r="G51" s="2">
        <f t="shared" si="0"/>
        <v>-133698.25</v>
      </c>
    </row>
    <row r="52" spans="1:7" x14ac:dyDescent="0.3">
      <c r="A52" s="3">
        <v>916002</v>
      </c>
      <c r="B52" s="3" t="s">
        <v>64</v>
      </c>
      <c r="C52" s="3" t="s">
        <v>53</v>
      </c>
      <c r="D52" s="3" t="s">
        <v>69</v>
      </c>
      <c r="E52" s="4" t="s">
        <v>33</v>
      </c>
      <c r="F52" s="2">
        <v>-126043.93</v>
      </c>
      <c r="G52" s="2">
        <f t="shared" si="0"/>
        <v>-119741.73349999999</v>
      </c>
    </row>
    <row r="53" spans="1:7" x14ac:dyDescent="0.3">
      <c r="A53" s="3">
        <v>916037</v>
      </c>
      <c r="B53" s="3" t="s">
        <v>64</v>
      </c>
      <c r="C53" s="3" t="s">
        <v>53</v>
      </c>
      <c r="D53" s="3" t="s">
        <v>69</v>
      </c>
      <c r="E53" s="4" t="s">
        <v>34</v>
      </c>
      <c r="F53" s="2">
        <v>-383.8</v>
      </c>
      <c r="G53" s="2">
        <f t="shared" si="0"/>
        <v>-364.61</v>
      </c>
    </row>
  </sheetData>
  <autoFilter ref="A3:F53" xr:uid="{DAF498EE-88F5-4490-8725-A4D5758985D9}">
    <filterColumn colId="2">
      <filters>
        <filter val="Expenses"/>
        <filter val="Revenu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2A9-CC69-454F-87F5-866E526DE9DE}">
  <dimension ref="A1:J38"/>
  <sheetViews>
    <sheetView showGridLines="0" workbookViewId="0">
      <selection activeCell="E2" sqref="E2:E32"/>
    </sheetView>
  </sheetViews>
  <sheetFormatPr defaultColWidth="8.88671875" defaultRowHeight="14.4" x14ac:dyDescent="0.3"/>
  <cols>
    <col min="1" max="1" width="12.33203125" style="1" bestFit="1" customWidth="1"/>
    <col min="2" max="2" width="26.77734375" style="1" bestFit="1" customWidth="1"/>
    <col min="3" max="3" width="19.5546875" style="1" customWidth="1"/>
    <col min="4" max="4" width="19.88671875" style="1" bestFit="1" customWidth="1"/>
    <col min="5" max="5" width="10" style="1" bestFit="1" customWidth="1"/>
    <col min="6" max="6" width="10.21875" style="1" bestFit="1" customWidth="1"/>
    <col min="7" max="7" width="8.88671875" style="1"/>
    <col min="8" max="8" width="14.77734375" style="1" customWidth="1"/>
    <col min="9" max="16384" width="8.88671875" style="1"/>
  </cols>
  <sheetData>
    <row r="1" spans="1:10" x14ac:dyDescent="0.3">
      <c r="A1" s="13" t="s">
        <v>98</v>
      </c>
      <c r="B1" s="13" t="s">
        <v>99</v>
      </c>
      <c r="C1" s="13" t="s">
        <v>95</v>
      </c>
      <c r="D1" s="13" t="s">
        <v>100</v>
      </c>
      <c r="E1" s="13" t="s">
        <v>82</v>
      </c>
      <c r="F1" s="13" t="s">
        <v>139</v>
      </c>
    </row>
    <row r="2" spans="1:10" x14ac:dyDescent="0.3">
      <c r="A2" s="14">
        <v>1</v>
      </c>
      <c r="B2" s="16" t="s">
        <v>53</v>
      </c>
      <c r="C2" s="15" t="s">
        <v>64</v>
      </c>
      <c r="D2" s="16" t="s">
        <v>66</v>
      </c>
      <c r="E2" s="2">
        <v>-1184786</v>
      </c>
      <c r="F2" s="2">
        <f t="shared" ref="F2:F32" si="0">+E2-(E2*5%)</f>
        <v>-1125546.7</v>
      </c>
      <c r="H2" s="1" t="s">
        <v>62</v>
      </c>
      <c r="J2" s="1" t="s">
        <v>66</v>
      </c>
    </row>
    <row r="3" spans="1:10" x14ac:dyDescent="0.3">
      <c r="A3" s="14">
        <v>2</v>
      </c>
      <c r="B3" s="16" t="s">
        <v>70</v>
      </c>
      <c r="C3" s="15" t="s">
        <v>64</v>
      </c>
      <c r="D3" s="16" t="s">
        <v>70</v>
      </c>
      <c r="E3" s="2">
        <v>888825</v>
      </c>
      <c r="F3" s="2">
        <f t="shared" si="0"/>
        <v>844383.75</v>
      </c>
      <c r="H3" s="1" t="s">
        <v>61</v>
      </c>
      <c r="J3" s="1" t="s">
        <v>70</v>
      </c>
    </row>
    <row r="4" spans="1:10" x14ac:dyDescent="0.3">
      <c r="A4" s="14">
        <v>3</v>
      </c>
      <c r="B4" s="16" t="s">
        <v>101</v>
      </c>
      <c r="C4" s="15" t="s">
        <v>64</v>
      </c>
      <c r="D4" s="16" t="s">
        <v>58</v>
      </c>
      <c r="E4" s="2">
        <v>10806</v>
      </c>
      <c r="F4" s="2">
        <f t="shared" si="0"/>
        <v>10265.700000000001</v>
      </c>
      <c r="H4" s="1" t="s">
        <v>94</v>
      </c>
      <c r="J4" s="1" t="s">
        <v>89</v>
      </c>
    </row>
    <row r="5" spans="1:10" x14ac:dyDescent="0.3">
      <c r="A5" s="14">
        <v>4</v>
      </c>
      <c r="B5" s="16" t="s">
        <v>102</v>
      </c>
      <c r="C5" s="15" t="s">
        <v>64</v>
      </c>
      <c r="D5" s="16" t="s">
        <v>58</v>
      </c>
      <c r="E5" s="2">
        <v>1822</v>
      </c>
      <c r="F5" s="2">
        <f t="shared" si="0"/>
        <v>1730.9</v>
      </c>
      <c r="H5" s="1" t="s">
        <v>131</v>
      </c>
      <c r="J5" s="1" t="s">
        <v>73</v>
      </c>
    </row>
    <row r="6" spans="1:10" x14ac:dyDescent="0.3">
      <c r="A6" s="20">
        <v>5</v>
      </c>
      <c r="B6" s="16" t="s">
        <v>103</v>
      </c>
      <c r="C6" s="15" t="s">
        <v>64</v>
      </c>
      <c r="D6" s="16" t="s">
        <v>58</v>
      </c>
      <c r="E6" s="2">
        <v>681</v>
      </c>
      <c r="F6" s="2">
        <f t="shared" si="0"/>
        <v>646.95000000000005</v>
      </c>
      <c r="H6" s="1" t="s">
        <v>88</v>
      </c>
      <c r="J6" s="1" t="s">
        <v>58</v>
      </c>
    </row>
    <row r="7" spans="1:10" x14ac:dyDescent="0.3">
      <c r="A7" s="14">
        <v>6</v>
      </c>
      <c r="B7" s="16" t="s">
        <v>104</v>
      </c>
      <c r="C7" s="15" t="s">
        <v>64</v>
      </c>
      <c r="D7" s="16" t="s">
        <v>58</v>
      </c>
      <c r="E7" s="2">
        <v>120</v>
      </c>
      <c r="F7" s="2">
        <f t="shared" si="0"/>
        <v>114</v>
      </c>
      <c r="H7" s="1" t="s">
        <v>60</v>
      </c>
      <c r="J7" s="1" t="s">
        <v>74</v>
      </c>
    </row>
    <row r="8" spans="1:10" x14ac:dyDescent="0.3">
      <c r="A8" s="14">
        <v>7</v>
      </c>
      <c r="B8" s="16" t="s">
        <v>105</v>
      </c>
      <c r="C8" s="15" t="s">
        <v>64</v>
      </c>
      <c r="D8" s="16" t="s">
        <v>58</v>
      </c>
      <c r="E8" s="2">
        <v>2</v>
      </c>
      <c r="F8" s="2">
        <f t="shared" si="0"/>
        <v>1.9</v>
      </c>
      <c r="H8" s="1" t="s">
        <v>65</v>
      </c>
      <c r="J8" s="1" t="s">
        <v>80</v>
      </c>
    </row>
    <row r="9" spans="1:10" x14ac:dyDescent="0.3">
      <c r="A9" s="14">
        <v>8</v>
      </c>
      <c r="B9" s="16" t="s">
        <v>106</v>
      </c>
      <c r="C9" s="15" t="s">
        <v>64</v>
      </c>
      <c r="D9" s="16" t="s">
        <v>58</v>
      </c>
      <c r="E9" s="2">
        <v>1248</v>
      </c>
      <c r="F9" s="2">
        <f t="shared" si="0"/>
        <v>1185.5999999999999</v>
      </c>
      <c r="H9" s="1" t="s">
        <v>59</v>
      </c>
      <c r="J9" s="1" t="s">
        <v>69</v>
      </c>
    </row>
    <row r="10" spans="1:10" x14ac:dyDescent="0.3">
      <c r="A10" s="14">
        <v>9</v>
      </c>
      <c r="B10" s="16" t="s">
        <v>107</v>
      </c>
      <c r="C10" s="15" t="s">
        <v>64</v>
      </c>
      <c r="D10" s="16" t="s">
        <v>74</v>
      </c>
      <c r="E10" s="2">
        <v>33387</v>
      </c>
      <c r="F10" s="2">
        <f t="shared" si="0"/>
        <v>31717.65</v>
      </c>
      <c r="H10" s="1" t="s">
        <v>87</v>
      </c>
      <c r="J10" s="1" t="s">
        <v>90</v>
      </c>
    </row>
    <row r="11" spans="1:10" x14ac:dyDescent="0.3">
      <c r="A11" s="14">
        <v>10</v>
      </c>
      <c r="B11" s="16" t="s">
        <v>108</v>
      </c>
      <c r="C11" s="15" t="s">
        <v>64</v>
      </c>
      <c r="D11" s="16" t="s">
        <v>58</v>
      </c>
      <c r="E11" s="2">
        <v>77</v>
      </c>
      <c r="F11" s="2">
        <f t="shared" si="0"/>
        <v>73.150000000000006</v>
      </c>
      <c r="H11" s="1" t="s">
        <v>57</v>
      </c>
      <c r="J11" s="1" t="s">
        <v>76</v>
      </c>
    </row>
    <row r="12" spans="1:10" x14ac:dyDescent="0.3">
      <c r="A12" s="14">
        <v>11</v>
      </c>
      <c r="B12" s="16" t="s">
        <v>109</v>
      </c>
      <c r="C12" s="15" t="s">
        <v>64</v>
      </c>
      <c r="D12" s="16" t="s">
        <v>58</v>
      </c>
      <c r="E12" s="2">
        <v>432</v>
      </c>
      <c r="F12" s="2">
        <f t="shared" si="0"/>
        <v>410.4</v>
      </c>
      <c r="H12" s="1" t="s">
        <v>78</v>
      </c>
      <c r="J12" s="1" t="s">
        <v>75</v>
      </c>
    </row>
    <row r="13" spans="1:10" x14ac:dyDescent="0.3">
      <c r="A13" s="14">
        <v>12</v>
      </c>
      <c r="B13" s="16" t="s">
        <v>110</v>
      </c>
      <c r="C13" s="15" t="s">
        <v>64</v>
      </c>
      <c r="D13" s="16" t="s">
        <v>73</v>
      </c>
      <c r="E13" s="2">
        <v>549</v>
      </c>
      <c r="F13" s="2">
        <f t="shared" si="0"/>
        <v>521.54999999999995</v>
      </c>
      <c r="H13" s="1" t="s">
        <v>86</v>
      </c>
      <c r="J13" s="1" t="s">
        <v>91</v>
      </c>
    </row>
    <row r="14" spans="1:10" x14ac:dyDescent="0.3">
      <c r="A14" s="14">
        <v>13</v>
      </c>
      <c r="B14" s="16" t="s">
        <v>111</v>
      </c>
      <c r="C14" s="15" t="s">
        <v>64</v>
      </c>
      <c r="D14" s="16" t="s">
        <v>58</v>
      </c>
      <c r="E14" s="2">
        <v>17</v>
      </c>
      <c r="F14" s="2">
        <f t="shared" si="0"/>
        <v>16.149999999999999</v>
      </c>
      <c r="H14" s="1" t="s">
        <v>71</v>
      </c>
      <c r="J14" s="1" t="s">
        <v>72</v>
      </c>
    </row>
    <row r="15" spans="1:10" x14ac:dyDescent="0.3">
      <c r="A15" s="14">
        <v>14</v>
      </c>
      <c r="B15" s="16" t="s">
        <v>112</v>
      </c>
      <c r="C15" s="15" t="s">
        <v>64</v>
      </c>
      <c r="D15" s="16" t="s">
        <v>58</v>
      </c>
      <c r="E15" s="2">
        <v>362</v>
      </c>
      <c r="F15" s="2">
        <f t="shared" si="0"/>
        <v>343.9</v>
      </c>
      <c r="H15" s="1" t="s">
        <v>84</v>
      </c>
      <c r="J15" s="1" t="s">
        <v>92</v>
      </c>
    </row>
    <row r="16" spans="1:10" x14ac:dyDescent="0.3">
      <c r="A16" s="14">
        <v>15</v>
      </c>
      <c r="B16" s="16" t="s">
        <v>113</v>
      </c>
      <c r="C16" s="15" t="s">
        <v>64</v>
      </c>
      <c r="D16" s="16" t="s">
        <v>58</v>
      </c>
      <c r="E16" s="2">
        <v>2920</v>
      </c>
      <c r="F16" s="2">
        <f t="shared" si="0"/>
        <v>2774</v>
      </c>
      <c r="H16" s="1" t="s">
        <v>68</v>
      </c>
      <c r="J16" s="1" t="s">
        <v>77</v>
      </c>
    </row>
    <row r="17" spans="1:10" x14ac:dyDescent="0.3">
      <c r="A17" s="14">
        <v>16</v>
      </c>
      <c r="B17" s="16" t="s">
        <v>114</v>
      </c>
      <c r="C17" s="15" t="s">
        <v>64</v>
      </c>
      <c r="D17" s="16" t="s">
        <v>58</v>
      </c>
      <c r="E17" s="2">
        <v>9926</v>
      </c>
      <c r="F17" s="2">
        <f t="shared" si="0"/>
        <v>9429.7000000000007</v>
      </c>
      <c r="H17" s="1" t="s">
        <v>67</v>
      </c>
      <c r="J17" s="1" t="s">
        <v>93</v>
      </c>
    </row>
    <row r="18" spans="1:10" x14ac:dyDescent="0.3">
      <c r="A18" s="14">
        <v>17</v>
      </c>
      <c r="B18" s="16" t="s">
        <v>115</v>
      </c>
      <c r="C18" s="15" t="s">
        <v>64</v>
      </c>
      <c r="D18" s="16" t="s">
        <v>58</v>
      </c>
      <c r="E18" s="2">
        <v>120</v>
      </c>
      <c r="F18" s="2">
        <f t="shared" si="0"/>
        <v>114</v>
      </c>
      <c r="H18" s="1" t="s">
        <v>93</v>
      </c>
    </row>
    <row r="19" spans="1:10" x14ac:dyDescent="0.3">
      <c r="A19" s="14">
        <v>18</v>
      </c>
      <c r="B19" s="16" t="s">
        <v>116</v>
      </c>
      <c r="C19" s="15" t="s">
        <v>64</v>
      </c>
      <c r="D19" s="16" t="s">
        <v>80</v>
      </c>
      <c r="E19" s="2">
        <v>10800</v>
      </c>
      <c r="F19" s="2">
        <f t="shared" si="0"/>
        <v>10260</v>
      </c>
      <c r="H19" s="1" t="s">
        <v>79</v>
      </c>
    </row>
    <row r="20" spans="1:10" x14ac:dyDescent="0.3">
      <c r="A20" s="14">
        <v>19</v>
      </c>
      <c r="B20" s="16" t="s">
        <v>117</v>
      </c>
      <c r="C20" s="15" t="s">
        <v>64</v>
      </c>
      <c r="D20" s="16" t="s">
        <v>73</v>
      </c>
      <c r="E20" s="2">
        <v>198</v>
      </c>
      <c r="F20" s="2">
        <f t="shared" si="0"/>
        <v>188.1</v>
      </c>
    </row>
    <row r="21" spans="1:10" x14ac:dyDescent="0.3">
      <c r="A21" s="14">
        <v>20</v>
      </c>
      <c r="B21" s="16" t="s">
        <v>118</v>
      </c>
      <c r="C21" s="15" t="s">
        <v>64</v>
      </c>
      <c r="D21" s="16" t="s">
        <v>58</v>
      </c>
      <c r="E21" s="2">
        <v>110</v>
      </c>
      <c r="F21" s="2">
        <f t="shared" si="0"/>
        <v>104.5</v>
      </c>
    </row>
    <row r="22" spans="1:10" x14ac:dyDescent="0.3">
      <c r="A22" s="14">
        <v>21</v>
      </c>
      <c r="B22" s="16" t="s">
        <v>77</v>
      </c>
      <c r="C22" s="15" t="s">
        <v>64</v>
      </c>
      <c r="D22" s="16" t="s">
        <v>77</v>
      </c>
      <c r="E22" s="2">
        <v>77837</v>
      </c>
      <c r="F22" s="2">
        <f t="shared" si="0"/>
        <v>73945.149999999994</v>
      </c>
    </row>
    <row r="23" spans="1:10" x14ac:dyDescent="0.3">
      <c r="A23" s="14">
        <v>22</v>
      </c>
      <c r="B23" s="16" t="s">
        <v>119</v>
      </c>
      <c r="C23" s="16" t="s">
        <v>63</v>
      </c>
      <c r="D23" s="16" t="s">
        <v>79</v>
      </c>
      <c r="E23" s="2">
        <v>1185292</v>
      </c>
      <c r="F23" s="2">
        <f t="shared" si="0"/>
        <v>1126027.3999999999</v>
      </c>
    </row>
    <row r="24" spans="1:10" x14ac:dyDescent="0.3">
      <c r="A24" s="14">
        <v>23</v>
      </c>
      <c r="B24" s="16" t="s">
        <v>120</v>
      </c>
      <c r="C24" s="16" t="s">
        <v>63</v>
      </c>
      <c r="D24" s="16" t="s">
        <v>61</v>
      </c>
      <c r="E24" s="2">
        <v>239233</v>
      </c>
      <c r="F24" s="2">
        <f t="shared" si="0"/>
        <v>227271.35</v>
      </c>
    </row>
    <row r="25" spans="1:10" x14ac:dyDescent="0.3">
      <c r="A25" s="14">
        <v>25</v>
      </c>
      <c r="B25" s="16" t="s">
        <v>120</v>
      </c>
      <c r="C25" s="16" t="s">
        <v>63</v>
      </c>
      <c r="D25" s="16" t="s">
        <v>61</v>
      </c>
      <c r="E25" s="2">
        <v>43556</v>
      </c>
      <c r="F25" s="2">
        <f t="shared" si="0"/>
        <v>41378.199999999997</v>
      </c>
    </row>
    <row r="26" spans="1:10" x14ac:dyDescent="0.3">
      <c r="A26" s="14">
        <v>26</v>
      </c>
      <c r="B26" s="16" t="s">
        <v>126</v>
      </c>
      <c r="C26" s="16" t="s">
        <v>63</v>
      </c>
      <c r="D26" s="16" t="s">
        <v>78</v>
      </c>
      <c r="E26" s="2">
        <v>1973</v>
      </c>
      <c r="F26" s="2">
        <f t="shared" si="0"/>
        <v>1874.35</v>
      </c>
    </row>
    <row r="27" spans="1:10" x14ac:dyDescent="0.3">
      <c r="A27" s="14">
        <v>28</v>
      </c>
      <c r="B27" s="16" t="s">
        <v>67</v>
      </c>
      <c r="C27" s="16" t="s">
        <v>63</v>
      </c>
      <c r="D27" s="16" t="s">
        <v>67</v>
      </c>
      <c r="E27" s="2">
        <v>-1165</v>
      </c>
      <c r="F27" s="2">
        <f t="shared" si="0"/>
        <v>-1106.75</v>
      </c>
    </row>
    <row r="28" spans="1:10" x14ac:dyDescent="0.3">
      <c r="A28" s="14">
        <v>30</v>
      </c>
      <c r="B28" s="16" t="s">
        <v>121</v>
      </c>
      <c r="C28" s="16" t="s">
        <v>63</v>
      </c>
      <c r="D28" s="16" t="s">
        <v>59</v>
      </c>
      <c r="E28" s="2">
        <v>-232335</v>
      </c>
      <c r="F28" s="2">
        <f t="shared" si="0"/>
        <v>-220718.25</v>
      </c>
    </row>
    <row r="29" spans="1:10" x14ac:dyDescent="0.3">
      <c r="A29" s="14">
        <v>31</v>
      </c>
      <c r="B29" s="16" t="s">
        <v>122</v>
      </c>
      <c r="C29" s="16" t="s">
        <v>63</v>
      </c>
      <c r="D29" s="16" t="s">
        <v>78</v>
      </c>
      <c r="E29" s="2">
        <v>-901285</v>
      </c>
      <c r="F29" s="2">
        <f t="shared" si="0"/>
        <v>-856220.75</v>
      </c>
    </row>
    <row r="30" spans="1:10" x14ac:dyDescent="0.3">
      <c r="A30" s="14">
        <v>33</v>
      </c>
      <c r="B30" s="16" t="s">
        <v>124</v>
      </c>
      <c r="C30" s="16" t="s">
        <v>63</v>
      </c>
      <c r="D30" s="16" t="s">
        <v>78</v>
      </c>
      <c r="E30" s="2">
        <v>-2322</v>
      </c>
      <c r="F30" s="2">
        <f t="shared" si="0"/>
        <v>-2205.9</v>
      </c>
    </row>
    <row r="31" spans="1:10" x14ac:dyDescent="0.3">
      <c r="A31" s="14">
        <v>34</v>
      </c>
      <c r="B31" s="16" t="s">
        <v>123</v>
      </c>
      <c r="C31" s="16" t="s">
        <v>63</v>
      </c>
      <c r="D31" s="16" t="s">
        <v>78</v>
      </c>
      <c r="E31" s="2">
        <v>-24485</v>
      </c>
      <c r="F31" s="2">
        <f t="shared" si="0"/>
        <v>-23260.75</v>
      </c>
    </row>
    <row r="32" spans="1:10" x14ac:dyDescent="0.3">
      <c r="A32" s="14">
        <v>35</v>
      </c>
      <c r="B32" s="16" t="s">
        <v>125</v>
      </c>
      <c r="C32" s="16" t="s">
        <v>63</v>
      </c>
      <c r="D32" s="16" t="s">
        <v>78</v>
      </c>
      <c r="E32" s="2">
        <v>-163915</v>
      </c>
      <c r="F32" s="2">
        <f t="shared" si="0"/>
        <v>-155719.25</v>
      </c>
    </row>
    <row r="36" spans="5:6" x14ac:dyDescent="0.3">
      <c r="E36" s="17">
        <f>E23+E24+E25</f>
        <v>1468081</v>
      </c>
      <c r="F36" s="17">
        <f>E26+E29+E30+E31+E32+E28</f>
        <v>-1322369</v>
      </c>
    </row>
    <row r="37" spans="5:6" x14ac:dyDescent="0.3">
      <c r="F37" s="17">
        <f>E27</f>
        <v>-1165</v>
      </c>
    </row>
    <row r="38" spans="5:6" x14ac:dyDescent="0.3">
      <c r="F38" s="17">
        <f>E36+F36+F37</f>
        <v>144547</v>
      </c>
    </row>
  </sheetData>
  <autoFilter ref="A1:E32" xr:uid="{D092FD34-66A7-4514-B832-19544C7A9439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A19C-F380-4665-BC81-AAB85EAB9360}">
  <dimension ref="A2:H50"/>
  <sheetViews>
    <sheetView showGridLines="0" tabSelected="1" workbookViewId="0">
      <selection activeCell="G14" sqref="G14"/>
    </sheetView>
  </sheetViews>
  <sheetFormatPr defaultRowHeight="14.4" x14ac:dyDescent="0.3"/>
  <cols>
    <col min="1" max="1" width="26.109375" bestFit="1" customWidth="1"/>
    <col min="3" max="4" width="10.44140625" bestFit="1" customWidth="1"/>
    <col min="5" max="6" width="16.77734375" bestFit="1" customWidth="1"/>
    <col min="7" max="7" width="19.88671875" bestFit="1" customWidth="1"/>
    <col min="8" max="8" width="12.21875" bestFit="1" customWidth="1"/>
  </cols>
  <sheetData>
    <row r="2" spans="1:8" x14ac:dyDescent="0.3">
      <c r="A2" s="25" t="s">
        <v>97</v>
      </c>
      <c r="E2" s="24"/>
    </row>
    <row r="3" spans="1:8" x14ac:dyDescent="0.3">
      <c r="A3" t="s">
        <v>127</v>
      </c>
      <c r="B3" s="12">
        <v>20000</v>
      </c>
    </row>
    <row r="4" spans="1:8" x14ac:dyDescent="0.3">
      <c r="A4" s="19"/>
    </row>
    <row r="5" spans="1:8" x14ac:dyDescent="0.3">
      <c r="A5" s="25" t="s">
        <v>96</v>
      </c>
    </row>
    <row r="6" spans="1:8" x14ac:dyDescent="0.3">
      <c r="A6" t="s">
        <v>127</v>
      </c>
      <c r="B6" s="12">
        <v>-30500</v>
      </c>
    </row>
    <row r="7" spans="1:8" x14ac:dyDescent="0.3">
      <c r="A7" t="s">
        <v>128</v>
      </c>
      <c r="B7" s="12">
        <v>-10000</v>
      </c>
    </row>
    <row r="9" spans="1:8" x14ac:dyDescent="0.3">
      <c r="A9" t="s">
        <v>129</v>
      </c>
      <c r="B9" s="22">
        <v>0.2</v>
      </c>
    </row>
    <row r="11" spans="1:8" x14ac:dyDescent="0.3">
      <c r="A11" t="s">
        <v>63</v>
      </c>
      <c r="B11" t="s">
        <v>164</v>
      </c>
      <c r="C11" t="s">
        <v>165</v>
      </c>
    </row>
    <row r="12" spans="1:8" x14ac:dyDescent="0.3">
      <c r="A12" t="s">
        <v>83</v>
      </c>
      <c r="B12" s="24" t="s">
        <v>82</v>
      </c>
      <c r="C12" s="24" t="s">
        <v>82</v>
      </c>
      <c r="D12" t="s">
        <v>159</v>
      </c>
      <c r="E12" t="s">
        <v>160</v>
      </c>
      <c r="F12" t="s">
        <v>161</v>
      </c>
      <c r="G12" t="s">
        <v>163</v>
      </c>
      <c r="H12" t="s">
        <v>162</v>
      </c>
    </row>
    <row r="13" spans="1:8" x14ac:dyDescent="0.3">
      <c r="A13" t="s">
        <v>62</v>
      </c>
      <c r="B13" s="24">
        <v>0</v>
      </c>
      <c r="C13" s="24"/>
      <c r="D13" s="24">
        <f>SUM(B13:C13)</f>
        <v>0</v>
      </c>
      <c r="H13" s="24">
        <f>SUM(D13:G13)</f>
        <v>0</v>
      </c>
    </row>
    <row r="14" spans="1:8" x14ac:dyDescent="0.3">
      <c r="A14" t="s">
        <v>61</v>
      </c>
      <c r="B14" s="24">
        <v>42287.5</v>
      </c>
      <c r="C14" s="24">
        <v>282789</v>
      </c>
      <c r="D14" s="24">
        <f t="shared" ref="D14:D31" si="0">SUM(B14:C14)</f>
        <v>325076.5</v>
      </c>
      <c r="H14" s="24">
        <f t="shared" ref="H14:H31" si="1">SUM(D14:G14)</f>
        <v>325076.5</v>
      </c>
    </row>
    <row r="15" spans="1:8" x14ac:dyDescent="0.3">
      <c r="A15" t="s">
        <v>94</v>
      </c>
      <c r="B15" s="24">
        <v>500000</v>
      </c>
      <c r="C15" s="24"/>
      <c r="D15" s="24">
        <f t="shared" si="0"/>
        <v>500000</v>
      </c>
      <c r="G15">
        <v>-500000</v>
      </c>
      <c r="H15" s="24">
        <f t="shared" si="1"/>
        <v>0</v>
      </c>
    </row>
    <row r="16" spans="1:8" x14ac:dyDescent="0.3">
      <c r="A16" t="s">
        <v>131</v>
      </c>
      <c r="B16" s="24"/>
      <c r="C16" s="24"/>
      <c r="D16" s="24">
        <f t="shared" si="0"/>
        <v>0</v>
      </c>
      <c r="G16" s="12">
        <f>G15-G28-G29</f>
        <v>-354288</v>
      </c>
      <c r="H16" s="24">
        <f t="shared" si="1"/>
        <v>-354288</v>
      </c>
    </row>
    <row r="17" spans="1:8" x14ac:dyDescent="0.3">
      <c r="A17" t="s">
        <v>88</v>
      </c>
      <c r="B17" s="24">
        <v>542287.5</v>
      </c>
      <c r="C17" s="24">
        <v>282789</v>
      </c>
      <c r="D17" s="24">
        <f t="shared" si="0"/>
        <v>825076.5</v>
      </c>
      <c r="H17" s="24">
        <f t="shared" si="1"/>
        <v>825076.5</v>
      </c>
    </row>
    <row r="18" spans="1:8" x14ac:dyDescent="0.3">
      <c r="A18" t="s">
        <v>60</v>
      </c>
      <c r="B18" s="12">
        <v>140735</v>
      </c>
      <c r="C18" s="12"/>
      <c r="D18" s="24">
        <f t="shared" si="0"/>
        <v>140735</v>
      </c>
      <c r="H18" s="24">
        <f t="shared" si="1"/>
        <v>140735</v>
      </c>
    </row>
    <row r="19" spans="1:8" x14ac:dyDescent="0.3">
      <c r="A19" t="s">
        <v>65</v>
      </c>
      <c r="B19" s="12">
        <v>637462.98</v>
      </c>
      <c r="C19" s="12"/>
      <c r="D19" s="24">
        <f t="shared" si="0"/>
        <v>637462.98</v>
      </c>
      <c r="E19">
        <f>-20000-10000</f>
        <v>-30000</v>
      </c>
      <c r="F19">
        <f>-30500</f>
        <v>-30500</v>
      </c>
      <c r="H19" s="24">
        <f t="shared" si="1"/>
        <v>576962.98</v>
      </c>
    </row>
    <row r="20" spans="1:8" x14ac:dyDescent="0.3">
      <c r="A20" t="s">
        <v>59</v>
      </c>
      <c r="B20" s="12">
        <v>-146689.90000000002</v>
      </c>
      <c r="C20" s="12">
        <v>-232335</v>
      </c>
      <c r="D20" s="24">
        <f t="shared" si="0"/>
        <v>-379024.9</v>
      </c>
      <c r="E20">
        <f>30500</f>
        <v>30500</v>
      </c>
      <c r="F20">
        <v>30000</v>
      </c>
      <c r="H20" s="24">
        <f t="shared" si="1"/>
        <v>-318524.90000000002</v>
      </c>
    </row>
    <row r="21" spans="1:8" x14ac:dyDescent="0.3">
      <c r="A21" t="s">
        <v>87</v>
      </c>
      <c r="B21" s="24">
        <v>631508.07999999996</v>
      </c>
      <c r="C21" s="24">
        <v>-232335</v>
      </c>
      <c r="D21" s="24">
        <f t="shared" si="0"/>
        <v>399173.07999999996</v>
      </c>
      <c r="H21" s="24">
        <f t="shared" si="1"/>
        <v>399173.07999999996</v>
      </c>
    </row>
    <row r="22" spans="1:8" x14ac:dyDescent="0.3">
      <c r="A22" t="s">
        <v>57</v>
      </c>
      <c r="B22" s="12">
        <v>94367.8</v>
      </c>
      <c r="C22" s="12"/>
      <c r="D22" s="24">
        <f t="shared" si="0"/>
        <v>94367.8</v>
      </c>
      <c r="H22" s="24">
        <f t="shared" si="1"/>
        <v>94367.8</v>
      </c>
    </row>
    <row r="23" spans="1:8" x14ac:dyDescent="0.3">
      <c r="A23" t="s">
        <v>78</v>
      </c>
      <c r="B23" s="12">
        <v>-773298.68</v>
      </c>
      <c r="C23" s="12">
        <v>-1090034</v>
      </c>
      <c r="D23" s="24">
        <f t="shared" si="0"/>
        <v>-1863332.6800000002</v>
      </c>
      <c r="H23" s="24">
        <f t="shared" si="1"/>
        <v>-1863332.6800000002</v>
      </c>
    </row>
    <row r="24" spans="1:8" x14ac:dyDescent="0.3">
      <c r="A24" t="s">
        <v>86</v>
      </c>
      <c r="B24" s="24">
        <v>-47422.800000000047</v>
      </c>
      <c r="C24" s="24">
        <v>-1322369</v>
      </c>
      <c r="D24" s="24">
        <f t="shared" si="0"/>
        <v>-1369791.8</v>
      </c>
      <c r="H24" s="24">
        <f t="shared" si="1"/>
        <v>-1369791.8</v>
      </c>
    </row>
    <row r="25" spans="1:8" x14ac:dyDescent="0.3">
      <c r="A25" t="s">
        <v>71</v>
      </c>
      <c r="B25" s="12">
        <v>-39464.879999999997</v>
      </c>
      <c r="C25" s="12"/>
      <c r="D25" s="24">
        <f t="shared" si="0"/>
        <v>-39464.879999999997</v>
      </c>
      <c r="H25" s="24">
        <f t="shared" si="1"/>
        <v>-39464.879999999997</v>
      </c>
    </row>
    <row r="26" spans="1:8" x14ac:dyDescent="0.3">
      <c r="A26" t="s">
        <v>84</v>
      </c>
      <c r="B26" s="24">
        <v>455399.81999999995</v>
      </c>
      <c r="C26" s="24">
        <v>-1039580</v>
      </c>
      <c r="D26" s="24">
        <f t="shared" si="0"/>
        <v>-584180.18000000005</v>
      </c>
      <c r="H26" s="24">
        <f t="shared" si="1"/>
        <v>-584180.18000000005</v>
      </c>
    </row>
    <row r="27" spans="1:8" x14ac:dyDescent="0.3">
      <c r="A27" t="s">
        <v>68</v>
      </c>
      <c r="B27" s="12">
        <v>-97168.499999999942</v>
      </c>
      <c r="C27" s="12"/>
      <c r="D27" s="24">
        <f t="shared" si="0"/>
        <v>-97168.499999999942</v>
      </c>
      <c r="H27" s="24">
        <f t="shared" si="1"/>
        <v>-97168.499999999942</v>
      </c>
    </row>
    <row r="28" spans="1:8" x14ac:dyDescent="0.3">
      <c r="A28" t="s">
        <v>67</v>
      </c>
      <c r="B28" s="12">
        <v>-100000</v>
      </c>
      <c r="C28" s="12">
        <v>-1165</v>
      </c>
      <c r="D28" s="24">
        <f t="shared" si="0"/>
        <v>-101165</v>
      </c>
      <c r="G28" s="12">
        <f>C28</f>
        <v>-1165</v>
      </c>
      <c r="H28" s="24">
        <f t="shared" si="1"/>
        <v>-102330</v>
      </c>
    </row>
    <row r="29" spans="1:8" x14ac:dyDescent="0.3">
      <c r="A29" t="s">
        <v>93</v>
      </c>
      <c r="B29" s="12">
        <v>-623162.74</v>
      </c>
      <c r="C29" s="12">
        <v>-144547</v>
      </c>
      <c r="D29" s="24">
        <f t="shared" si="0"/>
        <v>-767709.74</v>
      </c>
      <c r="G29" s="12">
        <f>C29</f>
        <v>-144547</v>
      </c>
      <c r="H29" s="24">
        <f t="shared" si="1"/>
        <v>-912256.74</v>
      </c>
    </row>
    <row r="30" spans="1:8" x14ac:dyDescent="0.3">
      <c r="A30" t="s">
        <v>79</v>
      </c>
      <c r="B30" s="12">
        <v>364931.42000000004</v>
      </c>
      <c r="C30" s="12">
        <v>1185292</v>
      </c>
      <c r="D30" s="24">
        <f t="shared" si="0"/>
        <v>1550223.42</v>
      </c>
      <c r="H30" s="24">
        <f t="shared" si="1"/>
        <v>1550223.42</v>
      </c>
    </row>
    <row r="31" spans="1:8" x14ac:dyDescent="0.3">
      <c r="A31" t="s">
        <v>85</v>
      </c>
      <c r="B31" s="24">
        <v>-455399.81999999995</v>
      </c>
      <c r="C31" s="24">
        <v>1039580</v>
      </c>
      <c r="D31" s="24">
        <f t="shared" si="0"/>
        <v>584180.18000000005</v>
      </c>
      <c r="H31" s="24">
        <f t="shared" si="1"/>
        <v>584180.18000000005</v>
      </c>
    </row>
    <row r="32" spans="1:8" x14ac:dyDescent="0.3">
      <c r="D32" s="24"/>
    </row>
    <row r="33" spans="1:3" x14ac:dyDescent="0.3">
      <c r="A33" t="s">
        <v>64</v>
      </c>
      <c r="B33" t="s">
        <v>164</v>
      </c>
      <c r="C33" t="s">
        <v>165</v>
      </c>
    </row>
    <row r="34" spans="1:3" x14ac:dyDescent="0.3">
      <c r="A34" t="s">
        <v>83</v>
      </c>
      <c r="B34" t="s">
        <v>82</v>
      </c>
      <c r="C34" t="s">
        <v>82</v>
      </c>
    </row>
    <row r="35" spans="1:3" x14ac:dyDescent="0.3">
      <c r="A35" t="s">
        <v>66</v>
      </c>
      <c r="B35" s="12">
        <v>1515630.48</v>
      </c>
      <c r="C35" s="12">
        <v>1184786</v>
      </c>
    </row>
    <row r="36" spans="1:3" x14ac:dyDescent="0.3">
      <c r="A36" t="s">
        <v>70</v>
      </c>
      <c r="B36" s="12">
        <v>-431993.84000000008</v>
      </c>
      <c r="C36" s="12">
        <v>-888825</v>
      </c>
    </row>
    <row r="37" spans="1:3" x14ac:dyDescent="0.3">
      <c r="A37" t="s">
        <v>89</v>
      </c>
      <c r="B37" s="24">
        <v>1083636.6399999999</v>
      </c>
      <c r="C37" s="24">
        <v>295961</v>
      </c>
    </row>
    <row r="38" spans="1:3" x14ac:dyDescent="0.3">
      <c r="A38" t="s">
        <v>73</v>
      </c>
      <c r="B38" s="12">
        <v>-34177.270000000004</v>
      </c>
      <c r="C38" s="12">
        <v>-747</v>
      </c>
    </row>
    <row r="39" spans="1:3" x14ac:dyDescent="0.3">
      <c r="A39" t="s">
        <v>58</v>
      </c>
      <c r="B39" s="12">
        <v>-12814.34</v>
      </c>
      <c r="C39" s="12">
        <v>-28643</v>
      </c>
    </row>
    <row r="40" spans="1:3" x14ac:dyDescent="0.3">
      <c r="A40" t="s">
        <v>74</v>
      </c>
      <c r="B40" s="12">
        <v>-443211.79</v>
      </c>
      <c r="C40" s="12">
        <v>-33387</v>
      </c>
    </row>
    <row r="41" spans="1:3" x14ac:dyDescent="0.3">
      <c r="A41" t="s">
        <v>80</v>
      </c>
      <c r="B41" s="12">
        <v>-2562.06</v>
      </c>
      <c r="C41" s="12">
        <v>-10800</v>
      </c>
    </row>
    <row r="42" spans="1:3" x14ac:dyDescent="0.3">
      <c r="A42" t="s">
        <v>69</v>
      </c>
      <c r="B42" s="12">
        <v>126427.73</v>
      </c>
      <c r="C42" s="12">
        <v>0</v>
      </c>
    </row>
    <row r="43" spans="1:3" x14ac:dyDescent="0.3">
      <c r="A43" t="s">
        <v>90</v>
      </c>
      <c r="B43" s="24">
        <v>717298.90999999992</v>
      </c>
      <c r="C43" s="24">
        <v>222384</v>
      </c>
    </row>
    <row r="44" spans="1:3" x14ac:dyDescent="0.3">
      <c r="A44" t="s">
        <v>76</v>
      </c>
      <c r="B44" s="12">
        <v>-3199.87</v>
      </c>
      <c r="C44" s="12">
        <v>0</v>
      </c>
    </row>
    <row r="45" spans="1:3" x14ac:dyDescent="0.3">
      <c r="A45" t="s">
        <v>75</v>
      </c>
      <c r="B45" s="12">
        <v>-4757.4399999999996</v>
      </c>
      <c r="C45" s="12">
        <v>0</v>
      </c>
    </row>
    <row r="46" spans="1:3" x14ac:dyDescent="0.3">
      <c r="A46" t="s">
        <v>91</v>
      </c>
      <c r="B46" s="24">
        <v>709341.59999999986</v>
      </c>
      <c r="C46" s="24">
        <v>222384</v>
      </c>
    </row>
    <row r="47" spans="1:3" x14ac:dyDescent="0.3">
      <c r="A47" t="s">
        <v>72</v>
      </c>
      <c r="B47" s="12">
        <v>-548.97</v>
      </c>
      <c r="C47" s="12">
        <v>0</v>
      </c>
    </row>
    <row r="48" spans="1:3" x14ac:dyDescent="0.3">
      <c r="A48" t="s">
        <v>92</v>
      </c>
      <c r="B48" s="24">
        <v>708792.62999999989</v>
      </c>
      <c r="C48" s="24">
        <v>222384</v>
      </c>
    </row>
    <row r="49" spans="1:3" x14ac:dyDescent="0.3">
      <c r="A49" t="s">
        <v>77</v>
      </c>
      <c r="B49" s="12">
        <v>-85629.89</v>
      </c>
      <c r="C49" s="12">
        <v>-77837</v>
      </c>
    </row>
    <row r="50" spans="1:3" x14ac:dyDescent="0.3">
      <c r="A50" t="s">
        <v>93</v>
      </c>
      <c r="B50" s="24">
        <v>623162.73999999987</v>
      </c>
      <c r="C50" s="24">
        <v>144547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 - BMB</vt:lpstr>
      <vt:lpstr>Lead - MED</vt:lpstr>
      <vt:lpstr>BdV - BMB</vt:lpstr>
      <vt:lpstr>BdV - MED</vt:lpstr>
      <vt:lpstr>Consolidato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Galvani</dc:creator>
  <cp:lastModifiedBy>Ettore Minelli</cp:lastModifiedBy>
  <cp:lastPrinted>2022-09-05T09:30:06Z</cp:lastPrinted>
  <dcterms:created xsi:type="dcterms:W3CDTF">2020-11-10T18:48:04Z</dcterms:created>
  <dcterms:modified xsi:type="dcterms:W3CDTF">2022-09-07T10:58:45Z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