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asy" sheetId="3" r:id="rId1"/>
    <sheet name="Advanced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5" l="1"/>
  <c r="AE47" i="5"/>
  <c r="AE49" i="5"/>
  <c r="AE51" i="5"/>
  <c r="AE55" i="5"/>
  <c r="AE54" i="5"/>
  <c r="L55" i="5"/>
  <c r="L54" i="5"/>
  <c r="P50" i="5"/>
  <c r="L50" i="5"/>
  <c r="H50" i="5"/>
  <c r="E50" i="5"/>
  <c r="D61" i="5"/>
  <c r="R93" i="5"/>
  <c r="R85" i="5"/>
  <c r="N83" i="5"/>
  <c r="R78" i="5"/>
  <c r="N77" i="5"/>
  <c r="P66" i="5"/>
  <c r="Q65" i="5"/>
  <c r="Q64" i="5"/>
  <c r="P64" i="5"/>
  <c r="O64" i="5"/>
  <c r="O66" i="5" s="1"/>
  <c r="N63" i="5"/>
  <c r="T72" i="5" s="1"/>
  <c r="T73" i="5" s="1"/>
  <c r="N61" i="5"/>
  <c r="K61" i="5"/>
  <c r="L61" i="5" s="1"/>
  <c r="M61" i="5" s="1"/>
  <c r="E55" i="5"/>
  <c r="E54" i="5"/>
  <c r="E52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AB39" i="5"/>
  <c r="D16" i="5"/>
  <c r="D15" i="5"/>
  <c r="D14" i="5"/>
  <c r="D17" i="5" s="1"/>
  <c r="D12" i="5"/>
  <c r="D18" i="5" s="1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T81" i="3"/>
  <c r="D61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E50" i="3"/>
  <c r="E55" i="3"/>
  <c r="Q64" i="3"/>
  <c r="E54" i="3"/>
  <c r="E51" i="3"/>
  <c r="E52" i="3"/>
  <c r="R93" i="3"/>
  <c r="R85" i="3"/>
  <c r="N83" i="3"/>
  <c r="R78" i="3"/>
  <c r="N77" i="3"/>
  <c r="Q66" i="3"/>
  <c r="P65" i="3"/>
  <c r="P64" i="3"/>
  <c r="P66" i="3" s="1"/>
  <c r="O64" i="3"/>
  <c r="N63" i="3"/>
  <c r="K61" i="3"/>
  <c r="L61" i="3" s="1"/>
  <c r="M61" i="3" s="1"/>
  <c r="N61" i="3" s="1"/>
  <c r="D16" i="3"/>
  <c r="D14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E12" i="5" l="1"/>
  <c r="E13" i="5"/>
  <c r="P65" i="5"/>
  <c r="P67" i="5" s="1"/>
  <c r="D22" i="5"/>
  <c r="E51" i="5"/>
  <c r="E53" i="5" s="1"/>
  <c r="E48" i="5" s="1"/>
  <c r="Q66" i="5"/>
  <c r="Q67" i="5" s="1"/>
  <c r="O68" i="5"/>
  <c r="O63" i="5" s="1"/>
  <c r="O65" i="5"/>
  <c r="O67" i="5" s="1"/>
  <c r="O69" i="5"/>
  <c r="E53" i="3"/>
  <c r="E48" i="3" s="1"/>
  <c r="D22" i="3"/>
  <c r="O69" i="3"/>
  <c r="T72" i="3"/>
  <c r="T73" i="3" s="1"/>
  <c r="D12" i="3"/>
  <c r="D15" i="3"/>
  <c r="D17" i="3" s="1"/>
  <c r="O65" i="3"/>
  <c r="O66" i="3"/>
  <c r="O68" i="3"/>
  <c r="O63" i="3" s="1"/>
  <c r="Q65" i="3"/>
  <c r="Q67" i="3" s="1"/>
  <c r="P67" i="3"/>
  <c r="F50" i="5" l="1"/>
  <c r="E47" i="5"/>
  <c r="T81" i="5"/>
  <c r="O61" i="5"/>
  <c r="E14" i="5"/>
  <c r="P69" i="5"/>
  <c r="T88" i="5" s="1"/>
  <c r="T78" i="5"/>
  <c r="P68" i="5"/>
  <c r="P63" i="5"/>
  <c r="E18" i="5"/>
  <c r="F13" i="5"/>
  <c r="F50" i="3"/>
  <c r="O67" i="3"/>
  <c r="O61" i="3"/>
  <c r="D18" i="3"/>
  <c r="E12" i="3"/>
  <c r="E13" i="3"/>
  <c r="T78" i="3"/>
  <c r="P68" i="3"/>
  <c r="P63" i="3" s="1"/>
  <c r="P69" i="3"/>
  <c r="T88" i="3"/>
  <c r="E15" i="5" l="1"/>
  <c r="E16" i="5"/>
  <c r="E17" i="5"/>
  <c r="R79" i="5"/>
  <c r="T79" i="5" s="1"/>
  <c r="T80" i="5" s="1"/>
  <c r="P61" i="5"/>
  <c r="E49" i="5"/>
  <c r="F14" i="5"/>
  <c r="Q68" i="5"/>
  <c r="T85" i="5"/>
  <c r="Q63" i="5"/>
  <c r="T93" i="5" s="1"/>
  <c r="Q69" i="5"/>
  <c r="T96" i="5" s="1"/>
  <c r="F12" i="5"/>
  <c r="P61" i="3"/>
  <c r="Q61" i="3" s="1"/>
  <c r="F52" i="3"/>
  <c r="F51" i="3"/>
  <c r="F53" i="3" s="1"/>
  <c r="Q69" i="3"/>
  <c r="Q68" i="3"/>
  <c r="Q63" i="3" s="1"/>
  <c r="T93" i="3" s="1"/>
  <c r="T85" i="3"/>
  <c r="T96" i="3"/>
  <c r="E14" i="3"/>
  <c r="R79" i="3"/>
  <c r="T79" i="3" s="1"/>
  <c r="T80" i="3" s="1"/>
  <c r="E18" i="3"/>
  <c r="F13" i="3"/>
  <c r="F15" i="5" l="1"/>
  <c r="F16" i="5"/>
  <c r="F17" i="5"/>
  <c r="F51" i="5"/>
  <c r="F52" i="5"/>
  <c r="F18" i="5"/>
  <c r="G13" i="5"/>
  <c r="Q61" i="5"/>
  <c r="R94" i="5" s="1"/>
  <c r="T94" i="5" s="1"/>
  <c r="R86" i="5"/>
  <c r="T86" i="5" s="1"/>
  <c r="T87" i="5" s="1"/>
  <c r="F54" i="5"/>
  <c r="F55" i="5"/>
  <c r="F12" i="3"/>
  <c r="F14" i="3"/>
  <c r="R94" i="3"/>
  <c r="T94" i="3" s="1"/>
  <c r="R86" i="3"/>
  <c r="T86" i="3" s="1"/>
  <c r="T87" i="3" s="1"/>
  <c r="E15" i="3"/>
  <c r="E17" i="3" s="1"/>
  <c r="E16" i="3"/>
  <c r="F53" i="5" l="1"/>
  <c r="F48" i="5" s="1"/>
  <c r="G14" i="5"/>
  <c r="T95" i="5"/>
  <c r="G12" i="5"/>
  <c r="F18" i="3"/>
  <c r="G13" i="3"/>
  <c r="F15" i="3"/>
  <c r="F16" i="3"/>
  <c r="F17" i="3"/>
  <c r="T95" i="3"/>
  <c r="G50" i="5" l="1"/>
  <c r="G16" i="5"/>
  <c r="G15" i="5"/>
  <c r="G17" i="5" s="1"/>
  <c r="F49" i="5"/>
  <c r="G18" i="5"/>
  <c r="H12" i="5"/>
  <c r="H13" i="5"/>
  <c r="F47" i="5"/>
  <c r="G14" i="3"/>
  <c r="G12" i="3"/>
  <c r="I13" i="5" l="1"/>
  <c r="H18" i="5"/>
  <c r="I12" i="5"/>
  <c r="G55" i="5"/>
  <c r="G54" i="5"/>
  <c r="I14" i="5"/>
  <c r="H14" i="5"/>
  <c r="G51" i="5"/>
  <c r="G53" i="5" s="1"/>
  <c r="G48" i="5" s="1"/>
  <c r="G52" i="5"/>
  <c r="G16" i="3"/>
  <c r="G15" i="3"/>
  <c r="G17" i="3" s="1"/>
  <c r="G18" i="3"/>
  <c r="H12" i="3"/>
  <c r="H13" i="3"/>
  <c r="G49" i="5" l="1"/>
  <c r="I15" i="5"/>
  <c r="I17" i="5"/>
  <c r="I16" i="5"/>
  <c r="G47" i="5"/>
  <c r="I18" i="5"/>
  <c r="J13" i="5"/>
  <c r="H15" i="5"/>
  <c r="H17" i="5" s="1"/>
  <c r="H16" i="5"/>
  <c r="H18" i="3"/>
  <c r="I12" i="3"/>
  <c r="I13" i="3"/>
  <c r="H14" i="3"/>
  <c r="I14" i="3"/>
  <c r="J14" i="5" l="1"/>
  <c r="H52" i="5"/>
  <c r="H51" i="5"/>
  <c r="J12" i="5"/>
  <c r="H54" i="5"/>
  <c r="H55" i="5"/>
  <c r="I15" i="3"/>
  <c r="I17" i="3" s="1"/>
  <c r="I16" i="3"/>
  <c r="I18" i="3"/>
  <c r="J12" i="3"/>
  <c r="J13" i="3"/>
  <c r="H16" i="3"/>
  <c r="H15" i="3"/>
  <c r="H17" i="3" s="1"/>
  <c r="H53" i="5" l="1"/>
  <c r="H48" i="5"/>
  <c r="J18" i="5"/>
  <c r="K12" i="5"/>
  <c r="K13" i="5"/>
  <c r="J15" i="5"/>
  <c r="J16" i="5"/>
  <c r="J17" i="5"/>
  <c r="K13" i="3"/>
  <c r="J18" i="3"/>
  <c r="K12" i="3"/>
  <c r="K14" i="3"/>
  <c r="J14" i="3"/>
  <c r="I50" i="5" l="1"/>
  <c r="H47" i="5"/>
  <c r="K18" i="5"/>
  <c r="L12" i="5"/>
  <c r="L13" i="5"/>
  <c r="L14" i="5" s="1"/>
  <c r="K14" i="5"/>
  <c r="H49" i="5"/>
  <c r="J15" i="3"/>
  <c r="J16" i="3"/>
  <c r="J17" i="3" s="1"/>
  <c r="K16" i="3"/>
  <c r="K15" i="3"/>
  <c r="K17" i="3" s="1"/>
  <c r="K18" i="3"/>
  <c r="L13" i="3"/>
  <c r="L14" i="3" s="1"/>
  <c r="L12" i="3"/>
  <c r="L18" i="5" l="1"/>
  <c r="M13" i="5"/>
  <c r="M14" i="5" s="1"/>
  <c r="M12" i="5"/>
  <c r="K16" i="5"/>
  <c r="K15" i="5"/>
  <c r="K17" i="5" s="1"/>
  <c r="I51" i="5"/>
  <c r="I52" i="5"/>
  <c r="I54" i="5"/>
  <c r="I55" i="5"/>
  <c r="L16" i="5"/>
  <c r="L15" i="5"/>
  <c r="L17" i="5" s="1"/>
  <c r="L18" i="3"/>
  <c r="M13" i="3"/>
  <c r="M14" i="3" s="1"/>
  <c r="L17" i="3"/>
  <c r="L15" i="3"/>
  <c r="L16" i="3"/>
  <c r="I53" i="5" l="1"/>
  <c r="I48" i="5" s="1"/>
  <c r="M18" i="5"/>
  <c r="N12" i="5"/>
  <c r="N13" i="5"/>
  <c r="N14" i="5" s="1"/>
  <c r="M15" i="5"/>
  <c r="M16" i="5"/>
  <c r="M17" i="5" s="1"/>
  <c r="M15" i="3"/>
  <c r="M16" i="3"/>
  <c r="M17" i="3" s="1"/>
  <c r="M12" i="3"/>
  <c r="J50" i="5" l="1"/>
  <c r="N15" i="5"/>
  <c r="N16" i="5"/>
  <c r="N17" i="5"/>
  <c r="N18" i="5"/>
  <c r="O13" i="5"/>
  <c r="O14" i="5" s="1"/>
  <c r="O12" i="5"/>
  <c r="I49" i="5"/>
  <c r="I47" i="5"/>
  <c r="M18" i="3"/>
  <c r="N12" i="3"/>
  <c r="N13" i="3"/>
  <c r="N14" i="3" s="1"/>
  <c r="J54" i="5" l="1"/>
  <c r="J55" i="5"/>
  <c r="J51" i="5"/>
  <c r="J52" i="5"/>
  <c r="O18" i="5"/>
  <c r="P12" i="5"/>
  <c r="P13" i="5"/>
  <c r="P14" i="5" s="1"/>
  <c r="O16" i="5"/>
  <c r="O15" i="5"/>
  <c r="O17" i="5" s="1"/>
  <c r="N18" i="3"/>
  <c r="O13" i="3"/>
  <c r="O14" i="3" s="1"/>
  <c r="O12" i="3"/>
  <c r="N15" i="3"/>
  <c r="N17" i="3" s="1"/>
  <c r="N16" i="3"/>
  <c r="J53" i="5" l="1"/>
  <c r="J48" i="5" s="1"/>
  <c r="P16" i="5"/>
  <c r="P15" i="5"/>
  <c r="P17" i="5" s="1"/>
  <c r="P18" i="5"/>
  <c r="Q13" i="5"/>
  <c r="Q14" i="5" s="1"/>
  <c r="Q12" i="5"/>
  <c r="O18" i="3"/>
  <c r="P13" i="3"/>
  <c r="P14" i="3" s="1"/>
  <c r="P12" i="3"/>
  <c r="O16" i="3"/>
  <c r="O17" i="3" s="1"/>
  <c r="O15" i="3"/>
  <c r="K50" i="5" l="1"/>
  <c r="Q15" i="5"/>
  <c r="Q16" i="5"/>
  <c r="Q17" i="5" s="1"/>
  <c r="Q18" i="5"/>
  <c r="R13" i="5"/>
  <c r="R14" i="5" s="1"/>
  <c r="R12" i="5"/>
  <c r="J49" i="5"/>
  <c r="J47" i="5"/>
  <c r="P16" i="3"/>
  <c r="P15" i="3"/>
  <c r="P17" i="3" s="1"/>
  <c r="P18" i="3"/>
  <c r="Q12" i="3"/>
  <c r="Q13" i="3"/>
  <c r="Q14" i="3" s="1"/>
  <c r="K55" i="5" l="1"/>
  <c r="K54" i="5"/>
  <c r="S12" i="5"/>
  <c r="R18" i="5"/>
  <c r="S13" i="5"/>
  <c r="S14" i="5" s="1"/>
  <c r="K51" i="5"/>
  <c r="K52" i="5"/>
  <c r="R15" i="5"/>
  <c r="R16" i="5"/>
  <c r="R17" i="5" s="1"/>
  <c r="Q15" i="3"/>
  <c r="Q17" i="3" s="1"/>
  <c r="Q16" i="3"/>
  <c r="Q18" i="3"/>
  <c r="R13" i="3"/>
  <c r="R14" i="3" s="1"/>
  <c r="R12" i="3"/>
  <c r="K53" i="5" l="1"/>
  <c r="K48" i="5" s="1"/>
  <c r="S18" i="5"/>
  <c r="T12" i="5"/>
  <c r="T13" i="5"/>
  <c r="T14" i="5" s="1"/>
  <c r="S16" i="5"/>
  <c r="S15" i="5"/>
  <c r="S17" i="5" s="1"/>
  <c r="S13" i="3"/>
  <c r="S14" i="3" s="1"/>
  <c r="R18" i="3"/>
  <c r="S12" i="3"/>
  <c r="R15" i="3"/>
  <c r="R16" i="3"/>
  <c r="R17" i="3" s="1"/>
  <c r="T18" i="5" l="1"/>
  <c r="U13" i="5"/>
  <c r="U14" i="5" s="1"/>
  <c r="U12" i="5"/>
  <c r="T17" i="5"/>
  <c r="T16" i="5"/>
  <c r="T15" i="5"/>
  <c r="K49" i="5"/>
  <c r="K47" i="5"/>
  <c r="S16" i="3"/>
  <c r="S15" i="3"/>
  <c r="S17" i="3" s="1"/>
  <c r="S18" i="3"/>
  <c r="T12" i="3"/>
  <c r="T13" i="3"/>
  <c r="T14" i="3" s="1"/>
  <c r="U18" i="5" l="1"/>
  <c r="V12" i="5"/>
  <c r="V13" i="5"/>
  <c r="V14" i="5" s="1"/>
  <c r="L52" i="5"/>
  <c r="L51" i="5"/>
  <c r="U15" i="5"/>
  <c r="U17" i="5" s="1"/>
  <c r="U16" i="5"/>
  <c r="T16" i="3"/>
  <c r="T15" i="3"/>
  <c r="T17" i="3" s="1"/>
  <c r="T18" i="3"/>
  <c r="U12" i="3"/>
  <c r="U13" i="3"/>
  <c r="U14" i="3" s="1"/>
  <c r="L53" i="5" l="1"/>
  <c r="L48" i="5" s="1"/>
  <c r="V15" i="5"/>
  <c r="V16" i="5"/>
  <c r="V17" i="5" s="1"/>
  <c r="V18" i="5"/>
  <c r="W12" i="5"/>
  <c r="W13" i="5"/>
  <c r="W14" i="5" s="1"/>
  <c r="U18" i="3"/>
  <c r="V12" i="3"/>
  <c r="V13" i="3"/>
  <c r="V14" i="3" s="1"/>
  <c r="U15" i="3"/>
  <c r="U16" i="3"/>
  <c r="U17" i="3" s="1"/>
  <c r="M50" i="5" l="1"/>
  <c r="L47" i="5"/>
  <c r="W18" i="5"/>
  <c r="X12" i="5"/>
  <c r="X13" i="5"/>
  <c r="X14" i="5" s="1"/>
  <c r="W16" i="5"/>
  <c r="W15" i="5"/>
  <c r="W17" i="5" s="1"/>
  <c r="L49" i="5"/>
  <c r="V15" i="3"/>
  <c r="V16" i="3"/>
  <c r="V17" i="3" s="1"/>
  <c r="V18" i="3"/>
  <c r="W13" i="3"/>
  <c r="W14" i="3" s="1"/>
  <c r="Y13" i="5" l="1"/>
  <c r="Y14" i="5" s="1"/>
  <c r="X18" i="5"/>
  <c r="Y12" i="5"/>
  <c r="M51" i="5"/>
  <c r="M53" i="5" s="1"/>
  <c r="M52" i="5"/>
  <c r="M54" i="5"/>
  <c r="M55" i="5"/>
  <c r="X15" i="5"/>
  <c r="X17" i="5" s="1"/>
  <c r="X16" i="5"/>
  <c r="W16" i="3"/>
  <c r="W15" i="3"/>
  <c r="W17" i="3" s="1"/>
  <c r="W12" i="3"/>
  <c r="M48" i="5" l="1"/>
  <c r="N50" i="5" s="1"/>
  <c r="Y18" i="5"/>
  <c r="Z13" i="5"/>
  <c r="Z14" i="5" s="1"/>
  <c r="Y15" i="5"/>
  <c r="Y17" i="5" s="1"/>
  <c r="Y16" i="5"/>
  <c r="W18" i="3"/>
  <c r="X12" i="3"/>
  <c r="X13" i="3"/>
  <c r="X14" i="3" s="1"/>
  <c r="Z15" i="5" l="1"/>
  <c r="Z17" i="5" s="1"/>
  <c r="Z16" i="5"/>
  <c r="Z12" i="5"/>
  <c r="M49" i="5"/>
  <c r="M47" i="5"/>
  <c r="X18" i="3"/>
  <c r="Y13" i="3"/>
  <c r="Y14" i="3" s="1"/>
  <c r="X15" i="3"/>
  <c r="X17" i="3" s="1"/>
  <c r="X16" i="3"/>
  <c r="N51" i="5" l="1"/>
  <c r="N52" i="5"/>
  <c r="Z18" i="5"/>
  <c r="AA12" i="5"/>
  <c r="AA13" i="5"/>
  <c r="AA14" i="5" s="1"/>
  <c r="N54" i="5"/>
  <c r="N55" i="5"/>
  <c r="Y15" i="3"/>
  <c r="Y17" i="3" s="1"/>
  <c r="Y16" i="3"/>
  <c r="Y12" i="3"/>
  <c r="N53" i="5" l="1"/>
  <c r="N48" i="5" s="1"/>
  <c r="O50" i="5" s="1"/>
  <c r="AA16" i="5"/>
  <c r="AA17" i="5"/>
  <c r="AA15" i="5"/>
  <c r="AA18" i="5"/>
  <c r="AB12" i="5"/>
  <c r="AB13" i="5"/>
  <c r="AB14" i="5" s="1"/>
  <c r="Y18" i="3"/>
  <c r="Z12" i="3"/>
  <c r="Z13" i="3"/>
  <c r="Z14" i="3" s="1"/>
  <c r="AB18" i="5" l="1"/>
  <c r="AC13" i="5"/>
  <c r="AC14" i="5" s="1"/>
  <c r="AC12" i="5"/>
  <c r="N49" i="5"/>
  <c r="AB16" i="5"/>
  <c r="AB15" i="5"/>
  <c r="AB17" i="5" s="1"/>
  <c r="N47" i="5"/>
  <c r="Z15" i="3"/>
  <c r="Z17" i="3" s="1"/>
  <c r="Z16" i="3"/>
  <c r="Z18" i="3"/>
  <c r="AA13" i="3"/>
  <c r="AA14" i="3" s="1"/>
  <c r="O55" i="5" l="1"/>
  <c r="O54" i="5"/>
  <c r="AC15" i="5"/>
  <c r="AC17" i="5"/>
  <c r="AC16" i="5"/>
  <c r="AC18" i="5"/>
  <c r="AD12" i="5"/>
  <c r="AD13" i="5"/>
  <c r="O51" i="5"/>
  <c r="O52" i="5"/>
  <c r="AA16" i="3"/>
  <c r="AA15" i="3"/>
  <c r="AA17" i="3" s="1"/>
  <c r="AA12" i="3"/>
  <c r="O53" i="5" l="1"/>
  <c r="O48" i="5" s="1"/>
  <c r="D27" i="5"/>
  <c r="D2" i="5"/>
  <c r="AD14" i="5"/>
  <c r="D26" i="5"/>
  <c r="AD18" i="5"/>
  <c r="AA18" i="3"/>
  <c r="AB12" i="3"/>
  <c r="AB13" i="3"/>
  <c r="AB14" i="3" s="1"/>
  <c r="O47" i="5" l="1"/>
  <c r="D28" i="5"/>
  <c r="AD17" i="5"/>
  <c r="D23" i="5" s="1"/>
  <c r="D24" i="5" s="1"/>
  <c r="AD15" i="5"/>
  <c r="AD16" i="5"/>
  <c r="O49" i="5"/>
  <c r="AB18" i="3"/>
  <c r="AC12" i="3"/>
  <c r="AC13" i="3"/>
  <c r="AC14" i="3" s="1"/>
  <c r="AB17" i="3"/>
  <c r="AB16" i="3"/>
  <c r="AB15" i="3"/>
  <c r="P52" i="5" l="1"/>
  <c r="P51" i="5"/>
  <c r="P53" i="5" s="1"/>
  <c r="P54" i="5"/>
  <c r="P55" i="5"/>
  <c r="AC15" i="3"/>
  <c r="AC16" i="3"/>
  <c r="AC17" i="3" s="1"/>
  <c r="AC18" i="3"/>
  <c r="AD13" i="3"/>
  <c r="AD12" i="3"/>
  <c r="P48" i="5" l="1"/>
  <c r="Q50" i="5" s="1"/>
  <c r="D26" i="3"/>
  <c r="AD18" i="3"/>
  <c r="D27" i="3"/>
  <c r="AD14" i="3"/>
  <c r="D2" i="3"/>
  <c r="P49" i="5" l="1"/>
  <c r="P47" i="5"/>
  <c r="AD15" i="3"/>
  <c r="AD17" i="3" s="1"/>
  <c r="D23" i="3" s="1"/>
  <c r="D24" i="3" s="1"/>
  <c r="AD16" i="3"/>
  <c r="D28" i="3"/>
  <c r="Q51" i="5" l="1"/>
  <c r="Q52" i="5"/>
  <c r="Q54" i="5"/>
  <c r="Q55" i="5"/>
  <c r="Q53" i="5" l="1"/>
  <c r="Q48" i="5" s="1"/>
  <c r="R50" i="5" s="1"/>
  <c r="Q47" i="5" l="1"/>
  <c r="Q49" i="5"/>
  <c r="R51" i="5" l="1"/>
  <c r="R52" i="5"/>
  <c r="R54" i="5"/>
  <c r="R55" i="5"/>
  <c r="R53" i="5" l="1"/>
  <c r="R48" i="5" s="1"/>
  <c r="S50" i="5" s="1"/>
  <c r="R49" i="5" l="1"/>
  <c r="R47" i="5"/>
  <c r="S51" i="5" l="1"/>
  <c r="S52" i="5"/>
  <c r="S55" i="5"/>
  <c r="S54" i="5"/>
  <c r="S53" i="5" l="1"/>
  <c r="S48" i="5" s="1"/>
  <c r="T50" i="5" s="1"/>
  <c r="S49" i="5" l="1"/>
  <c r="S47" i="5"/>
  <c r="E49" i="3"/>
  <c r="E47" i="3"/>
  <c r="T52" i="5" l="1"/>
  <c r="T51" i="5"/>
  <c r="T54" i="5"/>
  <c r="T55" i="5"/>
  <c r="F54" i="3"/>
  <c r="F55" i="3"/>
  <c r="T53" i="5" l="1"/>
  <c r="T48" i="5" s="1"/>
  <c r="U50" i="5" s="1"/>
  <c r="F48" i="3"/>
  <c r="F49" i="3" s="1"/>
  <c r="G50" i="3"/>
  <c r="F47" i="3"/>
  <c r="T49" i="5" l="1"/>
  <c r="T47" i="5"/>
  <c r="G52" i="3"/>
  <c r="G51" i="3"/>
  <c r="G53" i="3" s="1"/>
  <c r="G54" i="3"/>
  <c r="G55" i="3"/>
  <c r="U51" i="5" l="1"/>
  <c r="U52" i="5"/>
  <c r="U54" i="5"/>
  <c r="U55" i="5"/>
  <c r="G48" i="3"/>
  <c r="G49" i="3" s="1"/>
  <c r="U53" i="5" l="1"/>
  <c r="U48" i="5" s="1"/>
  <c r="V50" i="5" s="1"/>
  <c r="H50" i="3"/>
  <c r="H51" i="3" s="1"/>
  <c r="G47" i="3"/>
  <c r="H55" i="3"/>
  <c r="H54" i="3"/>
  <c r="U49" i="5" l="1"/>
  <c r="U47" i="5"/>
  <c r="H52" i="3"/>
  <c r="H53" i="3" s="1"/>
  <c r="H48" i="3" s="1"/>
  <c r="H47" i="3" s="1"/>
  <c r="V51" i="5" l="1"/>
  <c r="V52" i="5"/>
  <c r="V54" i="5"/>
  <c r="V55" i="5"/>
  <c r="H49" i="3"/>
  <c r="I50" i="3"/>
  <c r="V53" i="5" l="1"/>
  <c r="V48" i="5" s="1"/>
  <c r="W50" i="5" s="1"/>
  <c r="I54" i="3"/>
  <c r="I55" i="3"/>
  <c r="I51" i="3"/>
  <c r="I52" i="3"/>
  <c r="V49" i="5" l="1"/>
  <c r="W55" i="5" s="1"/>
  <c r="V47" i="5"/>
  <c r="W51" i="5"/>
  <c r="I53" i="3"/>
  <c r="I48" i="3" s="1"/>
  <c r="W54" i="5" l="1"/>
  <c r="W52" i="5"/>
  <c r="W53" i="5" s="1"/>
  <c r="I47" i="3"/>
  <c r="I49" i="3"/>
  <c r="J54" i="3" s="1"/>
  <c r="J50" i="3"/>
  <c r="W48" i="5" l="1"/>
  <c r="X50" i="5" s="1"/>
  <c r="J52" i="3"/>
  <c r="J51" i="3"/>
  <c r="J55" i="3"/>
  <c r="W49" i="5" l="1"/>
  <c r="X55" i="5" s="1"/>
  <c r="W47" i="5"/>
  <c r="X52" i="5"/>
  <c r="X51" i="5"/>
  <c r="X54" i="5"/>
  <c r="J53" i="3"/>
  <c r="J48" i="3"/>
  <c r="J49" i="3" s="1"/>
  <c r="K54" i="3" s="1"/>
  <c r="X53" i="5" l="1"/>
  <c r="X48" i="5" s="1"/>
  <c r="Y50" i="5" s="1"/>
  <c r="J47" i="3"/>
  <c r="K50" i="3"/>
  <c r="K51" i="3" s="1"/>
  <c r="K55" i="3"/>
  <c r="X49" i="5" l="1"/>
  <c r="X47" i="5"/>
  <c r="K52" i="3"/>
  <c r="K53" i="3" s="1"/>
  <c r="K48" i="3" s="1"/>
  <c r="L50" i="3" s="1"/>
  <c r="Y51" i="5" l="1"/>
  <c r="Y52" i="5"/>
  <c r="Y54" i="5"/>
  <c r="Y55" i="5"/>
  <c r="K49" i="3"/>
  <c r="L54" i="3" s="1"/>
  <c r="K47" i="3"/>
  <c r="L55" i="3"/>
  <c r="L51" i="3"/>
  <c r="L53" i="3" s="1"/>
  <c r="L52" i="3"/>
  <c r="Y53" i="5" l="1"/>
  <c r="Y48" i="5" s="1"/>
  <c r="Z50" i="5" s="1"/>
  <c r="L48" i="3"/>
  <c r="L47" i="3" s="1"/>
  <c r="Y47" i="5" l="1"/>
  <c r="Y49" i="5"/>
  <c r="L49" i="3"/>
  <c r="M54" i="3" s="1"/>
  <c r="M50" i="3"/>
  <c r="Z51" i="5" l="1"/>
  <c r="Z52" i="5"/>
  <c r="Z54" i="5"/>
  <c r="Z55" i="5"/>
  <c r="M51" i="3"/>
  <c r="M52" i="3"/>
  <c r="M55" i="3"/>
  <c r="Z53" i="5" l="1"/>
  <c r="Z48" i="5" s="1"/>
  <c r="AA50" i="5" s="1"/>
  <c r="M53" i="3"/>
  <c r="M48" i="3" s="1"/>
  <c r="Z49" i="5" l="1"/>
  <c r="Z47" i="5"/>
  <c r="M47" i="3"/>
  <c r="M49" i="3"/>
  <c r="N54" i="3" s="1"/>
  <c r="N50" i="3"/>
  <c r="AA51" i="5" l="1"/>
  <c r="AA52" i="5"/>
  <c r="AA55" i="5"/>
  <c r="AA54" i="5"/>
  <c r="N52" i="3"/>
  <c r="N51" i="3"/>
  <c r="N53" i="3" s="1"/>
  <c r="N55" i="3"/>
  <c r="AA53" i="5" l="1"/>
  <c r="AA48" i="5" s="1"/>
  <c r="AB50" i="5" s="1"/>
  <c r="N48" i="3"/>
  <c r="N49" i="3" s="1"/>
  <c r="O54" i="3" s="1"/>
  <c r="N47" i="3"/>
  <c r="AA49" i="5" l="1"/>
  <c r="AA47" i="5"/>
  <c r="O50" i="3"/>
  <c r="O52" i="3" s="1"/>
  <c r="O55" i="3"/>
  <c r="AB52" i="5" l="1"/>
  <c r="AB51" i="5"/>
  <c r="AB54" i="5"/>
  <c r="AB55" i="5"/>
  <c r="O51" i="3"/>
  <c r="O53" i="3" s="1"/>
  <c r="O48" i="3" s="1"/>
  <c r="AB53" i="5" l="1"/>
  <c r="AB48" i="5" s="1"/>
  <c r="AC50" i="5" s="1"/>
  <c r="O47" i="3"/>
  <c r="O49" i="3"/>
  <c r="P50" i="3"/>
  <c r="P51" i="3" s="1"/>
  <c r="AB42" i="5" l="1"/>
  <c r="AB41" i="5" s="1"/>
  <c r="AB35" i="5"/>
  <c r="AB49" i="5"/>
  <c r="AB47" i="5"/>
  <c r="P55" i="3"/>
  <c r="P54" i="3"/>
  <c r="P52" i="3"/>
  <c r="AC51" i="5" l="1"/>
  <c r="AC52" i="5"/>
  <c r="AC54" i="5"/>
  <c r="AC55" i="5"/>
  <c r="P53" i="3"/>
  <c r="P48" i="3" s="1"/>
  <c r="AC53" i="5" l="1"/>
  <c r="AC48" i="5" s="1"/>
  <c r="AD50" i="5" s="1"/>
  <c r="P47" i="3"/>
  <c r="P49" i="3"/>
  <c r="Q54" i="3" s="1"/>
  <c r="Q50" i="3"/>
  <c r="AC49" i="5" l="1"/>
  <c r="AC47" i="5"/>
  <c r="Q51" i="3"/>
  <c r="Q52" i="3"/>
  <c r="Q55" i="3"/>
  <c r="AD51" i="5" l="1"/>
  <c r="AD52" i="5"/>
  <c r="AD54" i="5"/>
  <c r="AD55" i="5"/>
  <c r="Q53" i="3"/>
  <c r="Q48" i="3"/>
  <c r="Q47" i="3" s="1"/>
  <c r="Q49" i="3"/>
  <c r="R54" i="3" s="1"/>
  <c r="R50" i="3"/>
  <c r="AD53" i="5" l="1"/>
  <c r="AD48" i="5" s="1"/>
  <c r="AE50" i="5" s="1"/>
  <c r="R52" i="3"/>
  <c r="R51" i="3"/>
  <c r="R55" i="3"/>
  <c r="AD49" i="5" l="1"/>
  <c r="D68" i="5" s="1"/>
  <c r="AD47" i="5"/>
  <c r="D66" i="5" s="1"/>
  <c r="R53" i="3"/>
  <c r="R48" i="3" s="1"/>
  <c r="AE52" i="5" l="1"/>
  <c r="D63" i="5"/>
  <c r="R49" i="3"/>
  <c r="S54" i="3" s="1"/>
  <c r="S50" i="3"/>
  <c r="S52" i="3" s="1"/>
  <c r="R47" i="3"/>
  <c r="AE53" i="5" l="1"/>
  <c r="S55" i="3"/>
  <c r="S51" i="3"/>
  <c r="S53" i="3" s="1"/>
  <c r="AE48" i="5" l="1"/>
  <c r="E66" i="5" s="1"/>
  <c r="D62" i="5"/>
  <c r="D64" i="5" s="1"/>
  <c r="S48" i="3"/>
  <c r="S47" i="3"/>
  <c r="D34" i="5" l="1"/>
  <c r="D69" i="5" s="1"/>
  <c r="E68" i="5"/>
  <c r="S49" i="3"/>
  <c r="T50" i="3"/>
  <c r="E67" i="5" l="1"/>
  <c r="E69" i="5" s="1"/>
  <c r="E70" i="5" s="1"/>
  <c r="T51" i="3"/>
  <c r="T52" i="3"/>
  <c r="T54" i="3"/>
  <c r="T55" i="3"/>
  <c r="T53" i="3" l="1"/>
  <c r="T48" i="3"/>
  <c r="T47" i="3"/>
  <c r="U50" i="3" l="1"/>
  <c r="T49" i="3"/>
  <c r="U54" i="3" l="1"/>
  <c r="U55" i="3"/>
  <c r="U52" i="3"/>
  <c r="U51" i="3"/>
  <c r="U53" i="3" s="1"/>
  <c r="U48" i="3" l="1"/>
  <c r="U47" i="3"/>
  <c r="U49" i="3" l="1"/>
  <c r="V50" i="3"/>
  <c r="V51" i="3" l="1"/>
  <c r="V52" i="3"/>
  <c r="V53" i="3" s="1"/>
  <c r="V54" i="3"/>
  <c r="V55" i="3"/>
  <c r="V48" i="3" l="1"/>
  <c r="V47" i="3"/>
  <c r="V49" i="3" l="1"/>
  <c r="W50" i="3"/>
  <c r="W54" i="3" l="1"/>
  <c r="W55" i="3"/>
  <c r="W52" i="3"/>
  <c r="W51" i="3"/>
  <c r="W53" i="3" s="1"/>
  <c r="W48" i="3" l="1"/>
  <c r="W49" i="3" l="1"/>
  <c r="X50" i="3"/>
  <c r="W47" i="3"/>
  <c r="X51" i="3" l="1"/>
  <c r="X52" i="3"/>
  <c r="X53" i="3" s="1"/>
  <c r="X54" i="3"/>
  <c r="X55" i="3"/>
  <c r="X48" i="3" l="1"/>
  <c r="X49" i="3" l="1"/>
  <c r="Y50" i="3"/>
  <c r="X47" i="3"/>
  <c r="Y52" i="3" l="1"/>
  <c r="Y51" i="3"/>
  <c r="Y53" i="3" s="1"/>
  <c r="Y54" i="3"/>
  <c r="Y55" i="3"/>
  <c r="Y48" i="3" l="1"/>
  <c r="Y49" i="3"/>
  <c r="Z50" i="3"/>
  <c r="Y47" i="3"/>
  <c r="Z52" i="3" l="1"/>
  <c r="Z51" i="3"/>
  <c r="Z54" i="3"/>
  <c r="Z55" i="3"/>
  <c r="Z53" i="3" l="1"/>
  <c r="Z48" i="3" l="1"/>
  <c r="Z47" i="3"/>
  <c r="Z49" i="3" l="1"/>
  <c r="AA50" i="3"/>
  <c r="AA52" i="3" l="1"/>
  <c r="AA51" i="3"/>
  <c r="AA53" i="3" s="1"/>
  <c r="AA54" i="3"/>
  <c r="AA55" i="3"/>
  <c r="AA48" i="3" l="1"/>
  <c r="AA47" i="3" l="1"/>
  <c r="AA49" i="3"/>
  <c r="AB50" i="3"/>
  <c r="AB51" i="3" l="1"/>
  <c r="AB52" i="3"/>
  <c r="AB53" i="3" s="1"/>
  <c r="AB54" i="3"/>
  <c r="AB55" i="3"/>
  <c r="AB48" i="3" l="1"/>
  <c r="AB47" i="3" s="1"/>
  <c r="AC50" i="3"/>
  <c r="AB49" i="3" l="1"/>
  <c r="AC52" i="3"/>
  <c r="AC51" i="3"/>
  <c r="AC53" i="3"/>
  <c r="AC54" i="3"/>
  <c r="AC55" i="3"/>
  <c r="AC48" i="3" l="1"/>
  <c r="AC47" i="3"/>
  <c r="AC49" i="3" l="1"/>
  <c r="AD50" i="3"/>
  <c r="AD52" i="3" l="1"/>
  <c r="AD51" i="3"/>
  <c r="AD53" i="3"/>
  <c r="AD54" i="3"/>
  <c r="AD55" i="3"/>
  <c r="AD48" i="3" l="1"/>
  <c r="AD47" i="3"/>
  <c r="D66" i="3" s="1"/>
  <c r="AD49" i="3" l="1"/>
  <c r="D68" i="3" s="1"/>
  <c r="AE50" i="3"/>
  <c r="AE54" i="3" l="1"/>
  <c r="AE55" i="3"/>
  <c r="D63" i="3" s="1"/>
  <c r="AE51" i="3"/>
  <c r="AE52" i="3"/>
  <c r="AE53" i="3" l="1"/>
  <c r="D62" i="3" s="1"/>
  <c r="D64" i="3" s="1"/>
  <c r="AE48" i="3" l="1"/>
  <c r="D34" i="3" s="1"/>
  <c r="E67" i="3" l="1"/>
  <c r="D67" i="3"/>
  <c r="D69" i="3" s="1"/>
  <c r="AE47" i="3"/>
  <c r="E66" i="3" s="1"/>
  <c r="AE49" i="3"/>
  <c r="E68" i="3" s="1"/>
  <c r="E69" i="3" l="1"/>
  <c r="E70" i="3"/>
</calcChain>
</file>

<file path=xl/sharedStrings.xml><?xml version="1.0" encoding="utf-8"?>
<sst xmlns="http://schemas.openxmlformats.org/spreadsheetml/2006/main" count="190" uniqueCount="40">
  <si>
    <t>Assumption</t>
  </si>
  <si>
    <t>Salary</t>
  </si>
  <si>
    <t>Months in Year</t>
  </si>
  <si>
    <t>Savings</t>
  </si>
  <si>
    <t>Investment</t>
  </si>
  <si>
    <t>RE investment</t>
  </si>
  <si>
    <t>Number of RE</t>
  </si>
  <si>
    <t>Rent</t>
  </si>
  <si>
    <t>Maintenance</t>
  </si>
  <si>
    <t>% Maintenance/Rent</t>
  </si>
  <si>
    <t>Tax</t>
  </si>
  <si>
    <t>% Tax/Rent</t>
  </si>
  <si>
    <t>Rent Brutto</t>
  </si>
  <si>
    <t>Rent Net</t>
  </si>
  <si>
    <t>% Savings/Salary</t>
  </si>
  <si>
    <t>Asset</t>
  </si>
  <si>
    <t>SUMMARY</t>
  </si>
  <si>
    <t>Total Salary</t>
  </si>
  <si>
    <t>Total Savings</t>
  </si>
  <si>
    <t>Total Net Rent</t>
  </si>
  <si>
    <t>Total Investments</t>
  </si>
  <si>
    <t>Income</t>
  </si>
  <si>
    <t>Stock</t>
  </si>
  <si>
    <t>Assets</t>
  </si>
  <si>
    <t>UNLEVERED</t>
  </si>
  <si>
    <t>LEVERED</t>
  </si>
  <si>
    <t>Debt/Investment</t>
  </si>
  <si>
    <t>Debt</t>
  </si>
  <si>
    <t>Se</t>
  </si>
  <si>
    <t>Allora</t>
  </si>
  <si>
    <t>650*12</t>
  </si>
  <si>
    <t xml:space="preserve">Se </t>
  </si>
  <si>
    <t xml:space="preserve">Allora </t>
  </si>
  <si>
    <t>Total Debt</t>
  </si>
  <si>
    <t>Principal Repayment</t>
  </si>
  <si>
    <t>Interest Payment</t>
  </si>
  <si>
    <t>Mortgage interest rate</t>
  </si>
  <si>
    <t>Mortgage duration (years)</t>
  </si>
  <si>
    <t>SP</t>
  </si>
  <si>
    <t>Total Interest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</si>
</sst>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/>
    <xf numFmtId="43" fontId="0" fillId="0" borderId="0" xfId="1" applyFont="1"/>
    <xf numFmtId="43" fontId="0" fillId="0" borderId="0" xfId="0" applyNumberFormat="1"/>
    <xf numFmtId="14" fontId="0" fillId="0" borderId="0" xfId="1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35</xdr:row>
      <xdr:rowOff>38100</xdr:rowOff>
    </xdr:from>
    <xdr:to>
      <xdr:col>15</xdr:col>
      <xdr:colOff>466725</xdr:colOff>
      <xdr:row>41</xdr:row>
      <xdr:rowOff>95250</xdr:rowOff>
    </xdr:to>
    <xdr:sp macro="" textlink="">
      <xdr:nvSpPr>
        <xdr:cNvPr id="2" name="TextBox 1"/>
        <xdr:cNvSpPr txBox="1"/>
      </xdr:nvSpPr>
      <xdr:spPr>
        <a:xfrm>
          <a:off x="8543925" y="7334250"/>
          <a:ext cx="439102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Assumptions</a:t>
          </a:r>
        </a:p>
        <a:p>
          <a:r>
            <a:rPr lang="en-US" sz="1100"/>
            <a:t>1) salary</a:t>
          </a:r>
          <a:r>
            <a:rPr lang="en-US" sz="1100" baseline="0"/>
            <a:t> raised by 10k every 3 years</a:t>
          </a:r>
        </a:p>
        <a:p>
          <a:r>
            <a:rPr lang="en-US" sz="1100" baseline="0"/>
            <a:t>2) Investment is taken only if savings are enough for downpayment and the repayment + interest payment are less than 30% of salary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E115"/>
  <sheetViews>
    <sheetView topLeftCell="A37" workbookViewId="0">
      <selection activeCell="D43" sqref="D43"/>
    </sheetView>
  </sheetViews>
  <sheetFormatPr defaultRowHeight="15" x14ac:dyDescent="0.25"/>
  <cols>
    <col min="2" max="2" width="11.140625" bestFit="1" customWidth="1"/>
    <col min="3" max="3" width="24.42578125" bestFit="1" customWidth="1"/>
    <col min="4" max="4" width="15.28515625" bestFit="1" customWidth="1"/>
    <col min="5" max="5" width="10.5703125" bestFit="1" customWidth="1"/>
    <col min="6" max="6" width="11.28515625" bestFit="1" customWidth="1"/>
    <col min="7" max="7" width="12.5703125" customWidth="1"/>
    <col min="8" max="29" width="11.5703125" bestFit="1" customWidth="1"/>
    <col min="30" max="30" width="13.28515625" bestFit="1" customWidth="1"/>
    <col min="31" max="31" width="10.5703125" bestFit="1" customWidth="1"/>
  </cols>
  <sheetData>
    <row r="1" spans="3:31" ht="46.5" customHeight="1" x14ac:dyDescent="0.25">
      <c r="C1" s="4" t="s">
        <v>24</v>
      </c>
      <c r="D1" s="4"/>
      <c r="E1" s="4"/>
      <c r="F1" s="4"/>
      <c r="G1" s="4"/>
      <c r="H1" s="4"/>
      <c r="I1" s="4"/>
    </row>
    <row r="2" spans="3:31" x14ac:dyDescent="0.25">
      <c r="C2" t="s">
        <v>6</v>
      </c>
      <c r="D2">
        <f>COUNTIF($D$13:$AD$13,-$D$5)</f>
        <v>9</v>
      </c>
    </row>
    <row r="3" spans="3:31" x14ac:dyDescent="0.25">
      <c r="C3" t="s">
        <v>2</v>
      </c>
      <c r="D3">
        <v>12</v>
      </c>
    </row>
    <row r="4" spans="3:31" x14ac:dyDescent="0.25">
      <c r="C4" t="s">
        <v>0</v>
      </c>
    </row>
    <row r="5" spans="3:31" x14ac:dyDescent="0.25">
      <c r="C5" t="s">
        <v>5</v>
      </c>
      <c r="D5" s="2">
        <v>150000</v>
      </c>
    </row>
    <row r="6" spans="3:31" x14ac:dyDescent="0.25">
      <c r="C6" t="s">
        <v>7</v>
      </c>
      <c r="D6">
        <v>650</v>
      </c>
    </row>
    <row r="7" spans="3:31" x14ac:dyDescent="0.25">
      <c r="C7" t="s">
        <v>9</v>
      </c>
      <c r="D7" s="3">
        <v>0.1</v>
      </c>
    </row>
    <row r="8" spans="3:31" x14ac:dyDescent="0.25">
      <c r="C8" t="s">
        <v>11</v>
      </c>
      <c r="D8" s="3">
        <v>0.25</v>
      </c>
    </row>
    <row r="9" spans="3:31" x14ac:dyDescent="0.25">
      <c r="C9" t="s">
        <v>14</v>
      </c>
      <c r="D9" s="3">
        <v>0.5</v>
      </c>
    </row>
    <row r="10" spans="3:31" x14ac:dyDescent="0.25">
      <c r="D10" s="1">
        <v>45292</v>
      </c>
      <c r="E10" s="1">
        <v>45658</v>
      </c>
      <c r="F10" s="1">
        <v>46023</v>
      </c>
      <c r="G10" s="1">
        <v>46388</v>
      </c>
      <c r="H10" s="1">
        <v>46753</v>
      </c>
      <c r="I10" s="1">
        <v>47119</v>
      </c>
      <c r="J10" s="1">
        <v>47484</v>
      </c>
      <c r="K10" s="1">
        <v>47849</v>
      </c>
      <c r="L10" s="1">
        <v>48214</v>
      </c>
      <c r="M10" s="1">
        <v>48580</v>
      </c>
      <c r="N10" s="1">
        <v>48945</v>
      </c>
      <c r="O10" s="1">
        <v>49310</v>
      </c>
      <c r="P10" s="1">
        <v>49675</v>
      </c>
      <c r="Q10" s="1">
        <v>50041</v>
      </c>
      <c r="R10" s="1">
        <v>50406</v>
      </c>
      <c r="S10" s="1">
        <v>50771</v>
      </c>
      <c r="T10" s="1">
        <v>51136</v>
      </c>
      <c r="U10" s="1">
        <v>51502</v>
      </c>
      <c r="V10" s="1">
        <v>51867</v>
      </c>
      <c r="W10" s="1">
        <v>52232</v>
      </c>
      <c r="X10" s="1">
        <v>52597</v>
      </c>
      <c r="Y10" s="1">
        <v>52963</v>
      </c>
      <c r="Z10" s="1">
        <v>53328</v>
      </c>
      <c r="AA10" s="1">
        <v>53693</v>
      </c>
      <c r="AB10" s="1">
        <v>54058</v>
      </c>
      <c r="AC10" s="1">
        <v>54424</v>
      </c>
      <c r="AD10" s="1">
        <v>54789</v>
      </c>
    </row>
    <row r="11" spans="3:31" x14ac:dyDescent="0.25">
      <c r="C11" t="s">
        <v>1</v>
      </c>
      <c r="D11" s="2">
        <f>2000*$D$3</f>
        <v>24000</v>
      </c>
      <c r="E11" s="2">
        <f t="shared" ref="E11" si="0">2000*$D$3</f>
        <v>24000</v>
      </c>
      <c r="F11" s="2">
        <f>3000*$D$3</f>
        <v>36000</v>
      </c>
      <c r="G11" s="2">
        <f t="shared" ref="G11:H11" si="1">3000*$D$3</f>
        <v>36000</v>
      </c>
      <c r="H11" s="2">
        <f t="shared" si="1"/>
        <v>36000</v>
      </c>
      <c r="I11" s="2">
        <f>4000*$D$3</f>
        <v>48000</v>
      </c>
      <c r="J11" s="2">
        <f t="shared" ref="J11:K11" si="2">4000*$D$3</f>
        <v>48000</v>
      </c>
      <c r="K11" s="2">
        <f t="shared" si="2"/>
        <v>48000</v>
      </c>
      <c r="L11" s="2">
        <f>5000*$D$3</f>
        <v>60000</v>
      </c>
      <c r="M11" s="2">
        <f t="shared" ref="M11:N11" si="3">5000*$D$3</f>
        <v>60000</v>
      </c>
      <c r="N11" s="2">
        <f t="shared" si="3"/>
        <v>60000</v>
      </c>
      <c r="O11" s="2">
        <f>6000*$D$3</f>
        <v>72000</v>
      </c>
      <c r="P11" s="2">
        <f t="shared" ref="P11:Q11" si="4">6000*$D$3</f>
        <v>72000</v>
      </c>
      <c r="Q11" s="2">
        <f t="shared" si="4"/>
        <v>72000</v>
      </c>
      <c r="R11" s="2">
        <f>7000*$D$3</f>
        <v>84000</v>
      </c>
      <c r="S11" s="2">
        <f t="shared" ref="S11:T11" si="5">7000*$D$3</f>
        <v>84000</v>
      </c>
      <c r="T11" s="2">
        <f t="shared" si="5"/>
        <v>84000</v>
      </c>
      <c r="U11" s="2">
        <f>8000*$D$3</f>
        <v>96000</v>
      </c>
      <c r="V11" s="2">
        <f t="shared" ref="V11:W11" si="6">8000*$D$3</f>
        <v>96000</v>
      </c>
      <c r="W11" s="2">
        <f t="shared" si="6"/>
        <v>96000</v>
      </c>
      <c r="X11" s="2">
        <f>9000*$D$3</f>
        <v>108000</v>
      </c>
      <c r="Y11" s="2">
        <f t="shared" ref="Y11:Z11" si="7">9000*$D$3</f>
        <v>108000</v>
      </c>
      <c r="Z11" s="2">
        <f t="shared" si="7"/>
        <v>108000</v>
      </c>
      <c r="AA11" s="2">
        <f>10000*$D$3</f>
        <v>120000</v>
      </c>
      <c r="AB11" s="2">
        <f t="shared" ref="AB11:AC11" si="8">10000*$D$3</f>
        <v>120000</v>
      </c>
      <c r="AC11" s="2">
        <f t="shared" si="8"/>
        <v>120000</v>
      </c>
      <c r="AD11" s="2">
        <f>11000*$D$3</f>
        <v>132000</v>
      </c>
      <c r="AE11" s="2"/>
    </row>
    <row r="12" spans="3:31" x14ac:dyDescent="0.25">
      <c r="C12" t="s">
        <v>3</v>
      </c>
      <c r="D12" s="2">
        <f>D11*D9</f>
        <v>12000</v>
      </c>
      <c r="E12" s="2">
        <f>(E11*$D$9)+D12+IF((E11/2)+D12&gt;$D$5,-$D$5,0)+COUNTIF($D13:E13,-$D$5)*$D$6*$D$3-(COUNTIF($D13:E13,-$D$5)*$D$6*$D$3)*$D$8-(COUNTIF($D13:E13,-$D$5)*$D$6*$D$3)*$D$7</f>
        <v>24000</v>
      </c>
      <c r="F12" s="2">
        <f>(F11*$D$9)+E12+IF((F11/2)+E12&gt;$D$5,-$D$5,0)+COUNTIF($D$13:F13,-$D$5)*$D$6*$D$3-(COUNTIF($D$13:F13,-$D$5)*$D$6*$D$3)*$D$8-(COUNTIF($D$13:F13,-$D$5)*$D$6*$D$3)*$D$7</f>
        <v>42000</v>
      </c>
      <c r="G12" s="2">
        <f>(G11*$D$9)+F12+IF((G11/2)+F12&gt;$D$5,-$D$5,0)+COUNTIF($D$13:G13,-$D$5)*$D$6*$D$3-(COUNTIF($D$13:G13,-$D$5)*$D$6*$D$3)*$D$8-(COUNTIF($D$13:G13,-$D$5)*$D$6*$D$3)*$D$7</f>
        <v>60000</v>
      </c>
      <c r="H12" s="2">
        <f>(H11*$D$9)+G12+IF((H11/2)+G12&gt;$D$5,-$D$5,0)+COUNTIF($D$13:H13,-$D$5)*$D$6*$D$3-(COUNTIF($D$13:H13,-$D$5)*$D$6*$D$3)*$D$8-(COUNTIF($D$13:H13,-$D$5)*$D$6*$D$3)*$D$7</f>
        <v>78000</v>
      </c>
      <c r="I12" s="2">
        <f>(I11*$D$9)+H12+IF((I11/2)+H12&gt;$D$5,-$D$5,0)+COUNTIF($D$13:I13,-$D$5)*$D$6*$D$3-(COUNTIF($D$13:I13,-$D$5)*$D$6*$D$3)*$D$8-(COUNTIF($D$13:I13,-$D$5)*$D$6*$D$3)*$D$7</f>
        <v>102000</v>
      </c>
      <c r="J12" s="2">
        <f>(J11*$D$9)+I12+IF((J11/2)+I12&gt;$D$5,-$D$5,0)+COUNTIF($D$13:J13,-$D$5)*$D$6*$D$3-(COUNTIF($D$13:J13,-$D$5)*$D$6*$D$3)*$D$8-(COUNTIF($D$13:J13,-$D$5)*$D$6*$D$3)*$D$7</f>
        <v>126000</v>
      </c>
      <c r="K12" s="2">
        <f>(K11*$D$9)+J12+IF((K11/2)+J12&gt;$D$5,-$D$5,0)+COUNTIF($D$13:K13,-$D$5)*$D$6*$D$3-(COUNTIF($D$13:K13,-$D$5)*$D$6*$D$3)*$D$8-(COUNTIF($D$13:K13,-$D$5)*$D$6*$D$3)*$D$7</f>
        <v>150000</v>
      </c>
      <c r="L12" s="2">
        <f>(L11*$D$9)+K12+IF((L11/2)+K12&gt;$D$5,-$D$5,0)+COUNTIF($D$13:L13,-$D$5)*$D$6*$D$3-(COUNTIF($D$13:L13,-$D$5)*$D$6*$D$3)*$D$8-(COUNTIF($D$13:L13,-$D$5)*$D$6*$D$3)*$D$7</f>
        <v>35070</v>
      </c>
      <c r="M12" s="2">
        <f>(M11*$D$9)+L12+IF((M11/2)+L12&gt;$D$5,-$D$5,0)+COUNTIF($D$13:M13,-$D$5)*$D$6*$D$3-(COUNTIF($D$13:M13,-$D$5)*$D$6*$D$3)*$D$8-(COUNTIF($D$13:M13,-$D$5)*$D$6*$D$3)*$D$7</f>
        <v>70140</v>
      </c>
      <c r="N12" s="2">
        <f>(N11*$D$9)+M12+IF((N11/2)+M12&gt;$D$5,-$D$5,0)+COUNTIF($D$13:N13,-$D$5)*$D$6*$D$3-(COUNTIF($D$13:N13,-$D$5)*$D$6*$D$3)*$D$8-(COUNTIF($D$13:N13,-$D$5)*$D$6*$D$3)*$D$7</f>
        <v>105210</v>
      </c>
      <c r="O12" s="2">
        <f>(O11*$D$9)+N12+IF((O11/2)+N12&gt;$D$5,-$D$5,0)+COUNTIF($D$13:O13,-$D$5)*$D$6*$D$3-(COUNTIF($D$13:O13,-$D$5)*$D$6*$D$3)*$D$8-(COUNTIF($D$13:O13,-$D$5)*$D$6*$D$3)*$D$7</f>
        <v>146280</v>
      </c>
      <c r="P12" s="2">
        <f>(P11*$D$9)+O12+IF((P11/2)+O12&gt;$D$5,-$D$5,0)+COUNTIF($D$13:P13,-$D$5)*$D$6*$D$3-(COUNTIF($D$13:P13,-$D$5)*$D$6*$D$3)*$D$8-(COUNTIF($D$13:P13,-$D$5)*$D$6*$D$3)*$D$7</f>
        <v>42420</v>
      </c>
      <c r="Q12" s="2">
        <f>(Q11*$D$9)+P12+IF((Q11/2)+P12&gt;$D$5,-$D$5,0)+COUNTIF($D$13:Q13,-$D$5)*$D$6*$D$3-(COUNTIF($D$13:Q13,-$D$5)*$D$6*$D$3)*$D$8-(COUNTIF($D$13:Q13,-$D$5)*$D$6*$D$3)*$D$7</f>
        <v>88560</v>
      </c>
      <c r="R12" s="2">
        <f>(R11*$D$9)+Q12+IF((R11/2)+Q12&gt;$D$5,-$D$5,0)+COUNTIF($D$13:R13,-$D$5)*$D$6*$D$3-(COUNTIF($D$13:R13,-$D$5)*$D$6*$D$3)*$D$8-(COUNTIF($D$13:R13,-$D$5)*$D$6*$D$3)*$D$7</f>
        <v>140700</v>
      </c>
      <c r="S12" s="2">
        <f>(S11*$D$9)+R12+IF((S11/2)+R12&gt;$D$5,-$D$5,0)+COUNTIF($D$13:S13,-$D$5)*$D$6*$D$3-(COUNTIF($D$13:S13,-$D$5)*$D$6*$D$3)*$D$8-(COUNTIF($D$13:S13,-$D$5)*$D$6*$D$3)*$D$7</f>
        <v>47910</v>
      </c>
      <c r="T12" s="2">
        <f>(T11*$D$9)+S12+IF((T11/2)+S12&gt;$D$5,-$D$5,0)+COUNTIF($D$13:T13,-$D$5)*$D$6*$D$3-(COUNTIF($D$13:T13,-$D$5)*$D$6*$D$3)*$D$8-(COUNTIF($D$13:T13,-$D$5)*$D$6*$D$3)*$D$7</f>
        <v>105120</v>
      </c>
      <c r="U12" s="2">
        <f>(U11*$D$9)+T12+IF((U11/2)+T12&gt;$D$5,-$D$5,0)+COUNTIF($D$13:U13,-$D$5)*$D$6*$D$3-(COUNTIF($D$13:U13,-$D$5)*$D$6*$D$3)*$D$8-(COUNTIF($D$13:U13,-$D$5)*$D$6*$D$3)*$D$7</f>
        <v>23400</v>
      </c>
      <c r="V12" s="2">
        <f>(V11*$D$9)+U12+IF((V11/2)+U12&gt;$D$5,-$D$5,0)+COUNTIF($D$13:V13,-$D$5)*$D$6*$D$3-(COUNTIF($D$13:V13,-$D$5)*$D$6*$D$3)*$D$8-(COUNTIF($D$13:V13,-$D$5)*$D$6*$D$3)*$D$7</f>
        <v>91680</v>
      </c>
      <c r="W12" s="2">
        <f>(W11*$D$9)+V12+IF((W11/2)+V12&gt;$D$5,-$D$5,0)+COUNTIF($D$13:W13,-$D$5)*$D$6*$D$3-(COUNTIF($D$13:W13,-$D$5)*$D$6*$D$3)*$D$8-(COUNTIF($D$13:W13,-$D$5)*$D$6*$D$3)*$D$7</f>
        <v>159960</v>
      </c>
      <c r="X12" s="2">
        <f>(X11*$D$9)+W12+IF((X11/2)+W12&gt;$D$5,-$D$5,0)+COUNTIF($D$13:X13,-$D$5)*$D$6*$D$3-(COUNTIF($D$13:X13,-$D$5)*$D$6*$D$3)*$D$8-(COUNTIF($D$13:X13,-$D$5)*$D$6*$D$3)*$D$7</f>
        <v>89310</v>
      </c>
      <c r="Y12" s="2">
        <f>(Y11*$D$9)+X12+IF((Y11/2)+X12&gt;$D$5,-$D$5,0)+COUNTIF($D$13:Y13,-$D$5)*$D$6*$D$3-(COUNTIF($D$13:Y13,-$D$5)*$D$6*$D$3)*$D$8-(COUNTIF($D$13:Y13,-$D$5)*$D$6*$D$3)*$D$7</f>
        <v>168660</v>
      </c>
      <c r="Z12" s="2">
        <f>(Z11*$D$9)+Y12+IF((Z11/2)+Y12&gt;$D$5,-$D$5,0)+COUNTIF($D$13:Z13,-$D$5)*$D$6*$D$3-(COUNTIF($D$13:Z13,-$D$5)*$D$6*$D$3)*$D$8-(COUNTIF($D$13:Z13,-$D$5)*$D$6*$D$3)*$D$7</f>
        <v>103080</v>
      </c>
      <c r="AA12" s="2">
        <f>(AA11*$D$9)+Z12+IF((AA11/2)+Z12&gt;$D$5,-$D$5,0)+COUNTIF($D$13:AA13,-$D$5)*$D$6*$D$3-(COUNTIF($D$13:AA13,-$D$5)*$D$6*$D$3)*$D$8-(COUNTIF($D$13:AA13,-$D$5)*$D$6*$D$3)*$D$7</f>
        <v>48570</v>
      </c>
      <c r="AB12" s="2">
        <f>(AB11*$D$9)+AA12+IF((AB11/2)+AA12&gt;$D$5,-$D$5,0)+COUNTIF($D$13:AB13,-$D$5)*$D$6*$D$3-(COUNTIF($D$13:AB13,-$D$5)*$D$6*$D$3)*$D$8-(COUNTIF($D$13:AB13,-$D$5)*$D$6*$D$3)*$D$7</f>
        <v>144060</v>
      </c>
      <c r="AC12" s="2">
        <f>(AC11*$D$9)+AB12+IF((AC11/2)+AB12&gt;$D$5,-$D$5,0)+COUNTIF($D$13:AC13,-$D$5)*$D$6*$D$3-(COUNTIF($D$13:AC13,-$D$5)*$D$6*$D$3)*$D$8-(COUNTIF($D$13:AC13,-$D$5)*$D$6*$D$3)*$D$7</f>
        <v>94620</v>
      </c>
      <c r="AD12" s="2">
        <f>(AD11*$D$9)+AC12+IF((AD11/2)+AC12&gt;$D$5,-$D$5,0)+COUNTIF($D$13:AD13,-$D$5)*$D$6*$D$3-(COUNTIF($D$13:AD13,-$D$5)*$D$6*$D$3)*$D$8-(COUNTIF($D$13:AD13,-$D$5)*$D$6*$D$3)*$D$7</f>
        <v>56250</v>
      </c>
      <c r="AE12" s="2"/>
    </row>
    <row r="13" spans="3:31" x14ac:dyDescent="0.25">
      <c r="C13" t="s">
        <v>4</v>
      </c>
      <c r="D13" s="2">
        <v>0</v>
      </c>
      <c r="E13" s="2">
        <f>IF((E11/2)+D12&gt;$D$5,-$D$5,0)</f>
        <v>0</v>
      </c>
      <c r="F13" s="2">
        <f t="shared" ref="F13:AD13" si="9">IF((F11/2)+E12&gt;$D$5,-$D$5,0)</f>
        <v>0</v>
      </c>
      <c r="G13" s="2">
        <f t="shared" si="9"/>
        <v>0</v>
      </c>
      <c r="H13" s="2">
        <f t="shared" si="9"/>
        <v>0</v>
      </c>
      <c r="I13" s="2">
        <f t="shared" si="9"/>
        <v>0</v>
      </c>
      <c r="J13" s="2">
        <f t="shared" si="9"/>
        <v>0</v>
      </c>
      <c r="K13" s="2">
        <f>IF((K11/2)+J12&gt;$D$5,-$D$5,0)</f>
        <v>0</v>
      </c>
      <c r="L13" s="2">
        <f t="shared" si="9"/>
        <v>-150000</v>
      </c>
      <c r="M13" s="2">
        <f t="shared" si="9"/>
        <v>0</v>
      </c>
      <c r="N13" s="2">
        <f t="shared" si="9"/>
        <v>0</v>
      </c>
      <c r="O13" s="2">
        <f t="shared" si="9"/>
        <v>0</v>
      </c>
      <c r="P13" s="2">
        <f t="shared" si="9"/>
        <v>-150000</v>
      </c>
      <c r="Q13" s="2">
        <f t="shared" si="9"/>
        <v>0</v>
      </c>
      <c r="R13" s="2">
        <f t="shared" si="9"/>
        <v>0</v>
      </c>
      <c r="S13" s="2">
        <f t="shared" si="9"/>
        <v>-150000</v>
      </c>
      <c r="T13" s="2">
        <f t="shared" si="9"/>
        <v>0</v>
      </c>
      <c r="U13" s="2">
        <f t="shared" si="9"/>
        <v>-150000</v>
      </c>
      <c r="V13" s="2">
        <f t="shared" si="9"/>
        <v>0</v>
      </c>
      <c r="W13" s="2">
        <f t="shared" si="9"/>
        <v>0</v>
      </c>
      <c r="X13" s="2">
        <f t="shared" si="9"/>
        <v>-150000</v>
      </c>
      <c r="Y13" s="2">
        <f t="shared" si="9"/>
        <v>0</v>
      </c>
      <c r="Z13" s="2">
        <f t="shared" si="9"/>
        <v>-150000</v>
      </c>
      <c r="AA13" s="2">
        <f t="shared" si="9"/>
        <v>-150000</v>
      </c>
      <c r="AB13" s="2">
        <f t="shared" si="9"/>
        <v>0</v>
      </c>
      <c r="AC13" s="2">
        <f t="shared" si="9"/>
        <v>-150000</v>
      </c>
      <c r="AD13" s="2">
        <f t="shared" si="9"/>
        <v>-150000</v>
      </c>
      <c r="AE13" s="2"/>
    </row>
    <row r="14" spans="3:31" x14ac:dyDescent="0.25">
      <c r="C14" t="s">
        <v>12</v>
      </c>
      <c r="D14" s="2">
        <f>COUNTIF($D$13:D13,-$D$5)*$D$6*$D$3</f>
        <v>0</v>
      </c>
      <c r="E14" s="2">
        <f>COUNTIF($D$13:E13,-$D$5)*$D$6*$D$3</f>
        <v>0</v>
      </c>
      <c r="F14" s="2">
        <f>COUNTIF($D$13:F13,-$D$5)*$D$6*$D$3</f>
        <v>0</v>
      </c>
      <c r="G14" s="2">
        <f>COUNTIF($D$13:G13,-$D$5)*$D$6*$D$3</f>
        <v>0</v>
      </c>
      <c r="H14" s="2">
        <f>COUNTIF($D$13:H13,-$D$5)*$D$6*$D$3</f>
        <v>0</v>
      </c>
      <c r="I14" s="2">
        <f>COUNTIF($D$13:I13,-$D$5)*$D$6*$D$3</f>
        <v>0</v>
      </c>
      <c r="J14" s="2">
        <f>COUNTIF($D$13:J13,-$D$5)*$D$6*$D$3</f>
        <v>0</v>
      </c>
      <c r="K14" s="2">
        <f>COUNTIF($D$13:K13,-$D$5)*$D$6*$D$3</f>
        <v>0</v>
      </c>
      <c r="L14" s="2">
        <f>COUNTIF($D$13:L13,-$D$5)*$D$6*$D$3</f>
        <v>7800</v>
      </c>
      <c r="M14" s="2">
        <f>COUNTIF($D$13:M13,-$D$5)*$D$6*$D$3</f>
        <v>7800</v>
      </c>
      <c r="N14" s="2">
        <f>COUNTIF($D$13:N13,-$D$5)*$D$6*$D$3</f>
        <v>7800</v>
      </c>
      <c r="O14" s="2">
        <f>COUNTIF($D$13:O13,-$D$5)*$D$6*$D$3</f>
        <v>7800</v>
      </c>
      <c r="P14" s="2">
        <f>COUNTIF($D$13:P13,-$D$5)*$D$6*$D$3</f>
        <v>15600</v>
      </c>
      <c r="Q14" s="2">
        <f>COUNTIF($D$13:Q13,-$D$5)*$D$6*$D$3</f>
        <v>15600</v>
      </c>
      <c r="R14" s="2">
        <f>COUNTIF($D$13:R13,-$D$5)*$D$6*$D$3</f>
        <v>15600</v>
      </c>
      <c r="S14" s="2">
        <f>COUNTIF($D$13:S13,-$D$5)*$D$6*$D$3</f>
        <v>23400</v>
      </c>
      <c r="T14" s="2">
        <f>COUNTIF($D$13:T13,-$D$5)*$D$6*$D$3</f>
        <v>23400</v>
      </c>
      <c r="U14" s="2">
        <f>COUNTIF($D$13:U13,-$D$5)*$D$6*$D$3</f>
        <v>31200</v>
      </c>
      <c r="V14" s="2">
        <f>COUNTIF($D$13:V13,-$D$5)*$D$6*$D$3</f>
        <v>31200</v>
      </c>
      <c r="W14" s="2">
        <f>COUNTIF($D$13:W13,-$D$5)*$D$6*$D$3</f>
        <v>31200</v>
      </c>
      <c r="X14" s="2">
        <f>COUNTIF($D$13:X13,-$D$5)*$D$6*$D$3</f>
        <v>39000</v>
      </c>
      <c r="Y14" s="2">
        <f>COUNTIF($D$13:Y13,-$D$5)*$D$6*$D$3</f>
        <v>39000</v>
      </c>
      <c r="Z14" s="2">
        <f>COUNTIF($D$13:Z13,-$D$5)*$D$6*$D$3</f>
        <v>46800</v>
      </c>
      <c r="AA14" s="2">
        <f>COUNTIF($D$13:AA13,-$D$5)*$D$6*$D$3</f>
        <v>54600</v>
      </c>
      <c r="AB14" s="2">
        <f>COUNTIF($D$13:AB13,-$D$5)*$D$6*$D$3</f>
        <v>54600</v>
      </c>
      <c r="AC14" s="2">
        <f>COUNTIF($D$13:AC13,-$D$5)*$D$6*$D$3</f>
        <v>62400</v>
      </c>
      <c r="AD14" s="2">
        <f>COUNTIF($D$13:AD13,-$D$5)*$D$6*$D$3</f>
        <v>70200</v>
      </c>
      <c r="AE14" s="2"/>
    </row>
    <row r="15" spans="3:31" x14ac:dyDescent="0.25">
      <c r="C15" t="s">
        <v>8</v>
      </c>
      <c r="D15" s="2">
        <f>D14*$D$7</f>
        <v>0</v>
      </c>
      <c r="E15" s="2">
        <f t="shared" ref="E15:AD15" si="10">E14*$D$7</f>
        <v>0</v>
      </c>
      <c r="F15" s="2">
        <f t="shared" si="10"/>
        <v>0</v>
      </c>
      <c r="G15" s="2">
        <f t="shared" si="10"/>
        <v>0</v>
      </c>
      <c r="H15" s="2">
        <f t="shared" si="10"/>
        <v>0</v>
      </c>
      <c r="I15" s="2">
        <f t="shared" si="10"/>
        <v>0</v>
      </c>
      <c r="J15" s="2">
        <f t="shared" si="10"/>
        <v>0</v>
      </c>
      <c r="K15" s="2">
        <f t="shared" si="10"/>
        <v>0</v>
      </c>
      <c r="L15" s="2">
        <f t="shared" si="10"/>
        <v>780</v>
      </c>
      <c r="M15" s="2">
        <f t="shared" si="10"/>
        <v>780</v>
      </c>
      <c r="N15" s="2">
        <f t="shared" si="10"/>
        <v>780</v>
      </c>
      <c r="O15" s="2">
        <f t="shared" si="10"/>
        <v>780</v>
      </c>
      <c r="P15" s="2">
        <f t="shared" si="10"/>
        <v>1560</v>
      </c>
      <c r="Q15" s="2">
        <f t="shared" si="10"/>
        <v>1560</v>
      </c>
      <c r="R15" s="2">
        <f t="shared" si="10"/>
        <v>1560</v>
      </c>
      <c r="S15" s="2">
        <f t="shared" si="10"/>
        <v>2340</v>
      </c>
      <c r="T15" s="2">
        <f t="shared" si="10"/>
        <v>2340</v>
      </c>
      <c r="U15" s="2">
        <f t="shared" si="10"/>
        <v>3120</v>
      </c>
      <c r="V15" s="2">
        <f t="shared" si="10"/>
        <v>3120</v>
      </c>
      <c r="W15" s="2">
        <f t="shared" si="10"/>
        <v>3120</v>
      </c>
      <c r="X15" s="2">
        <f t="shared" si="10"/>
        <v>3900</v>
      </c>
      <c r="Y15" s="2">
        <f t="shared" si="10"/>
        <v>3900</v>
      </c>
      <c r="Z15" s="2">
        <f t="shared" si="10"/>
        <v>4680</v>
      </c>
      <c r="AA15" s="2">
        <f t="shared" si="10"/>
        <v>5460</v>
      </c>
      <c r="AB15" s="2">
        <f t="shared" si="10"/>
        <v>5460</v>
      </c>
      <c r="AC15" s="2">
        <f t="shared" si="10"/>
        <v>6240</v>
      </c>
      <c r="AD15" s="2">
        <f t="shared" si="10"/>
        <v>7020</v>
      </c>
      <c r="AE15" s="2"/>
    </row>
    <row r="16" spans="3:31" x14ac:dyDescent="0.25">
      <c r="C16" t="s">
        <v>10</v>
      </c>
      <c r="D16" s="2">
        <f>D14*$D$8</f>
        <v>0</v>
      </c>
      <c r="E16" s="2">
        <f t="shared" ref="E16:AD16" si="11">E14*$D$8</f>
        <v>0</v>
      </c>
      <c r="F16" s="2">
        <f t="shared" si="11"/>
        <v>0</v>
      </c>
      <c r="G16" s="2">
        <f t="shared" si="11"/>
        <v>0</v>
      </c>
      <c r="H16" s="2">
        <f t="shared" si="11"/>
        <v>0</v>
      </c>
      <c r="I16" s="2">
        <f t="shared" si="11"/>
        <v>0</v>
      </c>
      <c r="J16" s="2">
        <f t="shared" si="11"/>
        <v>0</v>
      </c>
      <c r="K16" s="2">
        <f t="shared" si="11"/>
        <v>0</v>
      </c>
      <c r="L16" s="2">
        <f t="shared" si="11"/>
        <v>1950</v>
      </c>
      <c r="M16" s="2">
        <f t="shared" si="11"/>
        <v>1950</v>
      </c>
      <c r="N16" s="2">
        <f t="shared" si="11"/>
        <v>1950</v>
      </c>
      <c r="O16" s="2">
        <f t="shared" si="11"/>
        <v>1950</v>
      </c>
      <c r="P16" s="2">
        <f t="shared" si="11"/>
        <v>3900</v>
      </c>
      <c r="Q16" s="2">
        <f t="shared" si="11"/>
        <v>3900</v>
      </c>
      <c r="R16" s="2">
        <f t="shared" si="11"/>
        <v>3900</v>
      </c>
      <c r="S16" s="2">
        <f t="shared" si="11"/>
        <v>5850</v>
      </c>
      <c r="T16" s="2">
        <f t="shared" si="11"/>
        <v>5850</v>
      </c>
      <c r="U16" s="2">
        <f t="shared" si="11"/>
        <v>7800</v>
      </c>
      <c r="V16" s="2">
        <f t="shared" si="11"/>
        <v>7800</v>
      </c>
      <c r="W16" s="2">
        <f t="shared" si="11"/>
        <v>7800</v>
      </c>
      <c r="X16" s="2">
        <f t="shared" si="11"/>
        <v>9750</v>
      </c>
      <c r="Y16" s="2">
        <f t="shared" si="11"/>
        <v>9750</v>
      </c>
      <c r="Z16" s="2">
        <f t="shared" si="11"/>
        <v>11700</v>
      </c>
      <c r="AA16" s="2">
        <f t="shared" si="11"/>
        <v>13650</v>
      </c>
      <c r="AB16" s="2">
        <f t="shared" si="11"/>
        <v>13650</v>
      </c>
      <c r="AC16" s="2">
        <f t="shared" si="11"/>
        <v>15600</v>
      </c>
      <c r="AD16" s="2">
        <f t="shared" si="11"/>
        <v>17550</v>
      </c>
      <c r="AE16" s="2"/>
    </row>
    <row r="17" spans="3:31" x14ac:dyDescent="0.25">
      <c r="C17" t="s">
        <v>13</v>
      </c>
      <c r="D17" s="2">
        <f>D14-D15-D16</f>
        <v>0</v>
      </c>
      <c r="E17" s="2">
        <f t="shared" ref="E17:AD17" si="12">E14-E15-E16</f>
        <v>0</v>
      </c>
      <c r="F17" s="2">
        <f t="shared" si="12"/>
        <v>0</v>
      </c>
      <c r="G17" s="2">
        <f t="shared" si="12"/>
        <v>0</v>
      </c>
      <c r="H17" s="2">
        <f t="shared" si="12"/>
        <v>0</v>
      </c>
      <c r="I17" s="2">
        <f t="shared" si="12"/>
        <v>0</v>
      </c>
      <c r="J17" s="2">
        <f t="shared" si="12"/>
        <v>0</v>
      </c>
      <c r="K17" s="2">
        <f t="shared" si="12"/>
        <v>0</v>
      </c>
      <c r="L17" s="2">
        <f t="shared" si="12"/>
        <v>5070</v>
      </c>
      <c r="M17" s="2">
        <f t="shared" si="12"/>
        <v>5070</v>
      </c>
      <c r="N17" s="2">
        <f t="shared" si="12"/>
        <v>5070</v>
      </c>
      <c r="O17" s="2">
        <f t="shared" si="12"/>
        <v>5070</v>
      </c>
      <c r="P17" s="2">
        <f t="shared" si="12"/>
        <v>10140</v>
      </c>
      <c r="Q17" s="2">
        <f t="shared" si="12"/>
        <v>10140</v>
      </c>
      <c r="R17" s="2">
        <f t="shared" si="12"/>
        <v>10140</v>
      </c>
      <c r="S17" s="2">
        <f t="shared" si="12"/>
        <v>15210</v>
      </c>
      <c r="T17" s="2">
        <f t="shared" si="12"/>
        <v>15210</v>
      </c>
      <c r="U17" s="2">
        <f t="shared" si="12"/>
        <v>20280</v>
      </c>
      <c r="V17" s="2">
        <f t="shared" si="12"/>
        <v>20280</v>
      </c>
      <c r="W17" s="2">
        <f t="shared" si="12"/>
        <v>20280</v>
      </c>
      <c r="X17" s="2">
        <f t="shared" si="12"/>
        <v>25350</v>
      </c>
      <c r="Y17" s="2">
        <f t="shared" si="12"/>
        <v>25350</v>
      </c>
      <c r="Z17" s="2">
        <f t="shared" si="12"/>
        <v>30420</v>
      </c>
      <c r="AA17" s="2">
        <f t="shared" si="12"/>
        <v>35490</v>
      </c>
      <c r="AB17" s="2">
        <f t="shared" si="12"/>
        <v>35490</v>
      </c>
      <c r="AC17" s="2">
        <f t="shared" si="12"/>
        <v>40560</v>
      </c>
      <c r="AD17" s="2">
        <f t="shared" si="12"/>
        <v>45630</v>
      </c>
      <c r="AE17" s="2"/>
    </row>
    <row r="18" spans="3:31" x14ac:dyDescent="0.25">
      <c r="C18" t="s">
        <v>15</v>
      </c>
      <c r="D18" s="2">
        <f>D12+COUNTIF($D$13:D13,-$D$5)*$D$5</f>
        <v>12000</v>
      </c>
      <c r="E18" s="2">
        <f>E12+COUNTIF($D$13:E13,-$D$5)*$D$5</f>
        <v>24000</v>
      </c>
      <c r="F18" s="2">
        <f>F12+COUNTIF($D$13:F13,-$D$5)*$D$5</f>
        <v>42000</v>
      </c>
      <c r="G18" s="2">
        <f>G12+COUNTIF($D$13:G13,-$D$5)*$D$5</f>
        <v>60000</v>
      </c>
      <c r="H18" s="2">
        <f>H12+COUNTIF($D$13:H13,-$D$5)*$D$5</f>
        <v>78000</v>
      </c>
      <c r="I18" s="2">
        <f>I12+COUNTIF($D$13:I13,-$D$5)*$D$5</f>
        <v>102000</v>
      </c>
      <c r="J18" s="2">
        <f>J12+COUNTIF($D$13:J13,-$D$5)*$D$5</f>
        <v>126000</v>
      </c>
      <c r="K18" s="2">
        <f>K12+COUNTIF($D$13:K13,-$D$5)*$D$5</f>
        <v>150000</v>
      </c>
      <c r="L18" s="2">
        <f>L12+COUNTIF($D$13:L13,-$D$5)*$D$5</f>
        <v>185070</v>
      </c>
      <c r="M18" s="2">
        <f>M12+COUNTIF($D$13:M13,-$D$5)*$D$5</f>
        <v>220140</v>
      </c>
      <c r="N18" s="2">
        <f>N12+COUNTIF($D$13:N13,-$D$5)*$D$5</f>
        <v>255210</v>
      </c>
      <c r="O18" s="2">
        <f>O12+COUNTIF($D$13:O13,-$D$5)*$D$5</f>
        <v>296280</v>
      </c>
      <c r="P18" s="2">
        <f>P12+COUNTIF($D$13:P13,-$D$5)*$D$5</f>
        <v>342420</v>
      </c>
      <c r="Q18" s="2">
        <f>Q12+COUNTIF($D$13:Q13,-$D$5)*$D$5</f>
        <v>388560</v>
      </c>
      <c r="R18" s="2">
        <f>R12+COUNTIF($D$13:R13,-$D$5)*$D$5</f>
        <v>440700</v>
      </c>
      <c r="S18" s="2">
        <f>S12+COUNTIF($D$13:S13,-$D$5)*$D$5</f>
        <v>497910</v>
      </c>
      <c r="T18" s="2">
        <f>T12+COUNTIF($D$13:T13,-$D$5)*$D$5</f>
        <v>555120</v>
      </c>
      <c r="U18" s="2">
        <f>U12+COUNTIF($D$13:U13,-$D$5)*$D$5</f>
        <v>623400</v>
      </c>
      <c r="V18" s="2">
        <f>V12+COUNTIF($D$13:V13,-$D$5)*$D$5</f>
        <v>691680</v>
      </c>
      <c r="W18" s="2">
        <f>W12+COUNTIF($D$13:W13,-$D$5)*$D$5</f>
        <v>759960</v>
      </c>
      <c r="X18" s="2">
        <f>X12+COUNTIF($D$13:X13,-$D$5)*$D$5</f>
        <v>839310</v>
      </c>
      <c r="Y18" s="2">
        <f>Y12+COUNTIF($D$13:Y13,-$D$5)*$D$5</f>
        <v>918660</v>
      </c>
      <c r="Z18" s="2">
        <f>Z12+COUNTIF($D$13:Z13,-$D$5)*$D$5</f>
        <v>1003080</v>
      </c>
      <c r="AA18" s="2">
        <f>AA12+COUNTIF($D$13:AA13,-$D$5)*$D$5</f>
        <v>1098570</v>
      </c>
      <c r="AB18" s="2">
        <f>AB12+COUNTIF($D$13:AB13,-$D$5)*$D$5</f>
        <v>1194060</v>
      </c>
      <c r="AC18" s="2">
        <f>AC12+COUNTIF($D$13:AC13,-$D$5)*$D$5</f>
        <v>1294620</v>
      </c>
      <c r="AD18" s="2">
        <f>AD12+COUNTIF($D$13:AD13,-$D$5)*$D$5</f>
        <v>1406250</v>
      </c>
      <c r="AE18" s="2"/>
    </row>
    <row r="19" spans="3:31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3:31" x14ac:dyDescent="0.25">
      <c r="C20" t="s">
        <v>16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3:31" x14ac:dyDescent="0.25">
      <c r="C21" t="s">
        <v>21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3:31" x14ac:dyDescent="0.25">
      <c r="C22" t="s">
        <v>17</v>
      </c>
      <c r="D22" s="2">
        <f>SUM($D$11:$AD$11)</f>
        <v>2052000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3:31" x14ac:dyDescent="0.25">
      <c r="C23" t="s">
        <v>19</v>
      </c>
      <c r="D23" s="2">
        <f>SUM($D$17:$AD$17)</f>
        <v>380250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3:31" x14ac:dyDescent="0.25">
      <c r="C24" t="s">
        <v>23</v>
      </c>
      <c r="D24" s="2">
        <f>(D22/2)+D23</f>
        <v>1406250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3:31" x14ac:dyDescent="0.25">
      <c r="C25" t="s">
        <v>22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3:31" x14ac:dyDescent="0.25">
      <c r="C26" t="s">
        <v>18</v>
      </c>
      <c r="D26" s="2">
        <f>$AD$12</f>
        <v>56250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3:31" x14ac:dyDescent="0.25">
      <c r="C27" t="s">
        <v>20</v>
      </c>
      <c r="D27" s="2">
        <f>COUNTIF($D$13:$AD$13,-$D$5)*$D$5</f>
        <v>1350000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3:31" x14ac:dyDescent="0.25">
      <c r="C28" t="s">
        <v>23</v>
      </c>
      <c r="D28" s="2">
        <f>(D26)+D27</f>
        <v>1406250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3:31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3:31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3:3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3:31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3:31" ht="33" customHeight="1" x14ac:dyDescent="0.25">
      <c r="C33" s="5" t="s">
        <v>25</v>
      </c>
      <c r="D33" s="5"/>
      <c r="E33" s="5"/>
      <c r="F33" s="5"/>
      <c r="G33" s="5"/>
      <c r="H33" s="5"/>
      <c r="I33" s="5"/>
    </row>
    <row r="34" spans="3:31" x14ac:dyDescent="0.25">
      <c r="C34" t="s">
        <v>6</v>
      </c>
      <c r="D34" s="2">
        <f>SUM(D48:AE48)/$D$37</f>
        <v>20</v>
      </c>
    </row>
    <row r="35" spans="3:31" x14ac:dyDescent="0.25">
      <c r="C35" t="s">
        <v>2</v>
      </c>
      <c r="D35">
        <v>12</v>
      </c>
    </row>
    <row r="36" spans="3:31" x14ac:dyDescent="0.25">
      <c r="C36" t="s">
        <v>0</v>
      </c>
    </row>
    <row r="37" spans="3:31" x14ac:dyDescent="0.25">
      <c r="C37" t="s">
        <v>5</v>
      </c>
      <c r="D37" s="2">
        <v>150000</v>
      </c>
      <c r="F37" s="6"/>
    </row>
    <row r="38" spans="3:31" x14ac:dyDescent="0.25">
      <c r="C38" t="s">
        <v>7</v>
      </c>
      <c r="D38">
        <v>650</v>
      </c>
    </row>
    <row r="39" spans="3:31" x14ac:dyDescent="0.25">
      <c r="C39" t="s">
        <v>9</v>
      </c>
      <c r="D39" s="3">
        <v>0.1</v>
      </c>
    </row>
    <row r="40" spans="3:31" x14ac:dyDescent="0.25">
      <c r="C40" t="s">
        <v>11</v>
      </c>
      <c r="D40" s="3">
        <v>0.25</v>
      </c>
      <c r="O40" s="6"/>
    </row>
    <row r="41" spans="3:31" x14ac:dyDescent="0.25">
      <c r="C41" t="s">
        <v>14</v>
      </c>
      <c r="D41" s="3">
        <v>0.5</v>
      </c>
    </row>
    <row r="42" spans="3:31" x14ac:dyDescent="0.25">
      <c r="C42" t="s">
        <v>26</v>
      </c>
      <c r="D42" s="3">
        <v>0.75</v>
      </c>
    </row>
    <row r="43" spans="3:31" x14ac:dyDescent="0.25">
      <c r="C43" t="s">
        <v>36</v>
      </c>
      <c r="D43" s="3">
        <v>0.03</v>
      </c>
      <c r="H43" s="6"/>
    </row>
    <row r="44" spans="3:31" x14ac:dyDescent="0.25">
      <c r="C44" t="s">
        <v>37</v>
      </c>
      <c r="D44" s="2">
        <v>30</v>
      </c>
    </row>
    <row r="45" spans="3:31" x14ac:dyDescent="0.25">
      <c r="D45" s="1">
        <v>44927</v>
      </c>
      <c r="E45" s="1">
        <v>45292</v>
      </c>
      <c r="F45" s="1">
        <v>45658</v>
      </c>
      <c r="G45" s="1">
        <v>46023</v>
      </c>
      <c r="H45" s="1">
        <v>46388</v>
      </c>
      <c r="I45" s="1">
        <v>46753</v>
      </c>
      <c r="J45" s="1">
        <v>47119</v>
      </c>
      <c r="K45" s="1">
        <v>47484</v>
      </c>
      <c r="L45" s="1">
        <v>47849</v>
      </c>
      <c r="M45" s="1">
        <v>48214</v>
      </c>
      <c r="N45" s="1">
        <v>48580</v>
      </c>
      <c r="O45" s="1">
        <v>48945</v>
      </c>
      <c r="P45" s="1">
        <v>49310</v>
      </c>
      <c r="Q45" s="1">
        <v>49675</v>
      </c>
      <c r="R45" s="1">
        <v>50041</v>
      </c>
      <c r="S45" s="1">
        <v>50406</v>
      </c>
      <c r="T45" s="1">
        <v>50771</v>
      </c>
      <c r="U45" s="1">
        <v>51136</v>
      </c>
      <c r="V45" s="1">
        <v>51502</v>
      </c>
      <c r="W45" s="1">
        <v>51867</v>
      </c>
      <c r="X45" s="1">
        <v>52232</v>
      </c>
      <c r="Y45" s="1">
        <v>52597</v>
      </c>
      <c r="Z45" s="1">
        <v>52963</v>
      </c>
      <c r="AA45" s="1">
        <v>53328</v>
      </c>
      <c r="AB45" s="1">
        <v>53693</v>
      </c>
      <c r="AC45" s="1">
        <v>54058</v>
      </c>
      <c r="AD45" s="1">
        <v>54424</v>
      </c>
      <c r="AE45" s="1">
        <v>54789</v>
      </c>
    </row>
    <row r="46" spans="3:31" x14ac:dyDescent="0.25">
      <c r="C46" t="s">
        <v>1</v>
      </c>
      <c r="D46" s="7">
        <v>0</v>
      </c>
      <c r="E46" s="2">
        <f>2000*$D$3</f>
        <v>24000</v>
      </c>
      <c r="F46" s="2">
        <f t="shared" ref="F46" si="13">2000*$D$3</f>
        <v>24000</v>
      </c>
      <c r="G46" s="2">
        <f>3000*$D$3</f>
        <v>36000</v>
      </c>
      <c r="H46" s="2">
        <f t="shared" ref="H46:I46" si="14">3000*$D$3</f>
        <v>36000</v>
      </c>
      <c r="I46" s="2">
        <f t="shared" si="14"/>
        <v>36000</v>
      </c>
      <c r="J46" s="2">
        <f>4000*$D$3</f>
        <v>48000</v>
      </c>
      <c r="K46" s="2">
        <f t="shared" ref="K46:L46" si="15">4000*$D$3</f>
        <v>48000</v>
      </c>
      <c r="L46" s="2">
        <f t="shared" si="15"/>
        <v>48000</v>
      </c>
      <c r="M46" s="2">
        <f>5000*$D$3</f>
        <v>60000</v>
      </c>
      <c r="N46" s="2">
        <f t="shared" ref="N46:O46" si="16">5000*$D$3</f>
        <v>60000</v>
      </c>
      <c r="O46" s="2">
        <f t="shared" si="16"/>
        <v>60000</v>
      </c>
      <c r="P46" s="2">
        <f>6000*$D$3</f>
        <v>72000</v>
      </c>
      <c r="Q46" s="2">
        <f t="shared" ref="Q46:R46" si="17">6000*$D$3</f>
        <v>72000</v>
      </c>
      <c r="R46" s="2">
        <f t="shared" si="17"/>
        <v>72000</v>
      </c>
      <c r="S46" s="2">
        <f>7000*$D$3</f>
        <v>84000</v>
      </c>
      <c r="T46" s="2">
        <f t="shared" ref="T46:U46" si="18">7000*$D$3</f>
        <v>84000</v>
      </c>
      <c r="U46" s="2">
        <f t="shared" si="18"/>
        <v>84000</v>
      </c>
      <c r="V46" s="2">
        <f>8000*$D$3</f>
        <v>96000</v>
      </c>
      <c r="W46" s="2">
        <f t="shared" ref="W46:X46" si="19">8000*$D$3</f>
        <v>96000</v>
      </c>
      <c r="X46" s="2">
        <f t="shared" si="19"/>
        <v>96000</v>
      </c>
      <c r="Y46" s="2">
        <f>9000*$D$3</f>
        <v>108000</v>
      </c>
      <c r="Z46" s="2">
        <f t="shared" ref="Z46:AA46" si="20">9000*$D$3</f>
        <v>108000</v>
      </c>
      <c r="AA46" s="2">
        <f t="shared" si="20"/>
        <v>108000</v>
      </c>
      <c r="AB46" s="2">
        <f>10000*$D$3</f>
        <v>120000</v>
      </c>
      <c r="AC46" s="2">
        <f t="shared" ref="AC46:AD46" si="21">10000*$D$3</f>
        <v>120000</v>
      </c>
      <c r="AD46" s="2">
        <f t="shared" si="21"/>
        <v>120000</v>
      </c>
      <c r="AE46" s="2">
        <f>11000*$D$3</f>
        <v>132000</v>
      </c>
    </row>
    <row r="47" spans="3:31" x14ac:dyDescent="0.25">
      <c r="C47" t="s">
        <v>3</v>
      </c>
      <c r="D47" s="2">
        <v>0</v>
      </c>
      <c r="E47" s="2">
        <f>E46*$D$41+D47+E53-E54-E55-E48*(1-$D$42)</f>
        <v>12000</v>
      </c>
      <c r="F47" s="2">
        <f t="shared" ref="F47:AE47" si="22">F46*$D$41+E47+F53-F54-F55-F48*(1-$D$42)</f>
        <v>24000</v>
      </c>
      <c r="G47" s="2">
        <f t="shared" si="22"/>
        <v>4500</v>
      </c>
      <c r="H47" s="2">
        <f t="shared" si="22"/>
        <v>20820</v>
      </c>
      <c r="I47" s="2">
        <f t="shared" si="22"/>
        <v>36978.75</v>
      </c>
      <c r="J47" s="2">
        <f t="shared" si="22"/>
        <v>21867.875</v>
      </c>
      <c r="K47" s="2">
        <f t="shared" si="22"/>
        <v>4924.6958333333387</v>
      </c>
      <c r="L47" s="2">
        <f t="shared" si="22"/>
        <v>23879.289305555565</v>
      </c>
      <c r="M47" s="2">
        <f t="shared" si="22"/>
        <v>12009.062995370383</v>
      </c>
      <c r="N47" s="2">
        <f t="shared" si="22"/>
        <v>36236.510895524705</v>
      </c>
      <c r="O47" s="2">
        <f t="shared" si="22"/>
        <v>23832.377199007213</v>
      </c>
      <c r="P47" s="2">
        <f t="shared" si="22"/>
        <v>16212.714625706969</v>
      </c>
      <c r="Q47" s="2">
        <f t="shared" si="22"/>
        <v>7587.0408048500685</v>
      </c>
      <c r="R47" s="2">
        <f t="shared" si="22"/>
        <v>35657.889444688393</v>
      </c>
      <c r="S47" s="2">
        <f t="shared" si="22"/>
        <v>33676.043129865444</v>
      </c>
      <c r="T47" s="2">
        <f t="shared" si="22"/>
        <v>31038.258358869934</v>
      </c>
      <c r="U47" s="2">
        <f t="shared" si="22"/>
        <v>27935.399746907598</v>
      </c>
      <c r="V47" s="2">
        <f t="shared" si="22"/>
        <v>30551.96975534402</v>
      </c>
      <c r="W47" s="2">
        <f t="shared" si="22"/>
        <v>33066.320763499229</v>
      </c>
      <c r="X47" s="2">
        <f t="shared" si="22"/>
        <v>35650.860071382602</v>
      </c>
      <c r="Y47" s="2">
        <f t="shared" si="22"/>
        <v>44472.248069003181</v>
      </c>
      <c r="Z47" s="2">
        <f t="shared" si="22"/>
        <v>53691.589800036396</v>
      </c>
      <c r="AA47" s="2">
        <f t="shared" si="22"/>
        <v>63464.620140035171</v>
      </c>
      <c r="AB47" s="2">
        <f t="shared" si="22"/>
        <v>79941.882802034001</v>
      </c>
      <c r="AC47" s="2">
        <f t="shared" si="22"/>
        <v>97268.90337529956</v>
      </c>
      <c r="AD47" s="2">
        <f t="shared" si="22"/>
        <v>115586.35659612293</v>
      </c>
      <c r="AE47" s="2">
        <f t="shared" si="22"/>
        <v>141030.22804291887</v>
      </c>
    </row>
    <row r="48" spans="3:31" x14ac:dyDescent="0.25">
      <c r="C48" t="s">
        <v>4</v>
      </c>
      <c r="D48" s="2">
        <v>0</v>
      </c>
      <c r="E48" s="2">
        <f>IF(E46*$D$41+D47+E53-E54-E55-$D$37*(1-$D$42)&gt;=0,$D$37,0)</f>
        <v>0</v>
      </c>
      <c r="F48" s="2">
        <f t="shared" ref="F48:AE48" si="23">IF(F46*$D$41+E47+F53-F54-F55-$D$37*(1-$D$42)&gt;=0,$D$37,0)</f>
        <v>0</v>
      </c>
      <c r="G48" s="2">
        <f t="shared" si="23"/>
        <v>150000</v>
      </c>
      <c r="H48" s="2">
        <f t="shared" si="23"/>
        <v>0</v>
      </c>
      <c r="I48" s="2">
        <f t="shared" si="23"/>
        <v>0</v>
      </c>
      <c r="J48" s="2">
        <f t="shared" si="23"/>
        <v>150000</v>
      </c>
      <c r="K48" s="2">
        <f t="shared" si="23"/>
        <v>150000</v>
      </c>
      <c r="L48" s="2">
        <f t="shared" si="23"/>
        <v>0</v>
      </c>
      <c r="M48" s="2">
        <f t="shared" si="23"/>
        <v>150000</v>
      </c>
      <c r="N48" s="2">
        <f t="shared" si="23"/>
        <v>0</v>
      </c>
      <c r="O48" s="2">
        <f t="shared" si="23"/>
        <v>150000</v>
      </c>
      <c r="P48" s="2">
        <f t="shared" si="23"/>
        <v>150000</v>
      </c>
      <c r="Q48" s="2">
        <f t="shared" si="23"/>
        <v>150000</v>
      </c>
      <c r="R48" s="2">
        <f t="shared" si="23"/>
        <v>0</v>
      </c>
      <c r="S48" s="2">
        <f t="shared" si="23"/>
        <v>150000</v>
      </c>
      <c r="T48" s="2">
        <f t="shared" si="23"/>
        <v>150000</v>
      </c>
      <c r="U48" s="2">
        <f t="shared" si="23"/>
        <v>150000</v>
      </c>
      <c r="V48" s="2">
        <f t="shared" si="23"/>
        <v>150000</v>
      </c>
      <c r="W48" s="2">
        <f t="shared" si="23"/>
        <v>150000</v>
      </c>
      <c r="X48" s="2">
        <f t="shared" si="23"/>
        <v>150000</v>
      </c>
      <c r="Y48" s="2">
        <f t="shared" si="23"/>
        <v>150000</v>
      </c>
      <c r="Z48" s="2">
        <f t="shared" si="23"/>
        <v>150000</v>
      </c>
      <c r="AA48" s="2">
        <f t="shared" si="23"/>
        <v>150000</v>
      </c>
      <c r="AB48" s="2">
        <f t="shared" si="23"/>
        <v>150000</v>
      </c>
      <c r="AC48" s="2">
        <f t="shared" si="23"/>
        <v>150000</v>
      </c>
      <c r="AD48" s="2">
        <f t="shared" si="23"/>
        <v>150000</v>
      </c>
      <c r="AE48" s="2">
        <f t="shared" si="23"/>
        <v>150000</v>
      </c>
    </row>
    <row r="49" spans="3:31" x14ac:dyDescent="0.25">
      <c r="C49" t="s">
        <v>27</v>
      </c>
      <c r="D49" s="2">
        <v>0</v>
      </c>
      <c r="E49" s="2">
        <f>E48*$D$42+D49-E54</f>
        <v>0</v>
      </c>
      <c r="F49" s="2">
        <f t="shared" ref="F49:AE49" si="24">F48*$D$42+E49-F54</f>
        <v>0</v>
      </c>
      <c r="G49" s="2">
        <f t="shared" si="24"/>
        <v>112500</v>
      </c>
      <c r="H49" s="2">
        <f>H48*$D$42+G49-H54</f>
        <v>109125</v>
      </c>
      <c r="I49" s="2">
        <f t="shared" si="24"/>
        <v>105487.5</v>
      </c>
      <c r="J49" s="2">
        <f t="shared" si="24"/>
        <v>214471.25</v>
      </c>
      <c r="K49" s="2">
        <f t="shared" si="24"/>
        <v>319822.20833333331</v>
      </c>
      <c r="L49" s="2">
        <f t="shared" si="24"/>
        <v>309161.46805555554</v>
      </c>
      <c r="M49" s="2">
        <f t="shared" si="24"/>
        <v>411356.08578703704</v>
      </c>
      <c r="N49" s="2">
        <f t="shared" si="24"/>
        <v>397644.21626080247</v>
      </c>
      <c r="O49" s="2">
        <f t="shared" si="24"/>
        <v>496889.40905210905</v>
      </c>
      <c r="P49" s="2">
        <f t="shared" si="24"/>
        <v>592826.42875037214</v>
      </c>
      <c r="Q49" s="2">
        <f t="shared" si="24"/>
        <v>685565.54779202642</v>
      </c>
      <c r="R49" s="2">
        <f t="shared" si="24"/>
        <v>662713.36286562553</v>
      </c>
      <c r="S49" s="2">
        <f t="shared" si="24"/>
        <v>753122.91743677133</v>
      </c>
      <c r="T49" s="2">
        <f t="shared" si="24"/>
        <v>840518.82018887892</v>
      </c>
      <c r="U49" s="2">
        <f t="shared" si="24"/>
        <v>925001.52618258295</v>
      </c>
      <c r="V49" s="2">
        <f t="shared" si="24"/>
        <v>1006668.1419764969</v>
      </c>
      <c r="W49" s="2">
        <f t="shared" si="24"/>
        <v>1085612.5372439469</v>
      </c>
      <c r="X49" s="2">
        <f t="shared" si="24"/>
        <v>1161925.4526691488</v>
      </c>
      <c r="Y49" s="2">
        <f t="shared" si="24"/>
        <v>1235694.6042468438</v>
      </c>
      <c r="Z49" s="2">
        <f t="shared" si="24"/>
        <v>1307004.7841052823</v>
      </c>
      <c r="AA49" s="2">
        <f t="shared" si="24"/>
        <v>1375937.9579684394</v>
      </c>
      <c r="AB49" s="2">
        <f t="shared" si="24"/>
        <v>1442573.3593694915</v>
      </c>
      <c r="AC49" s="2">
        <f t="shared" si="24"/>
        <v>1506987.5807238417</v>
      </c>
      <c r="AD49" s="2">
        <f t="shared" si="24"/>
        <v>1569254.6613663803</v>
      </c>
      <c r="AE49" s="2">
        <f t="shared" si="24"/>
        <v>1629446.1726541675</v>
      </c>
    </row>
    <row r="50" spans="3:31" x14ac:dyDescent="0.25">
      <c r="C50" t="s">
        <v>12</v>
      </c>
      <c r="D50" s="2">
        <v>0</v>
      </c>
      <c r="E50" s="2">
        <f>COUNTIF($D$48:D48,$D$37)*$D$38*$D$35</f>
        <v>0</v>
      </c>
      <c r="F50" s="2">
        <f>COUNTIF($D$48:E48,$D$37)*$D$38*$D$35</f>
        <v>0</v>
      </c>
      <c r="G50" s="2">
        <f>COUNTIF($D$48:F48,$D$37)*$D$38*$D$35</f>
        <v>0</v>
      </c>
      <c r="H50" s="2">
        <f>COUNTIF($D$48:G48,$D$37)*$D$38*$D$35</f>
        <v>7800</v>
      </c>
      <c r="I50" s="2">
        <f>COUNTIF($D$48:H48,$D$37)*$D$38*$D$35</f>
        <v>7800</v>
      </c>
      <c r="J50" s="2">
        <f>COUNTIF($D$48:I48,$D$37)*$D$38*$D$35</f>
        <v>7800</v>
      </c>
      <c r="K50" s="2">
        <f>COUNTIF($D$48:J48,$D$37)*$D$38*$D$35</f>
        <v>15600</v>
      </c>
      <c r="L50" s="2">
        <f>COUNTIF($D$48:K48,$D$37)*$D$38*$D$35</f>
        <v>23400</v>
      </c>
      <c r="M50" s="2">
        <f>COUNTIF($D$48:L48,$D$37)*$D$38*$D$35</f>
        <v>23400</v>
      </c>
      <c r="N50" s="2">
        <f>COUNTIF($D$48:M48,$D$37)*$D$38*$D$35</f>
        <v>31200</v>
      </c>
      <c r="O50" s="2">
        <f>COUNTIF($D$48:N48,$D$37)*$D$38*$D$35</f>
        <v>31200</v>
      </c>
      <c r="P50" s="2">
        <f>COUNTIF($D$48:O48,$D$37)*$D$38*$D$35</f>
        <v>39000</v>
      </c>
      <c r="Q50" s="2">
        <f>COUNTIF($D$48:P48,$D$37)*$D$38*$D$35</f>
        <v>46800</v>
      </c>
      <c r="R50" s="2">
        <f>COUNTIF($D$48:Q48,$D$37)*$D$38*$D$35</f>
        <v>54600</v>
      </c>
      <c r="S50" s="2">
        <f>COUNTIF($D$48:R48,$D$37)*$D$38*$D$35</f>
        <v>54600</v>
      </c>
      <c r="T50" s="2">
        <f>COUNTIF($D$48:S48,$D$37)*$D$38*$D$35</f>
        <v>62400</v>
      </c>
      <c r="U50" s="2">
        <f>COUNTIF($D$48:T48,$D$37)*$D$38*$D$35</f>
        <v>70200</v>
      </c>
      <c r="V50" s="2">
        <f>COUNTIF($D$48:U48,$D$37)*$D$38*$D$35</f>
        <v>78000</v>
      </c>
      <c r="W50" s="2">
        <f>COUNTIF($D$48:V48,$D$37)*$D$38*$D$35</f>
        <v>85800</v>
      </c>
      <c r="X50" s="2">
        <f>COUNTIF($D$48:W48,$D$37)*$D$38*$D$35</f>
        <v>93600</v>
      </c>
      <c r="Y50" s="2">
        <f>COUNTIF($D$48:X48,$D$37)*$D$38*$D$35</f>
        <v>101400</v>
      </c>
      <c r="Z50" s="2">
        <f>COUNTIF($D$48:Y48,$D$37)*$D$38*$D$35</f>
        <v>109200</v>
      </c>
      <c r="AA50" s="2">
        <f>COUNTIF($D$48:Z48,$D$37)*$D$38*$D$35</f>
        <v>117000</v>
      </c>
      <c r="AB50" s="2">
        <f>COUNTIF($D$48:AA48,$D$37)*$D$38*$D$35</f>
        <v>124800</v>
      </c>
      <c r="AC50" s="2">
        <f>COUNTIF($D$48:AB48,$D$37)*$D$38*$D$35</f>
        <v>132600</v>
      </c>
      <c r="AD50" s="2">
        <f>COUNTIF($D$48:AC48,$D$37)*$D$38*$D$35</f>
        <v>140400</v>
      </c>
      <c r="AE50" s="2">
        <f>COUNTIF($D$48:AD48,$D$37)*$D$38*$D$35</f>
        <v>148200</v>
      </c>
    </row>
    <row r="51" spans="3:31" x14ac:dyDescent="0.25">
      <c r="C51" t="s">
        <v>8</v>
      </c>
      <c r="D51" s="2">
        <v>0</v>
      </c>
      <c r="E51" s="2">
        <f>E50*$D$39</f>
        <v>0</v>
      </c>
      <c r="F51" s="2">
        <f t="shared" ref="F51:AE51" si="25">F50*$D$39</f>
        <v>0</v>
      </c>
      <c r="G51" s="2">
        <f t="shared" si="25"/>
        <v>0</v>
      </c>
      <c r="H51" s="2">
        <f t="shared" si="25"/>
        <v>780</v>
      </c>
      <c r="I51" s="2">
        <f t="shared" si="25"/>
        <v>780</v>
      </c>
      <c r="J51" s="2">
        <f t="shared" si="25"/>
        <v>780</v>
      </c>
      <c r="K51" s="2">
        <f t="shared" si="25"/>
        <v>1560</v>
      </c>
      <c r="L51" s="2">
        <f t="shared" si="25"/>
        <v>2340</v>
      </c>
      <c r="M51" s="2">
        <f t="shared" si="25"/>
        <v>2340</v>
      </c>
      <c r="N51" s="2">
        <f t="shared" si="25"/>
        <v>3120</v>
      </c>
      <c r="O51" s="2">
        <f t="shared" si="25"/>
        <v>3120</v>
      </c>
      <c r="P51" s="2">
        <f>P50*$D$39</f>
        <v>3900</v>
      </c>
      <c r="Q51" s="2">
        <f t="shared" si="25"/>
        <v>4680</v>
      </c>
      <c r="R51" s="2">
        <f t="shared" si="25"/>
        <v>5460</v>
      </c>
      <c r="S51" s="2">
        <f t="shared" si="25"/>
        <v>5460</v>
      </c>
      <c r="T51" s="2">
        <f t="shared" si="25"/>
        <v>6240</v>
      </c>
      <c r="U51" s="2">
        <f t="shared" si="25"/>
        <v>7020</v>
      </c>
      <c r="V51" s="2">
        <f t="shared" si="25"/>
        <v>7800</v>
      </c>
      <c r="W51" s="2">
        <f t="shared" si="25"/>
        <v>8580</v>
      </c>
      <c r="X51" s="2">
        <f t="shared" si="25"/>
        <v>9360</v>
      </c>
      <c r="Y51" s="2">
        <f t="shared" si="25"/>
        <v>10140</v>
      </c>
      <c r="Z51" s="2">
        <f t="shared" si="25"/>
        <v>10920</v>
      </c>
      <c r="AA51" s="2">
        <f t="shared" si="25"/>
        <v>11700</v>
      </c>
      <c r="AB51" s="2">
        <f t="shared" si="25"/>
        <v>12480</v>
      </c>
      <c r="AC51" s="2">
        <f t="shared" si="25"/>
        <v>13260</v>
      </c>
      <c r="AD51" s="2">
        <f t="shared" si="25"/>
        <v>14040</v>
      </c>
      <c r="AE51" s="2">
        <f t="shared" si="25"/>
        <v>14820</v>
      </c>
    </row>
    <row r="52" spans="3:31" x14ac:dyDescent="0.25">
      <c r="C52" t="s">
        <v>10</v>
      </c>
      <c r="D52" s="2">
        <v>0</v>
      </c>
      <c r="E52" s="2">
        <f>$D$40*E50</f>
        <v>0</v>
      </c>
      <c r="F52" s="2">
        <f t="shared" ref="F52:AE52" si="26">$D$40*F50</f>
        <v>0</v>
      </c>
      <c r="G52" s="2">
        <f t="shared" si="26"/>
        <v>0</v>
      </c>
      <c r="H52" s="2">
        <f t="shared" si="26"/>
        <v>1950</v>
      </c>
      <c r="I52" s="2">
        <f t="shared" si="26"/>
        <v>1950</v>
      </c>
      <c r="J52" s="2">
        <f t="shared" si="26"/>
        <v>1950</v>
      </c>
      <c r="K52" s="2">
        <f t="shared" si="26"/>
        <v>3900</v>
      </c>
      <c r="L52" s="2">
        <f t="shared" si="26"/>
        <v>5850</v>
      </c>
      <c r="M52" s="2">
        <f t="shared" si="26"/>
        <v>5850</v>
      </c>
      <c r="N52" s="2">
        <f t="shared" si="26"/>
        <v>7800</v>
      </c>
      <c r="O52" s="2">
        <f t="shared" si="26"/>
        <v>7800</v>
      </c>
      <c r="P52" s="2">
        <f t="shared" si="26"/>
        <v>9750</v>
      </c>
      <c r="Q52" s="2">
        <f t="shared" si="26"/>
        <v>11700</v>
      </c>
      <c r="R52" s="2">
        <f t="shared" si="26"/>
        <v>13650</v>
      </c>
      <c r="S52" s="2">
        <f t="shared" si="26"/>
        <v>13650</v>
      </c>
      <c r="T52" s="2">
        <f t="shared" si="26"/>
        <v>15600</v>
      </c>
      <c r="U52" s="2">
        <f t="shared" si="26"/>
        <v>17550</v>
      </c>
      <c r="V52" s="2">
        <f t="shared" si="26"/>
        <v>19500</v>
      </c>
      <c r="W52" s="2">
        <f t="shared" si="26"/>
        <v>21450</v>
      </c>
      <c r="X52" s="2">
        <f t="shared" si="26"/>
        <v>23400</v>
      </c>
      <c r="Y52" s="2">
        <f t="shared" si="26"/>
        <v>25350</v>
      </c>
      <c r="Z52" s="2">
        <f t="shared" si="26"/>
        <v>27300</v>
      </c>
      <c r="AA52" s="2">
        <f t="shared" si="26"/>
        <v>29250</v>
      </c>
      <c r="AB52" s="2">
        <f t="shared" si="26"/>
        <v>31200</v>
      </c>
      <c r="AC52" s="2">
        <f t="shared" si="26"/>
        <v>33150</v>
      </c>
      <c r="AD52" s="2">
        <f t="shared" si="26"/>
        <v>35100</v>
      </c>
      <c r="AE52" s="2">
        <f t="shared" si="26"/>
        <v>37050</v>
      </c>
    </row>
    <row r="53" spans="3:31" x14ac:dyDescent="0.25">
      <c r="C53" t="s">
        <v>13</v>
      </c>
      <c r="D53" s="2">
        <v>0</v>
      </c>
      <c r="E53" s="2">
        <f>E50-E51-E52</f>
        <v>0</v>
      </c>
      <c r="F53" s="2">
        <f t="shared" ref="F53:AE53" si="27">F50-F51-F52</f>
        <v>0</v>
      </c>
      <c r="G53" s="2">
        <f t="shared" si="27"/>
        <v>0</v>
      </c>
      <c r="H53" s="2">
        <f t="shared" si="27"/>
        <v>5070</v>
      </c>
      <c r="I53" s="2">
        <f t="shared" si="27"/>
        <v>5070</v>
      </c>
      <c r="J53" s="2">
        <f t="shared" si="27"/>
        <v>5070</v>
      </c>
      <c r="K53" s="2">
        <f t="shared" si="27"/>
        <v>10140</v>
      </c>
      <c r="L53" s="2">
        <f t="shared" si="27"/>
        <v>15210</v>
      </c>
      <c r="M53" s="2">
        <f t="shared" si="27"/>
        <v>15210</v>
      </c>
      <c r="N53" s="2">
        <f t="shared" si="27"/>
        <v>20280</v>
      </c>
      <c r="O53" s="2">
        <f t="shared" si="27"/>
        <v>20280</v>
      </c>
      <c r="P53" s="2">
        <f t="shared" si="27"/>
        <v>25350</v>
      </c>
      <c r="Q53" s="2">
        <f t="shared" si="27"/>
        <v>30420</v>
      </c>
      <c r="R53" s="2">
        <f t="shared" si="27"/>
        <v>35490</v>
      </c>
      <c r="S53" s="2">
        <f t="shared" si="27"/>
        <v>35490</v>
      </c>
      <c r="T53" s="2">
        <f t="shared" si="27"/>
        <v>40560</v>
      </c>
      <c r="U53" s="2">
        <f t="shared" si="27"/>
        <v>45630</v>
      </c>
      <c r="V53" s="2">
        <f t="shared" si="27"/>
        <v>50700</v>
      </c>
      <c r="W53" s="2">
        <f t="shared" si="27"/>
        <v>55770</v>
      </c>
      <c r="X53" s="2">
        <f t="shared" si="27"/>
        <v>60840</v>
      </c>
      <c r="Y53" s="2">
        <f t="shared" si="27"/>
        <v>65910</v>
      </c>
      <c r="Z53" s="2">
        <f t="shared" si="27"/>
        <v>70980</v>
      </c>
      <c r="AA53" s="2">
        <f t="shared" si="27"/>
        <v>76050</v>
      </c>
      <c r="AB53" s="2">
        <f t="shared" si="27"/>
        <v>81120</v>
      </c>
      <c r="AC53" s="2">
        <f t="shared" si="27"/>
        <v>86190</v>
      </c>
      <c r="AD53" s="2">
        <f t="shared" si="27"/>
        <v>91260</v>
      </c>
      <c r="AE53" s="2">
        <f t="shared" si="27"/>
        <v>96330</v>
      </c>
    </row>
    <row r="54" spans="3:31" x14ac:dyDescent="0.25">
      <c r="C54" t="s">
        <v>34</v>
      </c>
      <c r="D54" s="2">
        <v>0</v>
      </c>
      <c r="E54" s="2">
        <f>D49*$D$43</f>
        <v>0</v>
      </c>
      <c r="F54" s="2">
        <f t="shared" ref="F54:AE54" si="28">E49*$D$43</f>
        <v>0</v>
      </c>
      <c r="G54" s="2">
        <f t="shared" si="28"/>
        <v>0</v>
      </c>
      <c r="H54" s="2">
        <f t="shared" si="28"/>
        <v>3375</v>
      </c>
      <c r="I54" s="2">
        <f>H49/$D$44</f>
        <v>3637.5</v>
      </c>
      <c r="J54" s="2">
        <f t="shared" ref="J54:AE54" si="29">I49/$D$44</f>
        <v>3516.25</v>
      </c>
      <c r="K54" s="2">
        <f t="shared" si="29"/>
        <v>7149.041666666667</v>
      </c>
      <c r="L54" s="2">
        <f t="shared" si="29"/>
        <v>10660.740277777777</v>
      </c>
      <c r="M54" s="2">
        <f t="shared" si="29"/>
        <v>10305.382268518519</v>
      </c>
      <c r="N54" s="2">
        <f t="shared" si="29"/>
        <v>13711.869526234568</v>
      </c>
      <c r="O54" s="2">
        <f t="shared" si="29"/>
        <v>13254.807208693415</v>
      </c>
      <c r="P54" s="2">
        <f>O49/$D$44</f>
        <v>16562.980301736967</v>
      </c>
      <c r="Q54" s="2">
        <f t="shared" si="29"/>
        <v>19760.880958345737</v>
      </c>
      <c r="R54" s="2">
        <f t="shared" si="29"/>
        <v>22852.184926400882</v>
      </c>
      <c r="S54" s="2">
        <f t="shared" si="29"/>
        <v>22090.445428854186</v>
      </c>
      <c r="T54" s="2">
        <f t="shared" si="29"/>
        <v>25104.097247892376</v>
      </c>
      <c r="U54" s="2">
        <f t="shared" si="29"/>
        <v>28017.294006295964</v>
      </c>
      <c r="V54" s="2">
        <f t="shared" si="29"/>
        <v>30833.384206086099</v>
      </c>
      <c r="W54" s="2">
        <f t="shared" si="29"/>
        <v>33555.604732549895</v>
      </c>
      <c r="X54" s="2">
        <f t="shared" si="29"/>
        <v>36187.084574798231</v>
      </c>
      <c r="Y54" s="2">
        <f t="shared" si="29"/>
        <v>38730.84842230496</v>
      </c>
      <c r="Z54" s="2">
        <f t="shared" si="29"/>
        <v>41189.82014156146</v>
      </c>
      <c r="AA54" s="2">
        <f t="shared" si="29"/>
        <v>43566.826136842741</v>
      </c>
      <c r="AB54" s="2">
        <f t="shared" si="29"/>
        <v>45864.598598947981</v>
      </c>
      <c r="AC54" s="2">
        <f t="shared" si="29"/>
        <v>48085.778645649712</v>
      </c>
      <c r="AD54" s="2">
        <f t="shared" si="29"/>
        <v>50232.919357461389</v>
      </c>
      <c r="AE54" s="2">
        <f t="shared" si="29"/>
        <v>52308.488712212675</v>
      </c>
    </row>
    <row r="55" spans="3:31" x14ac:dyDescent="0.25">
      <c r="C55" t="s">
        <v>35</v>
      </c>
      <c r="D55" s="2">
        <v>0</v>
      </c>
      <c r="E55" s="2">
        <f>D49*$D$43</f>
        <v>0</v>
      </c>
      <c r="F55" s="2">
        <f t="shared" ref="F55:AE55" si="30">E49*$D$43</f>
        <v>0</v>
      </c>
      <c r="G55" s="2">
        <f t="shared" si="30"/>
        <v>0</v>
      </c>
      <c r="H55" s="2">
        <f t="shared" si="30"/>
        <v>3375</v>
      </c>
      <c r="I55" s="2">
        <f>H49*$D$43</f>
        <v>3273.75</v>
      </c>
      <c r="J55" s="2">
        <f t="shared" si="30"/>
        <v>3164.625</v>
      </c>
      <c r="K55" s="2">
        <f t="shared" si="30"/>
        <v>6434.1374999999998</v>
      </c>
      <c r="L55" s="2">
        <f t="shared" si="30"/>
        <v>9594.6662499999984</v>
      </c>
      <c r="M55" s="2">
        <f t="shared" si="30"/>
        <v>9274.8440416666654</v>
      </c>
      <c r="N55" s="2">
        <f t="shared" si="30"/>
        <v>12340.682573611111</v>
      </c>
      <c r="O55" s="2">
        <f t="shared" si="30"/>
        <v>11929.326487824073</v>
      </c>
      <c r="P55" s="10">
        <f>O49*$D$43</f>
        <v>14906.682271563272</v>
      </c>
      <c r="Q55" s="2">
        <f t="shared" si="30"/>
        <v>17784.792862511164</v>
      </c>
      <c r="R55" s="2">
        <f t="shared" si="30"/>
        <v>20566.966433760794</v>
      </c>
      <c r="S55" s="2">
        <f t="shared" si="30"/>
        <v>19881.400885968764</v>
      </c>
      <c r="T55" s="2">
        <f t="shared" si="30"/>
        <v>22593.687523103137</v>
      </c>
      <c r="U55" s="2">
        <f t="shared" si="30"/>
        <v>25215.564605666368</v>
      </c>
      <c r="V55" s="2">
        <f t="shared" si="30"/>
        <v>27750.045785477487</v>
      </c>
      <c r="W55" s="2">
        <f t="shared" si="30"/>
        <v>30200.044259294908</v>
      </c>
      <c r="X55" s="2">
        <f t="shared" si="30"/>
        <v>32568.376117318407</v>
      </c>
      <c r="Y55" s="2">
        <f t="shared" si="30"/>
        <v>34857.763580074461</v>
      </c>
      <c r="Z55" s="2">
        <f t="shared" si="30"/>
        <v>37070.838127405317</v>
      </c>
      <c r="AA55" s="2">
        <f t="shared" si="30"/>
        <v>39210.143523158469</v>
      </c>
      <c r="AB55" s="2">
        <f t="shared" si="30"/>
        <v>41278.138739053182</v>
      </c>
      <c r="AC55" s="2">
        <f t="shared" si="30"/>
        <v>43277.200781084743</v>
      </c>
      <c r="AD55" s="2">
        <f t="shared" si="30"/>
        <v>45209.627421715246</v>
      </c>
      <c r="AE55" s="2">
        <f t="shared" si="30"/>
        <v>47077.639840991404</v>
      </c>
    </row>
    <row r="56" spans="3:31" x14ac:dyDescent="0.2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3:31" x14ac:dyDescent="0.25">
      <c r="C57" t="s">
        <v>15</v>
      </c>
      <c r="D57" s="2"/>
      <c r="E57" s="2"/>
      <c r="F57" s="2"/>
      <c r="G57" s="2"/>
      <c r="H57" s="2"/>
      <c r="I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3:31" x14ac:dyDescent="0.25">
      <c r="D58" s="2"/>
      <c r="E58" s="2"/>
      <c r="F58" s="2"/>
      <c r="G58" s="2"/>
      <c r="H58" s="2"/>
      <c r="I58" s="2"/>
      <c r="K58" s="1">
        <v>44927</v>
      </c>
      <c r="L58" s="1">
        <v>45292</v>
      </c>
      <c r="M58" s="1">
        <v>45658</v>
      </c>
      <c r="N58" s="1">
        <v>46023</v>
      </c>
      <c r="O58" s="1">
        <v>46388</v>
      </c>
      <c r="P58" s="1">
        <v>46753</v>
      </c>
      <c r="Q58" s="1">
        <v>47119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3:31" x14ac:dyDescent="0.25">
      <c r="C59" t="s">
        <v>16</v>
      </c>
      <c r="D59" s="2"/>
      <c r="E59" s="2"/>
      <c r="F59" s="2"/>
      <c r="G59" s="2"/>
      <c r="H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3:31" x14ac:dyDescent="0.25">
      <c r="C60" t="s">
        <v>21</v>
      </c>
      <c r="D60" s="2"/>
      <c r="E60" s="2"/>
      <c r="F60" s="2"/>
      <c r="G60" s="2"/>
      <c r="H60" s="2"/>
      <c r="J60" t="s">
        <v>1</v>
      </c>
      <c r="K60">
        <v>0</v>
      </c>
      <c r="L60">
        <v>24000</v>
      </c>
      <c r="M60">
        <v>24000</v>
      </c>
      <c r="N60">
        <v>36000</v>
      </c>
      <c r="O60">
        <v>36000</v>
      </c>
      <c r="P60">
        <v>36000</v>
      </c>
      <c r="Q60">
        <v>36000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3:31" x14ac:dyDescent="0.25">
      <c r="C61" t="s">
        <v>17</v>
      </c>
      <c r="D61" s="2">
        <f>AE46/2</f>
        <v>66000</v>
      </c>
      <c r="E61" s="2"/>
      <c r="F61" s="2"/>
      <c r="G61" s="2"/>
      <c r="H61" s="2"/>
      <c r="J61" t="s">
        <v>3</v>
      </c>
      <c r="K61">
        <f>K60/2</f>
        <v>0</v>
      </c>
      <c r="L61">
        <f>L60/2+K61</f>
        <v>12000</v>
      </c>
      <c r="M61">
        <f>M60/2+L61</f>
        <v>24000</v>
      </c>
      <c r="N61">
        <f>N60/2+M61-N62*25%</f>
        <v>4500</v>
      </c>
      <c r="O61" s="6">
        <f>O60/2+N61+O67-O68-O69</f>
        <v>20445</v>
      </c>
      <c r="P61" s="6">
        <f>P60/2+O61+P67-P68-P69-P62*(1-D42)</f>
        <v>36627.5</v>
      </c>
      <c r="Q61" s="6">
        <f>Q60/2+P61+Q67-Q68-Q69-Q62*(1-D42)</f>
        <v>15539.583333333336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3:31" x14ac:dyDescent="0.25">
      <c r="C62" t="s">
        <v>19</v>
      </c>
      <c r="D62" s="2">
        <f>AE53</f>
        <v>96330</v>
      </c>
      <c r="E62" s="2"/>
      <c r="F62" s="2"/>
      <c r="G62" s="2"/>
      <c r="H62" s="2"/>
      <c r="J62" t="s">
        <v>4</v>
      </c>
      <c r="K62">
        <v>0</v>
      </c>
      <c r="L62">
        <v>0</v>
      </c>
      <c r="N62">
        <v>150000</v>
      </c>
      <c r="O62" s="2"/>
      <c r="P62">
        <v>0</v>
      </c>
      <c r="Q62">
        <v>150000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3:31" x14ac:dyDescent="0.25">
      <c r="C63" t="s">
        <v>39</v>
      </c>
      <c r="D63" s="6">
        <f>AE55</f>
        <v>47077.639840991404</v>
      </c>
      <c r="E63" s="2"/>
      <c r="F63" s="2"/>
      <c r="G63" s="2"/>
      <c r="H63" s="2"/>
      <c r="J63" t="s">
        <v>27</v>
      </c>
      <c r="K63">
        <v>0</v>
      </c>
      <c r="L63">
        <v>0</v>
      </c>
      <c r="N63">
        <f>N62*75%</f>
        <v>112500</v>
      </c>
      <c r="O63" s="2">
        <f>112500-O68</f>
        <v>108750</v>
      </c>
      <c r="P63" s="6">
        <f>P62*75%+O63-P68</f>
        <v>105125</v>
      </c>
      <c r="Q63" s="8">
        <f>Q62*75%+P63-Q68</f>
        <v>214120.83333333334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3:31" x14ac:dyDescent="0.25">
      <c r="C64" t="s">
        <v>23</v>
      </c>
      <c r="D64" s="2">
        <f>D61+D62-D63</f>
        <v>115252.36015900859</v>
      </c>
      <c r="E64" s="2"/>
      <c r="F64" s="2"/>
      <c r="G64" s="2"/>
      <c r="H64" s="2"/>
      <c r="J64" t="s">
        <v>12</v>
      </c>
      <c r="K64">
        <v>0</v>
      </c>
      <c r="L64">
        <v>0</v>
      </c>
      <c r="O64" s="2">
        <f>$D$38*$D$35</f>
        <v>7800</v>
      </c>
      <c r="P64" s="2">
        <f>$D$38*$D$35</f>
        <v>7800</v>
      </c>
      <c r="Q64" s="2">
        <f>$D$38*$D$35</f>
        <v>7800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3:31" x14ac:dyDescent="0.25">
      <c r="C65" t="s">
        <v>22</v>
      </c>
      <c r="D65" s="2"/>
      <c r="E65" s="2"/>
      <c r="F65" s="2"/>
      <c r="G65" s="2"/>
      <c r="H65" s="2"/>
      <c r="J65" t="s">
        <v>8</v>
      </c>
      <c r="K65">
        <v>0</v>
      </c>
      <c r="L65">
        <v>0</v>
      </c>
      <c r="O65" s="2">
        <f>O64*$D$39</f>
        <v>780</v>
      </c>
      <c r="P65" s="2">
        <f>P64*$D$39</f>
        <v>780</v>
      </c>
      <c r="Q65" s="2">
        <f>Q64*$D$39</f>
        <v>780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3:31" x14ac:dyDescent="0.25">
      <c r="C66" t="s">
        <v>18</v>
      </c>
      <c r="D66" s="2">
        <f>AD47</f>
        <v>115586.35659612293</v>
      </c>
      <c r="E66" s="2">
        <f>AE47</f>
        <v>141030.22804291887</v>
      </c>
      <c r="F66" s="2"/>
      <c r="G66" s="2"/>
      <c r="H66" s="2"/>
      <c r="J66" t="s">
        <v>10</v>
      </c>
      <c r="K66">
        <v>0</v>
      </c>
      <c r="L66">
        <v>0</v>
      </c>
      <c r="O66" s="2">
        <f>O64*$D$40</f>
        <v>1950</v>
      </c>
      <c r="P66" s="2">
        <f>P64*$D$40</f>
        <v>1950</v>
      </c>
      <c r="Q66" s="2">
        <f>Q64*$D$40</f>
        <v>1950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3:31" x14ac:dyDescent="0.25">
      <c r="C67" t="s">
        <v>20</v>
      </c>
      <c r="D67" s="2">
        <f>(D34-1)*D37</f>
        <v>2850000</v>
      </c>
      <c r="E67" s="2">
        <f>D34*D37</f>
        <v>3000000</v>
      </c>
      <c r="F67" s="2"/>
      <c r="G67" s="2"/>
      <c r="H67" s="2"/>
      <c r="J67" t="s">
        <v>13</v>
      </c>
      <c r="K67">
        <v>0</v>
      </c>
      <c r="L67">
        <v>0</v>
      </c>
      <c r="O67" s="2">
        <f>O64-O65-O66</f>
        <v>5070</v>
      </c>
      <c r="P67" s="2">
        <f>P64-P65-P66</f>
        <v>5070</v>
      </c>
      <c r="Q67" s="2">
        <f>Q64-Q65-Q66</f>
        <v>5070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3:31" x14ac:dyDescent="0.25">
      <c r="C68" t="s">
        <v>33</v>
      </c>
      <c r="D68" s="2">
        <f>AD49</f>
        <v>1569254.6613663803</v>
      </c>
      <c r="E68" s="2">
        <f>AE49</f>
        <v>1629446.1726541675</v>
      </c>
      <c r="F68" s="2"/>
      <c r="G68" s="2"/>
      <c r="H68" s="2"/>
      <c r="I68" s="2"/>
      <c r="J68" t="s">
        <v>34</v>
      </c>
      <c r="K68">
        <v>0</v>
      </c>
      <c r="L68">
        <v>0</v>
      </c>
      <c r="M68" s="2"/>
      <c r="N68" s="2"/>
      <c r="O68" s="2">
        <f>N63/30</f>
        <v>3750</v>
      </c>
      <c r="P68" s="2">
        <f>O63/30</f>
        <v>3625</v>
      </c>
      <c r="Q68" s="10">
        <f>P63/30</f>
        <v>3504.1666666666665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3:31" x14ac:dyDescent="0.25">
      <c r="C69" t="s">
        <v>23</v>
      </c>
      <c r="D69" s="2">
        <f>D66+D67-D68</f>
        <v>1396331.6952297427</v>
      </c>
      <c r="E69" s="2">
        <f>E66+E67-E68</f>
        <v>1511584.0553887512</v>
      </c>
      <c r="F69" s="2"/>
      <c r="G69" s="2"/>
      <c r="H69" s="2"/>
      <c r="I69" s="2"/>
      <c r="J69" t="s">
        <v>35</v>
      </c>
      <c r="K69">
        <v>0</v>
      </c>
      <c r="L69">
        <v>0</v>
      </c>
      <c r="M69" s="2"/>
      <c r="N69" s="2"/>
      <c r="O69" s="2">
        <f>N63*3%</f>
        <v>3375</v>
      </c>
      <c r="P69" s="10">
        <f>O63*3%</f>
        <v>3262.5</v>
      </c>
      <c r="Q69" s="10">
        <f>P63*3%</f>
        <v>3153.75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3:31" x14ac:dyDescent="0.25">
      <c r="D70" s="2"/>
      <c r="E70" s="2">
        <f>D69-E69</f>
        <v>-115252.36015900853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">
        <v>46023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3:31" x14ac:dyDescent="0.2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">
        <v>38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3:31" x14ac:dyDescent="0.25">
      <c r="D72" s="2"/>
      <c r="E72" s="2"/>
      <c r="F72" s="2"/>
      <c r="G72" s="2"/>
      <c r="H72" s="2"/>
      <c r="I72" s="2"/>
      <c r="J72" s="2"/>
      <c r="L72" s="2">
        <v>-150000</v>
      </c>
      <c r="M72" s="2"/>
      <c r="N72" s="2"/>
      <c r="O72" s="2"/>
      <c r="P72" s="2"/>
      <c r="Q72" t="s">
        <v>4</v>
      </c>
      <c r="R72">
        <v>150000</v>
      </c>
      <c r="S72" s="2" t="s">
        <v>27</v>
      </c>
      <c r="T72" s="2">
        <f>N63</f>
        <v>112500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3:31" x14ac:dyDescent="0.25">
      <c r="D73" s="2"/>
      <c r="E73" s="2"/>
      <c r="F73" s="2"/>
      <c r="G73" s="2"/>
      <c r="H73" s="2"/>
      <c r="I73" s="2"/>
      <c r="J73" s="2" t="s">
        <v>28</v>
      </c>
      <c r="K73" s="2">
        <v>0</v>
      </c>
      <c r="L73" s="2"/>
      <c r="M73" s="2" t="s">
        <v>29</v>
      </c>
      <c r="N73" s="2" t="s">
        <v>30</v>
      </c>
      <c r="O73" s="2"/>
      <c r="P73" s="2"/>
      <c r="Q73" t="s">
        <v>3</v>
      </c>
      <c r="R73">
        <v>4500</v>
      </c>
      <c r="S73" s="2"/>
      <c r="T73" s="2">
        <f>R72+R73-T72</f>
        <v>42000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3:31" x14ac:dyDescent="0.25">
      <c r="D74" s="2"/>
      <c r="E74" s="2"/>
      <c r="F74" s="2"/>
      <c r="G74" s="2"/>
      <c r="H74" s="2"/>
      <c r="I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3:31" x14ac:dyDescent="0.25">
      <c r="D75" s="2"/>
      <c r="E75" s="2"/>
      <c r="F75" s="2"/>
      <c r="G75" s="2"/>
      <c r="H75" s="2"/>
      <c r="I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3:31" x14ac:dyDescent="0.25">
      <c r="D76" s="2"/>
      <c r="E76" s="2"/>
      <c r="F76" s="2"/>
      <c r="G76" s="2"/>
      <c r="H76" s="2"/>
      <c r="I76" s="2"/>
      <c r="J76" s="2"/>
      <c r="K76" s="2"/>
      <c r="L76" s="2">
        <v>-150000</v>
      </c>
      <c r="M76" s="2"/>
      <c r="N76" s="2"/>
      <c r="O76" s="2"/>
      <c r="P76" s="2"/>
      <c r="Q76" s="2"/>
      <c r="R76" s="9">
        <v>46388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3:31" x14ac:dyDescent="0.25">
      <c r="D77" s="2"/>
      <c r="E77" s="2"/>
      <c r="F77" s="2"/>
      <c r="G77" s="2"/>
      <c r="H77" s="2"/>
      <c r="I77" s="2"/>
      <c r="J77" s="2" t="s">
        <v>31</v>
      </c>
      <c r="K77" s="2">
        <v>7800</v>
      </c>
      <c r="L77" s="2"/>
      <c r="M77" s="2" t="s">
        <v>29</v>
      </c>
      <c r="N77" s="2">
        <f>K77+650*12</f>
        <v>15600</v>
      </c>
      <c r="O77" s="2"/>
      <c r="P77" s="2"/>
      <c r="Q77" s="2"/>
      <c r="R77" s="2" t="s">
        <v>38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3:31" x14ac:dyDescent="0.2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 t="s">
        <v>4</v>
      </c>
      <c r="R78" s="2">
        <f>N62</f>
        <v>150000</v>
      </c>
      <c r="S78" s="2" t="s">
        <v>27</v>
      </c>
      <c r="T78" s="2">
        <f>O63</f>
        <v>108750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3:31" x14ac:dyDescent="0.25">
      <c r="D79" s="2"/>
      <c r="E79" s="2"/>
      <c r="F79" s="2"/>
      <c r="G79" s="2"/>
      <c r="H79" s="2"/>
      <c r="I79" s="2"/>
      <c r="J79" s="2"/>
      <c r="K79" s="2"/>
      <c r="L79" s="2">
        <v>0</v>
      </c>
      <c r="M79" s="2"/>
      <c r="N79" s="2"/>
      <c r="O79" s="2"/>
      <c r="P79" s="2"/>
      <c r="Q79" s="2" t="s">
        <v>3</v>
      </c>
      <c r="R79" s="2">
        <f>O61</f>
        <v>20445</v>
      </c>
      <c r="S79" s="2"/>
      <c r="T79" s="2">
        <f>R78+R79-T78</f>
        <v>61695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3:31" x14ac:dyDescent="0.25">
      <c r="D80" s="2"/>
      <c r="E80" s="2"/>
      <c r="F80" s="2"/>
      <c r="G80" s="2"/>
      <c r="H80" s="2"/>
      <c r="I80" s="2"/>
      <c r="J80" s="2" t="s">
        <v>28</v>
      </c>
      <c r="K80" s="2">
        <v>0</v>
      </c>
      <c r="L80" s="2"/>
      <c r="M80" s="2" t="s">
        <v>29</v>
      </c>
      <c r="N80" s="2">
        <v>0</v>
      </c>
      <c r="O80" s="2"/>
      <c r="P80" s="2"/>
      <c r="Q80" s="2"/>
      <c r="R80" s="2"/>
      <c r="S80" s="2"/>
      <c r="T80" s="2">
        <f>T79-T73</f>
        <v>19695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4:31" x14ac:dyDescent="0.2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>
        <f>(O60/2)+O67-O69</f>
        <v>19695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4:31" x14ac:dyDescent="0.25">
      <c r="D82" s="2"/>
      <c r="E82" s="2"/>
      <c r="F82" s="2"/>
      <c r="G82" s="2"/>
      <c r="H82" s="2"/>
      <c r="I82" s="2"/>
      <c r="J82" s="2"/>
      <c r="K82" s="2"/>
      <c r="L82" s="2">
        <v>0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4:31" x14ac:dyDescent="0.25">
      <c r="D83" s="2"/>
      <c r="E83" s="2"/>
      <c r="F83" s="2"/>
      <c r="G83" s="2"/>
      <c r="H83" s="2"/>
      <c r="I83" s="2"/>
      <c r="J83" s="2" t="s">
        <v>31</v>
      </c>
      <c r="K83" s="2">
        <v>7800</v>
      </c>
      <c r="L83" s="2"/>
      <c r="M83" s="2" t="s">
        <v>32</v>
      </c>
      <c r="N83" s="2">
        <f>K83</f>
        <v>7800</v>
      </c>
      <c r="O83" s="2"/>
      <c r="P83" s="2"/>
      <c r="Q83" s="2"/>
      <c r="R83" s="9">
        <v>46753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4:31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 t="s">
        <v>38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4:31" x14ac:dyDescent="0.2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 t="s">
        <v>4</v>
      </c>
      <c r="R85" s="2">
        <f>N62+P62</f>
        <v>150000</v>
      </c>
      <c r="S85" s="2" t="s">
        <v>27</v>
      </c>
      <c r="T85" s="2">
        <f>P63</f>
        <v>105125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4:31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 t="s">
        <v>3</v>
      </c>
      <c r="R86" s="2">
        <f>P61</f>
        <v>36627.5</v>
      </c>
      <c r="S86" s="2"/>
      <c r="T86" s="2">
        <f>R85+R86-T85</f>
        <v>81502.5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4:31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0">
        <f>T86-T79</f>
        <v>19807.5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4:31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10">
        <f>P60/2+P67-P69</f>
        <v>19807.5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4:31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4:31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4:31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9">
        <v>46753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4:31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 t="s">
        <v>38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4:31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 t="s">
        <v>4</v>
      </c>
      <c r="R93" s="2">
        <f>Q62+N62</f>
        <v>300000</v>
      </c>
      <c r="S93" s="2" t="s">
        <v>27</v>
      </c>
      <c r="T93" s="2">
        <f>Q63</f>
        <v>214120.83333333334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4:31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 t="s">
        <v>3</v>
      </c>
      <c r="R94" s="2">
        <f>Q61</f>
        <v>15539.583333333336</v>
      </c>
      <c r="S94" s="2"/>
      <c r="T94" s="2">
        <f>R93+R94-T93</f>
        <v>101418.74999999997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4:31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10">
        <f>T94-T86</f>
        <v>19916.249999999971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4:31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10">
        <f>Q60/2+Q67-Q69</f>
        <v>19916.25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4:31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4:31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4:31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4:31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4:31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4:31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4:31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4:31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4:31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4:31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4:31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4:31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4:31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4:31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4:31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4:31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4:31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4:31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4:31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</sheetData>
  <mergeCells count="2">
    <mergeCell ref="C1:I1"/>
    <mergeCell ref="C33:I33"/>
  </mergeCells>
  <pageMargins left="0.7" right="0.7" top="0.75" bottom="0.75" header="0.3" footer="0.3"/>
  <pageSetup paperSize="9" orientation="portrait" r:id="rId1"/>
  <headerFooter>
    <oddFooter>&amp;R&amp;1#&amp;"Calibri"&amp;10&amp;K0078D7Classification 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E115"/>
  <sheetViews>
    <sheetView tabSelected="1" topLeftCell="A40" workbookViewId="0">
      <selection activeCell="E61" sqref="E61"/>
    </sheetView>
  </sheetViews>
  <sheetFormatPr defaultRowHeight="15" x14ac:dyDescent="0.25"/>
  <cols>
    <col min="2" max="2" width="11.140625" bestFit="1" customWidth="1"/>
    <col min="3" max="3" width="24.42578125" bestFit="1" customWidth="1"/>
    <col min="4" max="4" width="15.28515625" bestFit="1" customWidth="1"/>
    <col min="5" max="5" width="10.5703125" bestFit="1" customWidth="1"/>
    <col min="6" max="6" width="11.28515625" bestFit="1" customWidth="1"/>
    <col min="7" max="7" width="12.5703125" customWidth="1"/>
    <col min="8" max="25" width="11.5703125" bestFit="1" customWidth="1"/>
    <col min="26" max="26" width="13.28515625" bestFit="1" customWidth="1"/>
    <col min="27" max="27" width="11.5703125" bestFit="1" customWidth="1"/>
    <col min="28" max="28" width="13.28515625" bestFit="1" customWidth="1"/>
    <col min="29" max="29" width="11.5703125" bestFit="1" customWidth="1"/>
    <col min="30" max="31" width="13.28515625" bestFit="1" customWidth="1"/>
  </cols>
  <sheetData>
    <row r="1" spans="3:31" ht="46.5" customHeight="1" x14ac:dyDescent="0.25">
      <c r="C1" s="4" t="s">
        <v>24</v>
      </c>
      <c r="D1" s="4"/>
      <c r="E1" s="4"/>
      <c r="F1" s="4"/>
      <c r="G1" s="4"/>
      <c r="H1" s="4"/>
      <c r="I1" s="4"/>
    </row>
    <row r="2" spans="3:31" x14ac:dyDescent="0.25">
      <c r="C2" t="s">
        <v>6</v>
      </c>
      <c r="D2">
        <f>COUNTIF($D$13:$AD$13,-$D$5)</f>
        <v>9</v>
      </c>
    </row>
    <row r="3" spans="3:31" x14ac:dyDescent="0.25">
      <c r="C3" t="s">
        <v>2</v>
      </c>
      <c r="D3">
        <v>12</v>
      </c>
    </row>
    <row r="4" spans="3:31" x14ac:dyDescent="0.25">
      <c r="C4" t="s">
        <v>0</v>
      </c>
    </row>
    <row r="5" spans="3:31" x14ac:dyDescent="0.25">
      <c r="C5" t="s">
        <v>5</v>
      </c>
      <c r="D5" s="2">
        <v>150000</v>
      </c>
    </row>
    <row r="6" spans="3:31" x14ac:dyDescent="0.25">
      <c r="C6" t="s">
        <v>7</v>
      </c>
      <c r="D6">
        <v>650</v>
      </c>
    </row>
    <row r="7" spans="3:31" x14ac:dyDescent="0.25">
      <c r="C7" t="s">
        <v>9</v>
      </c>
      <c r="D7" s="3">
        <v>0.1</v>
      </c>
    </row>
    <row r="8" spans="3:31" x14ac:dyDescent="0.25">
      <c r="C8" t="s">
        <v>11</v>
      </c>
      <c r="D8" s="3">
        <v>0.25</v>
      </c>
    </row>
    <row r="9" spans="3:31" x14ac:dyDescent="0.25">
      <c r="C9" t="s">
        <v>14</v>
      </c>
      <c r="D9" s="3">
        <v>0.5</v>
      </c>
    </row>
    <row r="10" spans="3:31" x14ac:dyDescent="0.25">
      <c r="D10" s="1">
        <v>45292</v>
      </c>
      <c r="E10" s="1">
        <v>45658</v>
      </c>
      <c r="F10" s="1">
        <v>46023</v>
      </c>
      <c r="G10" s="1">
        <v>46388</v>
      </c>
      <c r="H10" s="1">
        <v>46753</v>
      </c>
      <c r="I10" s="1">
        <v>47119</v>
      </c>
      <c r="J10" s="1">
        <v>47484</v>
      </c>
      <c r="K10" s="1">
        <v>47849</v>
      </c>
      <c r="L10" s="1">
        <v>48214</v>
      </c>
      <c r="M10" s="1">
        <v>48580</v>
      </c>
      <c r="N10" s="1">
        <v>48945</v>
      </c>
      <c r="O10" s="1">
        <v>49310</v>
      </c>
      <c r="P10" s="1">
        <v>49675</v>
      </c>
      <c r="Q10" s="1">
        <v>50041</v>
      </c>
      <c r="R10" s="1">
        <v>50406</v>
      </c>
      <c r="S10" s="1">
        <v>50771</v>
      </c>
      <c r="T10" s="1">
        <v>51136</v>
      </c>
      <c r="U10" s="1">
        <v>51502</v>
      </c>
      <c r="V10" s="1">
        <v>51867</v>
      </c>
      <c r="W10" s="1">
        <v>52232</v>
      </c>
      <c r="X10" s="1">
        <v>52597</v>
      </c>
      <c r="Y10" s="1">
        <v>52963</v>
      </c>
      <c r="Z10" s="1">
        <v>53328</v>
      </c>
      <c r="AA10" s="1">
        <v>53693</v>
      </c>
      <c r="AB10" s="1">
        <v>54058</v>
      </c>
      <c r="AC10" s="1">
        <v>54424</v>
      </c>
      <c r="AD10" s="1">
        <v>54789</v>
      </c>
    </row>
    <row r="11" spans="3:31" x14ac:dyDescent="0.25">
      <c r="C11" t="s">
        <v>1</v>
      </c>
      <c r="D11" s="2">
        <f>2000*$D$3</f>
        <v>24000</v>
      </c>
      <c r="E11" s="2">
        <f t="shared" ref="E11" si="0">2000*$D$3</f>
        <v>24000</v>
      </c>
      <c r="F11" s="2">
        <f>3000*$D$3</f>
        <v>36000</v>
      </c>
      <c r="G11" s="2">
        <f t="shared" ref="G11:H11" si="1">3000*$D$3</f>
        <v>36000</v>
      </c>
      <c r="H11" s="2">
        <f t="shared" si="1"/>
        <v>36000</v>
      </c>
      <c r="I11" s="2">
        <f>4000*$D$3</f>
        <v>48000</v>
      </c>
      <c r="J11" s="2">
        <f t="shared" ref="J11:K11" si="2">4000*$D$3</f>
        <v>48000</v>
      </c>
      <c r="K11" s="2">
        <f t="shared" si="2"/>
        <v>48000</v>
      </c>
      <c r="L11" s="2">
        <f>5000*$D$3</f>
        <v>60000</v>
      </c>
      <c r="M11" s="2">
        <f t="shared" ref="M11:N11" si="3">5000*$D$3</f>
        <v>60000</v>
      </c>
      <c r="N11" s="2">
        <f t="shared" si="3"/>
        <v>60000</v>
      </c>
      <c r="O11" s="2">
        <f>6000*$D$3</f>
        <v>72000</v>
      </c>
      <c r="P11" s="2">
        <f t="shared" ref="P11:Q11" si="4">6000*$D$3</f>
        <v>72000</v>
      </c>
      <c r="Q11" s="2">
        <f t="shared" si="4"/>
        <v>72000</v>
      </c>
      <c r="R11" s="2">
        <f>7000*$D$3</f>
        <v>84000</v>
      </c>
      <c r="S11" s="2">
        <f t="shared" ref="S11:T11" si="5">7000*$D$3</f>
        <v>84000</v>
      </c>
      <c r="T11" s="2">
        <f t="shared" si="5"/>
        <v>84000</v>
      </c>
      <c r="U11" s="2">
        <f>8000*$D$3</f>
        <v>96000</v>
      </c>
      <c r="V11" s="2">
        <f t="shared" ref="V11:W11" si="6">8000*$D$3</f>
        <v>96000</v>
      </c>
      <c r="W11" s="2">
        <f t="shared" si="6"/>
        <v>96000</v>
      </c>
      <c r="X11" s="2">
        <f>9000*$D$3</f>
        <v>108000</v>
      </c>
      <c r="Y11" s="2">
        <f t="shared" ref="Y11:Z11" si="7">9000*$D$3</f>
        <v>108000</v>
      </c>
      <c r="Z11" s="2">
        <f t="shared" si="7"/>
        <v>108000</v>
      </c>
      <c r="AA11" s="2">
        <f>10000*$D$3</f>
        <v>120000</v>
      </c>
      <c r="AB11" s="2">
        <f t="shared" ref="AB11:AC11" si="8">10000*$D$3</f>
        <v>120000</v>
      </c>
      <c r="AC11" s="2">
        <f t="shared" si="8"/>
        <v>120000</v>
      </c>
      <c r="AD11" s="2">
        <f>11000*$D$3</f>
        <v>132000</v>
      </c>
      <c r="AE11" s="2"/>
    </row>
    <row r="12" spans="3:31" x14ac:dyDescent="0.25">
      <c r="C12" t="s">
        <v>3</v>
      </c>
      <c r="D12" s="2">
        <f>D11*D9</f>
        <v>12000</v>
      </c>
      <c r="E12" s="2">
        <f>(E11*$D$9)+D12+IF((E11/2)+D12&gt;$D$5,-$D$5,0)+COUNTIF($D13:E13,-$D$5)*$D$6*$D$3-(COUNTIF($D13:E13,-$D$5)*$D$6*$D$3)*$D$8-(COUNTIF($D13:E13,-$D$5)*$D$6*$D$3)*$D$7</f>
        <v>24000</v>
      </c>
      <c r="F12" s="2">
        <f>(F11*$D$9)+E12+IF((F11/2)+E12&gt;$D$5,-$D$5,0)+COUNTIF($D$13:F13,-$D$5)*$D$6*$D$3-(COUNTIF($D$13:F13,-$D$5)*$D$6*$D$3)*$D$8-(COUNTIF($D$13:F13,-$D$5)*$D$6*$D$3)*$D$7</f>
        <v>42000</v>
      </c>
      <c r="G12" s="2">
        <f>(G11*$D$9)+F12+IF((G11/2)+F12&gt;$D$5,-$D$5,0)+COUNTIF($D$13:G13,-$D$5)*$D$6*$D$3-(COUNTIF($D$13:G13,-$D$5)*$D$6*$D$3)*$D$8-(COUNTIF($D$13:G13,-$D$5)*$D$6*$D$3)*$D$7</f>
        <v>60000</v>
      </c>
      <c r="H12" s="2">
        <f>(H11*$D$9)+G12+IF((H11/2)+G12&gt;$D$5,-$D$5,0)+COUNTIF($D$13:H13,-$D$5)*$D$6*$D$3-(COUNTIF($D$13:H13,-$D$5)*$D$6*$D$3)*$D$8-(COUNTIF($D$13:H13,-$D$5)*$D$6*$D$3)*$D$7</f>
        <v>78000</v>
      </c>
      <c r="I12" s="2">
        <f>(I11*$D$9)+H12+IF((I11/2)+H12&gt;$D$5,-$D$5,0)+COUNTIF($D$13:I13,-$D$5)*$D$6*$D$3-(COUNTIF($D$13:I13,-$D$5)*$D$6*$D$3)*$D$8-(COUNTIF($D$13:I13,-$D$5)*$D$6*$D$3)*$D$7</f>
        <v>102000</v>
      </c>
      <c r="J12" s="2">
        <f>(J11*$D$9)+I12+IF((J11/2)+I12&gt;$D$5,-$D$5,0)+COUNTIF($D$13:J13,-$D$5)*$D$6*$D$3-(COUNTIF($D$13:J13,-$D$5)*$D$6*$D$3)*$D$8-(COUNTIF($D$13:J13,-$D$5)*$D$6*$D$3)*$D$7</f>
        <v>126000</v>
      </c>
      <c r="K12" s="2">
        <f>(K11*$D$9)+J12+IF((K11/2)+J12&gt;$D$5,-$D$5,0)+COUNTIF($D$13:K13,-$D$5)*$D$6*$D$3-(COUNTIF($D$13:K13,-$D$5)*$D$6*$D$3)*$D$8-(COUNTIF($D$13:K13,-$D$5)*$D$6*$D$3)*$D$7</f>
        <v>150000</v>
      </c>
      <c r="L12" s="2">
        <f>(L11*$D$9)+K12+IF((L11/2)+K12&gt;$D$5,-$D$5,0)+COUNTIF($D$13:L13,-$D$5)*$D$6*$D$3-(COUNTIF($D$13:L13,-$D$5)*$D$6*$D$3)*$D$8-(COUNTIF($D$13:L13,-$D$5)*$D$6*$D$3)*$D$7</f>
        <v>35070</v>
      </c>
      <c r="M12" s="2">
        <f>(M11*$D$9)+L12+IF((M11/2)+L12&gt;$D$5,-$D$5,0)+COUNTIF($D$13:M13,-$D$5)*$D$6*$D$3-(COUNTIF($D$13:M13,-$D$5)*$D$6*$D$3)*$D$8-(COUNTIF($D$13:M13,-$D$5)*$D$6*$D$3)*$D$7</f>
        <v>70140</v>
      </c>
      <c r="N12" s="2">
        <f>(N11*$D$9)+M12+IF((N11/2)+M12&gt;$D$5,-$D$5,0)+COUNTIF($D$13:N13,-$D$5)*$D$6*$D$3-(COUNTIF($D$13:N13,-$D$5)*$D$6*$D$3)*$D$8-(COUNTIF($D$13:N13,-$D$5)*$D$6*$D$3)*$D$7</f>
        <v>105210</v>
      </c>
      <c r="O12" s="2">
        <f>(O11*$D$9)+N12+IF((O11/2)+N12&gt;$D$5,-$D$5,0)+COUNTIF($D$13:O13,-$D$5)*$D$6*$D$3-(COUNTIF($D$13:O13,-$D$5)*$D$6*$D$3)*$D$8-(COUNTIF($D$13:O13,-$D$5)*$D$6*$D$3)*$D$7</f>
        <v>146280</v>
      </c>
      <c r="P12" s="2">
        <f>(P11*$D$9)+O12+IF((P11/2)+O12&gt;$D$5,-$D$5,0)+COUNTIF($D$13:P13,-$D$5)*$D$6*$D$3-(COUNTIF($D$13:P13,-$D$5)*$D$6*$D$3)*$D$8-(COUNTIF($D$13:P13,-$D$5)*$D$6*$D$3)*$D$7</f>
        <v>42420</v>
      </c>
      <c r="Q12" s="2">
        <f>(Q11*$D$9)+P12+IF((Q11/2)+P12&gt;$D$5,-$D$5,0)+COUNTIF($D$13:Q13,-$D$5)*$D$6*$D$3-(COUNTIF($D$13:Q13,-$D$5)*$D$6*$D$3)*$D$8-(COUNTIF($D$13:Q13,-$D$5)*$D$6*$D$3)*$D$7</f>
        <v>88560</v>
      </c>
      <c r="R12" s="2">
        <f>(R11*$D$9)+Q12+IF((R11/2)+Q12&gt;$D$5,-$D$5,0)+COUNTIF($D$13:R13,-$D$5)*$D$6*$D$3-(COUNTIF($D$13:R13,-$D$5)*$D$6*$D$3)*$D$8-(COUNTIF($D$13:R13,-$D$5)*$D$6*$D$3)*$D$7</f>
        <v>140700</v>
      </c>
      <c r="S12" s="2">
        <f>(S11*$D$9)+R12+IF((S11/2)+R12&gt;$D$5,-$D$5,0)+COUNTIF($D$13:S13,-$D$5)*$D$6*$D$3-(COUNTIF($D$13:S13,-$D$5)*$D$6*$D$3)*$D$8-(COUNTIF($D$13:S13,-$D$5)*$D$6*$D$3)*$D$7</f>
        <v>47910</v>
      </c>
      <c r="T12" s="2">
        <f>(T11*$D$9)+S12+IF((T11/2)+S12&gt;$D$5,-$D$5,0)+COUNTIF($D$13:T13,-$D$5)*$D$6*$D$3-(COUNTIF($D$13:T13,-$D$5)*$D$6*$D$3)*$D$8-(COUNTIF($D$13:T13,-$D$5)*$D$6*$D$3)*$D$7</f>
        <v>105120</v>
      </c>
      <c r="U12" s="2">
        <f>(U11*$D$9)+T12+IF((U11/2)+T12&gt;$D$5,-$D$5,0)+COUNTIF($D$13:U13,-$D$5)*$D$6*$D$3-(COUNTIF($D$13:U13,-$D$5)*$D$6*$D$3)*$D$8-(COUNTIF($D$13:U13,-$D$5)*$D$6*$D$3)*$D$7</f>
        <v>23400</v>
      </c>
      <c r="V12" s="2">
        <f>(V11*$D$9)+U12+IF((V11/2)+U12&gt;$D$5,-$D$5,0)+COUNTIF($D$13:V13,-$D$5)*$D$6*$D$3-(COUNTIF($D$13:V13,-$D$5)*$D$6*$D$3)*$D$8-(COUNTIF($D$13:V13,-$D$5)*$D$6*$D$3)*$D$7</f>
        <v>91680</v>
      </c>
      <c r="W12" s="2">
        <f>(W11*$D$9)+V12+IF((W11/2)+V12&gt;$D$5,-$D$5,0)+COUNTIF($D$13:W13,-$D$5)*$D$6*$D$3-(COUNTIF($D$13:W13,-$D$5)*$D$6*$D$3)*$D$8-(COUNTIF($D$13:W13,-$D$5)*$D$6*$D$3)*$D$7</f>
        <v>159960</v>
      </c>
      <c r="X12" s="2">
        <f>(X11*$D$9)+W12+IF((X11/2)+W12&gt;$D$5,-$D$5,0)+COUNTIF($D$13:X13,-$D$5)*$D$6*$D$3-(COUNTIF($D$13:X13,-$D$5)*$D$6*$D$3)*$D$8-(COUNTIF($D$13:X13,-$D$5)*$D$6*$D$3)*$D$7</f>
        <v>89310</v>
      </c>
      <c r="Y12" s="2">
        <f>(Y11*$D$9)+X12+IF((Y11/2)+X12&gt;$D$5,-$D$5,0)+COUNTIF($D$13:Y13,-$D$5)*$D$6*$D$3-(COUNTIF($D$13:Y13,-$D$5)*$D$6*$D$3)*$D$8-(COUNTIF($D$13:Y13,-$D$5)*$D$6*$D$3)*$D$7</f>
        <v>168660</v>
      </c>
      <c r="Z12" s="2">
        <f>(Z11*$D$9)+Y12+IF((Z11/2)+Y12&gt;$D$5,-$D$5,0)+COUNTIF($D$13:Z13,-$D$5)*$D$6*$D$3-(COUNTIF($D$13:Z13,-$D$5)*$D$6*$D$3)*$D$8-(COUNTIF($D$13:Z13,-$D$5)*$D$6*$D$3)*$D$7</f>
        <v>103080</v>
      </c>
      <c r="AA12" s="2">
        <f>(AA11*$D$9)+Z12+IF((AA11/2)+Z12&gt;$D$5,-$D$5,0)+COUNTIF($D$13:AA13,-$D$5)*$D$6*$D$3-(COUNTIF($D$13:AA13,-$D$5)*$D$6*$D$3)*$D$8-(COUNTIF($D$13:AA13,-$D$5)*$D$6*$D$3)*$D$7</f>
        <v>48570</v>
      </c>
      <c r="AB12" s="2">
        <f>(AB11*$D$9)+AA12+IF((AB11/2)+AA12&gt;$D$5,-$D$5,0)+COUNTIF($D$13:AB13,-$D$5)*$D$6*$D$3-(COUNTIF($D$13:AB13,-$D$5)*$D$6*$D$3)*$D$8-(COUNTIF($D$13:AB13,-$D$5)*$D$6*$D$3)*$D$7</f>
        <v>144060</v>
      </c>
      <c r="AC12" s="2">
        <f>(AC11*$D$9)+AB12+IF((AC11/2)+AB12&gt;$D$5,-$D$5,0)+COUNTIF($D$13:AC13,-$D$5)*$D$6*$D$3-(COUNTIF($D$13:AC13,-$D$5)*$D$6*$D$3)*$D$8-(COUNTIF($D$13:AC13,-$D$5)*$D$6*$D$3)*$D$7</f>
        <v>94620</v>
      </c>
      <c r="AD12" s="2">
        <f>(AD11*$D$9)+AC12+IF((AD11/2)+AC12&gt;$D$5,-$D$5,0)+COUNTIF($D$13:AD13,-$D$5)*$D$6*$D$3-(COUNTIF($D$13:AD13,-$D$5)*$D$6*$D$3)*$D$8-(COUNTIF($D$13:AD13,-$D$5)*$D$6*$D$3)*$D$7</f>
        <v>56250</v>
      </c>
      <c r="AE12" s="2"/>
    </row>
    <row r="13" spans="3:31" x14ac:dyDescent="0.25">
      <c r="C13" t="s">
        <v>4</v>
      </c>
      <c r="D13" s="2">
        <v>0</v>
      </c>
      <c r="E13" s="2">
        <f>IF((E11/2)+D12&gt;$D$5,-$D$5,0)</f>
        <v>0</v>
      </c>
      <c r="F13" s="2">
        <f t="shared" ref="F13:AD13" si="9">IF((F11/2)+E12&gt;$D$5,-$D$5,0)</f>
        <v>0</v>
      </c>
      <c r="G13" s="2">
        <f t="shared" si="9"/>
        <v>0</v>
      </c>
      <c r="H13" s="2">
        <f t="shared" si="9"/>
        <v>0</v>
      </c>
      <c r="I13" s="2">
        <f t="shared" si="9"/>
        <v>0</v>
      </c>
      <c r="J13" s="2">
        <f t="shared" si="9"/>
        <v>0</v>
      </c>
      <c r="K13" s="2">
        <f>IF((K11/2)+J12&gt;$D$5,-$D$5,0)</f>
        <v>0</v>
      </c>
      <c r="L13" s="2">
        <f t="shared" si="9"/>
        <v>-150000</v>
      </c>
      <c r="M13" s="2">
        <f t="shared" si="9"/>
        <v>0</v>
      </c>
      <c r="N13" s="2">
        <f t="shared" si="9"/>
        <v>0</v>
      </c>
      <c r="O13" s="2">
        <f t="shared" si="9"/>
        <v>0</v>
      </c>
      <c r="P13" s="2">
        <f t="shared" si="9"/>
        <v>-150000</v>
      </c>
      <c r="Q13" s="2">
        <f t="shared" si="9"/>
        <v>0</v>
      </c>
      <c r="R13" s="2">
        <f t="shared" si="9"/>
        <v>0</v>
      </c>
      <c r="S13" s="2">
        <f t="shared" si="9"/>
        <v>-150000</v>
      </c>
      <c r="T13" s="2">
        <f t="shared" si="9"/>
        <v>0</v>
      </c>
      <c r="U13" s="2">
        <f t="shared" si="9"/>
        <v>-150000</v>
      </c>
      <c r="V13" s="2">
        <f t="shared" si="9"/>
        <v>0</v>
      </c>
      <c r="W13" s="2">
        <f t="shared" si="9"/>
        <v>0</v>
      </c>
      <c r="X13" s="2">
        <f t="shared" si="9"/>
        <v>-150000</v>
      </c>
      <c r="Y13" s="2">
        <f t="shared" si="9"/>
        <v>0</v>
      </c>
      <c r="Z13" s="2">
        <f t="shared" si="9"/>
        <v>-150000</v>
      </c>
      <c r="AA13" s="2">
        <f t="shared" si="9"/>
        <v>-150000</v>
      </c>
      <c r="AB13" s="2">
        <f t="shared" si="9"/>
        <v>0</v>
      </c>
      <c r="AC13" s="2">
        <f t="shared" si="9"/>
        <v>-150000</v>
      </c>
      <c r="AD13" s="2">
        <f t="shared" si="9"/>
        <v>-150000</v>
      </c>
      <c r="AE13" s="2"/>
    </row>
    <row r="14" spans="3:31" x14ac:dyDescent="0.25">
      <c r="C14" t="s">
        <v>12</v>
      </c>
      <c r="D14" s="2">
        <f>COUNTIF($D$13:D13,-$D$5)*$D$6*$D$3</f>
        <v>0</v>
      </c>
      <c r="E14" s="2">
        <f>COUNTIF($D$13:E13,-$D$5)*$D$6*$D$3</f>
        <v>0</v>
      </c>
      <c r="F14" s="2">
        <f>COUNTIF($D$13:F13,-$D$5)*$D$6*$D$3</f>
        <v>0</v>
      </c>
      <c r="G14" s="2">
        <f>COUNTIF($D$13:G13,-$D$5)*$D$6*$D$3</f>
        <v>0</v>
      </c>
      <c r="H14" s="2">
        <f>COUNTIF($D$13:H13,-$D$5)*$D$6*$D$3</f>
        <v>0</v>
      </c>
      <c r="I14" s="2">
        <f>COUNTIF($D$13:I13,-$D$5)*$D$6*$D$3</f>
        <v>0</v>
      </c>
      <c r="J14" s="2">
        <f>COUNTIF($D$13:J13,-$D$5)*$D$6*$D$3</f>
        <v>0</v>
      </c>
      <c r="K14" s="2">
        <f>COUNTIF($D$13:K13,-$D$5)*$D$6*$D$3</f>
        <v>0</v>
      </c>
      <c r="L14" s="2">
        <f>COUNTIF($D$13:L13,-$D$5)*$D$6*$D$3</f>
        <v>7800</v>
      </c>
      <c r="M14" s="2">
        <f>COUNTIF($D$13:M13,-$D$5)*$D$6*$D$3</f>
        <v>7800</v>
      </c>
      <c r="N14" s="2">
        <f>COUNTIF($D$13:N13,-$D$5)*$D$6*$D$3</f>
        <v>7800</v>
      </c>
      <c r="O14" s="2">
        <f>COUNTIF($D$13:O13,-$D$5)*$D$6*$D$3</f>
        <v>7800</v>
      </c>
      <c r="P14" s="2">
        <f>COUNTIF($D$13:P13,-$D$5)*$D$6*$D$3</f>
        <v>15600</v>
      </c>
      <c r="Q14" s="2">
        <f>COUNTIF($D$13:Q13,-$D$5)*$D$6*$D$3</f>
        <v>15600</v>
      </c>
      <c r="R14" s="2">
        <f>COUNTIF($D$13:R13,-$D$5)*$D$6*$D$3</f>
        <v>15600</v>
      </c>
      <c r="S14" s="2">
        <f>COUNTIF($D$13:S13,-$D$5)*$D$6*$D$3</f>
        <v>23400</v>
      </c>
      <c r="T14" s="2">
        <f>COUNTIF($D$13:T13,-$D$5)*$D$6*$D$3</f>
        <v>23400</v>
      </c>
      <c r="U14" s="2">
        <f>COUNTIF($D$13:U13,-$D$5)*$D$6*$D$3</f>
        <v>31200</v>
      </c>
      <c r="V14" s="2">
        <f>COUNTIF($D$13:V13,-$D$5)*$D$6*$D$3</f>
        <v>31200</v>
      </c>
      <c r="W14" s="2">
        <f>COUNTIF($D$13:W13,-$D$5)*$D$6*$D$3</f>
        <v>31200</v>
      </c>
      <c r="X14" s="2">
        <f>COUNTIF($D$13:X13,-$D$5)*$D$6*$D$3</f>
        <v>39000</v>
      </c>
      <c r="Y14" s="2">
        <f>COUNTIF($D$13:Y13,-$D$5)*$D$6*$D$3</f>
        <v>39000</v>
      </c>
      <c r="Z14" s="2">
        <f>COUNTIF($D$13:Z13,-$D$5)*$D$6*$D$3</f>
        <v>46800</v>
      </c>
      <c r="AA14" s="2">
        <f>COUNTIF($D$13:AA13,-$D$5)*$D$6*$D$3</f>
        <v>54600</v>
      </c>
      <c r="AB14" s="2">
        <f>COUNTIF($D$13:AB13,-$D$5)*$D$6*$D$3</f>
        <v>54600</v>
      </c>
      <c r="AC14" s="2">
        <f>COUNTIF($D$13:AC13,-$D$5)*$D$6*$D$3</f>
        <v>62400</v>
      </c>
      <c r="AD14" s="2">
        <f>COUNTIF($D$13:AD13,-$D$5)*$D$6*$D$3</f>
        <v>70200</v>
      </c>
      <c r="AE14" s="2"/>
    </row>
    <row r="15" spans="3:31" x14ac:dyDescent="0.25">
      <c r="C15" t="s">
        <v>8</v>
      </c>
      <c r="D15" s="2">
        <f>D14*$D$7</f>
        <v>0</v>
      </c>
      <c r="E15" s="2">
        <f t="shared" ref="E15:AD15" si="10">E14*$D$7</f>
        <v>0</v>
      </c>
      <c r="F15" s="2">
        <f t="shared" si="10"/>
        <v>0</v>
      </c>
      <c r="G15" s="2">
        <f t="shared" si="10"/>
        <v>0</v>
      </c>
      <c r="H15" s="2">
        <f t="shared" si="10"/>
        <v>0</v>
      </c>
      <c r="I15" s="2">
        <f t="shared" si="10"/>
        <v>0</v>
      </c>
      <c r="J15" s="2">
        <f t="shared" si="10"/>
        <v>0</v>
      </c>
      <c r="K15" s="2">
        <f t="shared" si="10"/>
        <v>0</v>
      </c>
      <c r="L15" s="2">
        <f t="shared" si="10"/>
        <v>780</v>
      </c>
      <c r="M15" s="2">
        <f t="shared" si="10"/>
        <v>780</v>
      </c>
      <c r="N15" s="2">
        <f t="shared" si="10"/>
        <v>780</v>
      </c>
      <c r="O15" s="2">
        <f t="shared" si="10"/>
        <v>780</v>
      </c>
      <c r="P15" s="2">
        <f t="shared" si="10"/>
        <v>1560</v>
      </c>
      <c r="Q15" s="2">
        <f t="shared" si="10"/>
        <v>1560</v>
      </c>
      <c r="R15" s="2">
        <f t="shared" si="10"/>
        <v>1560</v>
      </c>
      <c r="S15" s="2">
        <f t="shared" si="10"/>
        <v>2340</v>
      </c>
      <c r="T15" s="2">
        <f t="shared" si="10"/>
        <v>2340</v>
      </c>
      <c r="U15" s="2">
        <f t="shared" si="10"/>
        <v>3120</v>
      </c>
      <c r="V15" s="2">
        <f t="shared" si="10"/>
        <v>3120</v>
      </c>
      <c r="W15" s="2">
        <f t="shared" si="10"/>
        <v>3120</v>
      </c>
      <c r="X15" s="2">
        <f t="shared" si="10"/>
        <v>3900</v>
      </c>
      <c r="Y15" s="2">
        <f t="shared" si="10"/>
        <v>3900</v>
      </c>
      <c r="Z15" s="2">
        <f t="shared" si="10"/>
        <v>4680</v>
      </c>
      <c r="AA15" s="2">
        <f t="shared" si="10"/>
        <v>5460</v>
      </c>
      <c r="AB15" s="2">
        <f t="shared" si="10"/>
        <v>5460</v>
      </c>
      <c r="AC15" s="2">
        <f t="shared" si="10"/>
        <v>6240</v>
      </c>
      <c r="AD15" s="2">
        <f t="shared" si="10"/>
        <v>7020</v>
      </c>
      <c r="AE15" s="2"/>
    </row>
    <row r="16" spans="3:31" x14ac:dyDescent="0.25">
      <c r="C16" t="s">
        <v>10</v>
      </c>
      <c r="D16" s="2">
        <f>D14*$D$8</f>
        <v>0</v>
      </c>
      <c r="E16" s="2">
        <f t="shared" ref="E16:AD16" si="11">E14*$D$8</f>
        <v>0</v>
      </c>
      <c r="F16" s="2">
        <f t="shared" si="11"/>
        <v>0</v>
      </c>
      <c r="G16" s="2">
        <f t="shared" si="11"/>
        <v>0</v>
      </c>
      <c r="H16" s="2">
        <f t="shared" si="11"/>
        <v>0</v>
      </c>
      <c r="I16" s="2">
        <f t="shared" si="11"/>
        <v>0</v>
      </c>
      <c r="J16" s="2">
        <f t="shared" si="11"/>
        <v>0</v>
      </c>
      <c r="K16" s="2">
        <f t="shared" si="11"/>
        <v>0</v>
      </c>
      <c r="L16" s="2">
        <f t="shared" si="11"/>
        <v>1950</v>
      </c>
      <c r="M16" s="2">
        <f t="shared" si="11"/>
        <v>1950</v>
      </c>
      <c r="N16" s="2">
        <f t="shared" si="11"/>
        <v>1950</v>
      </c>
      <c r="O16" s="2">
        <f t="shared" si="11"/>
        <v>1950</v>
      </c>
      <c r="P16" s="2">
        <f t="shared" si="11"/>
        <v>3900</v>
      </c>
      <c r="Q16" s="2">
        <f t="shared" si="11"/>
        <v>3900</v>
      </c>
      <c r="R16" s="2">
        <f t="shared" si="11"/>
        <v>3900</v>
      </c>
      <c r="S16" s="2">
        <f t="shared" si="11"/>
        <v>5850</v>
      </c>
      <c r="T16" s="2">
        <f t="shared" si="11"/>
        <v>5850</v>
      </c>
      <c r="U16" s="2">
        <f t="shared" si="11"/>
        <v>7800</v>
      </c>
      <c r="V16" s="2">
        <f t="shared" si="11"/>
        <v>7800</v>
      </c>
      <c r="W16" s="2">
        <f t="shared" si="11"/>
        <v>7800</v>
      </c>
      <c r="X16" s="2">
        <f t="shared" si="11"/>
        <v>9750</v>
      </c>
      <c r="Y16" s="2">
        <f t="shared" si="11"/>
        <v>9750</v>
      </c>
      <c r="Z16" s="2">
        <f t="shared" si="11"/>
        <v>11700</v>
      </c>
      <c r="AA16" s="2">
        <f t="shared" si="11"/>
        <v>13650</v>
      </c>
      <c r="AB16" s="2">
        <f t="shared" si="11"/>
        <v>13650</v>
      </c>
      <c r="AC16" s="2">
        <f t="shared" si="11"/>
        <v>15600</v>
      </c>
      <c r="AD16" s="2">
        <f t="shared" si="11"/>
        <v>17550</v>
      </c>
      <c r="AE16" s="2"/>
    </row>
    <row r="17" spans="3:31" x14ac:dyDescent="0.25">
      <c r="C17" t="s">
        <v>13</v>
      </c>
      <c r="D17" s="2">
        <f>D14-D15-D16</f>
        <v>0</v>
      </c>
      <c r="E17" s="2">
        <f t="shared" ref="E17:AD17" si="12">E14-E15-E16</f>
        <v>0</v>
      </c>
      <c r="F17" s="2">
        <f t="shared" si="12"/>
        <v>0</v>
      </c>
      <c r="G17" s="2">
        <f t="shared" si="12"/>
        <v>0</v>
      </c>
      <c r="H17" s="2">
        <f t="shared" si="12"/>
        <v>0</v>
      </c>
      <c r="I17" s="2">
        <f t="shared" si="12"/>
        <v>0</v>
      </c>
      <c r="J17" s="2">
        <f t="shared" si="12"/>
        <v>0</v>
      </c>
      <c r="K17" s="2">
        <f t="shared" si="12"/>
        <v>0</v>
      </c>
      <c r="L17" s="2">
        <f t="shared" si="12"/>
        <v>5070</v>
      </c>
      <c r="M17" s="2">
        <f t="shared" si="12"/>
        <v>5070</v>
      </c>
      <c r="N17" s="2">
        <f t="shared" si="12"/>
        <v>5070</v>
      </c>
      <c r="O17" s="2">
        <f t="shared" si="12"/>
        <v>5070</v>
      </c>
      <c r="P17" s="2">
        <f t="shared" si="12"/>
        <v>10140</v>
      </c>
      <c r="Q17" s="2">
        <f t="shared" si="12"/>
        <v>10140</v>
      </c>
      <c r="R17" s="2">
        <f t="shared" si="12"/>
        <v>10140</v>
      </c>
      <c r="S17" s="2">
        <f t="shared" si="12"/>
        <v>15210</v>
      </c>
      <c r="T17" s="2">
        <f t="shared" si="12"/>
        <v>15210</v>
      </c>
      <c r="U17" s="2">
        <f t="shared" si="12"/>
        <v>20280</v>
      </c>
      <c r="V17" s="2">
        <f t="shared" si="12"/>
        <v>20280</v>
      </c>
      <c r="W17" s="2">
        <f t="shared" si="12"/>
        <v>20280</v>
      </c>
      <c r="X17" s="2">
        <f t="shared" si="12"/>
        <v>25350</v>
      </c>
      <c r="Y17" s="2">
        <f t="shared" si="12"/>
        <v>25350</v>
      </c>
      <c r="Z17" s="2">
        <f t="shared" si="12"/>
        <v>30420</v>
      </c>
      <c r="AA17" s="2">
        <f t="shared" si="12"/>
        <v>35490</v>
      </c>
      <c r="AB17" s="2">
        <f t="shared" si="12"/>
        <v>35490</v>
      </c>
      <c r="AC17" s="2">
        <f t="shared" si="12"/>
        <v>40560</v>
      </c>
      <c r="AD17" s="2">
        <f t="shared" si="12"/>
        <v>45630</v>
      </c>
      <c r="AE17" s="2"/>
    </row>
    <row r="18" spans="3:31" x14ac:dyDescent="0.25">
      <c r="C18" t="s">
        <v>15</v>
      </c>
      <c r="D18" s="2">
        <f>D12+COUNTIF($D$13:D13,-$D$5)*$D$5</f>
        <v>12000</v>
      </c>
      <c r="E18" s="2">
        <f>E12+COUNTIF($D$13:E13,-$D$5)*$D$5</f>
        <v>24000</v>
      </c>
      <c r="F18" s="2">
        <f>F12+COUNTIF($D$13:F13,-$D$5)*$D$5</f>
        <v>42000</v>
      </c>
      <c r="G18" s="2">
        <f>G12+COUNTIF($D$13:G13,-$D$5)*$D$5</f>
        <v>60000</v>
      </c>
      <c r="H18" s="2">
        <f>H12+COUNTIF($D$13:H13,-$D$5)*$D$5</f>
        <v>78000</v>
      </c>
      <c r="I18" s="2">
        <f>I12+COUNTIF($D$13:I13,-$D$5)*$D$5</f>
        <v>102000</v>
      </c>
      <c r="J18" s="2">
        <f>J12+COUNTIF($D$13:J13,-$D$5)*$D$5</f>
        <v>126000</v>
      </c>
      <c r="K18" s="2">
        <f>K12+COUNTIF($D$13:K13,-$D$5)*$D$5</f>
        <v>150000</v>
      </c>
      <c r="L18" s="2">
        <f>L12+COUNTIF($D$13:L13,-$D$5)*$D$5</f>
        <v>185070</v>
      </c>
      <c r="M18" s="2">
        <f>M12+COUNTIF($D$13:M13,-$D$5)*$D$5</f>
        <v>220140</v>
      </c>
      <c r="N18" s="2">
        <f>N12+COUNTIF($D$13:N13,-$D$5)*$D$5</f>
        <v>255210</v>
      </c>
      <c r="O18" s="2">
        <f>O12+COUNTIF($D$13:O13,-$D$5)*$D$5</f>
        <v>296280</v>
      </c>
      <c r="P18" s="2">
        <f>P12+COUNTIF($D$13:P13,-$D$5)*$D$5</f>
        <v>342420</v>
      </c>
      <c r="Q18" s="2">
        <f>Q12+COUNTIF($D$13:Q13,-$D$5)*$D$5</f>
        <v>388560</v>
      </c>
      <c r="R18" s="2">
        <f>R12+COUNTIF($D$13:R13,-$D$5)*$D$5</f>
        <v>440700</v>
      </c>
      <c r="S18" s="2">
        <f>S12+COUNTIF($D$13:S13,-$D$5)*$D$5</f>
        <v>497910</v>
      </c>
      <c r="T18" s="2">
        <f>T12+COUNTIF($D$13:T13,-$D$5)*$D$5</f>
        <v>555120</v>
      </c>
      <c r="U18" s="2">
        <f>U12+COUNTIF($D$13:U13,-$D$5)*$D$5</f>
        <v>623400</v>
      </c>
      <c r="V18" s="2">
        <f>V12+COUNTIF($D$13:V13,-$D$5)*$D$5</f>
        <v>691680</v>
      </c>
      <c r="W18" s="2">
        <f>W12+COUNTIF($D$13:W13,-$D$5)*$D$5</f>
        <v>759960</v>
      </c>
      <c r="X18" s="2">
        <f>X12+COUNTIF($D$13:X13,-$D$5)*$D$5</f>
        <v>839310</v>
      </c>
      <c r="Y18" s="2">
        <f>Y12+COUNTIF($D$13:Y13,-$D$5)*$D$5</f>
        <v>918660</v>
      </c>
      <c r="Z18" s="2">
        <f>Z12+COUNTIF($D$13:Z13,-$D$5)*$D$5</f>
        <v>1003080</v>
      </c>
      <c r="AA18" s="2">
        <f>AA12+COUNTIF($D$13:AA13,-$D$5)*$D$5</f>
        <v>1098570</v>
      </c>
      <c r="AB18" s="2">
        <f>AB12+COUNTIF($D$13:AB13,-$D$5)*$D$5</f>
        <v>1194060</v>
      </c>
      <c r="AC18" s="2">
        <f>AC12+COUNTIF($D$13:AC13,-$D$5)*$D$5</f>
        <v>1294620</v>
      </c>
      <c r="AD18" s="2">
        <f>AD12+COUNTIF($D$13:AD13,-$D$5)*$D$5</f>
        <v>1406250</v>
      </c>
      <c r="AE18" s="2"/>
    </row>
    <row r="19" spans="3:31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3:31" x14ac:dyDescent="0.25">
      <c r="C20" t="s">
        <v>16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3:31" x14ac:dyDescent="0.25">
      <c r="C21" t="s">
        <v>21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3:31" x14ac:dyDescent="0.25">
      <c r="C22" t="s">
        <v>17</v>
      </c>
      <c r="D22" s="2">
        <f>SUM($D$11:$AD$11)</f>
        <v>2052000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3:31" x14ac:dyDescent="0.25">
      <c r="C23" t="s">
        <v>19</v>
      </c>
      <c r="D23" s="2">
        <f>SUM($D$17:$AD$17)</f>
        <v>380250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3:31" x14ac:dyDescent="0.25">
      <c r="C24" t="s">
        <v>23</v>
      </c>
      <c r="D24" s="2">
        <f>(D22/2)+D23</f>
        <v>1406250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3:31" x14ac:dyDescent="0.25">
      <c r="C25" t="s">
        <v>22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3:31" x14ac:dyDescent="0.25">
      <c r="C26" t="s">
        <v>18</v>
      </c>
      <c r="D26" s="2">
        <f>$AD$12</f>
        <v>56250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3:31" x14ac:dyDescent="0.25">
      <c r="C27" t="s">
        <v>20</v>
      </c>
      <c r="D27" s="2">
        <f>COUNTIF($D$13:$AD$13,-$D$5)*$D$5</f>
        <v>1350000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3:31" x14ac:dyDescent="0.25">
      <c r="C28" t="s">
        <v>23</v>
      </c>
      <c r="D28" s="2">
        <f>(D26)+D27</f>
        <v>1406250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3:31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3:31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3:3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3:31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3:31" ht="33" customHeight="1" x14ac:dyDescent="0.25">
      <c r="C33" s="5" t="s">
        <v>25</v>
      </c>
      <c r="D33" s="5"/>
      <c r="E33" s="5"/>
      <c r="F33" s="5"/>
      <c r="G33" s="5"/>
      <c r="H33" s="5"/>
      <c r="I33" s="5"/>
    </row>
    <row r="34" spans="3:31" x14ac:dyDescent="0.25">
      <c r="C34" t="s">
        <v>6</v>
      </c>
      <c r="D34" s="2">
        <f>SUM(D48:AE48)/$D$37</f>
        <v>16</v>
      </c>
      <c r="AB34" s="8"/>
    </row>
    <row r="35" spans="3:31" x14ac:dyDescent="0.25">
      <c r="C35" t="s">
        <v>2</v>
      </c>
      <c r="D35">
        <v>12</v>
      </c>
      <c r="AB35" s="6">
        <f>ROUNDDOWN((AB46*$D$41+AA47+AB53-AB54-AB55)/($D$37*(1-$D$42)),0)*$D$37*(1-$D$42)</f>
        <v>112500</v>
      </c>
    </row>
    <row r="36" spans="3:31" x14ac:dyDescent="0.25">
      <c r="C36" t="s">
        <v>0</v>
      </c>
    </row>
    <row r="37" spans="3:31" x14ac:dyDescent="0.25">
      <c r="C37" t="s">
        <v>5</v>
      </c>
      <c r="D37" s="2">
        <v>150000</v>
      </c>
      <c r="F37" s="6"/>
    </row>
    <row r="38" spans="3:31" x14ac:dyDescent="0.25">
      <c r="C38" t="s">
        <v>7</v>
      </c>
      <c r="D38">
        <v>650</v>
      </c>
    </row>
    <row r="39" spans="3:31" x14ac:dyDescent="0.25">
      <c r="C39" t="s">
        <v>9</v>
      </c>
      <c r="D39" s="3">
        <v>0.1</v>
      </c>
      <c r="AB39">
        <f>150000*3*25%</f>
        <v>112500</v>
      </c>
    </row>
    <row r="40" spans="3:31" x14ac:dyDescent="0.25">
      <c r="C40" t="s">
        <v>11</v>
      </c>
      <c r="D40" s="3">
        <v>0.25</v>
      </c>
      <c r="O40" s="6"/>
      <c r="AB40">
        <v>3</v>
      </c>
    </row>
    <row r="41" spans="3:31" x14ac:dyDescent="0.25">
      <c r="C41" t="s">
        <v>14</v>
      </c>
      <c r="D41" s="3">
        <v>0.5</v>
      </c>
      <c r="AB41">
        <f>AB42/(150000*25%)</f>
        <v>3.6640357510449033</v>
      </c>
    </row>
    <row r="42" spans="3:31" x14ac:dyDescent="0.25">
      <c r="C42" t="s">
        <v>26</v>
      </c>
      <c r="D42" s="3">
        <v>0.75</v>
      </c>
      <c r="AB42" s="8">
        <f>AB46*$D$41+AA47+AB53-AB54-AB55</f>
        <v>137401.34066418387</v>
      </c>
    </row>
    <row r="43" spans="3:31" x14ac:dyDescent="0.25">
      <c r="C43" t="s">
        <v>36</v>
      </c>
      <c r="D43" s="3">
        <v>0.03</v>
      </c>
      <c r="H43" s="6"/>
    </row>
    <row r="44" spans="3:31" x14ac:dyDescent="0.25">
      <c r="C44" t="s">
        <v>37</v>
      </c>
      <c r="D44" s="2">
        <v>30</v>
      </c>
    </row>
    <row r="45" spans="3:31" x14ac:dyDescent="0.25">
      <c r="D45" s="1">
        <v>44927</v>
      </c>
      <c r="E45" s="1">
        <v>45292</v>
      </c>
      <c r="F45" s="1">
        <v>45658</v>
      </c>
      <c r="G45" s="1">
        <v>46023</v>
      </c>
      <c r="H45" s="1">
        <v>46388</v>
      </c>
      <c r="I45" s="1">
        <v>46753</v>
      </c>
      <c r="J45" s="1">
        <v>47119</v>
      </c>
      <c r="K45" s="1">
        <v>47484</v>
      </c>
      <c r="L45" s="1">
        <v>47849</v>
      </c>
      <c r="M45" s="1">
        <v>48214</v>
      </c>
      <c r="N45" s="1">
        <v>48580</v>
      </c>
      <c r="O45" s="1">
        <v>48945</v>
      </c>
      <c r="P45" s="1">
        <v>49310</v>
      </c>
      <c r="Q45" s="1">
        <v>49675</v>
      </c>
      <c r="R45" s="1">
        <v>50041</v>
      </c>
      <c r="S45" s="1">
        <v>50406</v>
      </c>
      <c r="T45" s="1">
        <v>50771</v>
      </c>
      <c r="U45" s="1">
        <v>51136</v>
      </c>
      <c r="V45" s="1">
        <v>51502</v>
      </c>
      <c r="W45" s="1">
        <v>51867</v>
      </c>
      <c r="X45" s="1">
        <v>52232</v>
      </c>
      <c r="Y45" s="1">
        <v>52597</v>
      </c>
      <c r="Z45" s="1">
        <v>52963</v>
      </c>
      <c r="AA45" s="1">
        <v>53328</v>
      </c>
      <c r="AB45" s="1">
        <v>53693</v>
      </c>
      <c r="AC45" s="1">
        <v>54058</v>
      </c>
      <c r="AD45" s="1">
        <v>54424</v>
      </c>
      <c r="AE45" s="1">
        <v>54789</v>
      </c>
    </row>
    <row r="46" spans="3:31" x14ac:dyDescent="0.25">
      <c r="C46" t="s">
        <v>1</v>
      </c>
      <c r="D46" s="7">
        <v>0</v>
      </c>
      <c r="E46" s="2">
        <f>2000*$D$3</f>
        <v>24000</v>
      </c>
      <c r="F46" s="2">
        <f t="shared" ref="F46" si="13">2000*$D$3</f>
        <v>24000</v>
      </c>
      <c r="G46" s="2">
        <f>3000*$D$3</f>
        <v>36000</v>
      </c>
      <c r="H46" s="2">
        <f t="shared" ref="H46:I46" si="14">3000*$D$3</f>
        <v>36000</v>
      </c>
      <c r="I46" s="2">
        <f t="shared" si="14"/>
        <v>36000</v>
      </c>
      <c r="J46" s="2">
        <f>4000*$D$3</f>
        <v>48000</v>
      </c>
      <c r="K46" s="2">
        <f t="shared" ref="K46:L46" si="15">4000*$D$3</f>
        <v>48000</v>
      </c>
      <c r="L46" s="2">
        <f t="shared" si="15"/>
        <v>48000</v>
      </c>
      <c r="M46" s="2">
        <f>5000*$D$3</f>
        <v>60000</v>
      </c>
      <c r="N46" s="2">
        <f t="shared" ref="N46:O46" si="16">5000*$D$3</f>
        <v>60000</v>
      </c>
      <c r="O46" s="2">
        <f t="shared" si="16"/>
        <v>60000</v>
      </c>
      <c r="P46" s="2">
        <f>6000*$D$3</f>
        <v>72000</v>
      </c>
      <c r="Q46" s="2">
        <f t="shared" ref="Q46:R46" si="17">6000*$D$3</f>
        <v>72000</v>
      </c>
      <c r="R46" s="2">
        <f t="shared" si="17"/>
        <v>72000</v>
      </c>
      <c r="S46" s="2">
        <f>7000*$D$3</f>
        <v>84000</v>
      </c>
      <c r="T46" s="2">
        <f t="shared" ref="T46:U46" si="18">7000*$D$3</f>
        <v>84000</v>
      </c>
      <c r="U46" s="2">
        <f t="shared" si="18"/>
        <v>84000</v>
      </c>
      <c r="V46" s="2">
        <f>8000*$D$3</f>
        <v>96000</v>
      </c>
      <c r="W46" s="2">
        <f t="shared" ref="W46:X46" si="19">8000*$D$3</f>
        <v>96000</v>
      </c>
      <c r="X46" s="2">
        <f t="shared" si="19"/>
        <v>96000</v>
      </c>
      <c r="Y46" s="2">
        <f>9000*$D$3</f>
        <v>108000</v>
      </c>
      <c r="Z46" s="2">
        <f t="shared" ref="Z46:AA46" si="20">9000*$D$3</f>
        <v>108000</v>
      </c>
      <c r="AA46" s="2">
        <f t="shared" si="20"/>
        <v>108000</v>
      </c>
      <c r="AB46" s="2">
        <f>10000*$D$3</f>
        <v>120000</v>
      </c>
      <c r="AC46" s="2">
        <f t="shared" ref="AC46:AD46" si="21">10000*$D$3</f>
        <v>120000</v>
      </c>
      <c r="AD46" s="2">
        <f t="shared" si="21"/>
        <v>120000</v>
      </c>
      <c r="AE46" s="2">
        <f>11000*$D$3</f>
        <v>132000</v>
      </c>
    </row>
    <row r="47" spans="3:31" x14ac:dyDescent="0.25">
      <c r="C47" t="s">
        <v>3</v>
      </c>
      <c r="D47" s="2">
        <v>0</v>
      </c>
      <c r="E47" s="2">
        <f>E46*$D$41+D47+E53-E54-E55-E48*(1-$D$42)</f>
        <v>12000</v>
      </c>
      <c r="F47" s="2">
        <f t="shared" ref="F47:AE47" si="22">F46*$D$41+E47+F53-F54-F55-F48*(1-$D$42)</f>
        <v>24000</v>
      </c>
      <c r="G47" s="2">
        <f t="shared" si="22"/>
        <v>4500</v>
      </c>
      <c r="H47" s="2">
        <f t="shared" si="22"/>
        <v>20820</v>
      </c>
      <c r="I47" s="2">
        <f t="shared" si="22"/>
        <v>36978.75</v>
      </c>
      <c r="J47" s="2">
        <f t="shared" si="22"/>
        <v>21867.875</v>
      </c>
      <c r="K47" s="2">
        <f t="shared" si="22"/>
        <v>4924.6958333333387</v>
      </c>
      <c r="L47" s="2">
        <f t="shared" si="22"/>
        <v>23879.289305555565</v>
      </c>
      <c r="M47" s="2">
        <f t="shared" si="22"/>
        <v>49509.062995370383</v>
      </c>
      <c r="N47" s="2">
        <f t="shared" si="22"/>
        <v>75791.510895524712</v>
      </c>
      <c r="O47" s="2">
        <f t="shared" si="22"/>
        <v>102704.87719900723</v>
      </c>
      <c r="P47" s="2">
        <f t="shared" si="22"/>
        <v>23728.13129237364</v>
      </c>
      <c r="Q47" s="2">
        <f t="shared" si="22"/>
        <v>51675.94358262785</v>
      </c>
      <c r="R47" s="2">
        <f t="shared" si="22"/>
        <v>80906.162129873584</v>
      </c>
      <c r="S47" s="2">
        <f t="shared" si="22"/>
        <v>117376.0400588778</v>
      </c>
      <c r="T47" s="2">
        <f t="shared" si="22"/>
        <v>155044.25539024852</v>
      </c>
      <c r="U47" s="2">
        <f t="shared" si="22"/>
        <v>193870.86354390692</v>
      </c>
      <c r="V47" s="2">
        <f t="shared" si="22"/>
        <v>239817.25142577672</v>
      </c>
      <c r="W47" s="2">
        <f t="shared" si="22"/>
        <v>286846.09304491751</v>
      </c>
      <c r="X47" s="2">
        <f t="shared" si="22"/>
        <v>334921.30661008693</v>
      </c>
      <c r="Y47" s="2">
        <f t="shared" si="22"/>
        <v>15008.013056417403</v>
      </c>
      <c r="Z47" s="2">
        <f t="shared" si="22"/>
        <v>50522.49595453684</v>
      </c>
      <c r="AA47" s="2">
        <f t="shared" si="22"/>
        <v>89357.162756052276</v>
      </c>
      <c r="AB47" s="10">
        <f>AB46*$D$41+AA47+AB53-AB54-AB55-AB48*(1-$D$42)</f>
        <v>137401.34066418387</v>
      </c>
      <c r="AC47" s="2">
        <f t="shared" si="22"/>
        <v>188548.0459753777</v>
      </c>
      <c r="AD47" s="2">
        <f t="shared" si="22"/>
        <v>242693.86110953175</v>
      </c>
      <c r="AE47" s="10">
        <f>AE46*$D$41+AD47+AE53-AE54-AE55-AE48*(1-$D$42)</f>
        <v>305738.81573921395</v>
      </c>
    </row>
    <row r="48" spans="3:31" x14ac:dyDescent="0.25">
      <c r="C48" t="s">
        <v>4</v>
      </c>
      <c r="D48" s="2">
        <v>0</v>
      </c>
      <c r="E48" s="2">
        <f t="shared" ref="E48:AA48" si="23">IF(AND(E46*$D$41+D47+E53-E54-E55-ROUNDDOWN((E46*$D$41+D47+E53-E54-E55)/($D$37*(1-$D$42)),0)*$D$37*(1-$D$42)&gt;=0,(SUM(E54:E55)/E46)&lt;30%),ROUNDDOWN((E46*$D$41+D47+E53-E54-E55)/($D$37*(1-$D$42)),0)*$D$37,0)</f>
        <v>0</v>
      </c>
      <c r="F48" s="2">
        <f t="shared" si="23"/>
        <v>0</v>
      </c>
      <c r="G48" s="2">
        <f t="shared" si="23"/>
        <v>150000</v>
      </c>
      <c r="H48" s="2">
        <f t="shared" si="23"/>
        <v>0</v>
      </c>
      <c r="I48" s="2">
        <f t="shared" si="23"/>
        <v>0</v>
      </c>
      <c r="J48" s="2">
        <f t="shared" si="23"/>
        <v>150000</v>
      </c>
      <c r="K48" s="2">
        <f t="shared" si="23"/>
        <v>150000</v>
      </c>
      <c r="L48" s="2">
        <f t="shared" si="23"/>
        <v>0</v>
      </c>
      <c r="M48" s="2">
        <f t="shared" si="23"/>
        <v>0</v>
      </c>
      <c r="N48" s="2">
        <f t="shared" si="23"/>
        <v>0</v>
      </c>
      <c r="O48" s="2">
        <f t="shared" si="23"/>
        <v>0</v>
      </c>
      <c r="P48" s="2">
        <f t="shared" si="23"/>
        <v>450000</v>
      </c>
      <c r="Q48" s="2">
        <f t="shared" si="23"/>
        <v>0</v>
      </c>
      <c r="R48" s="2">
        <f t="shared" si="23"/>
        <v>0</v>
      </c>
      <c r="S48" s="2">
        <f t="shared" si="23"/>
        <v>0</v>
      </c>
      <c r="T48" s="2">
        <f t="shared" si="23"/>
        <v>0</v>
      </c>
      <c r="U48" s="2">
        <f t="shared" si="23"/>
        <v>0</v>
      </c>
      <c r="V48" s="2">
        <f t="shared" si="23"/>
        <v>0</v>
      </c>
      <c r="W48" s="2">
        <f t="shared" si="23"/>
        <v>0</v>
      </c>
      <c r="X48" s="2">
        <f t="shared" si="23"/>
        <v>0</v>
      </c>
      <c r="Y48" s="2">
        <f t="shared" si="23"/>
        <v>1500000</v>
      </c>
      <c r="Z48" s="2">
        <f t="shared" si="23"/>
        <v>0</v>
      </c>
      <c r="AA48" s="2">
        <f t="shared" si="23"/>
        <v>0</v>
      </c>
      <c r="AB48" s="2">
        <f>IF(AND(AB46*$D$41+AA47+AB53-AB54-AB55-ROUNDDOWN((AB46*$D$41+AA47+AB53-AB54-AB55)/($D$37*(1-$D$42)),0)*$D$37*(1-$D$42)&gt;=0,(SUM(AB54:AB55)/AB46)&lt;30%),ROUNDDOWN((AB46*$D$41+AA47+AB53-AB54-AB55)/($D$37*(1-$D$42)),0)*$D$37,0)</f>
        <v>0</v>
      </c>
      <c r="AC48" s="2">
        <f t="shared" ref="AC48:AE48" si="24">IF(AND(AC46*$D$41+AB47+AC53-AC54-AC55-ROUNDDOWN((AC46*$D$41+AB47+AC53-AC54-AC55)/($D$37*(1-$D$42)),0)*$D$37*(1-$D$42)&gt;=0,(SUM(AC54:AC55)/AC46)&lt;30%),ROUNDDOWN((AC46*$D$41+AB47+AC53-AC54-AC55)/($D$37*(1-$D$42)),0)*$D$37,0)</f>
        <v>0</v>
      </c>
      <c r="AD48" s="2">
        <f t="shared" si="24"/>
        <v>0</v>
      </c>
      <c r="AE48" s="2">
        <f t="shared" si="24"/>
        <v>0</v>
      </c>
    </row>
    <row r="49" spans="3:31" x14ac:dyDescent="0.25">
      <c r="C49" t="s">
        <v>27</v>
      </c>
      <c r="D49" s="2">
        <v>0</v>
      </c>
      <c r="E49" s="2">
        <f>E48*$D$42+D49-E54</f>
        <v>0</v>
      </c>
      <c r="F49" s="2">
        <f t="shared" ref="F49:AE49" si="25">F48*$D$42+E49-F54</f>
        <v>0</v>
      </c>
      <c r="G49" s="2">
        <f t="shared" si="25"/>
        <v>112500</v>
      </c>
      <c r="H49" s="2">
        <f>H48*$D$42+G49-H54</f>
        <v>109125</v>
      </c>
      <c r="I49" s="2">
        <f t="shared" si="25"/>
        <v>105487.5</v>
      </c>
      <c r="J49" s="10">
        <f>J48*$D$42+I49-J54</f>
        <v>214471.25</v>
      </c>
      <c r="K49" s="2">
        <f t="shared" si="25"/>
        <v>319822.20833333331</v>
      </c>
      <c r="L49" s="2">
        <f t="shared" si="25"/>
        <v>309161.46805555554</v>
      </c>
      <c r="M49" s="2">
        <f t="shared" si="25"/>
        <v>298856.08578703704</v>
      </c>
      <c r="N49" s="2">
        <f t="shared" si="25"/>
        <v>288894.21626080247</v>
      </c>
      <c r="O49" s="2">
        <f t="shared" si="25"/>
        <v>279264.40905210905</v>
      </c>
      <c r="P49" s="2">
        <f t="shared" si="25"/>
        <v>607455.59541703877</v>
      </c>
      <c r="Q49" s="2">
        <f t="shared" si="25"/>
        <v>587207.07556980418</v>
      </c>
      <c r="R49" s="2">
        <f t="shared" si="25"/>
        <v>567633.50638414407</v>
      </c>
      <c r="S49" s="2">
        <f t="shared" si="25"/>
        <v>548712.38950467261</v>
      </c>
      <c r="T49" s="2">
        <f t="shared" si="25"/>
        <v>530421.9765211835</v>
      </c>
      <c r="U49" s="2">
        <f t="shared" si="25"/>
        <v>512741.24397047737</v>
      </c>
      <c r="V49" s="2">
        <f t="shared" si="25"/>
        <v>495649.86917146144</v>
      </c>
      <c r="W49" s="2">
        <f t="shared" si="25"/>
        <v>479128.20686574606</v>
      </c>
      <c r="X49" s="2">
        <f t="shared" si="25"/>
        <v>463157.26663688786</v>
      </c>
      <c r="Y49" s="2">
        <f t="shared" si="25"/>
        <v>1572718.6910823248</v>
      </c>
      <c r="Z49" s="10">
        <f>Z48*$D$42+Y49-Z54</f>
        <v>1520294.7347129141</v>
      </c>
      <c r="AA49" s="2">
        <f t="shared" si="25"/>
        <v>1469618.2435558171</v>
      </c>
      <c r="AB49" s="10">
        <f>AB48*$D$42+AA49-AB54</f>
        <v>1420630.9687706232</v>
      </c>
      <c r="AC49" s="2">
        <f t="shared" si="25"/>
        <v>1373276.6031449358</v>
      </c>
      <c r="AD49" s="2">
        <f t="shared" si="25"/>
        <v>1327500.716373438</v>
      </c>
      <c r="AE49" s="10">
        <f>AE48*$D$42+AD49-AE54</f>
        <v>1283250.6924943235</v>
      </c>
    </row>
    <row r="50" spans="3:31" x14ac:dyDescent="0.25">
      <c r="C50" t="s">
        <v>12</v>
      </c>
      <c r="D50" s="2">
        <v>0</v>
      </c>
      <c r="E50" s="2">
        <f>SUM($D$48:D48)/$D$37*$D$38*$D$35</f>
        <v>0</v>
      </c>
      <c r="F50" s="2">
        <f>SUM($D$48:E48)/$D$37*$D$38*$D$35</f>
        <v>0</v>
      </c>
      <c r="G50" s="2">
        <f>SUM($D$48:F48)/$D$37*$D$38*$D$35</f>
        <v>0</v>
      </c>
      <c r="H50" s="2">
        <f>SUM($D$48:G48)/$D$37*$D$38*$D$35</f>
        <v>7800</v>
      </c>
      <c r="I50" s="2">
        <f>SUM($D$48:H48)/$D$37*$D$38*$D$35</f>
        <v>7800</v>
      </c>
      <c r="J50" s="2">
        <f>SUM($D$48:I48)/$D$37*$D$38*$D$35</f>
        <v>7800</v>
      </c>
      <c r="K50" s="2">
        <f>SUM($D$48:J48)/$D$37*$D$38*$D$35</f>
        <v>15600</v>
      </c>
      <c r="L50" s="2">
        <f>SUM($D$48:K48)/$D$37*$D$38*$D$35</f>
        <v>23400</v>
      </c>
      <c r="M50" s="2">
        <f>SUM($D$48:L48)/$D$37*$D$38*$D$35</f>
        <v>23400</v>
      </c>
      <c r="N50" s="2">
        <f>SUM($D$48:M48)/$D$37*$D$38*$D$35</f>
        <v>23400</v>
      </c>
      <c r="O50" s="2">
        <f>SUM($D$48:N48)/$D$37*$D$38*$D$35</f>
        <v>23400</v>
      </c>
      <c r="P50" s="2">
        <f>SUM($D$48:O48)/$D$37*$D$38*$D$35</f>
        <v>23400</v>
      </c>
      <c r="Q50" s="2">
        <f>SUM($D$48:P48)/$D$37*$D$38*$D$35</f>
        <v>46800</v>
      </c>
      <c r="R50" s="2">
        <f>SUM($D$48:Q48)/$D$37*$D$38*$D$35</f>
        <v>46800</v>
      </c>
      <c r="S50" s="2">
        <f>SUM($D$48:R48)/$D$37*$D$38*$D$35</f>
        <v>46800</v>
      </c>
      <c r="T50" s="2">
        <f>SUM($D$48:S48)/$D$37*$D$38*$D$35</f>
        <v>46800</v>
      </c>
      <c r="U50" s="2">
        <f>SUM($D$48:T48)/$D$37*$D$38*$D$35</f>
        <v>46800</v>
      </c>
      <c r="V50" s="2">
        <f>SUM($D$48:U48)/$D$37*$D$38*$D$35</f>
        <v>46800</v>
      </c>
      <c r="W50" s="2">
        <f>SUM($D$48:V48)/$D$37*$D$38*$D$35</f>
        <v>46800</v>
      </c>
      <c r="X50" s="2">
        <f>SUM($D$48:W48)/$D$37*$D$38*$D$35</f>
        <v>46800</v>
      </c>
      <c r="Y50" s="2">
        <f>SUM($D$48:X48)/$D$37*$D$38*$D$35</f>
        <v>46800</v>
      </c>
      <c r="Z50" s="2">
        <f>SUM($D$48:Y48)/$D$37*$D$38*$D$35</f>
        <v>124800</v>
      </c>
      <c r="AA50" s="2">
        <f>SUM($D$48:Z48)/$D$37*$D$38*$D$35</f>
        <v>124800</v>
      </c>
      <c r="AB50" s="2">
        <f>SUM($D$48:AA48)/$D$37*$D$38*$D$35</f>
        <v>124800</v>
      </c>
      <c r="AC50" s="2">
        <f>SUM($D$48:AB48)/$D$37*$D$38*$D$35</f>
        <v>124800</v>
      </c>
      <c r="AD50" s="2">
        <f>SUM($D$48:AC48)/$D$37*$D$38*$D$35</f>
        <v>124800</v>
      </c>
      <c r="AE50" s="2">
        <f>SUM($D$48:AD48)/$D$37*$D$38*$D$35</f>
        <v>124800</v>
      </c>
    </row>
    <row r="51" spans="3:31" x14ac:dyDescent="0.25">
      <c r="C51" t="s">
        <v>8</v>
      </c>
      <c r="D51" s="2">
        <v>0</v>
      </c>
      <c r="E51" s="2">
        <f>E50*$D$39</f>
        <v>0</v>
      </c>
      <c r="F51" s="2">
        <f t="shared" ref="F51:AE51" si="26">F50*$D$39</f>
        <v>0</v>
      </c>
      <c r="G51" s="2">
        <f t="shared" si="26"/>
        <v>0</v>
      </c>
      <c r="H51" s="2">
        <f t="shared" si="26"/>
        <v>780</v>
      </c>
      <c r="I51" s="2">
        <f t="shared" si="26"/>
        <v>780</v>
      </c>
      <c r="J51" s="2">
        <f t="shared" si="26"/>
        <v>780</v>
      </c>
      <c r="K51" s="2">
        <f t="shared" si="26"/>
        <v>1560</v>
      </c>
      <c r="L51" s="2">
        <f t="shared" si="26"/>
        <v>2340</v>
      </c>
      <c r="M51" s="2">
        <f t="shared" si="26"/>
        <v>2340</v>
      </c>
      <c r="N51" s="2">
        <f t="shared" si="26"/>
        <v>2340</v>
      </c>
      <c r="O51" s="2">
        <f t="shared" si="26"/>
        <v>2340</v>
      </c>
      <c r="P51" s="2">
        <f>P50*$D$39</f>
        <v>2340</v>
      </c>
      <c r="Q51" s="2">
        <f t="shared" si="26"/>
        <v>4680</v>
      </c>
      <c r="R51" s="2">
        <f t="shared" si="26"/>
        <v>4680</v>
      </c>
      <c r="S51" s="2">
        <f t="shared" si="26"/>
        <v>4680</v>
      </c>
      <c r="T51" s="2">
        <f t="shared" si="26"/>
        <v>4680</v>
      </c>
      <c r="U51" s="2">
        <f t="shared" si="26"/>
        <v>4680</v>
      </c>
      <c r="V51" s="2">
        <f t="shared" si="26"/>
        <v>4680</v>
      </c>
      <c r="W51" s="2">
        <f t="shared" si="26"/>
        <v>4680</v>
      </c>
      <c r="X51" s="2">
        <f t="shared" si="26"/>
        <v>4680</v>
      </c>
      <c r="Y51" s="2">
        <f t="shared" si="26"/>
        <v>4680</v>
      </c>
      <c r="Z51" s="2">
        <f t="shared" si="26"/>
        <v>12480</v>
      </c>
      <c r="AA51" s="2">
        <f t="shared" si="26"/>
        <v>12480</v>
      </c>
      <c r="AB51" s="2">
        <f t="shared" si="26"/>
        <v>12480</v>
      </c>
      <c r="AC51" s="2">
        <f t="shared" si="26"/>
        <v>12480</v>
      </c>
      <c r="AD51" s="2">
        <f t="shared" si="26"/>
        <v>12480</v>
      </c>
      <c r="AE51" s="2">
        <f>AE50*$D$39</f>
        <v>12480</v>
      </c>
    </row>
    <row r="52" spans="3:31" x14ac:dyDescent="0.25">
      <c r="C52" t="s">
        <v>10</v>
      </c>
      <c r="D52" s="2">
        <v>0</v>
      </c>
      <c r="E52" s="2">
        <f>$D$40*E50</f>
        <v>0</v>
      </c>
      <c r="F52" s="2">
        <f t="shared" ref="F52:AE52" si="27">$D$40*F50</f>
        <v>0</v>
      </c>
      <c r="G52" s="2">
        <f t="shared" si="27"/>
        <v>0</v>
      </c>
      <c r="H52" s="2">
        <f t="shared" si="27"/>
        <v>1950</v>
      </c>
      <c r="I52" s="2">
        <f t="shared" si="27"/>
        <v>1950</v>
      </c>
      <c r="J52" s="2">
        <f t="shared" si="27"/>
        <v>1950</v>
      </c>
      <c r="K52" s="2">
        <f t="shared" si="27"/>
        <v>3900</v>
      </c>
      <c r="L52" s="2">
        <f t="shared" si="27"/>
        <v>5850</v>
      </c>
      <c r="M52" s="2">
        <f t="shared" si="27"/>
        <v>5850</v>
      </c>
      <c r="N52" s="2">
        <f t="shared" si="27"/>
        <v>5850</v>
      </c>
      <c r="O52" s="2">
        <f t="shared" si="27"/>
        <v>5850</v>
      </c>
      <c r="P52" s="2">
        <f t="shared" si="27"/>
        <v>5850</v>
      </c>
      <c r="Q52" s="2">
        <f t="shared" si="27"/>
        <v>11700</v>
      </c>
      <c r="R52" s="2">
        <f t="shared" si="27"/>
        <v>11700</v>
      </c>
      <c r="S52" s="2">
        <f t="shared" si="27"/>
        <v>11700</v>
      </c>
      <c r="T52" s="2">
        <f t="shared" si="27"/>
        <v>11700</v>
      </c>
      <c r="U52" s="2">
        <f t="shared" si="27"/>
        <v>11700</v>
      </c>
      <c r="V52" s="2">
        <f t="shared" si="27"/>
        <v>11700</v>
      </c>
      <c r="W52" s="2">
        <f t="shared" si="27"/>
        <v>11700</v>
      </c>
      <c r="X52" s="2">
        <f t="shared" si="27"/>
        <v>11700</v>
      </c>
      <c r="Y52" s="2">
        <f t="shared" si="27"/>
        <v>11700</v>
      </c>
      <c r="Z52" s="2">
        <f t="shared" si="27"/>
        <v>31200</v>
      </c>
      <c r="AA52" s="2">
        <f t="shared" si="27"/>
        <v>31200</v>
      </c>
      <c r="AB52" s="2">
        <f t="shared" si="27"/>
        <v>31200</v>
      </c>
      <c r="AC52" s="2">
        <f t="shared" si="27"/>
        <v>31200</v>
      </c>
      <c r="AD52" s="2">
        <f t="shared" si="27"/>
        <v>31200</v>
      </c>
      <c r="AE52" s="2">
        <f t="shared" si="27"/>
        <v>31200</v>
      </c>
    </row>
    <row r="53" spans="3:31" x14ac:dyDescent="0.25">
      <c r="C53" t="s">
        <v>13</v>
      </c>
      <c r="D53" s="2">
        <v>0</v>
      </c>
      <c r="E53" s="2">
        <f>E50-E51-E52</f>
        <v>0</v>
      </c>
      <c r="F53" s="2">
        <f t="shared" ref="F53:AE53" si="28">F50-F51-F52</f>
        <v>0</v>
      </c>
      <c r="G53" s="2">
        <f t="shared" si="28"/>
        <v>0</v>
      </c>
      <c r="H53" s="2">
        <f t="shared" si="28"/>
        <v>5070</v>
      </c>
      <c r="I53" s="2">
        <f t="shared" si="28"/>
        <v>5070</v>
      </c>
      <c r="J53" s="2">
        <f t="shared" si="28"/>
        <v>5070</v>
      </c>
      <c r="K53" s="2">
        <f t="shared" si="28"/>
        <v>10140</v>
      </c>
      <c r="L53" s="2">
        <f t="shared" si="28"/>
        <v>15210</v>
      </c>
      <c r="M53" s="2">
        <f t="shared" si="28"/>
        <v>15210</v>
      </c>
      <c r="N53" s="2">
        <f t="shared" si="28"/>
        <v>15210</v>
      </c>
      <c r="O53" s="2">
        <f t="shared" si="28"/>
        <v>15210</v>
      </c>
      <c r="P53" s="2">
        <f t="shared" si="28"/>
        <v>15210</v>
      </c>
      <c r="Q53" s="2">
        <f t="shared" si="28"/>
        <v>30420</v>
      </c>
      <c r="R53" s="2">
        <f t="shared" si="28"/>
        <v>30420</v>
      </c>
      <c r="S53" s="2">
        <f t="shared" si="28"/>
        <v>30420</v>
      </c>
      <c r="T53" s="2">
        <f t="shared" si="28"/>
        <v>30420</v>
      </c>
      <c r="U53" s="2">
        <f t="shared" si="28"/>
        <v>30420</v>
      </c>
      <c r="V53" s="2">
        <f t="shared" si="28"/>
        <v>30420</v>
      </c>
      <c r="W53" s="2">
        <f t="shared" si="28"/>
        <v>30420</v>
      </c>
      <c r="X53" s="2">
        <f t="shared" si="28"/>
        <v>30420</v>
      </c>
      <c r="Y53" s="2">
        <f t="shared" si="28"/>
        <v>30420</v>
      </c>
      <c r="Z53" s="2">
        <f>Z50-Z51-Z52</f>
        <v>81120</v>
      </c>
      <c r="AA53" s="2">
        <f t="shared" si="28"/>
        <v>81120</v>
      </c>
      <c r="AB53" s="2">
        <f t="shared" si="28"/>
        <v>81120</v>
      </c>
      <c r="AC53" s="2">
        <f t="shared" si="28"/>
        <v>81120</v>
      </c>
      <c r="AD53" s="2">
        <f t="shared" si="28"/>
        <v>81120</v>
      </c>
      <c r="AE53" s="2">
        <f t="shared" si="28"/>
        <v>81120</v>
      </c>
    </row>
    <row r="54" spans="3:31" x14ac:dyDescent="0.25">
      <c r="C54" t="s">
        <v>34</v>
      </c>
      <c r="D54" s="2">
        <v>0</v>
      </c>
      <c r="E54" s="2">
        <f>D49*$D$43</f>
        <v>0</v>
      </c>
      <c r="F54" s="2">
        <f t="shared" ref="F54:AE54" si="29">E49*$D$43</f>
        <v>0</v>
      </c>
      <c r="G54" s="2">
        <f t="shared" si="29"/>
        <v>0</v>
      </c>
      <c r="H54" s="2">
        <f t="shared" si="29"/>
        <v>3375</v>
      </c>
      <c r="I54" s="2">
        <f>H49/$D$44</f>
        <v>3637.5</v>
      </c>
      <c r="J54" s="2">
        <f t="shared" ref="J54:AE54" si="30">I49/$D$44</f>
        <v>3516.25</v>
      </c>
      <c r="K54" s="2">
        <f t="shared" si="30"/>
        <v>7149.041666666667</v>
      </c>
      <c r="L54" s="2">
        <f>K49/$D$44</f>
        <v>10660.740277777777</v>
      </c>
      <c r="M54" s="2">
        <f t="shared" si="30"/>
        <v>10305.382268518519</v>
      </c>
      <c r="N54" s="2">
        <f t="shared" si="30"/>
        <v>9961.8695262345682</v>
      </c>
      <c r="O54" s="2">
        <f t="shared" si="30"/>
        <v>9629.8072086934153</v>
      </c>
      <c r="P54" s="2">
        <f>O49/$D$44</f>
        <v>9308.8136350703026</v>
      </c>
      <c r="Q54" s="2">
        <f t="shared" si="30"/>
        <v>20248.519847234627</v>
      </c>
      <c r="R54" s="2">
        <f t="shared" si="30"/>
        <v>19573.569185660141</v>
      </c>
      <c r="S54" s="2">
        <f t="shared" si="30"/>
        <v>18921.116879471469</v>
      </c>
      <c r="T54" s="2">
        <f t="shared" si="30"/>
        <v>18290.412983489088</v>
      </c>
      <c r="U54" s="2">
        <f t="shared" si="30"/>
        <v>17680.732550706118</v>
      </c>
      <c r="V54" s="2">
        <f t="shared" si="30"/>
        <v>17091.374799015914</v>
      </c>
      <c r="W54" s="2">
        <f t="shared" si="30"/>
        <v>16521.662305715381</v>
      </c>
      <c r="X54" s="2">
        <f t="shared" si="30"/>
        <v>15970.940228858202</v>
      </c>
      <c r="Y54" s="2">
        <f t="shared" si="30"/>
        <v>15438.575554562929</v>
      </c>
      <c r="Z54" s="2">
        <f t="shared" si="30"/>
        <v>52423.956369410829</v>
      </c>
      <c r="AA54" s="2">
        <f t="shared" si="30"/>
        <v>50676.491157097138</v>
      </c>
      <c r="AB54" s="2">
        <f t="shared" si="30"/>
        <v>48987.274785193898</v>
      </c>
      <c r="AC54" s="2">
        <f t="shared" si="30"/>
        <v>47354.365625687438</v>
      </c>
      <c r="AD54" s="2">
        <f t="shared" si="30"/>
        <v>45775.886771497862</v>
      </c>
      <c r="AE54" s="2">
        <f>AD49/$D$44</f>
        <v>44250.023879114604</v>
      </c>
    </row>
    <row r="55" spans="3:31" x14ac:dyDescent="0.25">
      <c r="C55" t="s">
        <v>35</v>
      </c>
      <c r="D55" s="2">
        <v>0</v>
      </c>
      <c r="E55" s="2">
        <f>D49*$D$43</f>
        <v>0</v>
      </c>
      <c r="F55" s="2">
        <f t="shared" ref="F55:AE55" si="31">E49*$D$43</f>
        <v>0</v>
      </c>
      <c r="G55" s="2">
        <f t="shared" si="31"/>
        <v>0</v>
      </c>
      <c r="H55" s="2">
        <f t="shared" si="31"/>
        <v>3375</v>
      </c>
      <c r="I55" s="2">
        <f>H49*$D$43</f>
        <v>3273.75</v>
      </c>
      <c r="J55" s="2">
        <f t="shared" si="31"/>
        <v>3164.625</v>
      </c>
      <c r="K55" s="2">
        <f t="shared" si="31"/>
        <v>6434.1374999999998</v>
      </c>
      <c r="L55" s="10">
        <f>K49*$D$43</f>
        <v>9594.6662499999984</v>
      </c>
      <c r="M55" s="2">
        <f t="shared" si="31"/>
        <v>9274.8440416666654</v>
      </c>
      <c r="N55" s="2">
        <f t="shared" si="31"/>
        <v>8965.6825736111114</v>
      </c>
      <c r="O55" s="2">
        <f t="shared" si="31"/>
        <v>8666.8264878240734</v>
      </c>
      <c r="P55" s="10">
        <f>O49*$D$43</f>
        <v>8377.9322715632716</v>
      </c>
      <c r="Q55" s="2">
        <f t="shared" si="31"/>
        <v>18223.667862511164</v>
      </c>
      <c r="R55" s="2">
        <f t="shared" si="31"/>
        <v>17616.212267094124</v>
      </c>
      <c r="S55" s="2">
        <f t="shared" si="31"/>
        <v>17029.00519152432</v>
      </c>
      <c r="T55" s="2">
        <f t="shared" si="31"/>
        <v>16461.371685140177</v>
      </c>
      <c r="U55" s="2">
        <f t="shared" si="31"/>
        <v>15912.659295635505</v>
      </c>
      <c r="V55" s="2">
        <f t="shared" si="31"/>
        <v>15382.23731911432</v>
      </c>
      <c r="W55" s="2">
        <f t="shared" si="31"/>
        <v>14869.496075143843</v>
      </c>
      <c r="X55" s="2">
        <f t="shared" si="31"/>
        <v>14373.846205972381</v>
      </c>
      <c r="Y55" s="2">
        <f t="shared" si="31"/>
        <v>13894.717999106635</v>
      </c>
      <c r="Z55" s="2">
        <f t="shared" si="31"/>
        <v>47181.560732469741</v>
      </c>
      <c r="AA55" s="2">
        <f t="shared" si="31"/>
        <v>45608.842041387419</v>
      </c>
      <c r="AB55" s="2">
        <f t="shared" si="31"/>
        <v>44088.547306674511</v>
      </c>
      <c r="AC55" s="2">
        <f t="shared" si="31"/>
        <v>42618.929063118696</v>
      </c>
      <c r="AD55" s="2">
        <f t="shared" si="31"/>
        <v>41198.298094348072</v>
      </c>
      <c r="AE55" s="10">
        <f>AD49*$D$43</f>
        <v>39825.021491203137</v>
      </c>
    </row>
    <row r="56" spans="3:31" x14ac:dyDescent="0.2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3:31" x14ac:dyDescent="0.25">
      <c r="C57" t="s">
        <v>15</v>
      </c>
      <c r="D57" s="2"/>
      <c r="E57" s="2"/>
      <c r="F57" s="2"/>
      <c r="G57" s="2"/>
      <c r="H57" s="2"/>
      <c r="I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3:31" x14ac:dyDescent="0.25">
      <c r="D58" s="2"/>
      <c r="E58" s="2"/>
      <c r="F58" s="2"/>
      <c r="G58" s="2"/>
      <c r="H58" s="2"/>
      <c r="I58" s="2"/>
      <c r="K58" s="1">
        <v>44927</v>
      </c>
      <c r="L58" s="1">
        <v>45292</v>
      </c>
      <c r="M58" s="1">
        <v>45658</v>
      </c>
      <c r="N58" s="1">
        <v>46023</v>
      </c>
      <c r="O58" s="1">
        <v>46388</v>
      </c>
      <c r="P58" s="1">
        <v>46753</v>
      </c>
      <c r="Q58" s="1">
        <v>47119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3:31" x14ac:dyDescent="0.25">
      <c r="C59" t="s">
        <v>16</v>
      </c>
      <c r="D59" s="2"/>
      <c r="E59" s="2"/>
      <c r="F59" s="2"/>
      <c r="G59" s="2"/>
      <c r="H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3:31" x14ac:dyDescent="0.25">
      <c r="C60" t="s">
        <v>21</v>
      </c>
      <c r="D60" s="2"/>
      <c r="E60" s="2"/>
      <c r="F60" s="2"/>
      <c r="G60" s="2"/>
      <c r="H60" s="2"/>
      <c r="J60" t="s">
        <v>1</v>
      </c>
      <c r="K60">
        <v>0</v>
      </c>
      <c r="L60">
        <v>24000</v>
      </c>
      <c r="M60">
        <v>24000</v>
      </c>
      <c r="N60">
        <v>36000</v>
      </c>
      <c r="O60">
        <v>36000</v>
      </c>
      <c r="P60">
        <v>36000</v>
      </c>
      <c r="Q60">
        <v>36000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3:31" x14ac:dyDescent="0.25">
      <c r="C61" t="s">
        <v>17</v>
      </c>
      <c r="D61" s="2">
        <f>AE46/2</f>
        <v>66000</v>
      </c>
      <c r="E61" s="2"/>
      <c r="F61" s="2"/>
      <c r="G61" s="2"/>
      <c r="H61" s="2"/>
      <c r="J61" t="s">
        <v>3</v>
      </c>
      <c r="K61">
        <f>K60/2</f>
        <v>0</v>
      </c>
      <c r="L61">
        <f>L60/2+K61</f>
        <v>12000</v>
      </c>
      <c r="M61">
        <f>M60/2+L61</f>
        <v>24000</v>
      </c>
      <c r="N61">
        <f>N60/2+M61-N62*25%</f>
        <v>4500</v>
      </c>
      <c r="O61" s="6">
        <f>O60/2+N61+O67-O68-O69</f>
        <v>20445</v>
      </c>
      <c r="P61" s="6">
        <f>P60/2+O61+P67-P68-P69-P62*(1-D42)</f>
        <v>36627.5</v>
      </c>
      <c r="Q61" s="6">
        <f>Q60/2+P61+Q67-Q68-Q69-Q62*(1-D42)</f>
        <v>15539.583333333336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3:31" x14ac:dyDescent="0.25">
      <c r="C62" t="s">
        <v>19</v>
      </c>
      <c r="D62" s="2">
        <f>AE53</f>
        <v>81120</v>
      </c>
      <c r="E62" s="2"/>
      <c r="F62" s="2"/>
      <c r="G62" s="2"/>
      <c r="H62" s="2"/>
      <c r="J62" t="s">
        <v>4</v>
      </c>
      <c r="K62">
        <v>0</v>
      </c>
      <c r="L62">
        <v>0</v>
      </c>
      <c r="N62">
        <v>150000</v>
      </c>
      <c r="O62" s="2"/>
      <c r="P62">
        <v>0</v>
      </c>
      <c r="Q62">
        <v>150000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3:31" x14ac:dyDescent="0.25">
      <c r="C63" t="s">
        <v>39</v>
      </c>
      <c r="D63" s="6">
        <f>AE55</f>
        <v>39825.021491203137</v>
      </c>
      <c r="E63" s="2"/>
      <c r="F63" s="2"/>
      <c r="G63" s="2"/>
      <c r="H63" s="2"/>
      <c r="J63" t="s">
        <v>27</v>
      </c>
      <c r="K63">
        <v>0</v>
      </c>
      <c r="L63">
        <v>0</v>
      </c>
      <c r="N63">
        <f>N62*75%</f>
        <v>112500</v>
      </c>
      <c r="O63" s="2">
        <f>112500-O68</f>
        <v>108750</v>
      </c>
      <c r="P63" s="6">
        <f>P62*75%+O63-P68</f>
        <v>105125</v>
      </c>
      <c r="Q63" s="8">
        <f>Q62*75%+P63-Q68</f>
        <v>214120.83333333334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3:31" x14ac:dyDescent="0.25">
      <c r="C64" t="s">
        <v>23</v>
      </c>
      <c r="D64" s="2">
        <f>D61+D62-D63</f>
        <v>107294.97850879686</v>
      </c>
      <c r="E64" s="2"/>
      <c r="F64" s="2"/>
      <c r="G64" s="2"/>
      <c r="H64" s="2"/>
      <c r="J64" t="s">
        <v>12</v>
      </c>
      <c r="K64">
        <v>0</v>
      </c>
      <c r="L64">
        <v>0</v>
      </c>
      <c r="O64" s="2">
        <f>$D$38*$D$35</f>
        <v>7800</v>
      </c>
      <c r="P64" s="2">
        <f>$D$38*$D$35</f>
        <v>7800</v>
      </c>
      <c r="Q64" s="2">
        <f>$D$38*$D$35</f>
        <v>7800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3:31" x14ac:dyDescent="0.25">
      <c r="C65" t="s">
        <v>22</v>
      </c>
      <c r="D65" s="2"/>
      <c r="E65" s="2"/>
      <c r="F65" s="2"/>
      <c r="G65" s="2"/>
      <c r="H65" s="2"/>
      <c r="J65" t="s">
        <v>8</v>
      </c>
      <c r="K65">
        <v>0</v>
      </c>
      <c r="L65">
        <v>0</v>
      </c>
      <c r="O65" s="2">
        <f>O64*$D$39</f>
        <v>780</v>
      </c>
      <c r="P65" s="2">
        <f>P64*$D$39</f>
        <v>780</v>
      </c>
      <c r="Q65" s="2">
        <f>Q64*$D$39</f>
        <v>780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3:31" x14ac:dyDescent="0.25">
      <c r="C66" t="s">
        <v>18</v>
      </c>
      <c r="D66" s="2">
        <f>AD47</f>
        <v>242693.86110953175</v>
      </c>
      <c r="E66" s="2">
        <f>AE47</f>
        <v>305738.81573921395</v>
      </c>
      <c r="F66" s="2"/>
      <c r="G66" s="2"/>
      <c r="H66" s="2"/>
      <c r="J66" t="s">
        <v>10</v>
      </c>
      <c r="K66">
        <v>0</v>
      </c>
      <c r="L66">
        <v>0</v>
      </c>
      <c r="O66" s="2">
        <f>O64*$D$40</f>
        <v>1950</v>
      </c>
      <c r="P66" s="2">
        <f>P64*$D$40</f>
        <v>1950</v>
      </c>
      <c r="Q66" s="2">
        <f>Q64*$D$40</f>
        <v>1950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3:31" x14ac:dyDescent="0.25">
      <c r="C67" t="s">
        <v>20</v>
      </c>
      <c r="D67" s="2">
        <f>(D34)*D37</f>
        <v>2400000</v>
      </c>
      <c r="E67" s="2">
        <f>D34*D37</f>
        <v>2400000</v>
      </c>
      <c r="F67" s="2"/>
      <c r="G67" s="2"/>
      <c r="H67" s="2"/>
      <c r="J67" t="s">
        <v>13</v>
      </c>
      <c r="K67">
        <v>0</v>
      </c>
      <c r="L67">
        <v>0</v>
      </c>
      <c r="O67" s="2">
        <f>O64-O65-O66</f>
        <v>5070</v>
      </c>
      <c r="P67" s="2">
        <f>P64-P65-P66</f>
        <v>5070</v>
      </c>
      <c r="Q67" s="2">
        <f>Q64-Q65-Q66</f>
        <v>5070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3:31" x14ac:dyDescent="0.25">
      <c r="C68" t="s">
        <v>33</v>
      </c>
      <c r="D68" s="2">
        <f>AD49</f>
        <v>1327500.716373438</v>
      </c>
      <c r="E68" s="2">
        <f>AE49</f>
        <v>1283250.6924943235</v>
      </c>
      <c r="F68" s="2"/>
      <c r="G68" s="2"/>
      <c r="H68" s="2"/>
      <c r="I68" s="2"/>
      <c r="J68" t="s">
        <v>34</v>
      </c>
      <c r="K68">
        <v>0</v>
      </c>
      <c r="L68">
        <v>0</v>
      </c>
      <c r="M68" s="2"/>
      <c r="N68" s="2"/>
      <c r="O68" s="2">
        <f>N63/30</f>
        <v>3750</v>
      </c>
      <c r="P68" s="2">
        <f>O63/30</f>
        <v>3625</v>
      </c>
      <c r="Q68" s="10">
        <f>P63/30</f>
        <v>3504.1666666666665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3:31" x14ac:dyDescent="0.25">
      <c r="C69" t="s">
        <v>23</v>
      </c>
      <c r="D69" s="2">
        <f>D66+D67-D68</f>
        <v>1315193.1447360939</v>
      </c>
      <c r="E69" s="2">
        <f>E66+E67-E68</f>
        <v>1422488.1232448905</v>
      </c>
      <c r="F69" s="2"/>
      <c r="G69" s="2"/>
      <c r="H69" s="2"/>
      <c r="I69" s="2"/>
      <c r="J69" t="s">
        <v>35</v>
      </c>
      <c r="K69">
        <v>0</v>
      </c>
      <c r="L69">
        <v>0</v>
      </c>
      <c r="M69" s="2"/>
      <c r="N69" s="2"/>
      <c r="O69" s="2">
        <f>N63*3%</f>
        <v>3375</v>
      </c>
      <c r="P69" s="10">
        <f>O63*3%</f>
        <v>3262.5</v>
      </c>
      <c r="Q69" s="10">
        <f>P63*3%</f>
        <v>3153.75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3:31" x14ac:dyDescent="0.25">
      <c r="D70" s="2"/>
      <c r="E70" s="2">
        <f>D69-E69</f>
        <v>-107294.97850879654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">
        <v>46023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3:31" x14ac:dyDescent="0.2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 t="s">
        <v>38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3:31" x14ac:dyDescent="0.25">
      <c r="D72" s="2"/>
      <c r="E72" s="2"/>
      <c r="F72" s="2"/>
      <c r="G72" s="2"/>
      <c r="H72" s="2"/>
      <c r="I72" s="2"/>
      <c r="J72" s="2"/>
      <c r="L72" s="2">
        <v>-150000</v>
      </c>
      <c r="M72" s="2"/>
      <c r="N72" s="2"/>
      <c r="O72" s="2"/>
      <c r="P72" s="2"/>
      <c r="Q72" t="s">
        <v>4</v>
      </c>
      <c r="R72">
        <v>150000</v>
      </c>
      <c r="S72" s="2" t="s">
        <v>27</v>
      </c>
      <c r="T72" s="2">
        <f>N63</f>
        <v>112500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3:31" x14ac:dyDescent="0.25">
      <c r="D73" s="2"/>
      <c r="E73" s="2"/>
      <c r="F73" s="2"/>
      <c r="G73" s="2"/>
      <c r="H73" s="2"/>
      <c r="I73" s="2"/>
      <c r="J73" s="2" t="s">
        <v>28</v>
      </c>
      <c r="K73" s="2">
        <v>0</v>
      </c>
      <c r="L73" s="2"/>
      <c r="M73" s="2" t="s">
        <v>29</v>
      </c>
      <c r="N73" s="2" t="s">
        <v>30</v>
      </c>
      <c r="O73" s="2"/>
      <c r="P73" s="2"/>
      <c r="Q73" t="s">
        <v>3</v>
      </c>
      <c r="R73">
        <v>4500</v>
      </c>
      <c r="S73" s="2"/>
      <c r="T73" s="2">
        <f>R72+R73-T72</f>
        <v>42000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3:31" x14ac:dyDescent="0.25">
      <c r="D74" s="2"/>
      <c r="E74" s="2"/>
      <c r="F74" s="2"/>
      <c r="G74" s="2"/>
      <c r="H74" s="2"/>
      <c r="I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3:31" x14ac:dyDescent="0.25">
      <c r="D75" s="2"/>
      <c r="E75" s="2"/>
      <c r="F75" s="2"/>
      <c r="G75" s="2"/>
      <c r="H75" s="2"/>
      <c r="I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3:31" x14ac:dyDescent="0.25">
      <c r="D76" s="2"/>
      <c r="E76" s="2"/>
      <c r="F76" s="2"/>
      <c r="G76" s="2"/>
      <c r="H76" s="2"/>
      <c r="I76" s="2"/>
      <c r="J76" s="2"/>
      <c r="K76" s="2"/>
      <c r="L76" s="2">
        <v>-150000</v>
      </c>
      <c r="M76" s="2"/>
      <c r="N76" s="2"/>
      <c r="O76" s="2"/>
      <c r="P76" s="2"/>
      <c r="Q76" s="2"/>
      <c r="R76" s="9">
        <v>46388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3:31" x14ac:dyDescent="0.25">
      <c r="D77" s="2"/>
      <c r="E77" s="2"/>
      <c r="F77" s="2"/>
      <c r="G77" s="2"/>
      <c r="H77" s="2"/>
      <c r="I77" s="2"/>
      <c r="J77" s="2" t="s">
        <v>31</v>
      </c>
      <c r="K77" s="2">
        <v>7800</v>
      </c>
      <c r="L77" s="2"/>
      <c r="M77" s="2" t="s">
        <v>29</v>
      </c>
      <c r="N77" s="2">
        <f>K77+650*12</f>
        <v>15600</v>
      </c>
      <c r="O77" s="2"/>
      <c r="P77" s="2"/>
      <c r="Q77" s="2"/>
      <c r="R77" s="2" t="s">
        <v>38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3:31" x14ac:dyDescent="0.2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 t="s">
        <v>4</v>
      </c>
      <c r="R78" s="2">
        <f>N62</f>
        <v>150000</v>
      </c>
      <c r="S78" s="2" t="s">
        <v>27</v>
      </c>
      <c r="T78" s="2">
        <f>O63</f>
        <v>108750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3:31" x14ac:dyDescent="0.25">
      <c r="D79" s="2"/>
      <c r="E79" s="2"/>
      <c r="F79" s="2"/>
      <c r="G79" s="2"/>
      <c r="H79" s="2"/>
      <c r="I79" s="2"/>
      <c r="J79" s="2"/>
      <c r="K79" s="2"/>
      <c r="L79" s="2">
        <v>0</v>
      </c>
      <c r="M79" s="2"/>
      <c r="N79" s="2"/>
      <c r="O79" s="2"/>
      <c r="P79" s="2"/>
      <c r="Q79" s="2" t="s">
        <v>3</v>
      </c>
      <c r="R79" s="2">
        <f>O61</f>
        <v>20445</v>
      </c>
      <c r="S79" s="2"/>
      <c r="T79" s="2">
        <f>R78+R79-T78</f>
        <v>61695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3:31" x14ac:dyDescent="0.25">
      <c r="D80" s="2"/>
      <c r="E80" s="2"/>
      <c r="F80" s="2"/>
      <c r="G80" s="2"/>
      <c r="H80" s="2"/>
      <c r="I80" s="2"/>
      <c r="J80" s="2" t="s">
        <v>28</v>
      </c>
      <c r="K80" s="2">
        <v>0</v>
      </c>
      <c r="L80" s="2"/>
      <c r="M80" s="2" t="s">
        <v>29</v>
      </c>
      <c r="N80" s="2">
        <v>0</v>
      </c>
      <c r="O80" s="2"/>
      <c r="P80" s="2"/>
      <c r="Q80" s="2"/>
      <c r="R80" s="2"/>
      <c r="S80" s="2"/>
      <c r="T80" s="2">
        <f>T79-T73</f>
        <v>19695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4:31" x14ac:dyDescent="0.2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>
        <f>(O60/2)+O67-O69</f>
        <v>19695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4:31" x14ac:dyDescent="0.25">
      <c r="D82" s="2"/>
      <c r="E82" s="2"/>
      <c r="F82" s="2"/>
      <c r="G82" s="2"/>
      <c r="H82" s="2"/>
      <c r="I82" s="2"/>
      <c r="J82" s="2"/>
      <c r="K82" s="2"/>
      <c r="L82" s="2">
        <v>0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4:31" x14ac:dyDescent="0.25">
      <c r="D83" s="2"/>
      <c r="E83" s="2"/>
      <c r="F83" s="2"/>
      <c r="G83" s="2"/>
      <c r="H83" s="2"/>
      <c r="I83" s="2"/>
      <c r="J83" s="2" t="s">
        <v>31</v>
      </c>
      <c r="K83" s="2">
        <v>7800</v>
      </c>
      <c r="L83" s="2"/>
      <c r="M83" s="2" t="s">
        <v>32</v>
      </c>
      <c r="N83" s="2">
        <f>K83</f>
        <v>7800</v>
      </c>
      <c r="O83" s="2"/>
      <c r="P83" s="2"/>
      <c r="Q83" s="2"/>
      <c r="R83" s="9">
        <v>46753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4:31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 t="s">
        <v>38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4:31" x14ac:dyDescent="0.2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 t="s">
        <v>4</v>
      </c>
      <c r="R85" s="2">
        <f>N62+P62</f>
        <v>150000</v>
      </c>
      <c r="S85" s="2" t="s">
        <v>27</v>
      </c>
      <c r="T85" s="2">
        <f>P63</f>
        <v>105125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4:31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 t="s">
        <v>3</v>
      </c>
      <c r="R86" s="2">
        <f>P61</f>
        <v>36627.5</v>
      </c>
      <c r="S86" s="2"/>
      <c r="T86" s="2">
        <f>R85+R86-T85</f>
        <v>81502.5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4:31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0">
        <f>T86-T79</f>
        <v>19807.5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4:31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10">
        <f>P60/2+P67-P69</f>
        <v>19807.5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4:31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4:31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4:31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9">
        <v>46753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4:31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 t="s">
        <v>38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4:31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 t="s">
        <v>4</v>
      </c>
      <c r="R93" s="2">
        <f>Q62+N62</f>
        <v>300000</v>
      </c>
      <c r="S93" s="2" t="s">
        <v>27</v>
      </c>
      <c r="T93" s="2">
        <f>Q63</f>
        <v>214120.83333333334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4:31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 t="s">
        <v>3</v>
      </c>
      <c r="R94" s="2">
        <f>Q61</f>
        <v>15539.583333333336</v>
      </c>
      <c r="S94" s="2"/>
      <c r="T94" s="2">
        <f>R93+R94-T93</f>
        <v>101418.74999999997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4:31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10">
        <f>T94-T86</f>
        <v>19916.249999999971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4:31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10">
        <f>Q60/2+Q67-Q69</f>
        <v>19916.25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4:31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4:31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4:31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4:31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4:31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4:31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4:31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4:31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4:31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4:31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4:31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4:31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4:31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4:31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4:31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4:31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4:31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4:31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4:31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</sheetData>
  <mergeCells count="2">
    <mergeCell ref="C1:I1"/>
    <mergeCell ref="C33:I33"/>
  </mergeCells>
  <pageMargins left="0.7" right="0.7" top="0.75" bottom="0.75" header="0.3" footer="0.3"/>
  <pageSetup paperSize="9" orientation="portrait" r:id="rId1"/>
  <headerFooter>
    <oddFooter>&amp;R&amp;1#&amp;"Calibri"&amp;10&amp;K0078D7Classification : 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Easy</vt:lpstr>
      <vt:lpstr>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2022-07-21T14:19:35Z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fbc0b8-e97b-47d1-beac-cb0955d66f3b_Enabled">
    <vt:lpwstr>true</vt:lpwstr>
  </property>
  <property fmtid="{D5CDD505-2E9C-101B-9397-08002B2CF9AE}" pid="3" name="MSIP_Label_8ffbc0b8-e97b-47d1-beac-cb0955d66f3b_SetDate">
    <vt:lpwstr>2022-07-21T14:19:35Z</vt:lpwstr>
  </property>
  <property fmtid="{D5CDD505-2E9C-101B-9397-08002B2CF9AE}" pid="4" name="MSIP_Label_8ffbc0b8-e97b-47d1-beac-cb0955d66f3b_Method">
    <vt:lpwstr>Standard</vt:lpwstr>
  </property>
  <property fmtid="{D5CDD505-2E9C-101B-9397-08002B2CF9AE}" pid="5" name="MSIP_Label_8ffbc0b8-e97b-47d1-beac-cb0955d66f3b_Name">
    <vt:lpwstr>8ffbc0b8-e97b-47d1-beac-cb0955d66f3b</vt:lpwstr>
  </property>
  <property fmtid="{D5CDD505-2E9C-101B-9397-08002B2CF9AE}" pid="6" name="MSIP_Label_8ffbc0b8-e97b-47d1-beac-cb0955d66f3b_SiteId">
    <vt:lpwstr>614f9c25-bffa-42c7-86d8-964101f55fa2</vt:lpwstr>
  </property>
  <property fmtid="{D5CDD505-2E9C-101B-9397-08002B2CF9AE}" pid="7" name="MSIP_Label_8ffbc0b8-e97b-47d1-beac-cb0955d66f3b_ActionId">
    <vt:lpwstr>3ba7d8c5-02dc-4c6b-a430-3277e5a7ac1c</vt:lpwstr>
  </property>
  <property fmtid="{D5CDD505-2E9C-101B-9397-08002B2CF9AE}" pid="8" name="MSIP_Label_8ffbc0b8-e97b-47d1-beac-cb0955d66f3b_ContentBits">
    <vt:lpwstr>2</vt:lpwstr>
  </property>
</Properties>
</file>